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6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7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rpgnet-my.sharepoint.com/personal/kumarsan50_kecrpg_com/Documents/KEC_T&amp;D/1.DPR/DPR/"/>
    </mc:Choice>
  </mc:AlternateContent>
  <xr:revisionPtr revIDLastSave="6627" documentId="14_{3A56DEAC-B089-49D3-B0A6-B9E59AE3BC1B}" xr6:coauthVersionLast="47" xr6:coauthVersionMax="47" xr10:uidLastSave="{96C6E032-A582-44C7-8F65-753221728FAD}"/>
  <bookViews>
    <workbookView xWindow="-110" yWindow="-110" windowWidth="19420" windowHeight="10300" tabRatio="908" activeTab="4" xr2:uid="{00000000-000D-0000-FFFF-FFFF00000000}"/>
  </bookViews>
  <sheets>
    <sheet name="TA413_PBNTL" sheetId="26" r:id="rId1"/>
    <sheet name="WIP" sheetId="99" r:id="rId2"/>
    <sheet name="Visual Chart" sheetId="81" r:id="rId3"/>
    <sheet name="Stringing" sheetId="46" r:id="rId4"/>
    <sheet name="Stretch readiness " sheetId="97" r:id="rId5"/>
    <sheet name="Erection" sheetId="38" r:id="rId6"/>
    <sheet name="L2 Plan vs Actual" sheetId="73" state="hidden" r:id="rId7"/>
    <sheet name="Survey summary" sheetId="66" state="hidden" r:id="rId8"/>
    <sheet name="Detailed Survey " sheetId="31" state="hidden" r:id="rId9"/>
    <sheet name="Check Survey " sheetId="32" state="hidden" r:id="rId10"/>
    <sheet name="Earthing" sheetId="37" r:id="rId11"/>
    <sheet name="Tack Welding" sheetId="45" r:id="rId12"/>
    <sheet name=" Final checking" sheetId="95" r:id="rId13"/>
    <sheet name="Bird Guard " sheetId="96" r:id="rId14"/>
    <sheet name="Aviation Paint" sheetId="98" r:id="rId15"/>
    <sheet name="Accessories" sheetId="49" r:id="rId16"/>
    <sheet name="OPGW" sheetId="48" r:id="rId17"/>
    <sheet name="Foundation" sheetId="33" r:id="rId18"/>
    <sheet name="JUMPER Details" sheetId="94" r:id="rId19"/>
    <sheet name="Crossing status" sheetId="58" r:id="rId20"/>
    <sheet name="ROW Tracker" sheetId="50" r:id="rId21"/>
    <sheet name="S-Curve FDN" sheetId="90" state="hidden" r:id="rId22"/>
    <sheet name="S-Curve Erection" sheetId="91" state="hidden" r:id="rId23"/>
    <sheet name="S-Curve Stringing" sheetId="92" state="hidden" r:id="rId24"/>
    <sheet name="Supply Status" sheetId="82" r:id="rId25"/>
    <sheet name="Hardware Supply" sheetId="43" r:id="rId26"/>
    <sheet name="Tower Abstract sheet" sheetId="87" r:id="rId27"/>
    <sheet name="Statutory Proposals" sheetId="83" r:id="rId28"/>
    <sheet name="Tower Abstarct " sheetId="76" state="hidden" r:id="rId29"/>
    <sheet name="Location Summary" sheetId="80" r:id="rId30"/>
    <sheet name="Foundation Daily Progress" sheetId="71" state="hidden" r:id="rId31"/>
    <sheet name="Tower PRS abstract " sheetId="75" state="hidden" r:id="rId32"/>
    <sheet name="Stretch readiness  (2)" sheetId="89" state="hidden" r:id="rId33"/>
    <sheet name="Area" sheetId="85" state="hidden" r:id="rId34"/>
  </sheets>
  <definedNames>
    <definedName name="\" localSheetId="12" hidden="1">{#N/A,#N/A,FALSE,"MODULE3"}</definedName>
    <definedName name="\" localSheetId="6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29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27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4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32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24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26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0" localSheetId="29">#REF!</definedName>
    <definedName name="\0" localSheetId="27">#REF!</definedName>
    <definedName name="\0" localSheetId="24">#REF!</definedName>
    <definedName name="\0" localSheetId="26">#REF!</definedName>
    <definedName name="\0">#REF!</definedName>
    <definedName name="\01">#REF!</definedName>
    <definedName name="\1">#N/A</definedName>
    <definedName name="\122" localSheetId="6" hidden="1">#REF!</definedName>
    <definedName name="\122" localSheetId="27" hidden="1">#REF!</definedName>
    <definedName name="\122" localSheetId="4" hidden="1">#REF!</definedName>
    <definedName name="\122" localSheetId="32" hidden="1">#REF!</definedName>
    <definedName name="\122" localSheetId="24" hidden="1">#REF!</definedName>
    <definedName name="\122" hidden="1">#REF!</definedName>
    <definedName name="\123" localSheetId="6" hidden="1">#REF!</definedName>
    <definedName name="\123" localSheetId="27" hidden="1">#REF!</definedName>
    <definedName name="\123" localSheetId="4" hidden="1">#REF!</definedName>
    <definedName name="\123" localSheetId="32" hidden="1">#REF!</definedName>
    <definedName name="\123" localSheetId="24" hidden="1">#REF!</definedName>
    <definedName name="\123" hidden="1">#REF!</definedName>
    <definedName name="\1234" localSheetId="6" hidden="1">#REF!</definedName>
    <definedName name="\1234" localSheetId="27" hidden="1">#REF!</definedName>
    <definedName name="\1234" localSheetId="4" hidden="1">#REF!</definedName>
    <definedName name="\1234" localSheetId="32" hidden="1">#REF!</definedName>
    <definedName name="\1234" localSheetId="24" hidden="1">#REF!</definedName>
    <definedName name="\1234" hidden="1">#REF!</definedName>
    <definedName name="\12345" localSheetId="6" hidden="1">#REF!</definedName>
    <definedName name="\12345" localSheetId="27" hidden="1">#REF!</definedName>
    <definedName name="\12345" localSheetId="4" hidden="1">#REF!</definedName>
    <definedName name="\12345" localSheetId="32" hidden="1">#REF!</definedName>
    <definedName name="\12345" localSheetId="24" hidden="1">#REF!</definedName>
    <definedName name="\12345" hidden="1">#REF!</definedName>
    <definedName name="\2" localSheetId="29">#REF!</definedName>
    <definedName name="\2" localSheetId="24">#REF!</definedName>
    <definedName name="\2" localSheetId="26">#REF!</definedName>
    <definedName name="\2">#REF!</definedName>
    <definedName name="\3">#REF!</definedName>
    <definedName name="\4">#REF!</definedName>
    <definedName name="\A" localSheetId="29">#REF!</definedName>
    <definedName name="\A" localSheetId="26">#REF!</definedName>
    <definedName name="\A" localSheetId="2">#REF!</definedName>
    <definedName name="\A">#REF!</definedName>
    <definedName name="\A_1">"#REF!"</definedName>
    <definedName name="\a1">#REF!</definedName>
    <definedName name="\aa">#REF!</definedName>
    <definedName name="\B" localSheetId="29">#REF!</definedName>
    <definedName name="\B" localSheetId="26">#REF!</definedName>
    <definedName name="\B" localSheetId="2">#REF!</definedName>
    <definedName name="\B">#REF!</definedName>
    <definedName name="\C" localSheetId="2">#REF!</definedName>
    <definedName name="\C">#REF!</definedName>
    <definedName name="\c1">#REF!</definedName>
    <definedName name="\d">#N/A</definedName>
    <definedName name="\E">#REF!</definedName>
    <definedName name="\f" localSheetId="27">#REF!</definedName>
    <definedName name="\f">#REF!</definedName>
    <definedName name="\g">#REF!</definedName>
    <definedName name="\H" localSheetId="29">#REF!</definedName>
    <definedName name="\H" localSheetId="7">#REF!</definedName>
    <definedName name="\H" localSheetId="26">#REF!</definedName>
    <definedName name="\H">#REF!</definedName>
    <definedName name="\I">#REF!</definedName>
    <definedName name="\j">#REF!</definedName>
    <definedName name="\k">#REF!</definedName>
    <definedName name="\KWS123">#N/A</definedName>
    <definedName name="\l" localSheetId="6">#REF!</definedName>
    <definedName name="\l" localSheetId="29">#REF!</definedName>
    <definedName name="\l" localSheetId="7">#REF!</definedName>
    <definedName name="\l" localSheetId="26">#REF!</definedName>
    <definedName name="\l">#REF!</definedName>
    <definedName name="\M">#REF!</definedName>
    <definedName name="\N">#REF!</definedName>
    <definedName name="\P">#REF!</definedName>
    <definedName name="\Q" localSheetId="12">#REF!</definedName>
    <definedName name="\q">#N/A</definedName>
    <definedName name="\R" localSheetId="6">#REF!</definedName>
    <definedName name="\R" localSheetId="29">#REF!</definedName>
    <definedName name="\R" localSheetId="7">#REF!</definedName>
    <definedName name="\R" localSheetId="26">#REF!</definedName>
    <definedName name="\R">#REF!</definedName>
    <definedName name="\S">#REF!</definedName>
    <definedName name="\t">#N/A</definedName>
    <definedName name="\U" localSheetId="6">#REF!</definedName>
    <definedName name="\U" localSheetId="29">#REF!</definedName>
    <definedName name="\U" localSheetId="7">#REF!</definedName>
    <definedName name="\U" localSheetId="26">#REF!</definedName>
    <definedName name="\U">#REF!</definedName>
    <definedName name="\V">#REF!</definedName>
    <definedName name="\x">#REF!</definedName>
    <definedName name="\Y">#REF!</definedName>
    <definedName name="\z">#REF!</definedName>
    <definedName name="_" localSheetId="4">#REF!</definedName>
    <definedName name="_" localSheetId="32">#REF!</definedName>
    <definedName name="_">#REF!</definedName>
    <definedName name="_________________________________________________________dol12">#REF!</definedName>
    <definedName name="_________________________________________________________in18900">#REF!</definedName>
    <definedName name="_________________________________________________________iv19000">#REF!</definedName>
    <definedName name="________________________________________________________dol12">#REF!</definedName>
    <definedName name="________________________________________________________dol6">#REF!</definedName>
    <definedName name="________________________________________________________in18900">#REF!</definedName>
    <definedName name="________________________________________________________iv19000">#REF!</definedName>
    <definedName name="_______________________________________________________dol12">#REF!</definedName>
    <definedName name="_______________________________________________________dol6">#REF!</definedName>
    <definedName name="_______________________________________________________in18900">#REF!</definedName>
    <definedName name="_______________________________________________________iv19000">#REF!</definedName>
    <definedName name="______________________________________________________dol12">#REF!</definedName>
    <definedName name="______________________________________________________dol6">#REF!</definedName>
    <definedName name="_____________________________________________________dol12">#REF!</definedName>
    <definedName name="_____________________________________________________dol6">#REF!</definedName>
    <definedName name="_____________________________________________________in18900">#REF!</definedName>
    <definedName name="_____________________________________________________iv19000">#REF!</definedName>
    <definedName name="____________________________________________________dol12">#REF!</definedName>
    <definedName name="____________________________________________________dol6">#REF!</definedName>
    <definedName name="____________________________________________________in18900">#REF!</definedName>
    <definedName name="____________________________________________________iv19000">#REF!</definedName>
    <definedName name="___________________________________________________dol12">#REF!</definedName>
    <definedName name="___________________________________________________dol6">#REF!</definedName>
    <definedName name="___________________________________________________in18900">#REF!</definedName>
    <definedName name="___________________________________________________iv19000">#REF!</definedName>
    <definedName name="__________________________________________________dol12">#REF!</definedName>
    <definedName name="__________________________________________________dol6">#REF!</definedName>
    <definedName name="__________________________________________________in18900">#REF!</definedName>
    <definedName name="__________________________________________________iv19000">#REF!</definedName>
    <definedName name="__________________________________________________Xl1">#REF!</definedName>
    <definedName name="_________________________________________________dol6">#REF!</definedName>
    <definedName name="_________________________________________________in18900">#REF!</definedName>
    <definedName name="_________________________________________________iv19000">#REF!</definedName>
    <definedName name="________________________________________________dol12">#REF!</definedName>
    <definedName name="________________________________________________in18900">#REF!</definedName>
    <definedName name="________________________________________________iv19000">#REF!</definedName>
    <definedName name="________________________________________________Xl1">#REF!</definedName>
    <definedName name="_______________________________________________dol12">#REF!</definedName>
    <definedName name="_______________________________________________dol6">#REF!</definedName>
    <definedName name="_______________________________________________in18900">#REF!</definedName>
    <definedName name="_______________________________________________iv19000">#REF!</definedName>
    <definedName name="______________________________________________dol12">#REF!</definedName>
    <definedName name="______________________________________________dol6">#REF!</definedName>
    <definedName name="______________________________________________IDA1">#REF!</definedName>
    <definedName name="______________________________________________in18900">#REF!</definedName>
    <definedName name="______________________________________________iv19000">#REF!</definedName>
    <definedName name="______________________________________________Xl1">#REF!</definedName>
    <definedName name="______________________________________________xlnm.Print_Area_1">#REF!</definedName>
    <definedName name="______________________________________________xlnm.Print_Area_2">#REF!</definedName>
    <definedName name="______________________________________________xlnm.Print_Titles_1">#REF!</definedName>
    <definedName name="______________________________________________xlnm.Print_Titles_2" localSheetId="6">(#REF!,#REF!)</definedName>
    <definedName name="______________________________________________xlnm.Print_Titles_2" localSheetId="27">(#REF!,#REF!)</definedName>
    <definedName name="______________________________________________xlnm.Print_Titles_2">(#REF!,#REF!)</definedName>
    <definedName name="_____________________________________________dol12" localSheetId="6">#REF!</definedName>
    <definedName name="_____________________________________________dol12" localSheetId="29">#REF!</definedName>
    <definedName name="_____________________________________________dol12" localSheetId="24">#REF!</definedName>
    <definedName name="_____________________________________________dol12" localSheetId="26">#REF!</definedName>
    <definedName name="_____________________________________________dol12">#REF!</definedName>
    <definedName name="_____________________________________________dol6" localSheetId="6">#REF!</definedName>
    <definedName name="_____________________________________________dol6" localSheetId="29">#REF!</definedName>
    <definedName name="_____________________________________________dol6" localSheetId="26">#REF!</definedName>
    <definedName name="_____________________________________________dol6">#REF!</definedName>
    <definedName name="_____________________________________________IDA1" localSheetId="6">#REF!</definedName>
    <definedName name="_____________________________________________IDA1" localSheetId="29">#REF!</definedName>
    <definedName name="_____________________________________________IDA1" localSheetId="26">#REF!</definedName>
    <definedName name="_____________________________________________IDA1">#REF!</definedName>
    <definedName name="_____________________________________________in18900">#REF!</definedName>
    <definedName name="_____________________________________________iv19000">#REF!</definedName>
    <definedName name="_____________________________________________Xl1">#REF!</definedName>
    <definedName name="____________________________________________dol12">#REF!</definedName>
    <definedName name="____________________________________________dol6">#REF!</definedName>
    <definedName name="____________________________________________IDA1">#REF!</definedName>
    <definedName name="____________________________________________in18900">#REF!</definedName>
    <definedName name="____________________________________________iv19000">#REF!</definedName>
    <definedName name="____________________________________________Xl1">#REF!</definedName>
    <definedName name="____________________________________________xlnm.Print_Area_1">#REF!</definedName>
    <definedName name="____________________________________________xlnm.Print_Area_2">#REF!</definedName>
    <definedName name="____________________________________________xlnm.Print_Titles_1">#REF!</definedName>
    <definedName name="____________________________________________xlnm.Print_Titles_2" localSheetId="6">(#REF!,#REF!)</definedName>
    <definedName name="____________________________________________xlnm.Print_Titles_2" localSheetId="29">(#REF!,#REF!)</definedName>
    <definedName name="____________________________________________xlnm.Print_Titles_2" localSheetId="24">(#REF!,#REF!)</definedName>
    <definedName name="____________________________________________xlnm.Print_Titles_2" localSheetId="26">(#REF!,#REF!)</definedName>
    <definedName name="____________________________________________xlnm.Print_Titles_2">(#REF!,#REF!)</definedName>
    <definedName name="___________________________________________dol12" localSheetId="6">#REF!</definedName>
    <definedName name="___________________________________________dol12" localSheetId="29">#REF!</definedName>
    <definedName name="___________________________________________dol12" localSheetId="24">#REF!</definedName>
    <definedName name="___________________________________________dol12" localSheetId="26">#REF!</definedName>
    <definedName name="___________________________________________dol12">#REF!</definedName>
    <definedName name="___________________________________________dol6" localSheetId="6">#REF!</definedName>
    <definedName name="___________________________________________dol6" localSheetId="29">#REF!</definedName>
    <definedName name="___________________________________________dol6" localSheetId="26">#REF!</definedName>
    <definedName name="___________________________________________dol6">#REF!</definedName>
    <definedName name="___________________________________________IDA1" localSheetId="6">#REF!</definedName>
    <definedName name="___________________________________________IDA1" localSheetId="29">#REF!</definedName>
    <definedName name="___________________________________________IDA1" localSheetId="26">#REF!</definedName>
    <definedName name="___________________________________________IDA1">#REF!</definedName>
    <definedName name="___________________________________________in18900">#REF!</definedName>
    <definedName name="___________________________________________iv19000">#REF!</definedName>
    <definedName name="___________________________________________Xl1">#REF!</definedName>
    <definedName name="___________________________________________xlnm.Print_Area_1">#REF!</definedName>
    <definedName name="___________________________________________xlnm.Print_Area_2">#REF!</definedName>
    <definedName name="___________________________________________xlnm.Print_Area_3">#REF!</definedName>
    <definedName name="___________________________________________xlnm.Print_Titles_1">#REF!</definedName>
    <definedName name="___________________________________________xlnm.Print_Titles_2" localSheetId="6">(#REF!,#REF!)</definedName>
    <definedName name="___________________________________________xlnm.Print_Titles_2" localSheetId="29">(#REF!,#REF!)</definedName>
    <definedName name="___________________________________________xlnm.Print_Titles_2" localSheetId="24">(#REF!,#REF!)</definedName>
    <definedName name="___________________________________________xlnm.Print_Titles_2" localSheetId="26">(#REF!,#REF!)</definedName>
    <definedName name="___________________________________________xlnm.Print_Titles_2">(#REF!,#REF!)</definedName>
    <definedName name="___________________________________________xlnm.Print_Titles_3" localSheetId="6">(#REF!,#REF!)</definedName>
    <definedName name="___________________________________________xlnm.Print_Titles_3" localSheetId="29">(#REF!,#REF!)</definedName>
    <definedName name="___________________________________________xlnm.Print_Titles_3" localSheetId="26">(#REF!,#REF!)</definedName>
    <definedName name="___________________________________________xlnm.Print_Titles_3">(#REF!,#REF!)</definedName>
    <definedName name="__________________________________________dol12" localSheetId="6">#REF!</definedName>
    <definedName name="__________________________________________dol12" localSheetId="29">#REF!</definedName>
    <definedName name="__________________________________________dol12" localSheetId="24">#REF!</definedName>
    <definedName name="__________________________________________dol12" localSheetId="26">#REF!</definedName>
    <definedName name="__________________________________________dol12">#REF!</definedName>
    <definedName name="__________________________________________dol6" localSheetId="6">#REF!</definedName>
    <definedName name="__________________________________________dol6" localSheetId="29">#REF!</definedName>
    <definedName name="__________________________________________dol6" localSheetId="26">#REF!</definedName>
    <definedName name="__________________________________________dol6">#REF!</definedName>
    <definedName name="__________________________________________IDA1" localSheetId="6">#REF!</definedName>
    <definedName name="__________________________________________IDA1" localSheetId="29">#REF!</definedName>
    <definedName name="__________________________________________IDA1" localSheetId="26">#REF!</definedName>
    <definedName name="__________________________________________IDA1">#REF!</definedName>
    <definedName name="__________________________________________in18900">#REF!</definedName>
    <definedName name="__________________________________________iv19000">#REF!</definedName>
    <definedName name="__________________________________________Xl1">#REF!</definedName>
    <definedName name="__________________________________________xlnm.Print_Area_1">#REF!</definedName>
    <definedName name="__________________________________________xlnm.Print_Area_2">#REF!</definedName>
    <definedName name="__________________________________________xlnm.Print_Titles_1">#REF!</definedName>
    <definedName name="__________________________________________xlnm.Print_Titles_2" localSheetId="6">(#REF!,#REF!)</definedName>
    <definedName name="__________________________________________xlnm.Print_Titles_2" localSheetId="29">(#REF!,#REF!)</definedName>
    <definedName name="__________________________________________xlnm.Print_Titles_2" localSheetId="24">(#REF!,#REF!)</definedName>
    <definedName name="__________________________________________xlnm.Print_Titles_2" localSheetId="26">(#REF!,#REF!)</definedName>
    <definedName name="__________________________________________xlnm.Print_Titles_2">(#REF!,#REF!)</definedName>
    <definedName name="_________________________________________dol12" localSheetId="6">#REF!</definedName>
    <definedName name="_________________________________________dol12" localSheetId="29">#REF!</definedName>
    <definedName name="_________________________________________dol12" localSheetId="24">#REF!</definedName>
    <definedName name="_________________________________________dol12" localSheetId="26">#REF!</definedName>
    <definedName name="_________________________________________dol12">#REF!</definedName>
    <definedName name="_________________________________________dol6" localSheetId="6">#REF!</definedName>
    <definedName name="_________________________________________dol6" localSheetId="29">#REF!</definedName>
    <definedName name="_________________________________________dol6" localSheetId="26">#REF!</definedName>
    <definedName name="_________________________________________dol6">#REF!</definedName>
    <definedName name="_________________________________________IDA1" localSheetId="6">#REF!</definedName>
    <definedName name="_________________________________________IDA1" localSheetId="29">#REF!</definedName>
    <definedName name="_________________________________________IDA1" localSheetId="26">#REF!</definedName>
    <definedName name="_________________________________________IDA1">#REF!</definedName>
    <definedName name="_________________________________________in18900">#REF!</definedName>
    <definedName name="_________________________________________iv19000">#REF!</definedName>
    <definedName name="_________________________________________Xl1">#REF!</definedName>
    <definedName name="_________________________________________xlnm.Print_Area_1">#REF!</definedName>
    <definedName name="_________________________________________xlnm.Print_Area_2">#REF!</definedName>
    <definedName name="_________________________________________xlnm.Print_Area_3">#REF!</definedName>
    <definedName name="_________________________________________xlnm.Print_Titles_1">#REF!</definedName>
    <definedName name="_________________________________________xlnm.Print_Titles_2" localSheetId="6">(#REF!,#REF!)</definedName>
    <definedName name="_________________________________________xlnm.Print_Titles_2" localSheetId="29">(#REF!,#REF!)</definedName>
    <definedName name="_________________________________________xlnm.Print_Titles_2" localSheetId="24">(#REF!,#REF!)</definedName>
    <definedName name="_________________________________________xlnm.Print_Titles_2" localSheetId="26">(#REF!,#REF!)</definedName>
    <definedName name="_________________________________________xlnm.Print_Titles_2">(#REF!,#REF!)</definedName>
    <definedName name="_________________________________________xlnm.Print_Titles_3" localSheetId="6">(#REF!,#REF!)</definedName>
    <definedName name="_________________________________________xlnm.Print_Titles_3" localSheetId="29">(#REF!,#REF!)</definedName>
    <definedName name="_________________________________________xlnm.Print_Titles_3" localSheetId="26">(#REF!,#REF!)</definedName>
    <definedName name="_________________________________________xlnm.Print_Titles_3">(#REF!,#REF!)</definedName>
    <definedName name="________________________________________dol12" localSheetId="6">#REF!</definedName>
    <definedName name="________________________________________dol12" localSheetId="29">#REF!</definedName>
    <definedName name="________________________________________dol12" localSheetId="24">#REF!</definedName>
    <definedName name="________________________________________dol12" localSheetId="26">#REF!</definedName>
    <definedName name="________________________________________dol12">#REF!</definedName>
    <definedName name="________________________________________dol6" localSheetId="6">#REF!</definedName>
    <definedName name="________________________________________dol6" localSheetId="29">#REF!</definedName>
    <definedName name="________________________________________dol6" localSheetId="26">#REF!</definedName>
    <definedName name="________________________________________dol6">#REF!</definedName>
    <definedName name="________________________________________IDA1" localSheetId="6">#REF!</definedName>
    <definedName name="________________________________________IDA1" localSheetId="29">#REF!</definedName>
    <definedName name="________________________________________IDA1" localSheetId="26">#REF!</definedName>
    <definedName name="________________________________________IDA1">#REF!</definedName>
    <definedName name="________________________________________in18900">#REF!</definedName>
    <definedName name="________________________________________iv19000">#REF!</definedName>
    <definedName name="________________________________________Xl1">#REF!</definedName>
    <definedName name="________________________________________xlnm.Print_Area_1">#REF!</definedName>
    <definedName name="________________________________________xlnm.Print_Area_2">#REF!</definedName>
    <definedName name="________________________________________xlnm.Print_Area_3">#REF!</definedName>
    <definedName name="________________________________________xlnm.Print_Titles_1">#REF!</definedName>
    <definedName name="________________________________________xlnm.Print_Titles_2" localSheetId="6">(#REF!,#REF!)</definedName>
    <definedName name="________________________________________xlnm.Print_Titles_2" localSheetId="29">(#REF!,#REF!)</definedName>
    <definedName name="________________________________________xlnm.Print_Titles_2" localSheetId="24">(#REF!,#REF!)</definedName>
    <definedName name="________________________________________xlnm.Print_Titles_2" localSheetId="26">(#REF!,#REF!)</definedName>
    <definedName name="________________________________________xlnm.Print_Titles_2">(#REF!,#REF!)</definedName>
    <definedName name="________________________________________xlnm.Print_Titles_3" localSheetId="6">(#REF!,#REF!)</definedName>
    <definedName name="________________________________________xlnm.Print_Titles_3" localSheetId="29">(#REF!,#REF!)</definedName>
    <definedName name="________________________________________xlnm.Print_Titles_3" localSheetId="26">(#REF!,#REF!)</definedName>
    <definedName name="________________________________________xlnm.Print_Titles_3">(#REF!,#REF!)</definedName>
    <definedName name="_______________________________________dol12" localSheetId="6">#REF!</definedName>
    <definedName name="_______________________________________dol12" localSheetId="29">#REF!</definedName>
    <definedName name="_______________________________________dol12" localSheetId="24">#REF!</definedName>
    <definedName name="_______________________________________dol12" localSheetId="26">#REF!</definedName>
    <definedName name="_______________________________________dol12">#REF!</definedName>
    <definedName name="_______________________________________dol6" localSheetId="6">#REF!</definedName>
    <definedName name="_______________________________________dol6" localSheetId="29">#REF!</definedName>
    <definedName name="_______________________________________dol6" localSheetId="26">#REF!</definedName>
    <definedName name="_______________________________________dol6">#REF!</definedName>
    <definedName name="_______________________________________IDA1" localSheetId="6">#REF!</definedName>
    <definedName name="_______________________________________IDA1" localSheetId="29">#REF!</definedName>
    <definedName name="_______________________________________IDA1" localSheetId="26">#REF!</definedName>
    <definedName name="_______________________________________IDA1">#REF!</definedName>
    <definedName name="_______________________________________in18900">#REF!</definedName>
    <definedName name="_______________________________________iv19000">#REF!</definedName>
    <definedName name="_______________________________________Xl1">#REF!</definedName>
    <definedName name="_______________________________________xlnm.Print_Area_1">#REF!</definedName>
    <definedName name="_______________________________________xlnm.Print_Area_2">#REF!</definedName>
    <definedName name="_______________________________________xlnm.Print_Area_3">#REF!</definedName>
    <definedName name="_______________________________________xlnm.Print_Titles_1">#REF!</definedName>
    <definedName name="_______________________________________xlnm.Print_Titles_2" localSheetId="6">(#REF!,#REF!)</definedName>
    <definedName name="_______________________________________xlnm.Print_Titles_2" localSheetId="29">(#REF!,#REF!)</definedName>
    <definedName name="_______________________________________xlnm.Print_Titles_2" localSheetId="24">(#REF!,#REF!)</definedName>
    <definedName name="_______________________________________xlnm.Print_Titles_2" localSheetId="26">(#REF!,#REF!)</definedName>
    <definedName name="_______________________________________xlnm.Print_Titles_2">(#REF!,#REF!)</definedName>
    <definedName name="_______________________________________xlnm.Print_Titles_3" localSheetId="6">(#REF!,#REF!)</definedName>
    <definedName name="_______________________________________xlnm.Print_Titles_3" localSheetId="29">(#REF!,#REF!)</definedName>
    <definedName name="_______________________________________xlnm.Print_Titles_3" localSheetId="26">(#REF!,#REF!)</definedName>
    <definedName name="_______________________________________xlnm.Print_Titles_3">(#REF!,#REF!)</definedName>
    <definedName name="______________________________________b111121">#REF!</definedName>
    <definedName name="______________________________________dol12" localSheetId="6">#REF!</definedName>
    <definedName name="______________________________________dol12" localSheetId="29">#REF!</definedName>
    <definedName name="______________________________________dol12" localSheetId="24">#REF!</definedName>
    <definedName name="______________________________________dol12" localSheetId="26">#REF!</definedName>
    <definedName name="______________________________________dol12">#REF!</definedName>
    <definedName name="______________________________________dol6" localSheetId="6">#REF!</definedName>
    <definedName name="______________________________________dol6" localSheetId="29">#REF!</definedName>
    <definedName name="______________________________________dol6" localSheetId="26">#REF!</definedName>
    <definedName name="______________________________________dol6">#REF!</definedName>
    <definedName name="______________________________________IDA1" localSheetId="6">#REF!</definedName>
    <definedName name="______________________________________IDA1" localSheetId="29">#REF!</definedName>
    <definedName name="______________________________________IDA1" localSheetId="26">#REF!</definedName>
    <definedName name="______________________________________IDA1">#REF!</definedName>
    <definedName name="______________________________________in18900">#REF!</definedName>
    <definedName name="______________________________________iv19000">#REF!</definedName>
    <definedName name="______________________________________Xl1">#REF!</definedName>
    <definedName name="______________________________________xlnm.Print_Area_1">#REF!</definedName>
    <definedName name="______________________________________xlnm.Print_Area_2">#REF!</definedName>
    <definedName name="______________________________________xlnm.Print_Area_3">#REF!</definedName>
    <definedName name="______________________________________xlnm.Print_Titles_1">#REF!</definedName>
    <definedName name="______________________________________xlnm.Print_Titles_2" localSheetId="6">(#REF!,#REF!)</definedName>
    <definedName name="______________________________________xlnm.Print_Titles_2" localSheetId="29">(#REF!,#REF!)</definedName>
    <definedName name="______________________________________xlnm.Print_Titles_2" localSheetId="24">(#REF!,#REF!)</definedName>
    <definedName name="______________________________________xlnm.Print_Titles_2" localSheetId="26">(#REF!,#REF!)</definedName>
    <definedName name="______________________________________xlnm.Print_Titles_2">(#REF!,#REF!)</definedName>
    <definedName name="______________________________________xlnm.Print_Titles_3" localSheetId="6">(#REF!,#REF!)</definedName>
    <definedName name="______________________________________xlnm.Print_Titles_3" localSheetId="29">(#REF!,#REF!)</definedName>
    <definedName name="______________________________________xlnm.Print_Titles_3" localSheetId="26">(#REF!,#REF!)</definedName>
    <definedName name="______________________________________xlnm.Print_Titles_3">(#REF!,#REF!)</definedName>
    <definedName name="_____________________________________dol12" localSheetId="6">#REF!</definedName>
    <definedName name="_____________________________________dol12" localSheetId="29">#REF!</definedName>
    <definedName name="_____________________________________dol12" localSheetId="24">#REF!</definedName>
    <definedName name="_____________________________________dol12" localSheetId="26">#REF!</definedName>
    <definedName name="_____________________________________dol12">#REF!</definedName>
    <definedName name="_____________________________________dol6" localSheetId="6">#REF!</definedName>
    <definedName name="_____________________________________dol6" localSheetId="29">#REF!</definedName>
    <definedName name="_____________________________________dol6" localSheetId="26">#REF!</definedName>
    <definedName name="_____________________________________dol6">#REF!</definedName>
    <definedName name="_____________________________________IDA1" localSheetId="6">#REF!</definedName>
    <definedName name="_____________________________________IDA1" localSheetId="29">#REF!</definedName>
    <definedName name="_____________________________________IDA1" localSheetId="26">#REF!</definedName>
    <definedName name="_____________________________________IDA1">#REF!</definedName>
    <definedName name="_____________________________________in18900">#REF!</definedName>
    <definedName name="_____________________________________iv19000">#REF!</definedName>
    <definedName name="_____________________________________Xl1">#REF!</definedName>
    <definedName name="_____________________________________xlnm.Print_Area_1">#REF!</definedName>
    <definedName name="_____________________________________xlnm.Print_Area_2">#REF!</definedName>
    <definedName name="_____________________________________xlnm.Print_Area_3">#REF!</definedName>
    <definedName name="_____________________________________xlnm.Print_Titles_1">#REF!</definedName>
    <definedName name="_____________________________________xlnm.Print_Titles_2" localSheetId="6">(#REF!,#REF!)</definedName>
    <definedName name="_____________________________________xlnm.Print_Titles_2" localSheetId="29">(#REF!,#REF!)</definedName>
    <definedName name="_____________________________________xlnm.Print_Titles_2" localSheetId="24">(#REF!,#REF!)</definedName>
    <definedName name="_____________________________________xlnm.Print_Titles_2" localSheetId="26">(#REF!,#REF!)</definedName>
    <definedName name="_____________________________________xlnm.Print_Titles_2">(#REF!,#REF!)</definedName>
    <definedName name="_____________________________________xlnm.Print_Titles_3" localSheetId="6">(#REF!,#REF!)</definedName>
    <definedName name="_____________________________________xlnm.Print_Titles_3" localSheetId="29">(#REF!,#REF!)</definedName>
    <definedName name="_____________________________________xlnm.Print_Titles_3" localSheetId="26">(#REF!,#REF!)</definedName>
    <definedName name="_____________________________________xlnm.Print_Titles_3">(#REF!,#REF!)</definedName>
    <definedName name="____________________________________dol12" localSheetId="6">#REF!</definedName>
    <definedName name="____________________________________dol12" localSheetId="29">#REF!</definedName>
    <definedName name="____________________________________dol12" localSheetId="24">#REF!</definedName>
    <definedName name="____________________________________dol12" localSheetId="26">#REF!</definedName>
    <definedName name="____________________________________dol12">#REF!</definedName>
    <definedName name="____________________________________dol6" localSheetId="6">#REF!</definedName>
    <definedName name="____________________________________dol6" localSheetId="29">#REF!</definedName>
    <definedName name="____________________________________dol6" localSheetId="26">#REF!</definedName>
    <definedName name="____________________________________dol6">#REF!</definedName>
    <definedName name="____________________________________IDA1" localSheetId="6">#REF!</definedName>
    <definedName name="____________________________________IDA1" localSheetId="29">#REF!</definedName>
    <definedName name="____________________________________IDA1" localSheetId="26">#REF!</definedName>
    <definedName name="____________________________________IDA1">#REF!</definedName>
    <definedName name="____________________________________in18900">#REF!</definedName>
    <definedName name="____________________________________iv19000">#REF!</definedName>
    <definedName name="____________________________________Xl1">#REF!</definedName>
    <definedName name="____________________________________xlnm.Print_Area_1">#REF!</definedName>
    <definedName name="____________________________________xlnm.Print_Area_2">#REF!</definedName>
    <definedName name="____________________________________xlnm.Print_Area_3">#REF!</definedName>
    <definedName name="____________________________________xlnm.Print_Titles_1">#REF!</definedName>
    <definedName name="____________________________________xlnm.Print_Titles_2" localSheetId="6">(#REF!,#REF!)</definedName>
    <definedName name="____________________________________xlnm.Print_Titles_2" localSheetId="29">(#REF!,#REF!)</definedName>
    <definedName name="____________________________________xlnm.Print_Titles_2" localSheetId="24">(#REF!,#REF!)</definedName>
    <definedName name="____________________________________xlnm.Print_Titles_2" localSheetId="26">(#REF!,#REF!)</definedName>
    <definedName name="____________________________________xlnm.Print_Titles_2">(#REF!,#REF!)</definedName>
    <definedName name="____________________________________xlnm.Print_Titles_3" localSheetId="6">(#REF!,#REF!)</definedName>
    <definedName name="____________________________________xlnm.Print_Titles_3" localSheetId="29">(#REF!,#REF!)</definedName>
    <definedName name="____________________________________xlnm.Print_Titles_3" localSheetId="26">(#REF!,#REF!)</definedName>
    <definedName name="____________________________________xlnm.Print_Titles_3">(#REF!,#REF!)</definedName>
    <definedName name="___________________________________b111121">#REF!</definedName>
    <definedName name="___________________________________dol12" localSheetId="6">#REF!</definedName>
    <definedName name="___________________________________dol12" localSheetId="29">#REF!</definedName>
    <definedName name="___________________________________dol12" localSheetId="24">#REF!</definedName>
    <definedName name="___________________________________dol12" localSheetId="26">#REF!</definedName>
    <definedName name="___________________________________dol12">#REF!</definedName>
    <definedName name="___________________________________dol6" localSheetId="6">#REF!</definedName>
    <definedName name="___________________________________dol6" localSheetId="29">#REF!</definedName>
    <definedName name="___________________________________dol6" localSheetId="26">#REF!</definedName>
    <definedName name="___________________________________dol6">#REF!</definedName>
    <definedName name="___________________________________IDA1" localSheetId="6">#REF!</definedName>
    <definedName name="___________________________________IDA1" localSheetId="29">#REF!</definedName>
    <definedName name="___________________________________IDA1" localSheetId="26">#REF!</definedName>
    <definedName name="___________________________________IDA1">#REF!</definedName>
    <definedName name="___________________________________in18900">#REF!</definedName>
    <definedName name="___________________________________iv19000">#REF!</definedName>
    <definedName name="___________________________________Xl1">#REF!</definedName>
    <definedName name="___________________________________xlnm.Print_Area_1">#REF!</definedName>
    <definedName name="___________________________________xlnm.Print_Area_2">#REF!</definedName>
    <definedName name="___________________________________xlnm.Print_Area_3">#REF!</definedName>
    <definedName name="___________________________________xlnm.Print_Titles_1">#REF!</definedName>
    <definedName name="___________________________________xlnm.Print_Titles_2" localSheetId="6">(#REF!,#REF!)</definedName>
    <definedName name="___________________________________xlnm.Print_Titles_2" localSheetId="29">(#REF!,#REF!)</definedName>
    <definedName name="___________________________________xlnm.Print_Titles_2" localSheetId="24">(#REF!,#REF!)</definedName>
    <definedName name="___________________________________xlnm.Print_Titles_2" localSheetId="26">(#REF!,#REF!)</definedName>
    <definedName name="___________________________________xlnm.Print_Titles_2">(#REF!,#REF!)</definedName>
    <definedName name="___________________________________xlnm.Print_Titles_3" localSheetId="6">(#REF!,#REF!)</definedName>
    <definedName name="___________________________________xlnm.Print_Titles_3" localSheetId="29">(#REF!,#REF!)</definedName>
    <definedName name="___________________________________xlnm.Print_Titles_3" localSheetId="26">(#REF!,#REF!)</definedName>
    <definedName name="___________________________________xlnm.Print_Titles_3">(#REF!,#REF!)</definedName>
    <definedName name="__________________________________dol12" localSheetId="6">#REF!</definedName>
    <definedName name="__________________________________dol12" localSheetId="29">#REF!</definedName>
    <definedName name="__________________________________dol12" localSheetId="24">#REF!</definedName>
    <definedName name="__________________________________dol12" localSheetId="26">#REF!</definedName>
    <definedName name="__________________________________dol12">#REF!</definedName>
    <definedName name="__________________________________dol6" localSheetId="6">#REF!</definedName>
    <definedName name="__________________________________dol6" localSheetId="29">#REF!</definedName>
    <definedName name="__________________________________dol6" localSheetId="26">#REF!</definedName>
    <definedName name="__________________________________dol6">#REF!</definedName>
    <definedName name="__________________________________IDA1" localSheetId="6">#REF!</definedName>
    <definedName name="__________________________________IDA1" localSheetId="29">#REF!</definedName>
    <definedName name="__________________________________IDA1" localSheetId="26">#REF!</definedName>
    <definedName name="__________________________________IDA1">#REF!</definedName>
    <definedName name="__________________________________in18900">#REF!</definedName>
    <definedName name="__________________________________iv19000">#REF!</definedName>
    <definedName name="__________________________________Xl1">#REF!</definedName>
    <definedName name="__________________________________xlnm.Print_Area_1">#REF!</definedName>
    <definedName name="__________________________________xlnm.Print_Area_2">#REF!</definedName>
    <definedName name="__________________________________xlnm.Print_Area_3">#REF!</definedName>
    <definedName name="__________________________________xlnm.Print_Titles_1">#REF!</definedName>
    <definedName name="__________________________________xlnm.Print_Titles_2" localSheetId="6">(#REF!,#REF!)</definedName>
    <definedName name="__________________________________xlnm.Print_Titles_2" localSheetId="29">(#REF!,#REF!)</definedName>
    <definedName name="__________________________________xlnm.Print_Titles_2" localSheetId="24">(#REF!,#REF!)</definedName>
    <definedName name="__________________________________xlnm.Print_Titles_2" localSheetId="26">(#REF!,#REF!)</definedName>
    <definedName name="__________________________________xlnm.Print_Titles_2">(#REF!,#REF!)</definedName>
    <definedName name="__________________________________xlnm.Print_Titles_3" localSheetId="6">(#REF!,#REF!)</definedName>
    <definedName name="__________________________________xlnm.Print_Titles_3" localSheetId="29">(#REF!,#REF!)</definedName>
    <definedName name="__________________________________xlnm.Print_Titles_3" localSheetId="26">(#REF!,#REF!)</definedName>
    <definedName name="__________________________________xlnm.Print_Titles_3">(#REF!,#REF!)</definedName>
    <definedName name="_________________________________dol12" localSheetId="6">#REF!</definedName>
    <definedName name="_________________________________dol12" localSheetId="29">#REF!</definedName>
    <definedName name="_________________________________dol12" localSheetId="24">#REF!</definedName>
    <definedName name="_________________________________dol12" localSheetId="26">#REF!</definedName>
    <definedName name="_________________________________dol12">#REF!</definedName>
    <definedName name="_________________________________dol6" localSheetId="6">#REF!</definedName>
    <definedName name="_________________________________dol6" localSheetId="29">#REF!</definedName>
    <definedName name="_________________________________dol6" localSheetId="26">#REF!</definedName>
    <definedName name="_________________________________dol6">#REF!</definedName>
    <definedName name="_________________________________IDA1" localSheetId="6">#REF!</definedName>
    <definedName name="_________________________________IDA1" localSheetId="29">#REF!</definedName>
    <definedName name="_________________________________IDA1" localSheetId="26">#REF!</definedName>
    <definedName name="_________________________________IDA1">#REF!</definedName>
    <definedName name="_________________________________in18900">#REF!</definedName>
    <definedName name="_________________________________iv19000">#REF!</definedName>
    <definedName name="_________________________________Xl1">#REF!</definedName>
    <definedName name="_________________________________xlnm.Print_Area_1">#REF!</definedName>
    <definedName name="_________________________________xlnm.Print_Area_2">#REF!</definedName>
    <definedName name="_________________________________xlnm.Print_Area_3">#REF!</definedName>
    <definedName name="_________________________________xlnm.Print_Titles_1">#REF!</definedName>
    <definedName name="_________________________________xlnm.Print_Titles_2" localSheetId="6">(#REF!,#REF!)</definedName>
    <definedName name="_________________________________xlnm.Print_Titles_2" localSheetId="29">(#REF!,#REF!)</definedName>
    <definedName name="_________________________________xlnm.Print_Titles_2" localSheetId="24">(#REF!,#REF!)</definedName>
    <definedName name="_________________________________xlnm.Print_Titles_2" localSheetId="26">(#REF!,#REF!)</definedName>
    <definedName name="_________________________________xlnm.Print_Titles_2">(#REF!,#REF!)</definedName>
    <definedName name="_________________________________xlnm.Print_Titles_3" localSheetId="6">(#REF!,#REF!)</definedName>
    <definedName name="_________________________________xlnm.Print_Titles_3" localSheetId="29">(#REF!,#REF!)</definedName>
    <definedName name="_________________________________xlnm.Print_Titles_3" localSheetId="26">(#REF!,#REF!)</definedName>
    <definedName name="_________________________________xlnm.Print_Titles_3">(#REF!,#REF!)</definedName>
    <definedName name="________________________________dol12" localSheetId="6">#REF!</definedName>
    <definedName name="________________________________dol12" localSheetId="29">#REF!</definedName>
    <definedName name="________________________________dol12" localSheetId="24">#REF!</definedName>
    <definedName name="________________________________dol12" localSheetId="26">#REF!</definedName>
    <definedName name="________________________________dol12">#REF!</definedName>
    <definedName name="________________________________dol6" localSheetId="6">#REF!</definedName>
    <definedName name="________________________________dol6" localSheetId="29">#REF!</definedName>
    <definedName name="________________________________dol6" localSheetId="26">#REF!</definedName>
    <definedName name="________________________________dol6">#REF!</definedName>
    <definedName name="________________________________IDA1" localSheetId="6">#REF!</definedName>
    <definedName name="________________________________IDA1" localSheetId="29">#REF!</definedName>
    <definedName name="________________________________IDA1" localSheetId="26">#REF!</definedName>
    <definedName name="________________________________IDA1">#REF!</definedName>
    <definedName name="________________________________in18900">#REF!</definedName>
    <definedName name="________________________________INT1">#REF!</definedName>
    <definedName name="________________________________iv19000">#REF!</definedName>
    <definedName name="________________________________Ki1">#REF!</definedName>
    <definedName name="________________________________Ki2">#REF!</definedName>
    <definedName name="________________________________Re1">#REF!</definedName>
    <definedName name="________________________________Rs1">#REF!</definedName>
    <definedName name="________________________________Xl1">#REF!</definedName>
    <definedName name="________________________________xlnm.Print_Area_1">#REF!</definedName>
    <definedName name="________________________________xlnm.Print_Area_2">#REF!</definedName>
    <definedName name="________________________________xlnm.Print_Area_3">#REF!</definedName>
    <definedName name="________________________________xlnm.Print_Titles_1">#REF!</definedName>
    <definedName name="________________________________xlnm.Print_Titles_2" localSheetId="6">(#REF!,#REF!)</definedName>
    <definedName name="________________________________xlnm.Print_Titles_2" localSheetId="29">(#REF!,#REF!)</definedName>
    <definedName name="________________________________xlnm.Print_Titles_2" localSheetId="24">(#REF!,#REF!)</definedName>
    <definedName name="________________________________xlnm.Print_Titles_2" localSheetId="26">(#REF!,#REF!)</definedName>
    <definedName name="________________________________xlnm.Print_Titles_2">(#REF!,#REF!)</definedName>
    <definedName name="________________________________xlnm.Print_Titles_3" localSheetId="6">(#REF!,#REF!)</definedName>
    <definedName name="________________________________xlnm.Print_Titles_3" localSheetId="29">(#REF!,#REF!)</definedName>
    <definedName name="________________________________xlnm.Print_Titles_3" localSheetId="26">(#REF!,#REF!)</definedName>
    <definedName name="________________________________xlnm.Print_Titles_3">(#REF!,#REF!)</definedName>
    <definedName name="_______________________________AHP1">#REF!</definedName>
    <definedName name="_______________________________b111121">#REF!</definedName>
    <definedName name="_______________________________CAN2">#N/A</definedName>
    <definedName name="_______________________________CAN9">#N/A</definedName>
    <definedName name="_______________________________dol12" localSheetId="6">#REF!</definedName>
    <definedName name="_______________________________dol12" localSheetId="29">#REF!</definedName>
    <definedName name="_______________________________dol12" localSheetId="24">#REF!</definedName>
    <definedName name="_______________________________dol12" localSheetId="26">#REF!</definedName>
    <definedName name="_______________________________dol12">#REF!</definedName>
    <definedName name="_______________________________dol6" localSheetId="6">#REF!</definedName>
    <definedName name="_______________________________dol6" localSheetId="29">#REF!</definedName>
    <definedName name="_______________________________dol6" localSheetId="26">#REF!</definedName>
    <definedName name="_______________________________dol6">#REF!</definedName>
    <definedName name="_______________________________drg1">#REF!</definedName>
    <definedName name="_______________________________IDA1" localSheetId="6">#REF!</definedName>
    <definedName name="_______________________________IDA1" localSheetId="29">#REF!</definedName>
    <definedName name="_______________________________IDA1" localSheetId="26">#REF!</definedName>
    <definedName name="_______________________________IDA1">#REF!</definedName>
    <definedName name="_______________________________in18900">#REF!</definedName>
    <definedName name="_______________________________INT1">#REF!</definedName>
    <definedName name="_______________________________iv19000">#REF!</definedName>
    <definedName name="_______________________________Ki1">#REF!</definedName>
    <definedName name="_______________________________Ki2">#REF!</definedName>
    <definedName name="_______________________________mcl132">#REF!</definedName>
    <definedName name="_______________________________ml3">#REF!</definedName>
    <definedName name="_______________________________ml33">#REF!</definedName>
    <definedName name="_______________________________mlc33">#REF!</definedName>
    <definedName name="_______________________________OPT8">#N/A</definedName>
    <definedName name="_______________________________OPT9">#N/A</definedName>
    <definedName name="_______________________________Re1">#REF!</definedName>
    <definedName name="_______________________________Rs1">#REF!</definedName>
    <definedName name="_______________________________Xl1">#REF!</definedName>
    <definedName name="_______________________________xlnm.Print_Area_1">#REF!</definedName>
    <definedName name="_______________________________xlnm.Print_Area_2">#REF!</definedName>
    <definedName name="_______________________________xlnm.Print_Area_3">#REF!</definedName>
    <definedName name="_______________________________xlnm.Print_Titles_1">#REF!</definedName>
    <definedName name="_______________________________xlnm.Print_Titles_2" localSheetId="6">(#REF!,#REF!)</definedName>
    <definedName name="_______________________________xlnm.Print_Titles_2" localSheetId="29">(#REF!,#REF!)</definedName>
    <definedName name="_______________________________xlnm.Print_Titles_2" localSheetId="24">(#REF!,#REF!)</definedName>
    <definedName name="_______________________________xlnm.Print_Titles_2" localSheetId="26">(#REF!,#REF!)</definedName>
    <definedName name="_______________________________xlnm.Print_Titles_2">(#REF!,#REF!)</definedName>
    <definedName name="_______________________________xlnm.Print_Titles_3" localSheetId="6">(#REF!,#REF!)</definedName>
    <definedName name="_______________________________xlnm.Print_Titles_3" localSheetId="29">(#REF!,#REF!)</definedName>
    <definedName name="_______________________________xlnm.Print_Titles_3" localSheetId="26">(#REF!,#REF!)</definedName>
    <definedName name="_______________________________xlnm.Print_Titles_3">(#REF!,#REF!)</definedName>
    <definedName name="______________________________axx1">#REF!</definedName>
    <definedName name="______________________________axx2">#REF!</definedName>
    <definedName name="______________________________axx3">#REF!</definedName>
    <definedName name="______________________________b111121">#REF!</definedName>
    <definedName name="______________________________CAN2">#N/A</definedName>
    <definedName name="______________________________CAN9">#N/A</definedName>
    <definedName name="______________________________col33">#REF!</definedName>
    <definedName name="______________________________dol12" localSheetId="6">#REF!</definedName>
    <definedName name="______________________________dol12" localSheetId="29">#REF!</definedName>
    <definedName name="______________________________dol12" localSheetId="24">#REF!</definedName>
    <definedName name="______________________________dol12" localSheetId="26">#REF!</definedName>
    <definedName name="______________________________dol12">#REF!</definedName>
    <definedName name="______________________________dol6" localSheetId="6">#REF!</definedName>
    <definedName name="______________________________dol6" localSheetId="29">#REF!</definedName>
    <definedName name="______________________________dol6" localSheetId="26">#REF!</definedName>
    <definedName name="______________________________dol6">#REF!</definedName>
    <definedName name="______________________________drg1">#REF!</definedName>
    <definedName name="______________________________hfi1">#REF!</definedName>
    <definedName name="______________________________hfi3">#REF!</definedName>
    <definedName name="______________________________IDA1" localSheetId="6">#REF!</definedName>
    <definedName name="______________________________IDA1" localSheetId="29">#REF!</definedName>
    <definedName name="______________________________IDA1" localSheetId="26">#REF!</definedName>
    <definedName name="______________________________IDA1">#REF!</definedName>
    <definedName name="______________________________in18900">#REF!</definedName>
    <definedName name="______________________________iv19000">#REF!</definedName>
    <definedName name="______________________________Ki1">#REF!</definedName>
    <definedName name="______________________________Ki2">#REF!</definedName>
    <definedName name="______________________________mcl132">#REF!</definedName>
    <definedName name="______________________________ml3">#REF!</definedName>
    <definedName name="______________________________ml33">#REF!</definedName>
    <definedName name="______________________________mlc33">#REF!</definedName>
    <definedName name="______________________________OPT8">#N/A</definedName>
    <definedName name="______________________________OPT9">#N/A</definedName>
    <definedName name="______________________________Re1">#REF!</definedName>
    <definedName name="______________________________Rl1">#REF!</definedName>
    <definedName name="______________________________Rs1">#REF!</definedName>
    <definedName name="______________________________TAB1">#REF!</definedName>
    <definedName name="______________________________Tk1">#REF!</definedName>
    <definedName name="______________________________Tkl1">#REF!</definedName>
    <definedName name="______________________________wp1">#REF!</definedName>
    <definedName name="______________________________Xl1">#REF!</definedName>
    <definedName name="______________________________xlnm.Print_Area_1">#REF!</definedName>
    <definedName name="______________________________xlnm.Print_Area_2">#REF!</definedName>
    <definedName name="______________________________xlnm.Print_Area_3">#REF!</definedName>
    <definedName name="______________________________xlnm.Print_Titles_1">#REF!</definedName>
    <definedName name="______________________________xlnm.Print_Titles_2" localSheetId="6">(#REF!,#REF!)</definedName>
    <definedName name="______________________________xlnm.Print_Titles_2" localSheetId="29">(#REF!,#REF!)</definedName>
    <definedName name="______________________________xlnm.Print_Titles_2" localSheetId="24">(#REF!,#REF!)</definedName>
    <definedName name="______________________________xlnm.Print_Titles_2" localSheetId="26">(#REF!,#REF!)</definedName>
    <definedName name="______________________________xlnm.Print_Titles_2">(#REF!,#REF!)</definedName>
    <definedName name="______________________________xlnm.Print_Titles_3" localSheetId="6">(#REF!,#REF!)</definedName>
    <definedName name="______________________________xlnm.Print_Titles_3" localSheetId="29">(#REF!,#REF!)</definedName>
    <definedName name="______________________________xlnm.Print_Titles_3" localSheetId="26">(#REF!,#REF!)</definedName>
    <definedName name="______________________________xlnm.Print_Titles_3">(#REF!,#REF!)</definedName>
    <definedName name="_____________________________a1">#REF!</definedName>
    <definedName name="_____________________________AHP1">#REF!</definedName>
    <definedName name="_____________________________axx1">#REF!</definedName>
    <definedName name="_____________________________axx2">#REF!</definedName>
    <definedName name="_____________________________axx3">#REF!</definedName>
    <definedName name="_____________________________b111121">#REF!</definedName>
    <definedName name="_____________________________CAN2">#N/A</definedName>
    <definedName name="_____________________________CAN9">#N/A</definedName>
    <definedName name="_____________________________col33">#REF!</definedName>
    <definedName name="_____________________________del1">#REF!</definedName>
    <definedName name="_____________________________dol12" localSheetId="6">#REF!</definedName>
    <definedName name="_____________________________dol12" localSheetId="29">#REF!</definedName>
    <definedName name="_____________________________dol12" localSheetId="24">#REF!</definedName>
    <definedName name="_____________________________dol12" localSheetId="26">#REF!</definedName>
    <definedName name="_____________________________dol12">#REF!</definedName>
    <definedName name="_____________________________dol6" localSheetId="6">#REF!</definedName>
    <definedName name="_____________________________dol6" localSheetId="29">#REF!</definedName>
    <definedName name="_____________________________dol6" localSheetId="26">#REF!</definedName>
    <definedName name="_____________________________dol6">#REF!</definedName>
    <definedName name="_____________________________hfi1">#REF!</definedName>
    <definedName name="_____________________________hfi3">#REF!</definedName>
    <definedName name="_____________________________IDA1" localSheetId="6">#REF!</definedName>
    <definedName name="_____________________________IDA1" localSheetId="29">#REF!</definedName>
    <definedName name="_____________________________IDA1" localSheetId="26">#REF!</definedName>
    <definedName name="_____________________________IDA1">#REF!</definedName>
    <definedName name="_____________________________in18900">#REF!</definedName>
    <definedName name="_____________________________INT1">#REF!</definedName>
    <definedName name="_____________________________iv19000">#REF!</definedName>
    <definedName name="_____________________________Ki1">#REF!</definedName>
    <definedName name="_____________________________Ki2">#REF!</definedName>
    <definedName name="_____________________________OPT8">#N/A</definedName>
    <definedName name="_____________________________OPT9">#N/A</definedName>
    <definedName name="_____________________________Re1">#REF!</definedName>
    <definedName name="_____________________________Rl1">#REF!</definedName>
    <definedName name="_____________________________Rs1">#REF!</definedName>
    <definedName name="_____________________________TAB1">#REF!</definedName>
    <definedName name="_____________________________Tk1">#REF!</definedName>
    <definedName name="_____________________________Tkl1">#REF!</definedName>
    <definedName name="_____________________________wp1">#REF!</definedName>
    <definedName name="_____________________________Xl1">#REF!</definedName>
    <definedName name="_____________________________xlnm.Print_Area_1">#REF!</definedName>
    <definedName name="_____________________________xlnm.Print_Area_2">#REF!</definedName>
    <definedName name="_____________________________xlnm.Print_Area_3">#REF!</definedName>
    <definedName name="_____________________________xlnm.Print_Titles_1">#REF!</definedName>
    <definedName name="_____________________________xlnm.Print_Titles_2" localSheetId="6">(#REF!,#REF!)</definedName>
    <definedName name="_____________________________xlnm.Print_Titles_2" localSheetId="29">(#REF!,#REF!)</definedName>
    <definedName name="_____________________________xlnm.Print_Titles_2" localSheetId="24">(#REF!,#REF!)</definedName>
    <definedName name="_____________________________xlnm.Print_Titles_2" localSheetId="26">(#REF!,#REF!)</definedName>
    <definedName name="_____________________________xlnm.Print_Titles_2">(#REF!,#REF!)</definedName>
    <definedName name="_____________________________xlnm.Print_Titles_3" localSheetId="6">(#REF!,#REF!)</definedName>
    <definedName name="_____________________________xlnm.Print_Titles_3" localSheetId="29">(#REF!,#REF!)</definedName>
    <definedName name="_____________________________xlnm.Print_Titles_3" localSheetId="26">(#REF!,#REF!)</definedName>
    <definedName name="_____________________________xlnm.Print_Titles_3">(#REF!,#REF!)</definedName>
    <definedName name="____________________________a1">#REF!</definedName>
    <definedName name="____________________________AHP1">#REF!</definedName>
    <definedName name="____________________________axx2">#REF!</definedName>
    <definedName name="____________________________b111121">#REF!</definedName>
    <definedName name="____________________________CAN2">#N/A</definedName>
    <definedName name="____________________________CAN9">#N/A</definedName>
    <definedName name="____________________________del1">#REF!</definedName>
    <definedName name="____________________________dol12" localSheetId="6">#REF!</definedName>
    <definedName name="____________________________dol12" localSheetId="29">#REF!</definedName>
    <definedName name="____________________________dol12" localSheetId="24">#REF!</definedName>
    <definedName name="____________________________dol12" localSheetId="26">#REF!</definedName>
    <definedName name="____________________________dol12">#REF!</definedName>
    <definedName name="____________________________dol6" localSheetId="6">#REF!</definedName>
    <definedName name="____________________________dol6" localSheetId="29">#REF!</definedName>
    <definedName name="____________________________dol6" localSheetId="26">#REF!</definedName>
    <definedName name="____________________________dol6">#REF!</definedName>
    <definedName name="____________________________drg1">#REF!</definedName>
    <definedName name="____________________________HCO2">#REF!</definedName>
    <definedName name="____________________________hfi3">#REF!</definedName>
    <definedName name="____________________________Hra2">#REF!</definedName>
    <definedName name="____________________________Hso2">#REF!</definedName>
    <definedName name="____________________________Hso3">#REF!</definedName>
    <definedName name="____________________________IDA1" localSheetId="6">#REF!</definedName>
    <definedName name="____________________________IDA1" localSheetId="29">#REF!</definedName>
    <definedName name="____________________________IDA1" localSheetId="26">#REF!</definedName>
    <definedName name="____________________________IDA1">#REF!</definedName>
    <definedName name="____________________________in18900">#REF!</definedName>
    <definedName name="____________________________INT1">#REF!</definedName>
    <definedName name="____________________________Ism3">#REF!</definedName>
    <definedName name="____________________________iv19000">#REF!</definedName>
    <definedName name="____________________________kd1">#REF!</definedName>
    <definedName name="____________________________kd2">#REF!</definedName>
    <definedName name="____________________________kd3">#REF!</definedName>
    <definedName name="____________________________Ki1">#REF!</definedName>
    <definedName name="____________________________Ki2">#REF!</definedName>
    <definedName name="____________________________mcl132">#REF!</definedName>
    <definedName name="____________________________ml3">#REF!</definedName>
    <definedName name="____________________________ml33">#REF!</definedName>
    <definedName name="____________________________mlc33">#REF!</definedName>
    <definedName name="____________________________new1">#REF!</definedName>
    <definedName name="____________________________OPT8">#N/A</definedName>
    <definedName name="____________________________OPT9">#N/A</definedName>
    <definedName name="____________________________Re1">#REF!</definedName>
    <definedName name="____________________________Rl1">#REF!</definedName>
    <definedName name="____________________________Rs1">#REF!</definedName>
    <definedName name="____________________________run1">#REF!</definedName>
    <definedName name="____________________________run2">#REF!</definedName>
    <definedName name="____________________________run3">#REF!</definedName>
    <definedName name="____________________________TAB1">#REF!</definedName>
    <definedName name="____________________________Tk1">#REF!</definedName>
    <definedName name="____________________________Tkl1">#REF!</definedName>
    <definedName name="____________________________Wc1">#REF!</definedName>
    <definedName name="____________________________WC3">#REF!</definedName>
    <definedName name="____________________________wp1">#REF!</definedName>
    <definedName name="____________________________Wr1">#REF!</definedName>
    <definedName name="____________________________Wr3">#REF!</definedName>
    <definedName name="____________________________Xl1">#REF!</definedName>
    <definedName name="____________________________xlnm.Print_Area_1">#REF!</definedName>
    <definedName name="____________________________xlnm.Print_Area_2">#REF!</definedName>
    <definedName name="____________________________xlnm.Print_Area_3">#REF!</definedName>
    <definedName name="____________________________xlnm.Print_Titles_1">#REF!</definedName>
    <definedName name="____________________________xlnm.Print_Titles_2" localSheetId="6">(#REF!,#REF!)</definedName>
    <definedName name="____________________________xlnm.Print_Titles_2" localSheetId="29">(#REF!,#REF!)</definedName>
    <definedName name="____________________________xlnm.Print_Titles_2" localSheetId="24">(#REF!,#REF!)</definedName>
    <definedName name="____________________________xlnm.Print_Titles_2" localSheetId="26">(#REF!,#REF!)</definedName>
    <definedName name="____________________________xlnm.Print_Titles_2">(#REF!,#REF!)</definedName>
    <definedName name="____________________________xlnm.Print_Titles_3" localSheetId="6">(#REF!,#REF!)</definedName>
    <definedName name="____________________________xlnm.Print_Titles_3" localSheetId="29">(#REF!,#REF!)</definedName>
    <definedName name="____________________________xlnm.Print_Titles_3" localSheetId="26">(#REF!,#REF!)</definedName>
    <definedName name="____________________________xlnm.Print_Titles_3">(#REF!,#REF!)</definedName>
    <definedName name="___________________________a1">#REF!</definedName>
    <definedName name="___________________________aba2">#REF!</definedName>
    <definedName name="___________________________AHP1">#REF!</definedName>
    <definedName name="___________________________axx1">#REF!</definedName>
    <definedName name="___________________________axx2">#REF!</definedName>
    <definedName name="___________________________axx3">#REF!</definedName>
    <definedName name="___________________________b111121">#REF!</definedName>
    <definedName name="___________________________bom1">#REF!</definedName>
    <definedName name="___________________________CAN2">#N/A</definedName>
    <definedName name="___________________________CAN9">#N/A</definedName>
    <definedName name="___________________________CFB1">#REF!</definedName>
    <definedName name="___________________________CFB2">#REF!</definedName>
    <definedName name="___________________________CFB3">#REF!</definedName>
    <definedName name="___________________________col33">#REF!</definedName>
    <definedName name="___________________________DAT1">#REF!</definedName>
    <definedName name="___________________________DAT10">#REF!</definedName>
    <definedName name="___________________________DAT11">#REF!</definedName>
    <definedName name="___________________________DAT12">#REF!</definedName>
    <definedName name="___________________________DAT13">#REF!</definedName>
    <definedName name="___________________________DAT14">#REF!</definedName>
    <definedName name="___________________________DAT15">#REF!</definedName>
    <definedName name="___________________________DAT16">#REF!</definedName>
    <definedName name="___________________________DAT2">#REF!</definedName>
    <definedName name="___________________________DAT3">#REF!</definedName>
    <definedName name="___________________________DAT4">#REF!</definedName>
    <definedName name="___________________________DAT5">#REF!</definedName>
    <definedName name="___________________________DAT6">#REF!</definedName>
    <definedName name="___________________________DAT7">#REF!</definedName>
    <definedName name="___________________________DAT8">#REF!</definedName>
    <definedName name="___________________________DAT9">#REF!</definedName>
    <definedName name="___________________________del1">#REF!</definedName>
    <definedName name="___________________________DET1">#REF!</definedName>
    <definedName name="___________________________DET2">#REF!</definedName>
    <definedName name="___________________________DET3">#REF!</definedName>
    <definedName name="___________________________DET4">#REF!</definedName>
    <definedName name="___________________________DET5">#REF!</definedName>
    <definedName name="___________________________DET6">#REF!</definedName>
    <definedName name="___________________________dol12" localSheetId="6">#REF!</definedName>
    <definedName name="___________________________dol12" localSheetId="29">#REF!</definedName>
    <definedName name="___________________________dol12" localSheetId="24">#REF!</definedName>
    <definedName name="___________________________dol12" localSheetId="26">#REF!</definedName>
    <definedName name="___________________________dol12">#REF!</definedName>
    <definedName name="___________________________dol6" localSheetId="6">#REF!</definedName>
    <definedName name="___________________________dol6" localSheetId="29">#REF!</definedName>
    <definedName name="___________________________dol6" localSheetId="26">#REF!</definedName>
    <definedName name="___________________________dol6">#REF!</definedName>
    <definedName name="___________________________drg1">#REF!</definedName>
    <definedName name="___________________________drg2">#REF!</definedName>
    <definedName name="___________________________HCO2">#REF!</definedName>
    <definedName name="___________________________hfi1">#REF!</definedName>
    <definedName name="___________________________hfi3">#REF!</definedName>
    <definedName name="___________________________Hra2">#REF!</definedName>
    <definedName name="___________________________Hso2">#REF!</definedName>
    <definedName name="___________________________Hso3">#REF!</definedName>
    <definedName name="___________________________IDA1" localSheetId="6">#REF!</definedName>
    <definedName name="___________________________IDA1" localSheetId="29">#REF!</definedName>
    <definedName name="___________________________IDA1" localSheetId="26">#REF!</definedName>
    <definedName name="___________________________IDA1">#REF!</definedName>
    <definedName name="___________________________in18900">#REF!</definedName>
    <definedName name="___________________________INT1">#REF!</definedName>
    <definedName name="___________________________Ism3">#REF!</definedName>
    <definedName name="___________________________iv19000">#REF!</definedName>
    <definedName name="___________________________kd1">#REF!</definedName>
    <definedName name="___________________________kd2">#REF!</definedName>
    <definedName name="___________________________kd3">#REF!</definedName>
    <definedName name="___________________________Ki1">#REF!</definedName>
    <definedName name="___________________________Ki2">#REF!</definedName>
    <definedName name="___________________________mcl132">#REF!</definedName>
    <definedName name="___________________________ml3">#REF!</definedName>
    <definedName name="___________________________ml33">#REF!</definedName>
    <definedName name="___________________________mlc33">#REF!</definedName>
    <definedName name="___________________________new1">#REF!</definedName>
    <definedName name="___________________________OPT8">#N/A</definedName>
    <definedName name="___________________________OPT9">#N/A</definedName>
    <definedName name="___________________________out2">#REF!</definedName>
    <definedName name="___________________________pep99">#REF!</definedName>
    <definedName name="___________________________Re1">#REF!</definedName>
    <definedName name="___________________________Rl1">#REF!</definedName>
    <definedName name="___________________________Rs1">#REF!</definedName>
    <definedName name="___________________________run1">#REF!</definedName>
    <definedName name="___________________________run2">#REF!</definedName>
    <definedName name="___________________________run3">#REF!</definedName>
    <definedName name="___________________________sch2">#REF!</definedName>
    <definedName name="___________________________sch9">#REF!</definedName>
    <definedName name="___________________________SS402">#REF!</definedName>
    <definedName name="___________________________SS403">#REF!</definedName>
    <definedName name="___________________________SS404">#REF!</definedName>
    <definedName name="___________________________SS405">#REF!</definedName>
    <definedName name="___________________________SS406">#REF!</definedName>
    <definedName name="___________________________SS407">#REF!</definedName>
    <definedName name="___________________________SS408">#REF!</definedName>
    <definedName name="___________________________SS409">#REF!</definedName>
    <definedName name="___________________________SS423">#REF!</definedName>
    <definedName name="___________________________SS424">#REF!</definedName>
    <definedName name="___________________________TAB1">#REF!</definedName>
    <definedName name="___________________________Tk1">#REF!</definedName>
    <definedName name="___________________________Tkl1">#REF!</definedName>
    <definedName name="___________________________Wc1">#REF!</definedName>
    <definedName name="___________________________WC3">#REF!</definedName>
    <definedName name="___________________________wp1">#REF!</definedName>
    <definedName name="___________________________Wr1">#REF!</definedName>
    <definedName name="___________________________Wr3">#REF!</definedName>
    <definedName name="___________________________Xl1">#REF!</definedName>
    <definedName name="___________________________xlnm.Print_Area_1">#REF!</definedName>
    <definedName name="___________________________xlnm.Print_Area_2">#REF!</definedName>
    <definedName name="___________________________xlnm.Print_Area_3">#REF!</definedName>
    <definedName name="___________________________xlnm.Print_Titles_1">#REF!</definedName>
    <definedName name="___________________________xlnm.Print_Titles_2" localSheetId="6">(#REF!,#REF!)</definedName>
    <definedName name="___________________________xlnm.Print_Titles_2" localSheetId="29">(#REF!,#REF!)</definedName>
    <definedName name="___________________________xlnm.Print_Titles_2" localSheetId="24">(#REF!,#REF!)</definedName>
    <definedName name="___________________________xlnm.Print_Titles_2" localSheetId="26">(#REF!,#REF!)</definedName>
    <definedName name="___________________________xlnm.Print_Titles_2">(#REF!,#REF!)</definedName>
    <definedName name="___________________________xlnm.Print_Titles_3" localSheetId="6">(#REF!,#REF!)</definedName>
    <definedName name="___________________________xlnm.Print_Titles_3" localSheetId="29">(#REF!,#REF!)</definedName>
    <definedName name="___________________________xlnm.Print_Titles_3" localSheetId="26">(#REF!,#REF!)</definedName>
    <definedName name="___________________________xlnm.Print_Titles_3">(#REF!,#REF!)</definedName>
    <definedName name="__________________________a1">#REF!</definedName>
    <definedName name="__________________________aba2">#REF!</definedName>
    <definedName name="__________________________AHP1">#REF!</definedName>
    <definedName name="__________________________axx1">#REF!</definedName>
    <definedName name="__________________________axx2">#REF!</definedName>
    <definedName name="__________________________axx3">#REF!</definedName>
    <definedName name="__________________________b111121" localSheetId="12">#REF!</definedName>
    <definedName name="__________________________b111121">#REF!</definedName>
    <definedName name="__________________________bom1">#REF!</definedName>
    <definedName name="__________________________CAN2">#REF!</definedName>
    <definedName name="__________________________CAN9">#REF!</definedName>
    <definedName name="__________________________CFB1">#REF!</definedName>
    <definedName name="__________________________CFB2">#REF!</definedName>
    <definedName name="__________________________CFB3">#REF!</definedName>
    <definedName name="__________________________col33">#REF!</definedName>
    <definedName name="__________________________DAT1">#REF!</definedName>
    <definedName name="__________________________DAT10">#REF!</definedName>
    <definedName name="__________________________DAT11">#REF!</definedName>
    <definedName name="__________________________DAT12">#REF!</definedName>
    <definedName name="__________________________DAT13">#REF!</definedName>
    <definedName name="__________________________DAT14">#REF!</definedName>
    <definedName name="__________________________DAT15">#REF!</definedName>
    <definedName name="__________________________DAT16">#REF!</definedName>
    <definedName name="__________________________DAT2">#REF!</definedName>
    <definedName name="__________________________DAT3">#REF!</definedName>
    <definedName name="__________________________DAT4">#REF!</definedName>
    <definedName name="__________________________DAT5">#REF!</definedName>
    <definedName name="__________________________DAT6">#REF!</definedName>
    <definedName name="__________________________DAT7">#REF!</definedName>
    <definedName name="__________________________DAT8">#REF!</definedName>
    <definedName name="__________________________DAT9">#REF!</definedName>
    <definedName name="__________________________del1">#REF!</definedName>
    <definedName name="__________________________DET1">#REF!</definedName>
    <definedName name="__________________________DET2">#REF!</definedName>
    <definedName name="__________________________DET3">#REF!</definedName>
    <definedName name="__________________________DET4">#REF!</definedName>
    <definedName name="__________________________DET5">#REF!</definedName>
    <definedName name="__________________________DET6">#REF!</definedName>
    <definedName name="__________________________DIS1">#REF!</definedName>
    <definedName name="__________________________dol12" localSheetId="6">#REF!</definedName>
    <definedName name="__________________________dol12" localSheetId="29">#REF!</definedName>
    <definedName name="__________________________dol12" localSheetId="24">#REF!</definedName>
    <definedName name="__________________________dol12" localSheetId="26">#REF!</definedName>
    <definedName name="__________________________dol12">#REF!</definedName>
    <definedName name="__________________________dol6" localSheetId="6">#REF!</definedName>
    <definedName name="__________________________dol6" localSheetId="29">#REF!</definedName>
    <definedName name="__________________________dol6" localSheetId="26">#REF!</definedName>
    <definedName name="__________________________dol6">#REF!</definedName>
    <definedName name="__________________________dol7" localSheetId="6">#REF!</definedName>
    <definedName name="__________________________dol7" localSheetId="29">#REF!</definedName>
    <definedName name="__________________________dol7" localSheetId="26">#REF!</definedName>
    <definedName name="__________________________dol7">#REF!</definedName>
    <definedName name="__________________________drg1">#REF!</definedName>
    <definedName name="__________________________drg2">#REF!</definedName>
    <definedName name="__________________________hfi1">#REF!</definedName>
    <definedName name="__________________________hfi3">#REF!</definedName>
    <definedName name="__________________________hxd1">#REF!</definedName>
    <definedName name="__________________________IDA1">#REF!</definedName>
    <definedName name="__________________________in18900">#REF!</definedName>
    <definedName name="__________________________INT1">#REF!</definedName>
    <definedName name="__________________________iv19000">#REF!</definedName>
    <definedName name="__________________________Ki1">#REF!</definedName>
    <definedName name="__________________________Ki2">#REF!</definedName>
    <definedName name="__________________________mcl132">#REF!</definedName>
    <definedName name="__________________________ml3">#REF!</definedName>
    <definedName name="__________________________ml33">#REF!</definedName>
    <definedName name="__________________________mlc33">#REF!</definedName>
    <definedName name="__________________________new1">#REF!</definedName>
    <definedName name="__________________________OPT8">#REF!</definedName>
    <definedName name="__________________________OPT9">#REF!</definedName>
    <definedName name="__________________________out2">#REF!</definedName>
    <definedName name="__________________________pep99">#REF!</definedName>
    <definedName name="__________________________pfi1">#REF!</definedName>
    <definedName name="__________________________pp1">#REF!</definedName>
    <definedName name="__________________________pp2">#REF!</definedName>
    <definedName name="__________________________Re1">#REF!</definedName>
    <definedName name="__________________________Rl1">#REF!</definedName>
    <definedName name="__________________________Rs1">#REF!</definedName>
    <definedName name="__________________________sch2">#REF!</definedName>
    <definedName name="__________________________sch9">#REF!</definedName>
    <definedName name="__________________________SS402">#REF!</definedName>
    <definedName name="__________________________SS403">#REF!</definedName>
    <definedName name="__________________________SS404">#REF!</definedName>
    <definedName name="__________________________SS405">#REF!</definedName>
    <definedName name="__________________________SS406">#REF!</definedName>
    <definedName name="__________________________SS407">#REF!</definedName>
    <definedName name="__________________________SS408">#REF!</definedName>
    <definedName name="__________________________SS409">#REF!</definedName>
    <definedName name="__________________________SS423">#REF!</definedName>
    <definedName name="__________________________SS424">#REF!</definedName>
    <definedName name="__________________________TAB1">#REF!</definedName>
    <definedName name="__________________________Tk1">#REF!</definedName>
    <definedName name="__________________________Tkl1">#REF!</definedName>
    <definedName name="__________________________wp1">#REF!</definedName>
    <definedName name="__________________________Xl1">#REF!</definedName>
    <definedName name="__________________________xlnm.Print_Area_1">#REF!</definedName>
    <definedName name="__________________________xlnm.Print_Area_2">#REF!</definedName>
    <definedName name="__________________________xlnm.Print_Area_3">#REF!</definedName>
    <definedName name="__________________________xlnm.Print_Titles_1">#REF!</definedName>
    <definedName name="__________________________xlnm.Print_Titles_2" localSheetId="6">(#REF!,#REF!)</definedName>
    <definedName name="__________________________xlnm.Print_Titles_2" localSheetId="29">(#REF!,#REF!)</definedName>
    <definedName name="__________________________xlnm.Print_Titles_2" localSheetId="24">(#REF!,#REF!)</definedName>
    <definedName name="__________________________xlnm.Print_Titles_2" localSheetId="26">(#REF!,#REF!)</definedName>
    <definedName name="__________________________xlnm.Print_Titles_2">(#REF!,#REF!)</definedName>
    <definedName name="__________________________xlnm.Print_Titles_3" localSheetId="6">(#REF!,#REF!)</definedName>
    <definedName name="__________________________xlnm.Print_Titles_3" localSheetId="29">(#REF!,#REF!)</definedName>
    <definedName name="__________________________xlnm.Print_Titles_3" localSheetId="26">(#REF!,#REF!)</definedName>
    <definedName name="__________________________xlnm.Print_Titles_3">(#REF!,#REF!)</definedName>
    <definedName name="_________________________a1">#REF!</definedName>
    <definedName name="_________________________a5">#N/A</definedName>
    <definedName name="_________________________a6">#N/A</definedName>
    <definedName name="_________________________aba2">#REF!</definedName>
    <definedName name="_________________________AHP1">#REF!</definedName>
    <definedName name="_________________________axx1">#REF!</definedName>
    <definedName name="_________________________axx2">#REF!</definedName>
    <definedName name="_________________________axx3">#REF!</definedName>
    <definedName name="_________________________b111121" localSheetId="12">#REF!</definedName>
    <definedName name="_________________________b111121">#REF!</definedName>
    <definedName name="_________________________bom1">#REF!</definedName>
    <definedName name="_________________________BoQ4">#REF!</definedName>
    <definedName name="_________________________CAN2">#REF!</definedName>
    <definedName name="_________________________CAN9">#REF!</definedName>
    <definedName name="_________________________CFB1">#REF!</definedName>
    <definedName name="_________________________CFB2">#REF!</definedName>
    <definedName name="_________________________CFB3">#REF!</definedName>
    <definedName name="_________________________col33">#REF!</definedName>
    <definedName name="_________________________DAT1">#REF!</definedName>
    <definedName name="_________________________DAT10">#REF!</definedName>
    <definedName name="_________________________DAT11">#REF!</definedName>
    <definedName name="_________________________DAT12">#REF!</definedName>
    <definedName name="_________________________DAT13">#REF!</definedName>
    <definedName name="_________________________DAT14">#REF!</definedName>
    <definedName name="_________________________DAT15">#REF!</definedName>
    <definedName name="_________________________DAT16">#REF!</definedName>
    <definedName name="_________________________DAT2">#REF!</definedName>
    <definedName name="_________________________DAT3">#REF!</definedName>
    <definedName name="_________________________DAT4">#REF!</definedName>
    <definedName name="_________________________DAT5">#REF!</definedName>
    <definedName name="_________________________DAT6">#REF!</definedName>
    <definedName name="_________________________DAT7">#REF!</definedName>
    <definedName name="_________________________DAT8">#REF!</definedName>
    <definedName name="_________________________DAT9">#REF!</definedName>
    <definedName name="_________________________del1">#REF!</definedName>
    <definedName name="_________________________DET1">#REF!</definedName>
    <definedName name="_________________________DET2">#REF!</definedName>
    <definedName name="_________________________DET3">#REF!</definedName>
    <definedName name="_________________________DET4">#REF!</definedName>
    <definedName name="_________________________DET5">#REF!</definedName>
    <definedName name="_________________________DET6">#REF!</definedName>
    <definedName name="_________________________DIS1">#REF!</definedName>
    <definedName name="_________________________dol12" localSheetId="6">#REF!</definedName>
    <definedName name="_________________________dol12" localSheetId="29">#REF!</definedName>
    <definedName name="_________________________dol12" localSheetId="24">#REF!</definedName>
    <definedName name="_________________________dol12" localSheetId="26">#REF!</definedName>
    <definedName name="_________________________dol12">#REF!</definedName>
    <definedName name="_________________________dol6" localSheetId="6">#REF!</definedName>
    <definedName name="_________________________dol6" localSheetId="29">#REF!</definedName>
    <definedName name="_________________________dol6" localSheetId="26">#REF!</definedName>
    <definedName name="_________________________dol6">#REF!</definedName>
    <definedName name="_________________________drg1">#REF!</definedName>
    <definedName name="_________________________drg2">#REF!</definedName>
    <definedName name="_________________________HCO2">#REF!</definedName>
    <definedName name="_________________________hfi1">#REF!</definedName>
    <definedName name="_________________________hfi3">#REF!</definedName>
    <definedName name="_________________________Hra2">#REF!</definedName>
    <definedName name="_________________________Hso2">#REF!</definedName>
    <definedName name="_________________________Hso3">#REF!</definedName>
    <definedName name="_________________________hxd1">#REF!</definedName>
    <definedName name="_________________________IDA1" localSheetId="6">#REF!</definedName>
    <definedName name="_________________________IDA1" localSheetId="29">#REF!</definedName>
    <definedName name="_________________________IDA1" localSheetId="26">#REF!</definedName>
    <definedName name="_________________________IDA1">#REF!</definedName>
    <definedName name="_________________________in18900">#REF!</definedName>
    <definedName name="_________________________INT1">#REF!</definedName>
    <definedName name="_________________________Ism3">#REF!</definedName>
    <definedName name="_________________________iv19000">#REF!</definedName>
    <definedName name="_________________________kd1">#REF!</definedName>
    <definedName name="_________________________kd2">#REF!</definedName>
    <definedName name="_________________________kd3">#REF!</definedName>
    <definedName name="_________________________Ki1">#REF!</definedName>
    <definedName name="_________________________Ki2">#REF!</definedName>
    <definedName name="_________________________mcl132">#REF!</definedName>
    <definedName name="_________________________ml3">#REF!</definedName>
    <definedName name="_________________________ml33">#REF!</definedName>
    <definedName name="_________________________mlc33">#REF!</definedName>
    <definedName name="_________________________new1">#REF!</definedName>
    <definedName name="_________________________OPT8">#REF!</definedName>
    <definedName name="_________________________OPT9">#REF!</definedName>
    <definedName name="_________________________out2">#REF!</definedName>
    <definedName name="_________________________pep99">#REF!</definedName>
    <definedName name="_________________________pfi1">#REF!</definedName>
    <definedName name="_________________________pp1">#REF!</definedName>
    <definedName name="_________________________pp2">#REF!</definedName>
    <definedName name="_________________________Re1">#REF!</definedName>
    <definedName name="_________________________Rl1">#REF!</definedName>
    <definedName name="_________________________Rs1">#REF!</definedName>
    <definedName name="_________________________run1">#REF!</definedName>
    <definedName name="_________________________run2">#REF!</definedName>
    <definedName name="_________________________run3">#REF!</definedName>
    <definedName name="_________________________sch2">#REF!</definedName>
    <definedName name="_________________________sch9">#REF!</definedName>
    <definedName name="_________________________SS402">#REF!</definedName>
    <definedName name="_________________________SS403">#REF!</definedName>
    <definedName name="_________________________SS404">#REF!</definedName>
    <definedName name="_________________________SS405">#REF!</definedName>
    <definedName name="_________________________SS406">#REF!</definedName>
    <definedName name="_________________________SS407">#REF!</definedName>
    <definedName name="_________________________SS408">#REF!</definedName>
    <definedName name="_________________________SS409">#REF!</definedName>
    <definedName name="_________________________SS423">#REF!</definedName>
    <definedName name="_________________________SS424">#REF!</definedName>
    <definedName name="_________________________TAB1">#REF!</definedName>
    <definedName name="_________________________Tk1">#REF!</definedName>
    <definedName name="_________________________Tkl1">#REF!</definedName>
    <definedName name="_________________________Wc1">#REF!</definedName>
    <definedName name="_________________________WC3">#REF!</definedName>
    <definedName name="_________________________wp1">#REF!</definedName>
    <definedName name="_________________________Wr1">#REF!</definedName>
    <definedName name="_________________________Wr3">#REF!</definedName>
    <definedName name="_________________________Xl1">#REF!</definedName>
    <definedName name="_________________________xlnm.Print_Area_1">#REF!</definedName>
    <definedName name="_________________________xlnm.Print_Area_2">#REF!</definedName>
    <definedName name="_________________________xlnm.Print_Area_3">#REF!</definedName>
    <definedName name="_________________________xlnm.Print_Titles_1">#REF!</definedName>
    <definedName name="_________________________xlnm.Print_Titles_2" localSheetId="6">(#REF!,#REF!)</definedName>
    <definedName name="_________________________xlnm.Print_Titles_2" localSheetId="29">(#REF!,#REF!)</definedName>
    <definedName name="_________________________xlnm.Print_Titles_2" localSheetId="24">(#REF!,#REF!)</definedName>
    <definedName name="_________________________xlnm.Print_Titles_2" localSheetId="26">(#REF!,#REF!)</definedName>
    <definedName name="_________________________xlnm.Print_Titles_2">(#REF!,#REF!)</definedName>
    <definedName name="_________________________xlnm.Print_Titles_3" localSheetId="6">(#REF!,#REF!)</definedName>
    <definedName name="_________________________xlnm.Print_Titles_3" localSheetId="29">(#REF!,#REF!)</definedName>
    <definedName name="_________________________xlnm.Print_Titles_3" localSheetId="26">(#REF!,#REF!)</definedName>
    <definedName name="_________________________xlnm.Print_Titles_3">(#REF!,#REF!)</definedName>
    <definedName name="________________________a1">#REF!</definedName>
    <definedName name="________________________a5">#N/A</definedName>
    <definedName name="________________________a6">#N/A</definedName>
    <definedName name="________________________aba2">#REF!</definedName>
    <definedName name="________________________acs1">#REF!</definedName>
    <definedName name="________________________acs2">#REF!</definedName>
    <definedName name="________________________AHP1">#REF!</definedName>
    <definedName name="________________________axx1">#REF!</definedName>
    <definedName name="________________________axx2">#REF!</definedName>
    <definedName name="________________________axx3">#REF!</definedName>
    <definedName name="________________________b111121" localSheetId="12">#REF!</definedName>
    <definedName name="________________________b111121">#REF!</definedName>
    <definedName name="________________________bom1">#REF!</definedName>
    <definedName name="________________________CAN2">#N/A</definedName>
    <definedName name="________________________CAN9">#N/A</definedName>
    <definedName name="________________________CFB1">#REF!</definedName>
    <definedName name="________________________CFB2">#REF!</definedName>
    <definedName name="________________________CFB3">#REF!</definedName>
    <definedName name="________________________col33">#REF!</definedName>
    <definedName name="________________________DAT1">#REF!</definedName>
    <definedName name="________________________DAT10">#REF!</definedName>
    <definedName name="________________________DAT11">#REF!</definedName>
    <definedName name="________________________DAT12">#REF!</definedName>
    <definedName name="________________________DAT13">#REF!</definedName>
    <definedName name="________________________DAT14">#REF!</definedName>
    <definedName name="________________________DAT15">#REF!</definedName>
    <definedName name="________________________DAT16">#REF!</definedName>
    <definedName name="________________________DAT2">#REF!</definedName>
    <definedName name="________________________DAT3">#REF!</definedName>
    <definedName name="________________________DAT4">#REF!</definedName>
    <definedName name="________________________DAT5">#REF!</definedName>
    <definedName name="________________________DAT6">#REF!</definedName>
    <definedName name="________________________DAT7">#REF!</definedName>
    <definedName name="________________________DAT8">#REF!</definedName>
    <definedName name="________________________DAT9">#REF!</definedName>
    <definedName name="________________________del1">#REF!</definedName>
    <definedName name="________________________DET1">#REF!</definedName>
    <definedName name="________________________DET2">#REF!</definedName>
    <definedName name="________________________DET3">#REF!</definedName>
    <definedName name="________________________DET4">#REF!</definedName>
    <definedName name="________________________DET5">#REF!</definedName>
    <definedName name="________________________DET6">#REF!</definedName>
    <definedName name="________________________dol12" localSheetId="6">#REF!</definedName>
    <definedName name="________________________dol12" localSheetId="29">#REF!</definedName>
    <definedName name="________________________dol12" localSheetId="24">#REF!</definedName>
    <definedName name="________________________dol12" localSheetId="26">#REF!</definedName>
    <definedName name="________________________dol12">#REF!</definedName>
    <definedName name="________________________dol6" localSheetId="6">#REF!</definedName>
    <definedName name="________________________dol6" localSheetId="29">#REF!</definedName>
    <definedName name="________________________dol6" localSheetId="26">#REF!</definedName>
    <definedName name="________________________dol6">#REF!</definedName>
    <definedName name="________________________drg1">#REF!</definedName>
    <definedName name="________________________drg2">#REF!</definedName>
    <definedName name="________________________HCO2">#REF!</definedName>
    <definedName name="________________________hfi1">#REF!</definedName>
    <definedName name="________________________hfi3">#REF!</definedName>
    <definedName name="________________________Hra2">#REF!</definedName>
    <definedName name="________________________Hso2">#REF!</definedName>
    <definedName name="________________________Hso3">#REF!</definedName>
    <definedName name="________________________IDA1" localSheetId="6">#REF!</definedName>
    <definedName name="________________________IDA1" localSheetId="29">#REF!</definedName>
    <definedName name="________________________IDA1" localSheetId="26">#REF!</definedName>
    <definedName name="________________________IDA1">#REF!</definedName>
    <definedName name="________________________ifa1">#REF!</definedName>
    <definedName name="________________________ifa2">#REF!</definedName>
    <definedName name="________________________in18900">#REF!</definedName>
    <definedName name="________________________INT1">#REF!</definedName>
    <definedName name="________________________Ism3">#REF!</definedName>
    <definedName name="________________________iv19000">#REF!</definedName>
    <definedName name="________________________kd1">#REF!</definedName>
    <definedName name="________________________kd2">#REF!</definedName>
    <definedName name="________________________kd3">#REF!</definedName>
    <definedName name="________________________Ki1">#REF!</definedName>
    <definedName name="________________________Ki2">#REF!</definedName>
    <definedName name="________________________mcl132">#REF!</definedName>
    <definedName name="________________________ml3">#REF!</definedName>
    <definedName name="________________________ml33">#REF!</definedName>
    <definedName name="________________________mlc33">#REF!</definedName>
    <definedName name="________________________new1">#REF!</definedName>
    <definedName name="________________________OPT8">#N/A</definedName>
    <definedName name="________________________OPT9">#N/A</definedName>
    <definedName name="________________________out2">#REF!</definedName>
    <definedName name="________________________pep99">#REF!</definedName>
    <definedName name="________________________rcu2">#REF!</definedName>
    <definedName name="________________________Re1">#REF!</definedName>
    <definedName name="________________________Rl1">#REF!</definedName>
    <definedName name="________________________Rs1">#REF!</definedName>
    <definedName name="________________________run1">#REF!</definedName>
    <definedName name="________________________run2">#REF!</definedName>
    <definedName name="________________________run3">#REF!</definedName>
    <definedName name="________________________sch2">#REF!</definedName>
    <definedName name="________________________sch9">#REF!</definedName>
    <definedName name="________________________SS402">#REF!</definedName>
    <definedName name="________________________SS403">#REF!</definedName>
    <definedName name="________________________SS404">#REF!</definedName>
    <definedName name="________________________SS405">#REF!</definedName>
    <definedName name="________________________SS406">#REF!</definedName>
    <definedName name="________________________SS407">#REF!</definedName>
    <definedName name="________________________SS408">#REF!</definedName>
    <definedName name="________________________SS409">#REF!</definedName>
    <definedName name="________________________SS423">#REF!</definedName>
    <definedName name="________________________SS424">#REF!</definedName>
    <definedName name="________________________TAB1">#REF!</definedName>
    <definedName name="________________________Tk1">#REF!</definedName>
    <definedName name="________________________Tkl1">#REF!</definedName>
    <definedName name="________________________tl1">#REF!</definedName>
    <definedName name="________________________tl2">#REF!</definedName>
    <definedName name="________________________Wc1">#REF!</definedName>
    <definedName name="________________________WC3">#REF!</definedName>
    <definedName name="________________________wp1">#REF!</definedName>
    <definedName name="________________________Wr1">#REF!</definedName>
    <definedName name="________________________Wr3">#REF!</definedName>
    <definedName name="________________________Xl1">#REF!</definedName>
    <definedName name="________________________xlnm.Print_Area_1">#REF!</definedName>
    <definedName name="________________________xlnm.Print_Area_2">#REF!</definedName>
    <definedName name="________________________xlnm.Print_Area_3">#REF!</definedName>
    <definedName name="________________________xlnm.Print_Titles_1">#REF!</definedName>
    <definedName name="________________________xlnm.Print_Titles_2" localSheetId="6">(#REF!,#REF!)</definedName>
    <definedName name="________________________xlnm.Print_Titles_2" localSheetId="29">(#REF!,#REF!)</definedName>
    <definedName name="________________________xlnm.Print_Titles_2" localSheetId="24">(#REF!,#REF!)</definedName>
    <definedName name="________________________xlnm.Print_Titles_2" localSheetId="26">(#REF!,#REF!)</definedName>
    <definedName name="________________________xlnm.Print_Titles_2">(#REF!,#REF!)</definedName>
    <definedName name="________________________xlnm.Print_Titles_3" localSheetId="6">(#REF!,#REF!)</definedName>
    <definedName name="________________________xlnm.Print_Titles_3" localSheetId="29">(#REF!,#REF!)</definedName>
    <definedName name="________________________xlnm.Print_Titles_3" localSheetId="26">(#REF!,#REF!)</definedName>
    <definedName name="________________________xlnm.Print_Titles_3">(#REF!,#REF!)</definedName>
    <definedName name="_______________________a1">#REF!</definedName>
    <definedName name="_______________________a5">#N/A</definedName>
    <definedName name="_______________________a6">#N/A</definedName>
    <definedName name="_______________________aba2">#REF!</definedName>
    <definedName name="_______________________acs1">#REF!</definedName>
    <definedName name="_______________________acs2">#REF!</definedName>
    <definedName name="_______________________AHP1">#REF!</definedName>
    <definedName name="_______________________axx1">#REF!</definedName>
    <definedName name="_______________________axx2">#REF!</definedName>
    <definedName name="_______________________axx3">#REF!</definedName>
    <definedName name="_______________________AXX4">#REF!</definedName>
    <definedName name="_______________________axx5">#REF!</definedName>
    <definedName name="_______________________axx6">#REF!</definedName>
    <definedName name="_______________________AXX7">#REF!</definedName>
    <definedName name="_______________________axx8">#REF!</definedName>
    <definedName name="_______________________b111121" localSheetId="12">#REF!</definedName>
    <definedName name="_______________________b111121">#REF!</definedName>
    <definedName name="_______________________bom1">#REF!</definedName>
    <definedName name="_______________________CAN2">#N/A</definedName>
    <definedName name="_______________________CAN9">#N/A</definedName>
    <definedName name="_______________________CFB1">#REF!</definedName>
    <definedName name="_______________________CFB2">#REF!</definedName>
    <definedName name="_______________________CFB3">#REF!</definedName>
    <definedName name="_______________________col33">#REF!</definedName>
    <definedName name="_______________________DAT1">#REF!</definedName>
    <definedName name="_______________________DAT10">#REF!</definedName>
    <definedName name="_______________________DAT11">#REF!</definedName>
    <definedName name="_______________________DAT12">#REF!</definedName>
    <definedName name="_______________________DAT13">#REF!</definedName>
    <definedName name="_______________________DAT14">#REF!</definedName>
    <definedName name="_______________________DAT15">#REF!</definedName>
    <definedName name="_______________________DAT16">#REF!</definedName>
    <definedName name="_______________________DAT2">#REF!</definedName>
    <definedName name="_______________________DAT3">#REF!</definedName>
    <definedName name="_______________________DAT4">#REF!</definedName>
    <definedName name="_______________________DAT5">#REF!</definedName>
    <definedName name="_______________________DAT6">#REF!</definedName>
    <definedName name="_______________________DAT7">#REF!</definedName>
    <definedName name="_______________________DAT8">#REF!</definedName>
    <definedName name="_______________________DAT9">#REF!</definedName>
    <definedName name="_______________________del1">#REF!</definedName>
    <definedName name="_______________________DET1">#REF!</definedName>
    <definedName name="_______________________DET2">#REF!</definedName>
    <definedName name="_______________________DET3">#REF!</definedName>
    <definedName name="_______________________DET4">#REF!</definedName>
    <definedName name="_______________________DET5">#REF!</definedName>
    <definedName name="_______________________DET6">#REF!</definedName>
    <definedName name="_______________________DIS1">#REF!</definedName>
    <definedName name="_______________________dol12" localSheetId="6">#REF!</definedName>
    <definedName name="_______________________dol12" localSheetId="29">#REF!</definedName>
    <definedName name="_______________________dol12" localSheetId="24">#REF!</definedName>
    <definedName name="_______________________dol12" localSheetId="26">#REF!</definedName>
    <definedName name="_______________________dol12">#REF!</definedName>
    <definedName name="_______________________dol6" localSheetId="6">#REF!</definedName>
    <definedName name="_______________________dol6" localSheetId="29">#REF!</definedName>
    <definedName name="_______________________dol6" localSheetId="26">#REF!</definedName>
    <definedName name="_______________________dol6">#REF!</definedName>
    <definedName name="_______________________drg1">#REF!</definedName>
    <definedName name="_______________________drg2">#REF!</definedName>
    <definedName name="_______________________HCO2">#REF!</definedName>
    <definedName name="_______________________hfi1">#REF!</definedName>
    <definedName name="_______________________hfi2">#REF!</definedName>
    <definedName name="_______________________hfi3">#REF!</definedName>
    <definedName name="_______________________hfi4">#REF!</definedName>
    <definedName name="_______________________hfi5">#REF!</definedName>
    <definedName name="_______________________hfi6">#REF!</definedName>
    <definedName name="_______________________HFI7">#REF!</definedName>
    <definedName name="_______________________hfi8">#REF!</definedName>
    <definedName name="_______________________Hra2">#REF!</definedName>
    <definedName name="_______________________Hso2">#REF!</definedName>
    <definedName name="_______________________Hso3">#REF!</definedName>
    <definedName name="_______________________hxd1">#REF!</definedName>
    <definedName name="_______________________IDA1" localSheetId="6">#REF!</definedName>
    <definedName name="_______________________IDA1" localSheetId="29">#REF!</definedName>
    <definedName name="_______________________IDA1" localSheetId="26">#REF!</definedName>
    <definedName name="_______________________IDA1">#REF!</definedName>
    <definedName name="_______________________ifa1">#REF!</definedName>
    <definedName name="_______________________ifa2">#REF!</definedName>
    <definedName name="_______________________in18900">#REF!</definedName>
    <definedName name="_______________________INT1">#REF!</definedName>
    <definedName name="_______________________Ism3">#REF!</definedName>
    <definedName name="_______________________iv19000">#REF!</definedName>
    <definedName name="_______________________kd1">#REF!</definedName>
    <definedName name="_______________________kd2">#REF!</definedName>
    <definedName name="_______________________kd3">#REF!</definedName>
    <definedName name="_______________________Ki1">#REF!</definedName>
    <definedName name="_______________________Ki2">#REF!</definedName>
    <definedName name="_______________________mcl132">#REF!</definedName>
    <definedName name="_______________________ml3">#REF!</definedName>
    <definedName name="_______________________ml33">#REF!</definedName>
    <definedName name="_______________________mlc33">#REF!</definedName>
    <definedName name="_______________________new1">#REF!</definedName>
    <definedName name="_______________________OPT8">#N/A</definedName>
    <definedName name="_______________________OPT9">#N/A</definedName>
    <definedName name="_______________________out2">#REF!</definedName>
    <definedName name="_______________________pep99">#REF!</definedName>
    <definedName name="_______________________pfi1">#REF!</definedName>
    <definedName name="_______________________pp1">#REF!</definedName>
    <definedName name="_______________________pp2">#REF!</definedName>
    <definedName name="_______________________rcu2">#REF!</definedName>
    <definedName name="_______________________Re1">#REF!</definedName>
    <definedName name="_______________________Rl1">#REF!</definedName>
    <definedName name="_______________________Rs1">#REF!</definedName>
    <definedName name="_______________________run1">#REF!</definedName>
    <definedName name="_______________________run2">#REF!</definedName>
    <definedName name="_______________________run3">#REF!</definedName>
    <definedName name="_______________________sch2">#REF!</definedName>
    <definedName name="_______________________sch9">#REF!</definedName>
    <definedName name="_______________________SS402">#REF!</definedName>
    <definedName name="_______________________SS403">#REF!</definedName>
    <definedName name="_______________________SS404">#REF!</definedName>
    <definedName name="_______________________SS405">#REF!</definedName>
    <definedName name="_______________________SS406">#REF!</definedName>
    <definedName name="_______________________SS407">#REF!</definedName>
    <definedName name="_______________________SS408">#REF!</definedName>
    <definedName name="_______________________SS409">#REF!</definedName>
    <definedName name="_______________________SS423">#REF!</definedName>
    <definedName name="_______________________SS424">#REF!</definedName>
    <definedName name="_______________________TAB1">#REF!</definedName>
    <definedName name="_______________________Tk1">#REF!</definedName>
    <definedName name="_______________________Tkl1">#REF!</definedName>
    <definedName name="_______________________tl1">#REF!</definedName>
    <definedName name="_______________________tl2">#REF!</definedName>
    <definedName name="_______________________Wc1">#REF!</definedName>
    <definedName name="_______________________WC3">#REF!</definedName>
    <definedName name="_______________________wp1">#REF!</definedName>
    <definedName name="_______________________Wr1">#REF!</definedName>
    <definedName name="_______________________Wr3">#REF!</definedName>
    <definedName name="_______________________Xl1">#REF!</definedName>
    <definedName name="_______________________xlnm.Print_Area_1">#REF!</definedName>
    <definedName name="_______________________xlnm.Print_Area_2">#REF!</definedName>
    <definedName name="_______________________xlnm.Print_Area_3">#REF!</definedName>
    <definedName name="_______________________xlnm.Print_Titles_1">#REF!</definedName>
    <definedName name="_______________________xlnm.Print_Titles_2" localSheetId="6">(#REF!,#REF!)</definedName>
    <definedName name="_______________________xlnm.Print_Titles_2" localSheetId="29">(#REF!,#REF!)</definedName>
    <definedName name="_______________________xlnm.Print_Titles_2" localSheetId="24">(#REF!,#REF!)</definedName>
    <definedName name="_______________________xlnm.Print_Titles_2" localSheetId="26">(#REF!,#REF!)</definedName>
    <definedName name="_______________________xlnm.Print_Titles_2">(#REF!,#REF!)</definedName>
    <definedName name="_______________________xlnm.Print_Titles_3" localSheetId="6">(#REF!,#REF!)</definedName>
    <definedName name="_______________________xlnm.Print_Titles_3" localSheetId="29">(#REF!,#REF!)</definedName>
    <definedName name="_______________________xlnm.Print_Titles_3" localSheetId="26">(#REF!,#REF!)</definedName>
    <definedName name="_______________________xlnm.Print_Titles_3">(#REF!,#REF!)</definedName>
    <definedName name="______________________a1">#REF!</definedName>
    <definedName name="______________________a5">#REF!</definedName>
    <definedName name="______________________a6">#REF!</definedName>
    <definedName name="______________________aba2">#REF!</definedName>
    <definedName name="______________________acs1">#REF!</definedName>
    <definedName name="______________________acs2">#REF!</definedName>
    <definedName name="______________________AHP1">#REF!</definedName>
    <definedName name="______________________axx1">#REF!</definedName>
    <definedName name="______________________axx2">#REF!</definedName>
    <definedName name="______________________axx3">#REF!</definedName>
    <definedName name="______________________AXX4">#REF!</definedName>
    <definedName name="______________________axx5">#REF!</definedName>
    <definedName name="______________________axx6">#REF!</definedName>
    <definedName name="______________________AXX7">#REF!</definedName>
    <definedName name="______________________axx8">#REF!</definedName>
    <definedName name="______________________b111121" localSheetId="12">#REF!</definedName>
    <definedName name="______________________b111121">#REF!</definedName>
    <definedName name="______________________bom1">#REF!</definedName>
    <definedName name="______________________CAN2">#N/A</definedName>
    <definedName name="______________________CAN9">#N/A</definedName>
    <definedName name="______________________CCT220">#REF!</definedName>
    <definedName name="______________________CFB1">#REF!</definedName>
    <definedName name="______________________CFB2">#REF!</definedName>
    <definedName name="______________________CFB3">#REF!</definedName>
    <definedName name="______________________col33">#REF!</definedName>
    <definedName name="______________________CVT220">#REF!</definedName>
    <definedName name="______________________DAT1">#REF!</definedName>
    <definedName name="______________________DAT10">#REF!</definedName>
    <definedName name="______________________DAT11">#REF!</definedName>
    <definedName name="______________________DAT12">#REF!</definedName>
    <definedName name="______________________DAT13">#REF!</definedName>
    <definedName name="______________________DAT14">#REF!</definedName>
    <definedName name="______________________DAT15">#REF!</definedName>
    <definedName name="______________________DAT16">#REF!</definedName>
    <definedName name="______________________DAT2">#REF!</definedName>
    <definedName name="______________________DAT3">#REF!</definedName>
    <definedName name="______________________DAT4">#REF!</definedName>
    <definedName name="______________________DAT5">#REF!</definedName>
    <definedName name="______________________DAT6">#REF!</definedName>
    <definedName name="______________________DAT7">#REF!</definedName>
    <definedName name="______________________DAT8">#REF!</definedName>
    <definedName name="______________________DAT9">#REF!</definedName>
    <definedName name="______________________del1">#REF!</definedName>
    <definedName name="______________________DET1">#REF!</definedName>
    <definedName name="______________________DET2">#REF!</definedName>
    <definedName name="______________________DET3">#REF!</definedName>
    <definedName name="______________________DET4">#REF!</definedName>
    <definedName name="______________________DET5">#REF!</definedName>
    <definedName name="______________________DET6">#REF!</definedName>
    <definedName name="______________________DIS1">#REF!</definedName>
    <definedName name="______________________dol12" localSheetId="6">#REF!</definedName>
    <definedName name="______________________dol12" localSheetId="29">#REF!</definedName>
    <definedName name="______________________dol12" localSheetId="24">#REF!</definedName>
    <definedName name="______________________dol12" localSheetId="26">#REF!</definedName>
    <definedName name="______________________dol12">#REF!</definedName>
    <definedName name="______________________dol6" localSheetId="6">#REF!</definedName>
    <definedName name="______________________dol6" localSheetId="29">#REF!</definedName>
    <definedName name="______________________dol6" localSheetId="26">#REF!</definedName>
    <definedName name="______________________dol6">#REF!</definedName>
    <definedName name="______________________drg1">#REF!</definedName>
    <definedName name="______________________drg2">#REF!</definedName>
    <definedName name="______________________HCO2">#REF!</definedName>
    <definedName name="______________________hfi1">#REF!</definedName>
    <definedName name="______________________hfi2">#REF!</definedName>
    <definedName name="______________________hfi3">#REF!</definedName>
    <definedName name="______________________hfi4">#REF!</definedName>
    <definedName name="______________________hfi5">#REF!</definedName>
    <definedName name="______________________hfi6">#REF!</definedName>
    <definedName name="______________________HFI7">#REF!</definedName>
    <definedName name="______________________hfi8">#REF!</definedName>
    <definedName name="______________________Hra2">#REF!</definedName>
    <definedName name="______________________Hso2">#REF!</definedName>
    <definedName name="______________________Hso3">#REF!</definedName>
    <definedName name="______________________hxa1">#REF!</definedName>
    <definedName name="______________________hxa2">#REF!</definedName>
    <definedName name="______________________hxb1">#REF!</definedName>
    <definedName name="______________________hxb2">#REF!</definedName>
    <definedName name="______________________hxc1">#REF!</definedName>
    <definedName name="______________________hxc2">#REF!</definedName>
    <definedName name="______________________hxd1">#REF!</definedName>
    <definedName name="______________________IDA1" localSheetId="6">#REF!</definedName>
    <definedName name="______________________IDA1" localSheetId="29">#REF!</definedName>
    <definedName name="______________________IDA1" localSheetId="26">#REF!</definedName>
    <definedName name="______________________IDA1">#REF!</definedName>
    <definedName name="______________________ifa1">#REF!</definedName>
    <definedName name="______________________ifa2">#REF!</definedName>
    <definedName name="______________________in18900">#REF!</definedName>
    <definedName name="______________________INT1">#REF!</definedName>
    <definedName name="______________________Ism3">#REF!</definedName>
    <definedName name="______________________ISO220">#REF!</definedName>
    <definedName name="______________________iv19000">#REF!</definedName>
    <definedName name="______________________kd1">#REF!</definedName>
    <definedName name="______________________kd2">#REF!</definedName>
    <definedName name="______________________kd3">#REF!</definedName>
    <definedName name="______________________Ki1">#REF!</definedName>
    <definedName name="______________________Ki2">#REF!</definedName>
    <definedName name="______________________LMH1">#REF!</definedName>
    <definedName name="______________________LMH2">#REF!</definedName>
    <definedName name="______________________MAN1">#REF!</definedName>
    <definedName name="______________________mcl132">#REF!</definedName>
    <definedName name="______________________ml3">#REF!</definedName>
    <definedName name="______________________ml33">#REF!</definedName>
    <definedName name="______________________mlc33">#REF!</definedName>
    <definedName name="______________________MMB220">#REF!</definedName>
    <definedName name="______________________new1">#REF!</definedName>
    <definedName name="______________________OPT8">#N/A</definedName>
    <definedName name="______________________OPT9">#N/A</definedName>
    <definedName name="______________________out2">#REF!</definedName>
    <definedName name="______________________PB1">#REF!</definedName>
    <definedName name="______________________pep99">#REF!</definedName>
    <definedName name="______________________pfi1">#REF!</definedName>
    <definedName name="______________________pp1">#REF!</definedName>
    <definedName name="______________________pp2">#REF!</definedName>
    <definedName name="______________________rcu2">#REF!</definedName>
    <definedName name="______________________Re1">#REF!</definedName>
    <definedName name="______________________Rl1">#REF!</definedName>
    <definedName name="______________________Rs1">#REF!</definedName>
    <definedName name="______________________run1">#REF!</definedName>
    <definedName name="______________________run2">#REF!</definedName>
    <definedName name="______________________run3">#REF!</definedName>
    <definedName name="______________________sch2">#REF!</definedName>
    <definedName name="______________________sch9">#REF!</definedName>
    <definedName name="______________________SS402">#REF!</definedName>
    <definedName name="______________________SS403">#REF!</definedName>
    <definedName name="______________________SS404">#REF!</definedName>
    <definedName name="______________________SS405">#REF!</definedName>
    <definedName name="______________________SS406">#REF!</definedName>
    <definedName name="______________________SS407">#REF!</definedName>
    <definedName name="______________________SS408">#REF!</definedName>
    <definedName name="______________________SS409">#REF!</definedName>
    <definedName name="______________________SS423">#REF!</definedName>
    <definedName name="______________________SS424">#REF!</definedName>
    <definedName name="______________________TAB1" localSheetId="12">#REF!</definedName>
    <definedName name="______________________TAB1">#REF!</definedName>
    <definedName name="______________________Tk1">#REF!</definedName>
    <definedName name="______________________Tkl1">#REF!</definedName>
    <definedName name="______________________tl1">#REF!</definedName>
    <definedName name="______________________tl2">#REF!</definedName>
    <definedName name="______________________Wc1">#REF!</definedName>
    <definedName name="______________________WC3">#REF!</definedName>
    <definedName name="______________________wp1">#REF!</definedName>
    <definedName name="______________________Wr1">#REF!</definedName>
    <definedName name="______________________Wr3">#REF!</definedName>
    <definedName name="______________________Xl1">#REF!</definedName>
    <definedName name="______________________xlnm.Print_Area_1">#REF!</definedName>
    <definedName name="______________________xlnm.Print_Area_2">#REF!</definedName>
    <definedName name="______________________xlnm.Print_Area_3">#REF!</definedName>
    <definedName name="______________________xlnm.Print_Titles_1">#REF!</definedName>
    <definedName name="______________________xlnm.Print_Titles_2" localSheetId="6">(#REF!,#REF!)</definedName>
    <definedName name="______________________xlnm.Print_Titles_2" localSheetId="29">(#REF!,#REF!)</definedName>
    <definedName name="______________________xlnm.Print_Titles_2" localSheetId="24">(#REF!,#REF!)</definedName>
    <definedName name="______________________xlnm.Print_Titles_2" localSheetId="26">(#REF!,#REF!)</definedName>
    <definedName name="______________________xlnm.Print_Titles_2">(#REF!,#REF!)</definedName>
    <definedName name="______________________xlnm.Print_Titles_3" localSheetId="6">(#REF!,#REF!)</definedName>
    <definedName name="______________________xlnm.Print_Titles_3" localSheetId="29">(#REF!,#REF!)</definedName>
    <definedName name="______________________xlnm.Print_Titles_3" localSheetId="26">(#REF!,#REF!)</definedName>
    <definedName name="______________________xlnm.Print_Titles_3">(#REF!,#REF!)</definedName>
    <definedName name="_____________________a1">#REF!</definedName>
    <definedName name="_____________________a5">#N/A</definedName>
    <definedName name="_____________________a6">#N/A</definedName>
    <definedName name="_____________________aba2">#REF!</definedName>
    <definedName name="_____________________acs1">#REF!</definedName>
    <definedName name="_____________________acs2">#REF!</definedName>
    <definedName name="_____________________AHP1">#REF!</definedName>
    <definedName name="_____________________axx1">#REF!</definedName>
    <definedName name="_____________________axx2">#REF!</definedName>
    <definedName name="_____________________axx3">#REF!</definedName>
    <definedName name="_____________________axx4">#REF!</definedName>
    <definedName name="_____________________axx5">#REF!</definedName>
    <definedName name="_____________________axx6">#REF!</definedName>
    <definedName name="_____________________axx7">#REF!</definedName>
    <definedName name="_____________________axx8">#REF!</definedName>
    <definedName name="_____________________b111121" localSheetId="12">#REF!</definedName>
    <definedName name="_____________________b111121">#REF!</definedName>
    <definedName name="_____________________B18000">#REF!</definedName>
    <definedName name="_____________________B30000">#REF!</definedName>
    <definedName name="_____________________B32000">#REF!</definedName>
    <definedName name="_____________________bom1">#REF!</definedName>
    <definedName name="_____________________CAN2">#N/A</definedName>
    <definedName name="_____________________CAN9">#N/A</definedName>
    <definedName name="_____________________CCT220">#REF!</definedName>
    <definedName name="_____________________CFB1">#REF!</definedName>
    <definedName name="_____________________CFB2">#REF!</definedName>
    <definedName name="_____________________CFB3">#REF!</definedName>
    <definedName name="_____________________col33">#REF!</definedName>
    <definedName name="_____________________CVT220">#REF!</definedName>
    <definedName name="_____________________d5">#REF!</definedName>
    <definedName name="_____________________DAT1">#REF!</definedName>
    <definedName name="_____________________DAT10">#REF!</definedName>
    <definedName name="_____________________DAT11">#REF!</definedName>
    <definedName name="_____________________DAT12">#REF!</definedName>
    <definedName name="_____________________DAT13">#REF!</definedName>
    <definedName name="_____________________DAT14">#REF!</definedName>
    <definedName name="_____________________DAT15">#REF!</definedName>
    <definedName name="_____________________DAT16">#REF!</definedName>
    <definedName name="_____________________DAT2">#REF!</definedName>
    <definedName name="_____________________DAT3">#REF!</definedName>
    <definedName name="_____________________DAT4">#REF!</definedName>
    <definedName name="_____________________DAT5">#REF!</definedName>
    <definedName name="_____________________DAT6">#REF!</definedName>
    <definedName name="_____________________DAT7">#REF!</definedName>
    <definedName name="_____________________DAT8">#REF!</definedName>
    <definedName name="_____________________DAT9">#REF!</definedName>
    <definedName name="_____________________del1">#REF!</definedName>
    <definedName name="_____________________DET1">#REF!</definedName>
    <definedName name="_____________________DET2">#REF!</definedName>
    <definedName name="_____________________DET3">#REF!</definedName>
    <definedName name="_____________________DET4">#REF!</definedName>
    <definedName name="_____________________DET5">#REF!</definedName>
    <definedName name="_____________________DET6">#REF!</definedName>
    <definedName name="_____________________DIS1">#REF!</definedName>
    <definedName name="_____________________dol12" localSheetId="6">#REF!</definedName>
    <definedName name="_____________________dol12" localSheetId="29">#REF!</definedName>
    <definedName name="_____________________dol12" localSheetId="24">#REF!</definedName>
    <definedName name="_____________________dol12" localSheetId="26">#REF!</definedName>
    <definedName name="_____________________dol12">#REF!</definedName>
    <definedName name="_____________________dol6" localSheetId="6">#REF!</definedName>
    <definedName name="_____________________dol6" localSheetId="29">#REF!</definedName>
    <definedName name="_____________________dol6" localSheetId="26">#REF!</definedName>
    <definedName name="_____________________dol6">#REF!</definedName>
    <definedName name="_____________________drg1">#REF!</definedName>
    <definedName name="_____________________drg2">#REF!</definedName>
    <definedName name="_____________________HCO2">#REF!</definedName>
    <definedName name="_____________________hfi1">#REF!</definedName>
    <definedName name="_____________________hfi2">#REF!</definedName>
    <definedName name="_____________________hfi3">#REF!</definedName>
    <definedName name="_____________________hfi4">#REF!</definedName>
    <definedName name="_____________________hfi5">#REF!</definedName>
    <definedName name="_____________________hfi6">#REF!</definedName>
    <definedName name="_____________________hfi7">#REF!</definedName>
    <definedName name="_____________________hfi8">#REF!</definedName>
    <definedName name="_____________________Hra2">#REF!</definedName>
    <definedName name="_____________________Hso2">#REF!</definedName>
    <definedName name="_____________________Hso3">#REF!</definedName>
    <definedName name="_____________________hxa1">#REF!</definedName>
    <definedName name="_____________________hxa2">#REF!</definedName>
    <definedName name="_____________________hxb1">#REF!</definedName>
    <definedName name="_____________________hxb2">#REF!</definedName>
    <definedName name="_____________________hxc1">#REF!</definedName>
    <definedName name="_____________________hxc2">#REF!</definedName>
    <definedName name="_____________________hxd1">#REF!</definedName>
    <definedName name="_____________________IDA1" localSheetId="6">#REF!</definedName>
    <definedName name="_____________________IDA1" localSheetId="29">#REF!</definedName>
    <definedName name="_____________________IDA1" localSheetId="26">#REF!</definedName>
    <definedName name="_____________________IDA1">#REF!</definedName>
    <definedName name="_____________________ifa1">#REF!</definedName>
    <definedName name="_____________________ifa2">#REF!</definedName>
    <definedName name="_____________________in18900">#REF!</definedName>
    <definedName name="_____________________INT1">#REF!</definedName>
    <definedName name="_____________________Ism3">#REF!</definedName>
    <definedName name="_____________________ISO220">#REF!</definedName>
    <definedName name="_____________________iv19000">#REF!</definedName>
    <definedName name="_____________________kd1">#REF!</definedName>
    <definedName name="_____________________kd2">#REF!</definedName>
    <definedName name="_____________________kd3">#REF!</definedName>
    <definedName name="_____________________Ki1">#REF!</definedName>
    <definedName name="_____________________Ki2">#REF!</definedName>
    <definedName name="_____________________LMH1">#REF!</definedName>
    <definedName name="_____________________LMH2">#REF!</definedName>
    <definedName name="_____________________MAN1">#REF!</definedName>
    <definedName name="_____________________mcl132">#REF!</definedName>
    <definedName name="_____________________ml3">#REF!</definedName>
    <definedName name="_____________________ml33">#REF!</definedName>
    <definedName name="_____________________mlc33">#REF!</definedName>
    <definedName name="_____________________MMB220">#REF!</definedName>
    <definedName name="_____________________new1">#REF!</definedName>
    <definedName name="_____________________OPT8">#N/A</definedName>
    <definedName name="_____________________OPT9">#N/A</definedName>
    <definedName name="_____________________out2">#REF!</definedName>
    <definedName name="_____________________PB1">#REF!</definedName>
    <definedName name="_____________________pep99">#REF!</definedName>
    <definedName name="_____________________pfi1">#REF!</definedName>
    <definedName name="_____________________pp1">#REF!</definedName>
    <definedName name="_____________________pp2">#REF!</definedName>
    <definedName name="_____________________rcu2">#REF!</definedName>
    <definedName name="_____________________Re1">#REF!</definedName>
    <definedName name="_____________________Rl1">#REF!</definedName>
    <definedName name="_____________________Rs1">#REF!</definedName>
    <definedName name="_____________________run1">#REF!</definedName>
    <definedName name="_____________________run2">#REF!</definedName>
    <definedName name="_____________________run3">#REF!</definedName>
    <definedName name="_____________________sch2">#REF!</definedName>
    <definedName name="_____________________sch9">#REF!</definedName>
    <definedName name="_____________________SS402">#REF!</definedName>
    <definedName name="_____________________SS403">#REF!</definedName>
    <definedName name="_____________________SS404">#REF!</definedName>
    <definedName name="_____________________SS405">#REF!</definedName>
    <definedName name="_____________________SS406">#REF!</definedName>
    <definedName name="_____________________SS407">#REF!</definedName>
    <definedName name="_____________________SS408">#REF!</definedName>
    <definedName name="_____________________SS409">#REF!</definedName>
    <definedName name="_____________________SS423">#REF!</definedName>
    <definedName name="_____________________SS424">#REF!</definedName>
    <definedName name="_____________________TAB1" localSheetId="12">#REF!</definedName>
    <definedName name="_____________________TAB1">#REF!</definedName>
    <definedName name="_____________________Tk1">#REF!</definedName>
    <definedName name="_____________________Tkl1">#REF!</definedName>
    <definedName name="_____________________tl1">#REF!</definedName>
    <definedName name="_____________________tl2">#REF!</definedName>
    <definedName name="_____________________vf1">#REF!</definedName>
    <definedName name="_____________________vf2">#REF!</definedName>
    <definedName name="_____________________Wc1">#REF!</definedName>
    <definedName name="_____________________WC3">#REF!</definedName>
    <definedName name="_____________________wp1">#REF!</definedName>
    <definedName name="_____________________Wr1">#REF!</definedName>
    <definedName name="_____________________Wr3">#REF!</definedName>
    <definedName name="_____________________Xl1">#REF!</definedName>
    <definedName name="_____________________xlnm.Print_Area_1">#REF!</definedName>
    <definedName name="_____________________xlnm.Print_Area_2">#REF!</definedName>
    <definedName name="_____________________xlnm.Print_Area_3">#REF!</definedName>
    <definedName name="_____________________xlnm.Print_Titles_1">#REF!</definedName>
    <definedName name="_____________________xlnm.Print_Titles_2" localSheetId="6">(#REF!,#REF!)</definedName>
    <definedName name="_____________________xlnm.Print_Titles_2" localSheetId="29">(#REF!,#REF!)</definedName>
    <definedName name="_____________________xlnm.Print_Titles_2" localSheetId="24">(#REF!,#REF!)</definedName>
    <definedName name="_____________________xlnm.Print_Titles_2" localSheetId="26">(#REF!,#REF!)</definedName>
    <definedName name="_____________________xlnm.Print_Titles_2">(#REF!,#REF!)</definedName>
    <definedName name="_____________________xlnm.Print_Titles_3" localSheetId="6">(#REF!,#REF!)</definedName>
    <definedName name="_____________________xlnm.Print_Titles_3" localSheetId="29">(#REF!,#REF!)</definedName>
    <definedName name="_____________________xlnm.Print_Titles_3" localSheetId="26">(#REF!,#REF!)</definedName>
    <definedName name="_____________________xlnm.Print_Titles_3">(#REF!,#REF!)</definedName>
    <definedName name="____________________a1">#REF!</definedName>
    <definedName name="____________________a5">#REF!</definedName>
    <definedName name="____________________a6">#REF!</definedName>
    <definedName name="____________________aba2">#REF!</definedName>
    <definedName name="____________________acs1">#REF!</definedName>
    <definedName name="____________________acs2">#REF!</definedName>
    <definedName name="____________________AHP1">#REF!</definedName>
    <definedName name="____________________axx1">#REF!</definedName>
    <definedName name="____________________axx2">#REF!</definedName>
    <definedName name="____________________axx3">#REF!</definedName>
    <definedName name="____________________axx4">#REF!</definedName>
    <definedName name="____________________axx5">#REF!</definedName>
    <definedName name="____________________axx6">#REF!</definedName>
    <definedName name="____________________axx7">#REF!</definedName>
    <definedName name="____________________axx8">#REF!</definedName>
    <definedName name="____________________b111121" localSheetId="12">#REF!</definedName>
    <definedName name="____________________b111121">#REF!</definedName>
    <definedName name="____________________B18000">#REF!</definedName>
    <definedName name="____________________B30000">#REF!</definedName>
    <definedName name="____________________B32000">#REF!</definedName>
    <definedName name="____________________bom1">#REF!</definedName>
    <definedName name="____________________BoQ4">#REF!</definedName>
    <definedName name="____________________CAN2">#N/A</definedName>
    <definedName name="____________________CAN9">#N/A</definedName>
    <definedName name="____________________CCT220">#REF!</definedName>
    <definedName name="____________________CFB1">#REF!</definedName>
    <definedName name="____________________CFB2">#REF!</definedName>
    <definedName name="____________________CFB3">#REF!</definedName>
    <definedName name="____________________col33">#REF!</definedName>
    <definedName name="____________________CVT220">#REF!</definedName>
    <definedName name="____________________d5">#REF!</definedName>
    <definedName name="____________________DAT1">#REF!</definedName>
    <definedName name="____________________DAT10">#REF!</definedName>
    <definedName name="____________________DAT11">#REF!</definedName>
    <definedName name="____________________DAT12">#REF!</definedName>
    <definedName name="____________________DAT13">#REF!</definedName>
    <definedName name="____________________DAT14">#REF!</definedName>
    <definedName name="____________________DAT15">#REF!</definedName>
    <definedName name="____________________DAT16">#REF!</definedName>
    <definedName name="____________________DAT2">#REF!</definedName>
    <definedName name="____________________DAT3">#REF!</definedName>
    <definedName name="____________________DAT4">#REF!</definedName>
    <definedName name="____________________DAT5">#REF!</definedName>
    <definedName name="____________________DAT6">#REF!</definedName>
    <definedName name="____________________DAT7">#REF!</definedName>
    <definedName name="____________________DAT8">#REF!</definedName>
    <definedName name="____________________DAT9">#REF!</definedName>
    <definedName name="____________________del1">#REF!</definedName>
    <definedName name="____________________DET1">#REF!</definedName>
    <definedName name="____________________DET2">#REF!</definedName>
    <definedName name="____________________DET3">#REF!</definedName>
    <definedName name="____________________DET4">#REF!</definedName>
    <definedName name="____________________DET5">#REF!</definedName>
    <definedName name="____________________DET6">#REF!</definedName>
    <definedName name="____________________DIS1">#REF!</definedName>
    <definedName name="____________________dol12" localSheetId="6">#REF!</definedName>
    <definedName name="____________________dol12" localSheetId="29">#REF!</definedName>
    <definedName name="____________________dol12" localSheetId="24">#REF!</definedName>
    <definedName name="____________________dol12" localSheetId="26">#REF!</definedName>
    <definedName name="____________________dol12">#REF!</definedName>
    <definedName name="____________________dol6" localSheetId="6">#REF!</definedName>
    <definedName name="____________________dol6" localSheetId="29">#REF!</definedName>
    <definedName name="____________________dol6" localSheetId="26">#REF!</definedName>
    <definedName name="____________________dol6">#REF!</definedName>
    <definedName name="____________________drg1">#REF!</definedName>
    <definedName name="____________________drg2">#REF!</definedName>
    <definedName name="____________________HCO2">#REF!</definedName>
    <definedName name="____________________hfi1">#REF!</definedName>
    <definedName name="____________________hfi2">#REF!</definedName>
    <definedName name="____________________hfi3">#REF!</definedName>
    <definedName name="____________________hfi4">#REF!</definedName>
    <definedName name="____________________hfi5">#REF!</definedName>
    <definedName name="____________________hfi6">#REF!</definedName>
    <definedName name="____________________hfi7">#REF!</definedName>
    <definedName name="____________________hfi8">#REF!</definedName>
    <definedName name="____________________Hra2">#REF!</definedName>
    <definedName name="____________________Hso2">#REF!</definedName>
    <definedName name="____________________Hso3">#REF!</definedName>
    <definedName name="____________________hxa1">#REF!</definedName>
    <definedName name="____________________hxa2">#REF!</definedName>
    <definedName name="____________________hxb1">#REF!</definedName>
    <definedName name="____________________hxb2">#REF!</definedName>
    <definedName name="____________________hxc1">#REF!</definedName>
    <definedName name="____________________hxc2">#REF!</definedName>
    <definedName name="____________________hxd1">#REF!</definedName>
    <definedName name="____________________IDA1" localSheetId="6">#REF!</definedName>
    <definedName name="____________________IDA1" localSheetId="29">#REF!</definedName>
    <definedName name="____________________IDA1" localSheetId="26">#REF!</definedName>
    <definedName name="____________________IDA1">#REF!</definedName>
    <definedName name="____________________ifa1">#REF!</definedName>
    <definedName name="____________________ifa2">#REF!</definedName>
    <definedName name="____________________in18900">#REF!</definedName>
    <definedName name="____________________INT1">#REF!</definedName>
    <definedName name="____________________Ism3">#REF!</definedName>
    <definedName name="____________________ISO220">#REF!</definedName>
    <definedName name="____________________iv19000">#REF!</definedName>
    <definedName name="____________________kd1">#REF!</definedName>
    <definedName name="____________________kd2">#REF!</definedName>
    <definedName name="____________________kd3">#REF!</definedName>
    <definedName name="____________________KEY3" localSheetId="12" hidden="1">#REF!</definedName>
    <definedName name="____________________KEY3" hidden="1">#REF!</definedName>
    <definedName name="____________________Ki1">#REF!</definedName>
    <definedName name="____________________Ki2">#REF!</definedName>
    <definedName name="____________________LMH1">#REF!</definedName>
    <definedName name="____________________LMH2">#REF!</definedName>
    <definedName name="____________________MAN1">#REF!</definedName>
    <definedName name="____________________mcl132">#REF!</definedName>
    <definedName name="____________________ml3">#REF!</definedName>
    <definedName name="____________________ml33">#REF!</definedName>
    <definedName name="____________________mlc33">#REF!</definedName>
    <definedName name="____________________MMB220">#REF!</definedName>
    <definedName name="____________________new1">#REF!</definedName>
    <definedName name="____________________OPT8">#N/A</definedName>
    <definedName name="____________________OPT9">#N/A</definedName>
    <definedName name="____________________out2">#REF!</definedName>
    <definedName name="____________________PB1">#REF!</definedName>
    <definedName name="____________________pep99">#REF!</definedName>
    <definedName name="____________________pfi1">#REF!</definedName>
    <definedName name="____________________pp1">#REF!</definedName>
    <definedName name="____________________pp2">#REF!</definedName>
    <definedName name="____________________rcu2">#REF!</definedName>
    <definedName name="____________________Re1">#REF!</definedName>
    <definedName name="____________________Rl1">#REF!</definedName>
    <definedName name="____________________Rs1">#REF!</definedName>
    <definedName name="____________________run1">#REF!</definedName>
    <definedName name="____________________run2">#REF!</definedName>
    <definedName name="____________________run3">#REF!</definedName>
    <definedName name="____________________sch2">#REF!</definedName>
    <definedName name="____________________sch9">#REF!</definedName>
    <definedName name="____________________SS402">#REF!</definedName>
    <definedName name="____________________SS403">#REF!</definedName>
    <definedName name="____________________SS404">#REF!</definedName>
    <definedName name="____________________SS405">#REF!</definedName>
    <definedName name="____________________SS406">#REF!</definedName>
    <definedName name="____________________SS407">#REF!</definedName>
    <definedName name="____________________SS408">#REF!</definedName>
    <definedName name="____________________SS409">#REF!</definedName>
    <definedName name="____________________SS423">#REF!</definedName>
    <definedName name="____________________SS424">#REF!</definedName>
    <definedName name="____________________TAB1" localSheetId="12">#REF!</definedName>
    <definedName name="____________________TAB1">#REF!</definedName>
    <definedName name="____________________Tk1">#REF!</definedName>
    <definedName name="____________________Tkl1">#REF!</definedName>
    <definedName name="____________________tl1">#REF!</definedName>
    <definedName name="____________________tl2">#REF!</definedName>
    <definedName name="____________________Wc1">#REF!</definedName>
    <definedName name="____________________WC3">#REF!</definedName>
    <definedName name="____________________wp1">#REF!</definedName>
    <definedName name="____________________Wr1">#REF!</definedName>
    <definedName name="____________________Wr3">#REF!</definedName>
    <definedName name="____________________Xl1">#REF!</definedName>
    <definedName name="____________________xlnm.Print_Area_1">#REF!</definedName>
    <definedName name="____________________xlnm.Print_Area_2">#REF!</definedName>
    <definedName name="____________________xlnm.Print_Area_3">#REF!</definedName>
    <definedName name="____________________xlnm.Print_Titles_1">#REF!</definedName>
    <definedName name="____________________xlnm.Print_Titles_2" localSheetId="6">(#REF!,#REF!)</definedName>
    <definedName name="____________________xlnm.Print_Titles_2" localSheetId="29">(#REF!,#REF!)</definedName>
    <definedName name="____________________xlnm.Print_Titles_2" localSheetId="24">(#REF!,#REF!)</definedName>
    <definedName name="____________________xlnm.Print_Titles_2" localSheetId="26">(#REF!,#REF!)</definedName>
    <definedName name="____________________xlnm.Print_Titles_2">(#REF!,#REF!)</definedName>
    <definedName name="____________________xlnm.Print_Titles_3" localSheetId="6">(#REF!,#REF!)</definedName>
    <definedName name="____________________xlnm.Print_Titles_3" localSheetId="29">(#REF!,#REF!)</definedName>
    <definedName name="____________________xlnm.Print_Titles_3" localSheetId="26">(#REF!,#REF!)</definedName>
    <definedName name="____________________xlnm.Print_Titles_3">(#REF!,#REF!)</definedName>
    <definedName name="___________________a1">#REF!</definedName>
    <definedName name="___________________a5">#REF!</definedName>
    <definedName name="___________________a6">#REF!</definedName>
    <definedName name="___________________A71614" localSheetId="24">#REF!</definedName>
    <definedName name="___________________A71614">#REF!</definedName>
    <definedName name="___________________A81614" localSheetId="24">#REF!</definedName>
    <definedName name="___________________A81614">#REF!</definedName>
    <definedName name="___________________A91614" localSheetId="24">#REF!</definedName>
    <definedName name="___________________A91614">#REF!</definedName>
    <definedName name="___________________aa1" localSheetId="12" hidden="1">{"'PROFITABILITY'!$A$1:$F$45"}</definedName>
    <definedName name="___________________aa1" localSheetId="6" hidden="1">{"'PROFITABILITY'!$A$1:$F$45"}</definedName>
    <definedName name="___________________aa1" localSheetId="29" hidden="1">{"'PROFITABILITY'!$A$1:$F$45"}</definedName>
    <definedName name="___________________aa1" localSheetId="27" hidden="1">{"'PROFITABILITY'!$A$1:$F$45"}</definedName>
    <definedName name="___________________aa1" localSheetId="4" hidden="1">{"'PROFITABILITY'!$A$1:$F$45"}</definedName>
    <definedName name="___________________aa1" localSheetId="32" hidden="1">{"'PROFITABILITY'!$A$1:$F$45"}</definedName>
    <definedName name="___________________aa1" localSheetId="24" hidden="1">{"'PROFITABILITY'!$A$1:$F$45"}</definedName>
    <definedName name="___________________aa1" localSheetId="26" hidden="1">{"'PROFITABILITY'!$A$1:$F$45"}</definedName>
    <definedName name="___________________aa1" hidden="1">{"'PROFITABILITY'!$A$1:$F$45"}</definedName>
    <definedName name="___________________aba2">#REF!</definedName>
    <definedName name="___________________acs1">#REF!</definedName>
    <definedName name="___________________acs2">#REF!</definedName>
    <definedName name="___________________AHP1">#REF!</definedName>
    <definedName name="___________________axx1">#REF!</definedName>
    <definedName name="___________________axx2">#REF!</definedName>
    <definedName name="___________________axx3">#REF!</definedName>
    <definedName name="___________________axx4">#REF!</definedName>
    <definedName name="___________________axx5">#REF!</definedName>
    <definedName name="___________________axx6">#REF!</definedName>
    <definedName name="___________________axx7">#REF!</definedName>
    <definedName name="___________________axx8">#REF!</definedName>
    <definedName name="___________________b111121" localSheetId="12">#REF!</definedName>
    <definedName name="___________________b111121">#REF!</definedName>
    <definedName name="___________________B18000">#REF!</definedName>
    <definedName name="___________________B30000">#REF!</definedName>
    <definedName name="___________________B32000">#REF!</definedName>
    <definedName name="___________________bom1">#REF!</definedName>
    <definedName name="___________________CAN2">#N/A</definedName>
    <definedName name="___________________CAN9">#N/A</definedName>
    <definedName name="___________________CCT220">#REF!</definedName>
    <definedName name="___________________CFB1">#REF!</definedName>
    <definedName name="___________________CFB2">#REF!</definedName>
    <definedName name="___________________CFB3">#REF!</definedName>
    <definedName name="___________________col33">#REF!</definedName>
    <definedName name="___________________CVT220">#REF!</definedName>
    <definedName name="___________________d5">#REF!</definedName>
    <definedName name="___________________DAT1">#REF!</definedName>
    <definedName name="___________________DAT10">#REF!</definedName>
    <definedName name="___________________DAT11">#REF!</definedName>
    <definedName name="___________________DAT12">#REF!</definedName>
    <definedName name="___________________DAT13">#REF!</definedName>
    <definedName name="___________________DAT14">#REF!</definedName>
    <definedName name="___________________DAT15">#REF!</definedName>
    <definedName name="___________________DAT16">#REF!</definedName>
    <definedName name="___________________DAT2">#REF!</definedName>
    <definedName name="___________________DAT3">#REF!</definedName>
    <definedName name="___________________DAT4">#REF!</definedName>
    <definedName name="___________________DAT5">#REF!</definedName>
    <definedName name="___________________DAT6">#REF!</definedName>
    <definedName name="___________________DAT7">#REF!</definedName>
    <definedName name="___________________DAT8">#REF!</definedName>
    <definedName name="___________________DAT9">#REF!</definedName>
    <definedName name="___________________del1">#REF!</definedName>
    <definedName name="___________________DET1">#REF!</definedName>
    <definedName name="___________________DET2">#REF!</definedName>
    <definedName name="___________________DET3">#REF!</definedName>
    <definedName name="___________________DET4">#REF!</definedName>
    <definedName name="___________________DET5">#REF!</definedName>
    <definedName name="___________________DET6">#REF!</definedName>
    <definedName name="___________________DIS1">#REF!</definedName>
    <definedName name="___________________dol12">#REF!</definedName>
    <definedName name="___________________dol6">#REF!</definedName>
    <definedName name="___________________drg1">#REF!</definedName>
    <definedName name="___________________drg2">#REF!</definedName>
    <definedName name="___________________HCO2">#REF!</definedName>
    <definedName name="___________________hfi1">#REF!</definedName>
    <definedName name="___________________hfi2">#REF!</definedName>
    <definedName name="___________________hfi3">#REF!</definedName>
    <definedName name="___________________hfi4">#REF!</definedName>
    <definedName name="___________________hfi5">#REF!</definedName>
    <definedName name="___________________hfi6">#REF!</definedName>
    <definedName name="___________________hfi7">#REF!</definedName>
    <definedName name="___________________hfi8">#REF!</definedName>
    <definedName name="___________________Hra2">#REF!</definedName>
    <definedName name="___________________Hso2">#REF!</definedName>
    <definedName name="___________________Hso3">#REF!</definedName>
    <definedName name="___________________hxa1">#REF!</definedName>
    <definedName name="___________________hxa2">#REF!</definedName>
    <definedName name="___________________hxb1">#REF!</definedName>
    <definedName name="___________________hxb2">#REF!</definedName>
    <definedName name="___________________hxc1">#REF!</definedName>
    <definedName name="___________________hxc2">#REF!</definedName>
    <definedName name="___________________hxd1">#REF!</definedName>
    <definedName name="___________________IDA1">#REF!</definedName>
    <definedName name="___________________ifa1">#REF!</definedName>
    <definedName name="___________________ifa2">#REF!</definedName>
    <definedName name="___________________in18900">#REF!</definedName>
    <definedName name="___________________INT1">#REF!</definedName>
    <definedName name="___________________Ism3">#REF!</definedName>
    <definedName name="___________________ISO220">#REF!</definedName>
    <definedName name="___________________iv19000">#REF!</definedName>
    <definedName name="___________________kd1">#REF!</definedName>
    <definedName name="___________________kd2">#REF!</definedName>
    <definedName name="___________________kd3">#REF!</definedName>
    <definedName name="___________________KEY3" localSheetId="12" hidden="1">#REF!</definedName>
    <definedName name="___________________KEY3" hidden="1">#REF!</definedName>
    <definedName name="___________________Ki1">#REF!</definedName>
    <definedName name="___________________Ki2">#REF!</definedName>
    <definedName name="___________________LMH1">#REF!</definedName>
    <definedName name="___________________LMH2">#REF!</definedName>
    <definedName name="___________________MAN1">#REF!</definedName>
    <definedName name="___________________mcl132">#REF!</definedName>
    <definedName name="___________________ml3">#REF!</definedName>
    <definedName name="___________________ml33">#REF!</definedName>
    <definedName name="___________________mlc33">#REF!</definedName>
    <definedName name="___________________MMB220">#REF!</definedName>
    <definedName name="___________________new1">#REF!</definedName>
    <definedName name="___________________Nov2007" localSheetId="12" hidden="1">{"'PROFITABILITY'!$A$1:$F$45"}</definedName>
    <definedName name="___________________Nov2007" localSheetId="6" hidden="1">{"'PROFITABILITY'!$A$1:$F$45"}</definedName>
    <definedName name="___________________Nov2007" localSheetId="29" hidden="1">{"'PROFITABILITY'!$A$1:$F$45"}</definedName>
    <definedName name="___________________Nov2007" localSheetId="27" hidden="1">{"'PROFITABILITY'!$A$1:$F$45"}</definedName>
    <definedName name="___________________Nov2007" localSheetId="4" hidden="1">{"'PROFITABILITY'!$A$1:$F$45"}</definedName>
    <definedName name="___________________Nov2007" localSheetId="32" hidden="1">{"'PROFITABILITY'!$A$1:$F$45"}</definedName>
    <definedName name="___________________Nov2007" localSheetId="24" hidden="1">{"'PROFITABILITY'!$A$1:$F$45"}</definedName>
    <definedName name="___________________Nov2007" localSheetId="26" hidden="1">{"'PROFITABILITY'!$A$1:$F$45"}</definedName>
    <definedName name="___________________Nov2007" hidden="1">{"'PROFITABILITY'!$A$1:$F$45"}</definedName>
    <definedName name="___________________OPT8">#N/A</definedName>
    <definedName name="___________________OPT9">#N/A</definedName>
    <definedName name="___________________out2">#REF!</definedName>
    <definedName name="___________________PB1">#REF!</definedName>
    <definedName name="___________________pep99">#REF!</definedName>
    <definedName name="___________________pfi1">#REF!</definedName>
    <definedName name="___________________pp1">#REF!</definedName>
    <definedName name="___________________pp2">#REF!</definedName>
    <definedName name="___________________rcu2">#REF!</definedName>
    <definedName name="___________________Re1">#REF!</definedName>
    <definedName name="___________________Rl1">#REF!</definedName>
    <definedName name="___________________Rs1">#REF!</definedName>
    <definedName name="___________________run1">#REF!</definedName>
    <definedName name="___________________run2">#REF!</definedName>
    <definedName name="___________________run3">#REF!</definedName>
    <definedName name="___________________sch2">#REF!</definedName>
    <definedName name="___________________sch9">#REF!</definedName>
    <definedName name="___________________SS402">#REF!</definedName>
    <definedName name="___________________SS403">#REF!</definedName>
    <definedName name="___________________SS404">#REF!</definedName>
    <definedName name="___________________SS405">#REF!</definedName>
    <definedName name="___________________SS406">#REF!</definedName>
    <definedName name="___________________SS407">#REF!</definedName>
    <definedName name="___________________SS408">#REF!</definedName>
    <definedName name="___________________SS409">#REF!</definedName>
    <definedName name="___________________SS423">#REF!</definedName>
    <definedName name="___________________SS424">#REF!</definedName>
    <definedName name="___________________TAB1" localSheetId="12">#REF!</definedName>
    <definedName name="___________________TAB1">#REF!</definedName>
    <definedName name="___________________Tk1">#REF!</definedName>
    <definedName name="___________________Tkl1">#REF!</definedName>
    <definedName name="___________________tl1">#REF!</definedName>
    <definedName name="___________________tl2">#REF!</definedName>
    <definedName name="___________________vf1">#REF!</definedName>
    <definedName name="___________________vf2">#REF!</definedName>
    <definedName name="___________________Wc1">#REF!</definedName>
    <definedName name="___________________WC3">#REF!</definedName>
    <definedName name="___________________wp1">#REF!</definedName>
    <definedName name="___________________Wr1">#REF!</definedName>
    <definedName name="___________________Wr3">#REF!</definedName>
    <definedName name="___________________Xl1">#REF!</definedName>
    <definedName name="___________________xlnm.Print_Area_1">#REF!</definedName>
    <definedName name="___________________xlnm.Print_Area_2">#REF!</definedName>
    <definedName name="___________________xlnm.Print_Area_3">#REF!</definedName>
    <definedName name="___________________xlnm.Print_Titles_1">#REF!</definedName>
    <definedName name="___________________xlnm.Print_Titles_2" localSheetId="6">(#REF!,#REF!)</definedName>
    <definedName name="___________________xlnm.Print_Titles_2" localSheetId="27">(#REF!,#REF!)</definedName>
    <definedName name="___________________xlnm.Print_Titles_2">(#REF!,#REF!)</definedName>
    <definedName name="___________________xlnm.Print_Titles_3" localSheetId="6">(#REF!,#REF!)</definedName>
    <definedName name="___________________xlnm.Print_Titles_3" localSheetId="29">(#REF!,#REF!)</definedName>
    <definedName name="___________________xlnm.Print_Titles_3" localSheetId="26">(#REF!,#REF!)</definedName>
    <definedName name="___________________xlnm.Print_Titles_3">(#REF!,#REF!)</definedName>
    <definedName name="__________________a1">#REF!</definedName>
    <definedName name="__________________a5">#REF!</definedName>
    <definedName name="__________________a6">#REF!</definedName>
    <definedName name="__________________aa1" localSheetId="12" hidden="1">{"'PROFITABILITY'!$A$1:$F$45"}</definedName>
    <definedName name="__________________aa1" localSheetId="6" hidden="1">{"'PROFITABILITY'!$A$1:$F$45"}</definedName>
    <definedName name="__________________aa1" localSheetId="29" hidden="1">{"'PROFITABILITY'!$A$1:$F$45"}</definedName>
    <definedName name="__________________aa1" localSheetId="27" hidden="1">{"'PROFITABILITY'!$A$1:$F$45"}</definedName>
    <definedName name="__________________aa1" localSheetId="4" hidden="1">{"'PROFITABILITY'!$A$1:$F$45"}</definedName>
    <definedName name="__________________aa1" localSheetId="32" hidden="1">{"'PROFITABILITY'!$A$1:$F$45"}</definedName>
    <definedName name="__________________aa1" localSheetId="24" hidden="1">{"'PROFITABILITY'!$A$1:$F$45"}</definedName>
    <definedName name="__________________aa1" localSheetId="26" hidden="1">{"'PROFITABILITY'!$A$1:$F$45"}</definedName>
    <definedName name="__________________aa1" hidden="1">{"'PROFITABILITY'!$A$1:$F$45"}</definedName>
    <definedName name="__________________aba2">#REF!</definedName>
    <definedName name="__________________acs1">#REF!</definedName>
    <definedName name="__________________acs2">#REF!</definedName>
    <definedName name="__________________AHP1">#REF!</definedName>
    <definedName name="__________________axx1">#REF!</definedName>
    <definedName name="__________________axx2">#REF!</definedName>
    <definedName name="__________________axx3">#REF!</definedName>
    <definedName name="__________________AXX4">#REF!</definedName>
    <definedName name="__________________axx5">#REF!</definedName>
    <definedName name="__________________axx6">#REF!</definedName>
    <definedName name="__________________AXX7">#REF!</definedName>
    <definedName name="__________________axx8">#REF!</definedName>
    <definedName name="__________________b111121" localSheetId="12">#REF!</definedName>
    <definedName name="__________________b111121">#REF!</definedName>
    <definedName name="__________________B18000">#REF!</definedName>
    <definedName name="__________________B30000">#REF!</definedName>
    <definedName name="__________________B32000">#REF!</definedName>
    <definedName name="__________________BAA1">#REF!</definedName>
    <definedName name="__________________bom1">#REF!</definedName>
    <definedName name="__________________BoQ4">#REF!</definedName>
    <definedName name="__________________CAN2">#N/A</definedName>
    <definedName name="__________________CAN9">#N/A</definedName>
    <definedName name="__________________CCT220">#REF!</definedName>
    <definedName name="__________________CFB1">#REF!</definedName>
    <definedName name="__________________CFB2">#REF!</definedName>
    <definedName name="__________________CFB3">#REF!</definedName>
    <definedName name="__________________col33">#REF!</definedName>
    <definedName name="__________________CVT220">#REF!</definedName>
    <definedName name="__________________d5">#REF!</definedName>
    <definedName name="__________________DAT1">#REF!</definedName>
    <definedName name="__________________DAT10">#REF!</definedName>
    <definedName name="__________________DAT11">#REF!</definedName>
    <definedName name="__________________DAT12">#REF!</definedName>
    <definedName name="__________________DAT13">#REF!</definedName>
    <definedName name="__________________DAT14">#REF!</definedName>
    <definedName name="__________________DAT15">#REF!</definedName>
    <definedName name="__________________DAT16">#REF!</definedName>
    <definedName name="__________________DAT2">#REF!</definedName>
    <definedName name="__________________DAT3">#REF!</definedName>
    <definedName name="__________________DAT4">#REF!</definedName>
    <definedName name="__________________DAT5">#REF!</definedName>
    <definedName name="__________________DAT6">#REF!</definedName>
    <definedName name="__________________DAT7">#REF!</definedName>
    <definedName name="__________________DAT8">#REF!</definedName>
    <definedName name="__________________DAT9">#REF!</definedName>
    <definedName name="__________________del1">#REF!</definedName>
    <definedName name="__________________DET1">#REF!</definedName>
    <definedName name="__________________DET2">#REF!</definedName>
    <definedName name="__________________DET3">#REF!</definedName>
    <definedName name="__________________DET4">#REF!</definedName>
    <definedName name="__________________DET5">#REF!</definedName>
    <definedName name="__________________DET6">#REF!</definedName>
    <definedName name="__________________DIS1">#REF!</definedName>
    <definedName name="__________________dol12">#REF!</definedName>
    <definedName name="__________________dol6">#REF!</definedName>
    <definedName name="__________________drg1">#REF!</definedName>
    <definedName name="__________________drg2">#REF!</definedName>
    <definedName name="__________________g1" localSheetId="12">#REF!</definedName>
    <definedName name="__________________g1">#REF!</definedName>
    <definedName name="__________________HCO2">#REF!</definedName>
    <definedName name="__________________hfi1">#REF!</definedName>
    <definedName name="__________________hfi2">#REF!</definedName>
    <definedName name="__________________hfi3">#REF!</definedName>
    <definedName name="__________________hfi4">#REF!</definedName>
    <definedName name="__________________hfi5">#REF!</definedName>
    <definedName name="__________________hfi6">#REF!</definedName>
    <definedName name="__________________HFI7">#REF!</definedName>
    <definedName name="__________________hfi8">#REF!</definedName>
    <definedName name="__________________Hra2">#REF!</definedName>
    <definedName name="__________________Hso2">#REF!</definedName>
    <definedName name="__________________Hso3">#REF!</definedName>
    <definedName name="__________________hxa1">#REF!</definedName>
    <definedName name="__________________hxa2">#REF!</definedName>
    <definedName name="__________________hxb1">#REF!</definedName>
    <definedName name="__________________hxb2">#REF!</definedName>
    <definedName name="__________________hxc1">#REF!</definedName>
    <definedName name="__________________hxc2">#REF!</definedName>
    <definedName name="__________________hxd1">#REF!</definedName>
    <definedName name="__________________IDA1">#REF!</definedName>
    <definedName name="__________________ifa1">#REF!</definedName>
    <definedName name="__________________ifa2">#REF!</definedName>
    <definedName name="__________________in18900">#REF!</definedName>
    <definedName name="__________________INT1">#REF!</definedName>
    <definedName name="__________________Ism3">#REF!</definedName>
    <definedName name="__________________ISO220">#REF!</definedName>
    <definedName name="__________________iv19000">#REF!</definedName>
    <definedName name="__________________kd1">#REF!</definedName>
    <definedName name="__________________kd2">#REF!</definedName>
    <definedName name="__________________kd3">#REF!</definedName>
    <definedName name="__________________KEY3" localSheetId="12" hidden="1">#REF!</definedName>
    <definedName name="__________________KEY3" hidden="1">#REF!</definedName>
    <definedName name="__________________Ki1">#REF!</definedName>
    <definedName name="__________________Ki2">#REF!</definedName>
    <definedName name="__________________lb1">#REF!</definedName>
    <definedName name="__________________lb2">#REF!</definedName>
    <definedName name="__________________LMH1">#REF!</definedName>
    <definedName name="__________________LMH2">#REF!</definedName>
    <definedName name="__________________MAN1">#REF!</definedName>
    <definedName name="__________________mcl132">#REF!</definedName>
    <definedName name="__________________ml3">#REF!</definedName>
    <definedName name="__________________ml33">#REF!</definedName>
    <definedName name="__________________mlc33">#REF!</definedName>
    <definedName name="__________________mm1">#REF!</definedName>
    <definedName name="__________________mm2">#REF!</definedName>
    <definedName name="__________________mm3">#REF!</definedName>
    <definedName name="__________________MMB220">#REF!</definedName>
    <definedName name="__________________new1">#REF!</definedName>
    <definedName name="__________________Nov2007" localSheetId="12" hidden="1">{"'PROFITABILITY'!$A$1:$F$45"}</definedName>
    <definedName name="__________________Nov2007" localSheetId="6" hidden="1">{"'PROFITABILITY'!$A$1:$F$45"}</definedName>
    <definedName name="__________________Nov2007" localSheetId="29" hidden="1">{"'PROFITABILITY'!$A$1:$F$45"}</definedName>
    <definedName name="__________________Nov2007" localSheetId="27" hidden="1">{"'PROFITABILITY'!$A$1:$F$45"}</definedName>
    <definedName name="__________________Nov2007" localSheetId="4" hidden="1">{"'PROFITABILITY'!$A$1:$F$45"}</definedName>
    <definedName name="__________________Nov2007" localSheetId="32" hidden="1">{"'PROFITABILITY'!$A$1:$F$45"}</definedName>
    <definedName name="__________________Nov2007" localSheetId="24" hidden="1">{"'PROFITABILITY'!$A$1:$F$45"}</definedName>
    <definedName name="__________________Nov2007" localSheetId="26" hidden="1">{"'PROFITABILITY'!$A$1:$F$45"}</definedName>
    <definedName name="__________________Nov2007" hidden="1">{"'PROFITABILITY'!$A$1:$F$45"}</definedName>
    <definedName name="__________________OPT8">#N/A</definedName>
    <definedName name="__________________OPT9">#N/A</definedName>
    <definedName name="__________________out2">#REF!</definedName>
    <definedName name="__________________PB1">#REF!</definedName>
    <definedName name="__________________pep99">#REF!</definedName>
    <definedName name="__________________pfi1">#REF!</definedName>
    <definedName name="__________________pp1">#REF!</definedName>
    <definedName name="__________________pp2">#REF!</definedName>
    <definedName name="__________________rcu2">#REF!</definedName>
    <definedName name="__________________Re1">#REF!</definedName>
    <definedName name="__________________Rl1">#REF!</definedName>
    <definedName name="__________________Rs1">#REF!</definedName>
    <definedName name="__________________run1">#REF!</definedName>
    <definedName name="__________________run2">#REF!</definedName>
    <definedName name="__________________run3">#REF!</definedName>
    <definedName name="__________________sch2">#REF!</definedName>
    <definedName name="__________________sch9">#REF!</definedName>
    <definedName name="__________________SS402">#REF!</definedName>
    <definedName name="__________________SS403">#REF!</definedName>
    <definedName name="__________________SS404">#REF!</definedName>
    <definedName name="__________________SS405">#REF!</definedName>
    <definedName name="__________________SS406">#REF!</definedName>
    <definedName name="__________________SS407">#REF!</definedName>
    <definedName name="__________________SS408">#REF!</definedName>
    <definedName name="__________________SS409">#REF!</definedName>
    <definedName name="__________________SS423">#REF!</definedName>
    <definedName name="__________________SS424">#REF!</definedName>
    <definedName name="__________________TAB1" localSheetId="12">#REF!</definedName>
    <definedName name="__________________TAB1">#REF!</definedName>
    <definedName name="__________________Tk1">#REF!</definedName>
    <definedName name="__________________Tkl1">#REF!</definedName>
    <definedName name="__________________tl1">#REF!</definedName>
    <definedName name="__________________tl2">#REF!</definedName>
    <definedName name="__________________vf1">#REF!</definedName>
    <definedName name="__________________vf2">#REF!</definedName>
    <definedName name="__________________Wc1">#REF!</definedName>
    <definedName name="__________________WC3">#REF!</definedName>
    <definedName name="__________________wp1">#REF!</definedName>
    <definedName name="__________________Wr1">#REF!</definedName>
    <definedName name="__________________Wr3">#REF!</definedName>
    <definedName name="__________________Xl1">#REF!</definedName>
    <definedName name="__________________xlnm.Print_Area_1">#REF!</definedName>
    <definedName name="__________________xlnm.Print_Area_13">#REF!</definedName>
    <definedName name="__________________xlnm.Print_Area_2">#REF!</definedName>
    <definedName name="__________________xlnm.Print_Area_3">#REF!</definedName>
    <definedName name="__________________xlnm.Print_Titles_1">#REF!</definedName>
    <definedName name="__________________xlnm.Print_Titles_2" localSheetId="6">(#REF!,#REF!)</definedName>
    <definedName name="__________________xlnm.Print_Titles_2" localSheetId="27">(#REF!,#REF!)</definedName>
    <definedName name="__________________xlnm.Print_Titles_2">(#REF!,#REF!)</definedName>
    <definedName name="__________________xlnm.Print_Titles_3" localSheetId="6">(#REF!,#REF!)</definedName>
    <definedName name="__________________xlnm.Print_Titles_3" localSheetId="29">(#REF!,#REF!)</definedName>
    <definedName name="__________________xlnm.Print_Titles_3" localSheetId="26">(#REF!,#REF!)</definedName>
    <definedName name="__________________xlnm.Print_Titles_3">(#REF!,#REF!)</definedName>
    <definedName name="_________________a1">#REF!</definedName>
    <definedName name="_________________a5">#N/A</definedName>
    <definedName name="_________________a6">#N/A</definedName>
    <definedName name="_________________A71614" localSheetId="24">#REF!</definedName>
    <definedName name="_________________A71614">#REF!</definedName>
    <definedName name="_________________A81614" localSheetId="24">#REF!</definedName>
    <definedName name="_________________A81614">#REF!</definedName>
    <definedName name="_________________A91614" localSheetId="24">#REF!</definedName>
    <definedName name="_________________A91614">#REF!</definedName>
    <definedName name="_________________aa1" localSheetId="12" hidden="1">{"'PROFITABILITY'!$A$1:$F$45"}</definedName>
    <definedName name="_________________aa1" localSheetId="6" hidden="1">{"'PROFITABILITY'!$A$1:$F$45"}</definedName>
    <definedName name="_________________aa1" localSheetId="29" hidden="1">{"'PROFITABILITY'!$A$1:$F$45"}</definedName>
    <definedName name="_________________aa1" localSheetId="27" hidden="1">{"'PROFITABILITY'!$A$1:$F$45"}</definedName>
    <definedName name="_________________aa1" localSheetId="4" hidden="1">{"'PROFITABILITY'!$A$1:$F$45"}</definedName>
    <definedName name="_________________aa1" localSheetId="32" hidden="1">{"'PROFITABILITY'!$A$1:$F$45"}</definedName>
    <definedName name="_________________aa1" localSheetId="24" hidden="1">{"'PROFITABILITY'!$A$1:$F$45"}</definedName>
    <definedName name="_________________aa1" localSheetId="26" hidden="1">{"'PROFITABILITY'!$A$1:$F$45"}</definedName>
    <definedName name="_________________aa1" hidden="1">{"'PROFITABILITY'!$A$1:$F$45"}</definedName>
    <definedName name="_________________aba2">#REF!</definedName>
    <definedName name="_________________acs1">#REF!</definedName>
    <definedName name="_________________acs2">#REF!</definedName>
    <definedName name="_________________AHP1">#REF!</definedName>
    <definedName name="_________________axx1">#REF!</definedName>
    <definedName name="_________________axx2">#REF!</definedName>
    <definedName name="_________________axx3">#REF!</definedName>
    <definedName name="_________________AXX4">#REF!</definedName>
    <definedName name="_________________axx5">#REF!</definedName>
    <definedName name="_________________axx6">#REF!</definedName>
    <definedName name="_________________AXX7">#REF!</definedName>
    <definedName name="_________________axx8">#REF!</definedName>
    <definedName name="_________________b111121" localSheetId="12">#REF!</definedName>
    <definedName name="_________________b111121">#REF!</definedName>
    <definedName name="_________________B18000">#REF!</definedName>
    <definedName name="_________________B30000">#REF!</definedName>
    <definedName name="_________________B32000">#REF!</definedName>
    <definedName name="_________________BAA1">#REF!</definedName>
    <definedName name="_________________bom1">#REF!</definedName>
    <definedName name="_________________CAN112">13.42</definedName>
    <definedName name="_________________CAN113">12.98</definedName>
    <definedName name="_________________CAN117">12.7</definedName>
    <definedName name="_________________CAN118">13.27</definedName>
    <definedName name="_________________CAN120">11.72</definedName>
    <definedName name="_________________CAN2">#N/A</definedName>
    <definedName name="_________________CAN210">10.38</definedName>
    <definedName name="_________________CAN211">10.58</definedName>
    <definedName name="_________________CAN213">10.56</definedName>
    <definedName name="_________________CAN215">10.22</definedName>
    <definedName name="_________________CAN216">9.61</definedName>
    <definedName name="_________________CAN217">10.47</definedName>
    <definedName name="_________________CAN219">10.91</definedName>
    <definedName name="_________________CAN220">11.09</definedName>
    <definedName name="_________________CAN221">11.25</definedName>
    <definedName name="_________________CAN222">10.17</definedName>
    <definedName name="_________________CAN223">9.89</definedName>
    <definedName name="_________________CAN230">10.79</definedName>
    <definedName name="_________________can421">40.2</definedName>
    <definedName name="_________________can422">41.57</definedName>
    <definedName name="_________________can423">43.9</definedName>
    <definedName name="_________________can424">41.19</definedName>
    <definedName name="_________________can425">42.81</definedName>
    <definedName name="_________________can426">40.77</definedName>
    <definedName name="_________________can427">40.92</definedName>
    <definedName name="_________________can428">39.29</definedName>
    <definedName name="_________________can429">45.19</definedName>
    <definedName name="_________________can430">40.73</definedName>
    <definedName name="_________________can431">42.52</definedName>
    <definedName name="_________________can432">42.53</definedName>
    <definedName name="_________________can433">43.69</definedName>
    <definedName name="_________________can434">40.43</definedName>
    <definedName name="_________________can435">43.3</definedName>
    <definedName name="_________________CAN9">#N/A</definedName>
    <definedName name="_________________CCT220">#REF!</definedName>
    <definedName name="_________________CFB1">#REF!</definedName>
    <definedName name="_________________CFB2">#REF!</definedName>
    <definedName name="_________________CFB3">#REF!</definedName>
    <definedName name="_________________col33">#REF!</definedName>
    <definedName name="_________________CVT220">#REF!</definedName>
    <definedName name="_________________d5">#REF!</definedName>
    <definedName name="_________________DAT1">#REF!</definedName>
    <definedName name="_________________DAT10">#REF!</definedName>
    <definedName name="_________________DAT11">#REF!</definedName>
    <definedName name="_________________DAT12">#REF!</definedName>
    <definedName name="_________________DAT13">#REF!</definedName>
    <definedName name="_________________DAT14">#REF!</definedName>
    <definedName name="_________________DAT15">#REF!</definedName>
    <definedName name="_________________DAT16">#REF!</definedName>
    <definedName name="_________________DAT2">#REF!</definedName>
    <definedName name="_________________DAT3">#REF!</definedName>
    <definedName name="_________________DAT4">#REF!</definedName>
    <definedName name="_________________DAT5">#REF!</definedName>
    <definedName name="_________________DAT6">#REF!</definedName>
    <definedName name="_________________DAT7">#REF!</definedName>
    <definedName name="_________________DAT8">#REF!</definedName>
    <definedName name="_________________DAT9">#REF!</definedName>
    <definedName name="_________________dec05" localSheetId="12" hidden="1">{"'Sheet1'!$A$4386:$N$4591"}</definedName>
    <definedName name="_________________dec05" hidden="1">{"'Sheet1'!$A$4386:$N$4591"}</definedName>
    <definedName name="_________________del1">#REF!</definedName>
    <definedName name="_________________DET1">#REF!</definedName>
    <definedName name="_________________DET2">#REF!</definedName>
    <definedName name="_________________DET3">#REF!</definedName>
    <definedName name="_________________DET4">#REF!</definedName>
    <definedName name="_________________DET5">#REF!</definedName>
    <definedName name="_________________DET6">#REF!</definedName>
    <definedName name="_________________DIS1">#REF!</definedName>
    <definedName name="_________________dol12" localSheetId="6">#REF!</definedName>
    <definedName name="_________________dol12" localSheetId="29">#REF!</definedName>
    <definedName name="_________________dol12" localSheetId="24">#REF!</definedName>
    <definedName name="_________________dol12" localSheetId="26">#REF!</definedName>
    <definedName name="_________________dol12">#REF!</definedName>
    <definedName name="_________________dol6" localSheetId="6">#REF!</definedName>
    <definedName name="_________________dol6" localSheetId="24">#REF!</definedName>
    <definedName name="_________________dol6">#REF!</definedName>
    <definedName name="_________________drg1">#REF!</definedName>
    <definedName name="_________________drg2">#REF!</definedName>
    <definedName name="_________________HCO2">#REF!</definedName>
    <definedName name="_________________hfi1">#REF!</definedName>
    <definedName name="_________________hfi2">#REF!</definedName>
    <definedName name="_________________hfi3">#REF!</definedName>
    <definedName name="_________________hfi4">#REF!</definedName>
    <definedName name="_________________hfi5">#REF!</definedName>
    <definedName name="_________________hfi6">#REF!</definedName>
    <definedName name="_________________HFI7">#REF!</definedName>
    <definedName name="_________________hfi8">#REF!</definedName>
    <definedName name="_________________Hra2">#REF!</definedName>
    <definedName name="_________________Hso2">#REF!</definedName>
    <definedName name="_________________Hso3">#REF!</definedName>
    <definedName name="_________________hxa1">#REF!</definedName>
    <definedName name="_________________hxa2">#REF!</definedName>
    <definedName name="_________________hxb1">#REF!</definedName>
    <definedName name="_________________hxb2">#REF!</definedName>
    <definedName name="_________________hxc1">#REF!</definedName>
    <definedName name="_________________hxc2">#REF!</definedName>
    <definedName name="_________________hxd1">#REF!</definedName>
    <definedName name="_________________IDA1" localSheetId="6">#REF!</definedName>
    <definedName name="_________________IDA1">#REF!</definedName>
    <definedName name="_________________ifa1">#REF!</definedName>
    <definedName name="_________________ifa2">#REF!</definedName>
    <definedName name="_________________in18900">#REF!</definedName>
    <definedName name="_________________INT1">#REF!</definedName>
    <definedName name="_________________Ism3">#REF!</definedName>
    <definedName name="_________________ISO220">#REF!</definedName>
    <definedName name="_________________iv19000">#REF!</definedName>
    <definedName name="_________________kd1">#REF!</definedName>
    <definedName name="_________________kd2">#REF!</definedName>
    <definedName name="_________________kd3">#REF!</definedName>
    <definedName name="_________________KEY3" localSheetId="12" hidden="1">#REF!</definedName>
    <definedName name="_________________KEY3" hidden="1">#REF!</definedName>
    <definedName name="_________________Ki1">#REF!</definedName>
    <definedName name="_________________Ki2">#REF!</definedName>
    <definedName name="_________________LMH1">#REF!</definedName>
    <definedName name="_________________LMH2">#REF!</definedName>
    <definedName name="_________________m20">#REF!</definedName>
    <definedName name="_________________MAN1">#REF!</definedName>
    <definedName name="_________________mcl132">#REF!</definedName>
    <definedName name="_________________ml3">#REF!</definedName>
    <definedName name="_________________ml33">#REF!</definedName>
    <definedName name="_________________mlc33">#REF!</definedName>
    <definedName name="_________________MMB220">#REF!</definedName>
    <definedName name="_________________new1">#REF!</definedName>
    <definedName name="_________________Nov2007" localSheetId="12" hidden="1">{"'PROFITABILITY'!$A$1:$F$45"}</definedName>
    <definedName name="_________________Nov2007" localSheetId="6" hidden="1">{"'PROFITABILITY'!$A$1:$F$45"}</definedName>
    <definedName name="_________________Nov2007" localSheetId="29" hidden="1">{"'PROFITABILITY'!$A$1:$F$45"}</definedName>
    <definedName name="_________________Nov2007" localSheetId="27" hidden="1">{"'PROFITABILITY'!$A$1:$F$45"}</definedName>
    <definedName name="_________________Nov2007" localSheetId="4" hidden="1">{"'PROFITABILITY'!$A$1:$F$45"}</definedName>
    <definedName name="_________________Nov2007" localSheetId="32" hidden="1">{"'PROFITABILITY'!$A$1:$F$45"}</definedName>
    <definedName name="_________________Nov2007" localSheetId="24" hidden="1">{"'PROFITABILITY'!$A$1:$F$45"}</definedName>
    <definedName name="_________________Nov2007" localSheetId="26" hidden="1">{"'PROFITABILITY'!$A$1:$F$45"}</definedName>
    <definedName name="_________________Nov2007" hidden="1">{"'PROFITABILITY'!$A$1:$F$45"}</definedName>
    <definedName name="_________________OPT8">#N/A</definedName>
    <definedName name="_________________OPT9">#N/A</definedName>
    <definedName name="_________________out2">#REF!</definedName>
    <definedName name="_________________PB1">#REF!</definedName>
    <definedName name="_________________pep99">#REF!</definedName>
    <definedName name="_________________pfi1">#REF!</definedName>
    <definedName name="_________________pp1">#REF!</definedName>
    <definedName name="_________________pp2">#REF!</definedName>
    <definedName name="_________________rcu2">#REF!</definedName>
    <definedName name="_________________Re1">#REF!</definedName>
    <definedName name="_________________Rl1">#REF!</definedName>
    <definedName name="_________________Rs1">#REF!</definedName>
    <definedName name="_________________run1">#REF!</definedName>
    <definedName name="_________________run2">#REF!</definedName>
    <definedName name="_________________run3">#REF!</definedName>
    <definedName name="_________________sch2">#REF!</definedName>
    <definedName name="_________________sch9">#REF!</definedName>
    <definedName name="_________________SS402">#REF!</definedName>
    <definedName name="_________________SS403">#REF!</definedName>
    <definedName name="_________________SS404">#REF!</definedName>
    <definedName name="_________________SS405">#REF!</definedName>
    <definedName name="_________________SS406">#REF!</definedName>
    <definedName name="_________________SS407">#REF!</definedName>
    <definedName name="_________________SS408">#REF!</definedName>
    <definedName name="_________________SS409">#REF!</definedName>
    <definedName name="_________________SS423">#REF!</definedName>
    <definedName name="_________________SS424">#REF!</definedName>
    <definedName name="_________________TAB1" localSheetId="12">#REF!</definedName>
    <definedName name="_________________TAB1">#REF!</definedName>
    <definedName name="_________________Tk1">#REF!</definedName>
    <definedName name="_________________Tkl1">#REF!</definedName>
    <definedName name="_________________tl1">#REF!</definedName>
    <definedName name="_________________tl2">#REF!</definedName>
    <definedName name="_________________vf1">#REF!</definedName>
    <definedName name="_________________vf2">#REF!</definedName>
    <definedName name="_________________Wc1">#REF!</definedName>
    <definedName name="_________________WC3">#REF!</definedName>
    <definedName name="_________________wp1">#REF!</definedName>
    <definedName name="_________________Wr1">#REF!</definedName>
    <definedName name="_________________Wr3">#REF!</definedName>
    <definedName name="_________________Xl1">#REF!</definedName>
    <definedName name="_________________xlnm.Print_Area_1">#REF!</definedName>
    <definedName name="_________________xlnm.Print_Area_13">#REF!</definedName>
    <definedName name="_________________xlnm.Print_Area_2">#REF!</definedName>
    <definedName name="_________________xlnm.Print_Area_3">#REF!</definedName>
    <definedName name="_________________xlnm.Print_Titles_1">#REF!</definedName>
    <definedName name="_________________xlnm.Print_Titles_2" localSheetId="6">(#REF!,#REF!)</definedName>
    <definedName name="_________________xlnm.Print_Titles_2" localSheetId="27">(#REF!,#REF!)</definedName>
    <definedName name="_________________xlnm.Print_Titles_2">(#REF!,#REF!)</definedName>
    <definedName name="_________________xlnm.Print_Titles_3" localSheetId="6">(#REF!,#REF!)</definedName>
    <definedName name="_________________xlnm.Print_Titles_3" localSheetId="29">(#REF!,#REF!)</definedName>
    <definedName name="_________________xlnm.Print_Titles_3" localSheetId="26">(#REF!,#REF!)</definedName>
    <definedName name="_________________xlnm.Print_Titles_3">(#REF!,#REF!)</definedName>
    <definedName name="________________a1">#REF!</definedName>
    <definedName name="________________a5">#N/A</definedName>
    <definedName name="________________a6">#N/A</definedName>
    <definedName name="________________A655600">#REF!</definedName>
    <definedName name="________________A71614" localSheetId="24">#REF!</definedName>
    <definedName name="________________A71614">#REF!</definedName>
    <definedName name="________________A81614" localSheetId="24">#REF!</definedName>
    <definedName name="________________A81614">#REF!</definedName>
    <definedName name="________________A91614" localSheetId="24">#REF!</definedName>
    <definedName name="________________A91614">#REF!</definedName>
    <definedName name="________________aa1" localSheetId="12" hidden="1">{"'PROFITABILITY'!$A$1:$F$45"}</definedName>
    <definedName name="________________aa1" localSheetId="6" hidden="1">{"'PROFITABILITY'!$A$1:$F$45"}</definedName>
    <definedName name="________________aa1" localSheetId="29" hidden="1">{"'PROFITABILITY'!$A$1:$F$45"}</definedName>
    <definedName name="________________aa1" localSheetId="27" hidden="1">{"'PROFITABILITY'!$A$1:$F$45"}</definedName>
    <definedName name="________________aa1" localSheetId="4" hidden="1">{"'PROFITABILITY'!$A$1:$F$45"}</definedName>
    <definedName name="________________aa1" localSheetId="32" hidden="1">{"'PROFITABILITY'!$A$1:$F$45"}</definedName>
    <definedName name="________________aa1" localSheetId="24" hidden="1">{"'PROFITABILITY'!$A$1:$F$45"}</definedName>
    <definedName name="________________aa1" localSheetId="26" hidden="1">{"'PROFITABILITY'!$A$1:$F$45"}</definedName>
    <definedName name="________________aa1" hidden="1">{"'PROFITABILITY'!$A$1:$F$45"}</definedName>
    <definedName name="________________aba2">#REF!</definedName>
    <definedName name="________________acs1">#REF!</definedName>
    <definedName name="________________acs2">#REF!</definedName>
    <definedName name="________________AHP1">#REF!</definedName>
    <definedName name="________________axx1">#REF!</definedName>
    <definedName name="________________axx2">#REF!</definedName>
    <definedName name="________________axx3">#REF!</definedName>
    <definedName name="________________axx4">#REF!</definedName>
    <definedName name="________________axx5">#REF!</definedName>
    <definedName name="________________axx6">#REF!</definedName>
    <definedName name="________________axx7">#REF!</definedName>
    <definedName name="________________axx8">#REF!</definedName>
    <definedName name="________________b111121" localSheetId="12">#REF!</definedName>
    <definedName name="________________b111121">#REF!</definedName>
    <definedName name="________________B18000">#REF!</definedName>
    <definedName name="________________B30000">#REF!</definedName>
    <definedName name="________________B32000">#REF!</definedName>
    <definedName name="________________BAA1">#REF!</definedName>
    <definedName name="________________bom1">#REF!</definedName>
    <definedName name="________________BoQ4">#REF!</definedName>
    <definedName name="________________CAN112">13.42</definedName>
    <definedName name="________________CAN113">12.98</definedName>
    <definedName name="________________CAN117">12.7</definedName>
    <definedName name="________________CAN118">13.27</definedName>
    <definedName name="________________CAN120">11.72</definedName>
    <definedName name="________________CAN2">#N/A</definedName>
    <definedName name="________________CAN210">10.38</definedName>
    <definedName name="________________CAN211">10.58</definedName>
    <definedName name="________________CAN213">10.56</definedName>
    <definedName name="________________CAN215">10.22</definedName>
    <definedName name="________________CAN216">9.61</definedName>
    <definedName name="________________CAN217">10.47</definedName>
    <definedName name="________________CAN219">10.91</definedName>
    <definedName name="________________CAN220">11.09</definedName>
    <definedName name="________________CAN221">11.25</definedName>
    <definedName name="________________CAN222">10.17</definedName>
    <definedName name="________________CAN223">9.89</definedName>
    <definedName name="________________CAN230">10.79</definedName>
    <definedName name="________________can421">40.2</definedName>
    <definedName name="________________can422">41.57</definedName>
    <definedName name="________________can423">43.9</definedName>
    <definedName name="________________can424">41.19</definedName>
    <definedName name="________________can425">42.81</definedName>
    <definedName name="________________can426">40.77</definedName>
    <definedName name="________________can427">40.92</definedName>
    <definedName name="________________can428">39.29</definedName>
    <definedName name="________________can429">45.19</definedName>
    <definedName name="________________can430">40.73</definedName>
    <definedName name="________________can431">42.52</definedName>
    <definedName name="________________can432">42.53</definedName>
    <definedName name="________________can433">43.69</definedName>
    <definedName name="________________can434">40.43</definedName>
    <definedName name="________________can435">43.3</definedName>
    <definedName name="________________CAN9">#N/A</definedName>
    <definedName name="________________CCT220">#REF!</definedName>
    <definedName name="________________CFB1">#REF!</definedName>
    <definedName name="________________CFB2">#REF!</definedName>
    <definedName name="________________CFB3">#REF!</definedName>
    <definedName name="________________col33">#REF!</definedName>
    <definedName name="________________CVT220">#REF!</definedName>
    <definedName name="________________d5">#N/A</definedName>
    <definedName name="________________DAT1">#REF!</definedName>
    <definedName name="________________DAT10">#REF!</definedName>
    <definedName name="________________DAT11">#REF!</definedName>
    <definedName name="________________DAT12">#REF!</definedName>
    <definedName name="________________DAT13">#REF!</definedName>
    <definedName name="________________DAT14">#REF!</definedName>
    <definedName name="________________DAT15">#REF!</definedName>
    <definedName name="________________DAT16">#REF!</definedName>
    <definedName name="________________DAT2">#REF!</definedName>
    <definedName name="________________DAT3">#REF!</definedName>
    <definedName name="________________DAT4">#REF!</definedName>
    <definedName name="________________DAT5">#REF!</definedName>
    <definedName name="________________DAT6">#REF!</definedName>
    <definedName name="________________DAT7">#REF!</definedName>
    <definedName name="________________DAT8">#REF!</definedName>
    <definedName name="________________DAT9">#REF!</definedName>
    <definedName name="________________del1">#REF!</definedName>
    <definedName name="________________DET1">#REF!</definedName>
    <definedName name="________________DET2">#REF!</definedName>
    <definedName name="________________DET3">#REF!</definedName>
    <definedName name="________________DET4">#REF!</definedName>
    <definedName name="________________DET5">#REF!</definedName>
    <definedName name="________________DET6">#REF!</definedName>
    <definedName name="________________DIS1">#REF!</definedName>
    <definedName name="________________dol12" localSheetId="6">#REF!</definedName>
    <definedName name="________________dol12" localSheetId="29">#REF!</definedName>
    <definedName name="________________dol12" localSheetId="24">#REF!</definedName>
    <definedName name="________________dol12" localSheetId="26">#REF!</definedName>
    <definedName name="________________dol12">#REF!</definedName>
    <definedName name="________________dol6" localSheetId="6">#REF!</definedName>
    <definedName name="________________dol6" localSheetId="29">#REF!</definedName>
    <definedName name="________________dol6" localSheetId="26">#REF!</definedName>
    <definedName name="________________dol6">#REF!</definedName>
    <definedName name="________________drg1">#REF!</definedName>
    <definedName name="________________drg2">#REF!</definedName>
    <definedName name="________________f1">#REF!</definedName>
    <definedName name="________________Fpi1">#REF!</definedName>
    <definedName name="________________g1" localSheetId="12">#REF!</definedName>
    <definedName name="________________g1">#REF!</definedName>
    <definedName name="________________HCO2">#REF!</definedName>
    <definedName name="________________hfi1">#REF!</definedName>
    <definedName name="________________hfi2">#REF!</definedName>
    <definedName name="________________hfi3">#REF!</definedName>
    <definedName name="________________hfi4">#REF!</definedName>
    <definedName name="________________hfi5">#REF!</definedName>
    <definedName name="________________hfi6">#REF!</definedName>
    <definedName name="________________hfi7">#REF!</definedName>
    <definedName name="________________hfi8">#REF!</definedName>
    <definedName name="________________Hra2">#REF!</definedName>
    <definedName name="________________Hso2">#REF!</definedName>
    <definedName name="________________Hso3">#REF!</definedName>
    <definedName name="________________hxa1">#REF!</definedName>
    <definedName name="________________hxa2">#REF!</definedName>
    <definedName name="________________hxb1">#REF!</definedName>
    <definedName name="________________hxb2">#REF!</definedName>
    <definedName name="________________hxc1">#REF!</definedName>
    <definedName name="________________hxc2">#REF!</definedName>
    <definedName name="________________hxd1">#REF!</definedName>
    <definedName name="________________IDA1" localSheetId="6">#REF!</definedName>
    <definedName name="________________IDA1">#REF!</definedName>
    <definedName name="________________ifa1">#REF!</definedName>
    <definedName name="________________ifa2">#REF!</definedName>
    <definedName name="________________in18900">#REF!</definedName>
    <definedName name="________________INT1">#REF!</definedName>
    <definedName name="________________Ism3">#REF!</definedName>
    <definedName name="________________ISO220">#REF!</definedName>
    <definedName name="________________iv19000">#REF!</definedName>
    <definedName name="________________kd1">#REF!</definedName>
    <definedName name="________________kd2">#REF!</definedName>
    <definedName name="________________kd3">#REF!</definedName>
    <definedName name="________________KEY3" localSheetId="12" hidden="1">#REF!</definedName>
    <definedName name="________________KEY3" hidden="1">#REF!</definedName>
    <definedName name="________________Ki1">#REF!</definedName>
    <definedName name="________________Ki2">#REF!</definedName>
    <definedName name="________________lb1">#REF!</definedName>
    <definedName name="________________lb2">#REF!</definedName>
    <definedName name="________________LMH1">#REF!</definedName>
    <definedName name="________________LMH2">#REF!</definedName>
    <definedName name="________________m20">#REF!</definedName>
    <definedName name="________________m234" localSheetId="12">#REF!</definedName>
    <definedName name="________________m234">#REF!</definedName>
    <definedName name="________________MAN1">#REF!</definedName>
    <definedName name="________________mcl132">#REF!</definedName>
    <definedName name="________________ml3">#REF!</definedName>
    <definedName name="________________ml33">#REF!</definedName>
    <definedName name="________________mlc33">#REF!</definedName>
    <definedName name="________________mm1">#REF!</definedName>
    <definedName name="________________mm2">#REF!</definedName>
    <definedName name="________________mm3">#REF!</definedName>
    <definedName name="________________MMB220">#REF!</definedName>
    <definedName name="________________new1">#REF!</definedName>
    <definedName name="________________Nov2007" localSheetId="12" hidden="1">{"'PROFITABILITY'!$A$1:$F$45"}</definedName>
    <definedName name="________________Nov2007" localSheetId="6" hidden="1">{"'PROFITABILITY'!$A$1:$F$45"}</definedName>
    <definedName name="________________Nov2007" localSheetId="29" hidden="1">{"'PROFITABILITY'!$A$1:$F$45"}</definedName>
    <definedName name="________________Nov2007" localSheetId="27" hidden="1">{"'PROFITABILITY'!$A$1:$F$45"}</definedName>
    <definedName name="________________Nov2007" localSheetId="4" hidden="1">{"'PROFITABILITY'!$A$1:$F$45"}</definedName>
    <definedName name="________________Nov2007" localSheetId="32" hidden="1">{"'PROFITABILITY'!$A$1:$F$45"}</definedName>
    <definedName name="________________Nov2007" localSheetId="24" hidden="1">{"'PROFITABILITY'!$A$1:$F$45"}</definedName>
    <definedName name="________________Nov2007" localSheetId="26" hidden="1">{"'PROFITABILITY'!$A$1:$F$45"}</definedName>
    <definedName name="________________Nov2007" hidden="1">{"'PROFITABILITY'!$A$1:$F$45"}</definedName>
    <definedName name="________________OPT8">#N/A</definedName>
    <definedName name="________________OPT9">#N/A</definedName>
    <definedName name="________________out2">#REF!</definedName>
    <definedName name="________________PB1">#REF!</definedName>
    <definedName name="________________pep99">#REF!</definedName>
    <definedName name="________________pfi1">#REF!</definedName>
    <definedName name="________________pp1">#REF!</definedName>
    <definedName name="________________pp2">#REF!</definedName>
    <definedName name="________________rcu2">#REF!</definedName>
    <definedName name="________________Re1">#REF!</definedName>
    <definedName name="________________Rl1">#REF!</definedName>
    <definedName name="________________Rs1">#REF!</definedName>
    <definedName name="________________run1">#REF!</definedName>
    <definedName name="________________run2">#REF!</definedName>
    <definedName name="________________run3">#REF!</definedName>
    <definedName name="________________sch2">#REF!</definedName>
    <definedName name="________________sch9">#REF!</definedName>
    <definedName name="________________SS402">#REF!</definedName>
    <definedName name="________________SS403">#REF!</definedName>
    <definedName name="________________SS404">#REF!</definedName>
    <definedName name="________________SS405">#REF!</definedName>
    <definedName name="________________SS406">#REF!</definedName>
    <definedName name="________________SS407">#REF!</definedName>
    <definedName name="________________SS408">#REF!</definedName>
    <definedName name="________________SS409">#REF!</definedName>
    <definedName name="________________SS423">#REF!</definedName>
    <definedName name="________________SS424">#REF!</definedName>
    <definedName name="________________TAB1" localSheetId="12">#REF!</definedName>
    <definedName name="________________TAB1">#REF!</definedName>
    <definedName name="________________Tk1">#REF!</definedName>
    <definedName name="________________Tk2">#REF!</definedName>
    <definedName name="________________Tkl1">#REF!</definedName>
    <definedName name="________________tl1">#REF!</definedName>
    <definedName name="________________tl2">#REF!</definedName>
    <definedName name="________________Vf1">#REF!</definedName>
    <definedName name="________________Vf2">#REF!</definedName>
    <definedName name="________________vr1">#REF!</definedName>
    <definedName name="________________VS2004" hidden="1">#REF!</definedName>
    <definedName name="________________Wc1">#REF!</definedName>
    <definedName name="________________WC3">#REF!</definedName>
    <definedName name="________________wp1">#REF!</definedName>
    <definedName name="________________Wr1">#REF!</definedName>
    <definedName name="________________Wr3">#REF!</definedName>
    <definedName name="________________Xl1">#REF!</definedName>
    <definedName name="________________xlnm.Print_Area_1">#REF!</definedName>
    <definedName name="________________xlnm.Print_Area_13">#REF!</definedName>
    <definedName name="________________xlnm.Print_Area_2">#REF!</definedName>
    <definedName name="________________xlnm.Print_Area_3">#REF!</definedName>
    <definedName name="________________xlnm.Print_Titles_1">#REF!</definedName>
    <definedName name="________________xlnm.Print_Titles_2" localSheetId="6">(#REF!,#REF!)</definedName>
    <definedName name="________________xlnm.Print_Titles_2" localSheetId="27">(#REF!,#REF!)</definedName>
    <definedName name="________________xlnm.Print_Titles_2">(#REF!,#REF!)</definedName>
    <definedName name="________________xlnm.Print_Titles_3" localSheetId="6">(#REF!,#REF!)</definedName>
    <definedName name="________________xlnm.Print_Titles_3" localSheetId="29">(#REF!,#REF!)</definedName>
    <definedName name="________________xlnm.Print_Titles_3" localSheetId="26">(#REF!,#REF!)</definedName>
    <definedName name="________________xlnm.Print_Titles_3">(#REF!,#REF!)</definedName>
    <definedName name="_______________a1">#REF!</definedName>
    <definedName name="_______________a5">#REF!</definedName>
    <definedName name="_______________a6">#REF!</definedName>
    <definedName name="_______________A655600">#REF!</definedName>
    <definedName name="_______________A71614" localSheetId="24">#REF!</definedName>
    <definedName name="_______________A71614">#REF!</definedName>
    <definedName name="_______________A81614" localSheetId="24">#REF!</definedName>
    <definedName name="_______________A81614">#REF!</definedName>
    <definedName name="_______________A91614" localSheetId="24">#REF!</definedName>
    <definedName name="_______________A91614">#REF!</definedName>
    <definedName name="_______________aba2">#REF!</definedName>
    <definedName name="_______________acs1">#REF!</definedName>
    <definedName name="_______________acs2">#REF!</definedName>
    <definedName name="_______________AHP1">#REF!</definedName>
    <definedName name="_______________axx1">#REF!</definedName>
    <definedName name="_______________axx2">#REF!</definedName>
    <definedName name="_______________axx3">#REF!</definedName>
    <definedName name="_______________AXX4">#REF!</definedName>
    <definedName name="_______________axx5">#REF!</definedName>
    <definedName name="_______________axx6">#REF!</definedName>
    <definedName name="_______________AXX7">#REF!</definedName>
    <definedName name="_______________axx8">#REF!</definedName>
    <definedName name="_______________b111121" localSheetId="12">#REF!</definedName>
    <definedName name="_______________b111121">#REF!</definedName>
    <definedName name="_______________B18000">#REF!</definedName>
    <definedName name="_______________B30000">#REF!</definedName>
    <definedName name="_______________B32000">#REF!</definedName>
    <definedName name="_______________BAA1">#REF!</definedName>
    <definedName name="_______________bhh2">#REF!</definedName>
    <definedName name="_______________bom1">#REF!</definedName>
    <definedName name="_______________CAN112">13.42</definedName>
    <definedName name="_______________CAN113">12.98</definedName>
    <definedName name="_______________CAN117">12.7</definedName>
    <definedName name="_______________CAN118">13.27</definedName>
    <definedName name="_______________CAN120">11.72</definedName>
    <definedName name="_______________CAN2">#N/A</definedName>
    <definedName name="_______________CAN210">10.38</definedName>
    <definedName name="_______________CAN211">10.58</definedName>
    <definedName name="_______________CAN213">10.56</definedName>
    <definedName name="_______________CAN215">10.22</definedName>
    <definedName name="_______________CAN216">9.61</definedName>
    <definedName name="_______________CAN217">10.47</definedName>
    <definedName name="_______________CAN219">10.91</definedName>
    <definedName name="_______________CAN220">11.09</definedName>
    <definedName name="_______________CAN221">11.25</definedName>
    <definedName name="_______________CAN222">10.17</definedName>
    <definedName name="_______________CAN223">9.89</definedName>
    <definedName name="_______________CAN230">10.79</definedName>
    <definedName name="_______________can421">40.2</definedName>
    <definedName name="_______________can422">41.57</definedName>
    <definedName name="_______________can423">43.9</definedName>
    <definedName name="_______________can424">41.19</definedName>
    <definedName name="_______________can425">42.81</definedName>
    <definedName name="_______________can426">40.77</definedName>
    <definedName name="_______________can427">40.92</definedName>
    <definedName name="_______________can428">39.29</definedName>
    <definedName name="_______________can429">45.19</definedName>
    <definedName name="_______________can430">40.73</definedName>
    <definedName name="_______________can431">42.52</definedName>
    <definedName name="_______________can432">42.53</definedName>
    <definedName name="_______________can433">43.69</definedName>
    <definedName name="_______________can434">40.43</definedName>
    <definedName name="_______________can435">43.3</definedName>
    <definedName name="_______________CAN9">#N/A</definedName>
    <definedName name="_______________CCT220">#REF!</definedName>
    <definedName name="_______________cdd2">#REF!</definedName>
    <definedName name="_______________CFB1">#REF!</definedName>
    <definedName name="_______________CFB2">#REF!</definedName>
    <definedName name="_______________CFB3">#REF!</definedName>
    <definedName name="_______________cff2">#REF!</definedName>
    <definedName name="_______________col33">#REF!</definedName>
    <definedName name="_______________cth2">#REF!</definedName>
    <definedName name="_______________CVT220">#REF!</definedName>
    <definedName name="_______________d5">#REF!</definedName>
    <definedName name="_______________DAT1">#REF!</definedName>
    <definedName name="_______________DAT10">#REF!</definedName>
    <definedName name="_______________DAT11">#REF!</definedName>
    <definedName name="_______________DAT12">#REF!</definedName>
    <definedName name="_______________DAT13">#REF!</definedName>
    <definedName name="_______________DAT14">#REF!</definedName>
    <definedName name="_______________DAT15">#REF!</definedName>
    <definedName name="_______________DAT16">#REF!</definedName>
    <definedName name="_______________DAT2">#REF!</definedName>
    <definedName name="_______________DAT3">#REF!</definedName>
    <definedName name="_______________DAT4">#REF!</definedName>
    <definedName name="_______________DAT5">#REF!</definedName>
    <definedName name="_______________DAT6">#REF!</definedName>
    <definedName name="_______________DAT7">#REF!</definedName>
    <definedName name="_______________DAT8">#REF!</definedName>
    <definedName name="_______________DAT9">#REF!</definedName>
    <definedName name="_______________del1">#REF!</definedName>
    <definedName name="_______________DET1">#REF!</definedName>
    <definedName name="_______________DET2">#REF!</definedName>
    <definedName name="_______________DET3">#REF!</definedName>
    <definedName name="_______________DET4">#REF!</definedName>
    <definedName name="_______________DET5">#REF!</definedName>
    <definedName name="_______________DET6">#REF!</definedName>
    <definedName name="_______________DIS1">#REF!</definedName>
    <definedName name="_______________dol12" localSheetId="6">#REF!</definedName>
    <definedName name="_______________dol12" localSheetId="29">#REF!</definedName>
    <definedName name="_______________dol12" localSheetId="24">#REF!</definedName>
    <definedName name="_______________dol12" localSheetId="26">#REF!</definedName>
    <definedName name="_______________dol12">#REF!</definedName>
    <definedName name="_______________dol6" localSheetId="6">#REF!</definedName>
    <definedName name="_______________dol6" localSheetId="29">#REF!</definedName>
    <definedName name="_______________dol6" localSheetId="26">#REF!</definedName>
    <definedName name="_______________dol6">#REF!</definedName>
    <definedName name="_______________drg1">#REF!</definedName>
    <definedName name="_______________drg2">#REF!</definedName>
    <definedName name="_______________eth2">#REF!</definedName>
    <definedName name="_______________f1">#REF!</definedName>
    <definedName name="_______________Fpi1">#REF!</definedName>
    <definedName name="_______________HCO2">#REF!</definedName>
    <definedName name="_______________hfi1">#REF!</definedName>
    <definedName name="_______________hfi2">#REF!</definedName>
    <definedName name="_______________hfi3">#REF!</definedName>
    <definedName name="_______________hfi4">#REF!</definedName>
    <definedName name="_______________hfi5">#REF!</definedName>
    <definedName name="_______________hfi6">#REF!</definedName>
    <definedName name="_______________HFI7">#REF!</definedName>
    <definedName name="_______________hfi8">#REF!</definedName>
    <definedName name="_______________Hra2">#REF!</definedName>
    <definedName name="_______________Hso2">#REF!</definedName>
    <definedName name="_______________Hso3">#REF!</definedName>
    <definedName name="_______________hxa1">#REF!</definedName>
    <definedName name="_______________hxa2">#REF!</definedName>
    <definedName name="_______________hxb1">#REF!</definedName>
    <definedName name="_______________hxb2">#REF!</definedName>
    <definedName name="_______________hxc1">#REF!</definedName>
    <definedName name="_______________hxc2">#REF!</definedName>
    <definedName name="_______________hxd1">#REF!</definedName>
    <definedName name="_______________IDA1" localSheetId="6">#REF!</definedName>
    <definedName name="_______________IDA1">#REF!</definedName>
    <definedName name="_______________ifa1">#REF!</definedName>
    <definedName name="_______________ifa2">#REF!</definedName>
    <definedName name="_______________in18900">#REF!</definedName>
    <definedName name="_______________INT1">#REF!</definedName>
    <definedName name="_______________Ism3">#REF!</definedName>
    <definedName name="_______________ISO220">#REF!</definedName>
    <definedName name="_______________iv19000">#REF!</definedName>
    <definedName name="_______________kd1">#REF!</definedName>
    <definedName name="_______________kd2">#REF!</definedName>
    <definedName name="_______________kd3">#REF!</definedName>
    <definedName name="_______________KEY3" localSheetId="12" hidden="1">#REF!</definedName>
    <definedName name="_______________KEY3" hidden="1">#REF!</definedName>
    <definedName name="_______________Ki1">#REF!</definedName>
    <definedName name="_______________Ki2">#REF!</definedName>
    <definedName name="_______________LMH1">#REF!</definedName>
    <definedName name="_______________LMH2">#REF!</definedName>
    <definedName name="_______________m20">#REF!</definedName>
    <definedName name="_______________m234" localSheetId="12">#REF!</definedName>
    <definedName name="_______________m234">#REF!</definedName>
    <definedName name="_______________MAN1">#REF!</definedName>
    <definedName name="_______________mcl132">#REF!</definedName>
    <definedName name="_______________ml3">#REF!</definedName>
    <definedName name="_______________ml33">#REF!</definedName>
    <definedName name="_______________mlc33">#REF!</definedName>
    <definedName name="_______________MMB220">#REF!</definedName>
    <definedName name="_______________new1">#REF!</definedName>
    <definedName name="_______________OPT8">#N/A</definedName>
    <definedName name="_______________OPT9">#N/A</definedName>
    <definedName name="_______________out2">#REF!</definedName>
    <definedName name="_______________PB1">#REF!</definedName>
    <definedName name="_______________pep99">#REF!</definedName>
    <definedName name="_______________pfi1">#REF!</definedName>
    <definedName name="_______________pp1">#REF!</definedName>
    <definedName name="_______________pp2">#REF!</definedName>
    <definedName name="_______________rcu2">#REF!</definedName>
    <definedName name="_______________Re1">#REF!</definedName>
    <definedName name="_______________Rl1">#REF!</definedName>
    <definedName name="_______________Rs1">#REF!</definedName>
    <definedName name="_______________rt1">#REF!</definedName>
    <definedName name="_______________rt2">#REF!</definedName>
    <definedName name="_______________rt3">#REF!</definedName>
    <definedName name="_______________run1">#REF!</definedName>
    <definedName name="_______________run2">#REF!</definedName>
    <definedName name="_______________run3">#REF!</definedName>
    <definedName name="_______________sch2">#REF!</definedName>
    <definedName name="_______________sch9">#REF!</definedName>
    <definedName name="_______________SS402">#REF!</definedName>
    <definedName name="_______________SS403">#REF!</definedName>
    <definedName name="_______________SS404">#REF!</definedName>
    <definedName name="_______________SS405">#REF!</definedName>
    <definedName name="_______________SS406">#REF!</definedName>
    <definedName name="_______________SS407">#REF!</definedName>
    <definedName name="_______________SS408">#REF!</definedName>
    <definedName name="_______________SS409">#REF!</definedName>
    <definedName name="_______________SS423">#REF!</definedName>
    <definedName name="_______________SS424">#REF!</definedName>
    <definedName name="_______________TAB1" localSheetId="12">#REF!</definedName>
    <definedName name="_______________TAB1">#REF!</definedName>
    <definedName name="_______________Tk1">#REF!</definedName>
    <definedName name="_______________Tk11">#REF!</definedName>
    <definedName name="_______________Tk2">#REF!</definedName>
    <definedName name="_______________Tkl1">#REF!</definedName>
    <definedName name="_______________tl1">#REF!</definedName>
    <definedName name="_______________tl2">#REF!</definedName>
    <definedName name="_______________vf1">#REF!</definedName>
    <definedName name="_______________vf2">#REF!</definedName>
    <definedName name="_______________vr1">#REF!</definedName>
    <definedName name="_______________VS2004" hidden="1">#REF!</definedName>
    <definedName name="_______________Wc1">#REF!</definedName>
    <definedName name="_______________WC3">#REF!</definedName>
    <definedName name="_______________wp1">#REF!</definedName>
    <definedName name="_______________Wr1">#REF!</definedName>
    <definedName name="_______________Wr3">#REF!</definedName>
    <definedName name="_______________Xl1">#REF!</definedName>
    <definedName name="_______________xlnm.Print_Area_1">#REF!</definedName>
    <definedName name="_______________xlnm.Print_Area_13">#REF!</definedName>
    <definedName name="_______________xlnm.Print_Area_2">#REF!</definedName>
    <definedName name="_______________xlnm.Print_Area_3">#REF!</definedName>
    <definedName name="_______________xlnm.Print_Titles_1">#REF!</definedName>
    <definedName name="_______________xlnm.Print_Titles_2" localSheetId="6">(#REF!,#REF!)</definedName>
    <definedName name="_______________xlnm.Print_Titles_2" localSheetId="29">(#REF!,#REF!)</definedName>
    <definedName name="_______________xlnm.Print_Titles_2" localSheetId="24">(#REF!,#REF!)</definedName>
    <definedName name="_______________xlnm.Print_Titles_2" localSheetId="26">(#REF!,#REF!)</definedName>
    <definedName name="_______________xlnm.Print_Titles_2">(#REF!,#REF!)</definedName>
    <definedName name="_______________xlnm.Print_Titles_3" localSheetId="6">(#REF!,#REF!)</definedName>
    <definedName name="_______________xlnm.Print_Titles_3" localSheetId="29">(#REF!,#REF!)</definedName>
    <definedName name="_______________xlnm.Print_Titles_3" localSheetId="26">(#REF!,#REF!)</definedName>
    <definedName name="_______________xlnm.Print_Titles_3">(#REF!,#REF!)</definedName>
    <definedName name="______________a1">#REF!</definedName>
    <definedName name="______________a5">#N/A</definedName>
    <definedName name="______________a6">#N/A</definedName>
    <definedName name="______________A655600">#REF!</definedName>
    <definedName name="______________A71614" localSheetId="24">#REF!</definedName>
    <definedName name="______________A71614">#REF!</definedName>
    <definedName name="______________A81614" localSheetId="24">#REF!</definedName>
    <definedName name="______________A81614">#REF!</definedName>
    <definedName name="______________A91614" localSheetId="24">#REF!</definedName>
    <definedName name="______________A91614">#REF!</definedName>
    <definedName name="______________aa1" localSheetId="12" hidden="1">{"'PROFITABILITY'!$A$1:$F$45"}</definedName>
    <definedName name="______________aa1" localSheetId="6" hidden="1">{"'PROFITABILITY'!$A$1:$F$45"}</definedName>
    <definedName name="______________aa1" localSheetId="29" hidden="1">{"'PROFITABILITY'!$A$1:$F$45"}</definedName>
    <definedName name="______________aa1" localSheetId="27" hidden="1">{"'PROFITABILITY'!$A$1:$F$45"}</definedName>
    <definedName name="______________aa1" localSheetId="4" hidden="1">{"'PROFITABILITY'!$A$1:$F$45"}</definedName>
    <definedName name="______________aa1" localSheetId="32" hidden="1">{"'PROFITABILITY'!$A$1:$F$45"}</definedName>
    <definedName name="______________aa1" localSheetId="24" hidden="1">{"'PROFITABILITY'!$A$1:$F$45"}</definedName>
    <definedName name="______________aa1" localSheetId="26" hidden="1">{"'PROFITABILITY'!$A$1:$F$45"}</definedName>
    <definedName name="______________aa1" hidden="1">{"'PROFITABILITY'!$A$1:$F$45"}</definedName>
    <definedName name="______________aba2">#REF!</definedName>
    <definedName name="______________acs1">#REF!</definedName>
    <definedName name="______________acs2">#REF!</definedName>
    <definedName name="______________AHP1">#REF!</definedName>
    <definedName name="______________axx1">#REF!</definedName>
    <definedName name="______________axx2">#REF!</definedName>
    <definedName name="______________axx3">#REF!</definedName>
    <definedName name="______________AXX4">#REF!</definedName>
    <definedName name="______________axx5">#REF!</definedName>
    <definedName name="______________axx6">#REF!</definedName>
    <definedName name="______________AXX7">#REF!</definedName>
    <definedName name="______________axx8">#REF!</definedName>
    <definedName name="______________b111121" localSheetId="12">#REF!</definedName>
    <definedName name="______________b111121">#REF!</definedName>
    <definedName name="______________B18000">#REF!</definedName>
    <definedName name="______________B30000">#REF!</definedName>
    <definedName name="______________B32000">#REF!</definedName>
    <definedName name="______________BAA1">#REF!</definedName>
    <definedName name="______________bhh2">#REF!</definedName>
    <definedName name="______________bom1">#REF!</definedName>
    <definedName name="______________BoQ4">#REF!</definedName>
    <definedName name="______________CAN112">13.42</definedName>
    <definedName name="______________CAN113">12.98</definedName>
    <definedName name="______________CAN117">12.7</definedName>
    <definedName name="______________CAN118">13.27</definedName>
    <definedName name="______________CAN120">11.72</definedName>
    <definedName name="______________CAN2">#N/A</definedName>
    <definedName name="______________CAN210">10.38</definedName>
    <definedName name="______________CAN211">10.58</definedName>
    <definedName name="______________CAN213">10.56</definedName>
    <definedName name="______________CAN215">10.22</definedName>
    <definedName name="______________CAN216">9.61</definedName>
    <definedName name="______________CAN217">10.47</definedName>
    <definedName name="______________CAN219">10.91</definedName>
    <definedName name="______________CAN220">11.09</definedName>
    <definedName name="______________CAN221">11.25</definedName>
    <definedName name="______________CAN222">10.17</definedName>
    <definedName name="______________CAN223">9.89</definedName>
    <definedName name="______________CAN230">10.79</definedName>
    <definedName name="______________can421">40.2</definedName>
    <definedName name="______________can422">41.57</definedName>
    <definedName name="______________can423">43.9</definedName>
    <definedName name="______________can424">41.19</definedName>
    <definedName name="______________can425">42.81</definedName>
    <definedName name="______________can426">40.77</definedName>
    <definedName name="______________can427">40.92</definedName>
    <definedName name="______________can428">39.29</definedName>
    <definedName name="______________can429">45.19</definedName>
    <definedName name="______________can430">40.73</definedName>
    <definedName name="______________can431">42.52</definedName>
    <definedName name="______________can432">42.53</definedName>
    <definedName name="______________can433">43.69</definedName>
    <definedName name="______________can434">40.43</definedName>
    <definedName name="______________can435">43.3</definedName>
    <definedName name="______________CAN9">#N/A</definedName>
    <definedName name="______________CCT220">#REF!</definedName>
    <definedName name="______________cdd2">#REF!</definedName>
    <definedName name="______________cem124" localSheetId="12">#REF!</definedName>
    <definedName name="______________cem124" localSheetId="27">#REF!</definedName>
    <definedName name="______________cem124">#REF!</definedName>
    <definedName name="______________CFB1">#REF!</definedName>
    <definedName name="______________CFB2">#REF!</definedName>
    <definedName name="______________CFB3">#REF!</definedName>
    <definedName name="______________cff2">#REF!</definedName>
    <definedName name="______________col33">#REF!</definedName>
    <definedName name="______________cth2">#REF!</definedName>
    <definedName name="______________CVT220">#REF!</definedName>
    <definedName name="______________d5">#REF!</definedName>
    <definedName name="______________DAT1">#REF!</definedName>
    <definedName name="______________DAT10">#REF!</definedName>
    <definedName name="______________DAT11">#REF!</definedName>
    <definedName name="______________DAT12">#REF!</definedName>
    <definedName name="______________DAT13">#REF!</definedName>
    <definedName name="______________DAT14">#REF!</definedName>
    <definedName name="______________DAT15">#REF!</definedName>
    <definedName name="______________DAT16">#REF!</definedName>
    <definedName name="______________DAT2">#REF!</definedName>
    <definedName name="______________DAT3">#REF!</definedName>
    <definedName name="______________DAT4">#REF!</definedName>
    <definedName name="______________DAT5">#REF!</definedName>
    <definedName name="______________DAT6">#REF!</definedName>
    <definedName name="______________DAT7">#REF!</definedName>
    <definedName name="______________DAT8">#REF!</definedName>
    <definedName name="______________DAT9">#REF!</definedName>
    <definedName name="______________del1">#REF!</definedName>
    <definedName name="______________DET1">#REF!</definedName>
    <definedName name="______________DET2">#REF!</definedName>
    <definedName name="______________DET3">#REF!</definedName>
    <definedName name="______________DET4">#REF!</definedName>
    <definedName name="______________DET5">#REF!</definedName>
    <definedName name="______________DET6">#REF!</definedName>
    <definedName name="______________DIS1">#REF!</definedName>
    <definedName name="______________dol12" localSheetId="6">#REF!</definedName>
    <definedName name="______________dol12" localSheetId="24">#REF!</definedName>
    <definedName name="______________dol12">#REF!</definedName>
    <definedName name="______________dol6" localSheetId="6">#REF!</definedName>
    <definedName name="______________dol6" localSheetId="29">#REF!</definedName>
    <definedName name="______________dol6" localSheetId="26">#REF!</definedName>
    <definedName name="______________dol6">#REF!</definedName>
    <definedName name="______________drg1">#REF!</definedName>
    <definedName name="______________drg2">#REF!</definedName>
    <definedName name="______________eth2">#REF!</definedName>
    <definedName name="______________f1">#REF!</definedName>
    <definedName name="______________Fpi1">#REF!</definedName>
    <definedName name="______________g1" localSheetId="12">#REF!</definedName>
    <definedName name="______________g1">#REF!</definedName>
    <definedName name="______________HCO2">#REF!</definedName>
    <definedName name="______________hfi1">#REF!</definedName>
    <definedName name="______________hfi2">#REF!</definedName>
    <definedName name="______________hfi3">#REF!</definedName>
    <definedName name="______________hfi4">#REF!</definedName>
    <definedName name="______________hfi5">#REF!</definedName>
    <definedName name="______________hfi6">#REF!</definedName>
    <definedName name="______________HFI7">#REF!</definedName>
    <definedName name="______________hfi8">#REF!</definedName>
    <definedName name="______________Hra2">#REF!</definedName>
    <definedName name="______________Hso2">#REF!</definedName>
    <definedName name="______________Hso3">#REF!</definedName>
    <definedName name="______________hxa1">#REF!</definedName>
    <definedName name="______________hxa2">#REF!</definedName>
    <definedName name="______________hxb1">#REF!</definedName>
    <definedName name="______________hxb2">#REF!</definedName>
    <definedName name="______________hxc1">#REF!</definedName>
    <definedName name="______________hxc2">#REF!</definedName>
    <definedName name="______________hxd1">#REF!</definedName>
    <definedName name="______________IDA1" localSheetId="6">#REF!</definedName>
    <definedName name="______________IDA1">#REF!</definedName>
    <definedName name="______________ifa1">#REF!</definedName>
    <definedName name="______________ifa2">#REF!</definedName>
    <definedName name="______________in18900">#REF!</definedName>
    <definedName name="______________INT1">#REF!</definedName>
    <definedName name="______________Ism3">#REF!</definedName>
    <definedName name="______________ISO220">#REF!</definedName>
    <definedName name="______________iv19000">#REF!</definedName>
    <definedName name="______________kd1">#REF!</definedName>
    <definedName name="______________kd2">#REF!</definedName>
    <definedName name="______________kd3">#REF!</definedName>
    <definedName name="______________Ki1">#REF!</definedName>
    <definedName name="______________Ki2">#REF!</definedName>
    <definedName name="______________lb1">#REF!</definedName>
    <definedName name="______________lb2">#REF!</definedName>
    <definedName name="______________LMH1">#REF!</definedName>
    <definedName name="______________LMH2">#REF!</definedName>
    <definedName name="______________m20">#REF!</definedName>
    <definedName name="______________m234" localSheetId="12">#REF!</definedName>
    <definedName name="______________m234">#REF!</definedName>
    <definedName name="______________MAN1">#REF!</definedName>
    <definedName name="______________mcl132">#REF!</definedName>
    <definedName name="______________ml3">#REF!</definedName>
    <definedName name="______________ml33">#REF!</definedName>
    <definedName name="______________mlc33">#REF!</definedName>
    <definedName name="______________mm1">#REF!</definedName>
    <definedName name="______________mm2">#REF!</definedName>
    <definedName name="______________mm3">#REF!</definedName>
    <definedName name="______________MMB220">#REF!</definedName>
    <definedName name="______________new1">#REF!</definedName>
    <definedName name="______________Nov2007" localSheetId="12" hidden="1">{"'PROFITABILITY'!$A$1:$F$45"}</definedName>
    <definedName name="______________Nov2007" localSheetId="6" hidden="1">{"'PROFITABILITY'!$A$1:$F$45"}</definedName>
    <definedName name="______________Nov2007" localSheetId="29" hidden="1">{"'PROFITABILITY'!$A$1:$F$45"}</definedName>
    <definedName name="______________Nov2007" localSheetId="27" hidden="1">{"'PROFITABILITY'!$A$1:$F$45"}</definedName>
    <definedName name="______________Nov2007" localSheetId="4" hidden="1">{"'PROFITABILITY'!$A$1:$F$45"}</definedName>
    <definedName name="______________Nov2007" localSheetId="32" hidden="1">{"'PROFITABILITY'!$A$1:$F$45"}</definedName>
    <definedName name="______________Nov2007" localSheetId="24" hidden="1">{"'PROFITABILITY'!$A$1:$F$45"}</definedName>
    <definedName name="______________Nov2007" localSheetId="26" hidden="1">{"'PROFITABILITY'!$A$1:$F$45"}</definedName>
    <definedName name="______________Nov2007" hidden="1">{"'PROFITABILITY'!$A$1:$F$45"}</definedName>
    <definedName name="______________OPT8">#N/A</definedName>
    <definedName name="______________OPT9">#N/A</definedName>
    <definedName name="______________out2">#REF!</definedName>
    <definedName name="______________PB1">#REF!</definedName>
    <definedName name="______________pep99">#REF!</definedName>
    <definedName name="______________pfi1">#REF!</definedName>
    <definedName name="______________pp1">#REF!</definedName>
    <definedName name="______________pp2">#REF!</definedName>
    <definedName name="______________rcu2">#REF!</definedName>
    <definedName name="______________Re1">#REF!</definedName>
    <definedName name="______________Rl1">#REF!</definedName>
    <definedName name="______________Rs1">#REF!</definedName>
    <definedName name="______________rt1">#REF!</definedName>
    <definedName name="______________rt2">#REF!</definedName>
    <definedName name="______________rt3">#REF!</definedName>
    <definedName name="______________run1">#REF!</definedName>
    <definedName name="______________run2">#REF!</definedName>
    <definedName name="______________run3">#REF!</definedName>
    <definedName name="______________sch2">#REF!</definedName>
    <definedName name="______________sch9">#REF!</definedName>
    <definedName name="______________SS402">#REF!</definedName>
    <definedName name="______________SS403">#REF!</definedName>
    <definedName name="______________SS404">#REF!</definedName>
    <definedName name="______________SS405">#REF!</definedName>
    <definedName name="______________SS406">#REF!</definedName>
    <definedName name="______________SS407">#REF!</definedName>
    <definedName name="______________SS408">#REF!</definedName>
    <definedName name="______________SS409">#REF!</definedName>
    <definedName name="______________SS423">#REF!</definedName>
    <definedName name="______________SS424">#REF!</definedName>
    <definedName name="______________TAB1" localSheetId="12">#REF!</definedName>
    <definedName name="______________TAB1">#REF!</definedName>
    <definedName name="______________Tk1">#REF!</definedName>
    <definedName name="______________Tk11">#REF!</definedName>
    <definedName name="______________Tk2">#REF!</definedName>
    <definedName name="______________Tkl1">#REF!</definedName>
    <definedName name="______________tl1">#REF!</definedName>
    <definedName name="______________tl2">#REF!</definedName>
    <definedName name="______________Vf1">#REF!</definedName>
    <definedName name="______________Vf2">#REF!</definedName>
    <definedName name="______________vr1">#REF!</definedName>
    <definedName name="______________VS2004" hidden="1">#REF!</definedName>
    <definedName name="______________Wc1">#REF!</definedName>
    <definedName name="______________WC3">#REF!</definedName>
    <definedName name="______________wp1">#REF!</definedName>
    <definedName name="______________Wr1">#REF!</definedName>
    <definedName name="______________Wr3">#REF!</definedName>
    <definedName name="______________Xl1">#REF!</definedName>
    <definedName name="______________xlnm._FilterDatabase_1">#REF!</definedName>
    <definedName name="______________xlnm.Print_Area_1">#REF!</definedName>
    <definedName name="______________xlnm.Print_Area_13">#REF!</definedName>
    <definedName name="______________xlnm.Print_Area_2" localSheetId="29">#REF!</definedName>
    <definedName name="______________xlnm.Print_Area_2" localSheetId="26">#REF!</definedName>
    <definedName name="______________xlnm.Print_Area_2">#REF!</definedName>
    <definedName name="______________xlnm.Print_Area_3">#REF!</definedName>
    <definedName name="______________xlnm.Print_Titles_1">#REF!</definedName>
    <definedName name="______________xlnm.Print_Titles_2" localSheetId="6">(#REF!,#REF!)</definedName>
    <definedName name="______________xlnm.Print_Titles_2" localSheetId="27">(#REF!,#REF!)</definedName>
    <definedName name="______________xlnm.Print_Titles_2">(#REF!,#REF!)</definedName>
    <definedName name="______________xlnm.Print_Titles_3" localSheetId="6">(#REF!,#REF!)</definedName>
    <definedName name="______________xlnm.Print_Titles_3" localSheetId="29">(#REF!,#REF!)</definedName>
    <definedName name="______________xlnm.Print_Titles_3" localSheetId="26">(#REF!,#REF!)</definedName>
    <definedName name="______________xlnm.Print_Titles_3">(#REF!,#REF!)</definedName>
    <definedName name="_____________a1">#REF!</definedName>
    <definedName name="_____________a5">#N/A</definedName>
    <definedName name="_____________a6">#N/A</definedName>
    <definedName name="_____________A65537">#REF!</definedName>
    <definedName name="_____________A655600">#REF!</definedName>
    <definedName name="_____________A71614" localSheetId="24">#REF!</definedName>
    <definedName name="_____________A71614">#REF!</definedName>
    <definedName name="_____________A81614" localSheetId="24">#REF!</definedName>
    <definedName name="_____________A81614">#REF!</definedName>
    <definedName name="_____________A91614" localSheetId="24">#REF!</definedName>
    <definedName name="_____________A91614">#REF!</definedName>
    <definedName name="_____________aa1" localSheetId="12" hidden="1">{"'PROFITABILITY'!$A$1:$F$45"}</definedName>
    <definedName name="_____________aa1" localSheetId="6" hidden="1">{"'PROFITABILITY'!$A$1:$F$45"}</definedName>
    <definedName name="_____________aa1" localSheetId="29" hidden="1">{"'PROFITABILITY'!$A$1:$F$45"}</definedName>
    <definedName name="_____________aa1" localSheetId="27" hidden="1">{"'PROFITABILITY'!$A$1:$F$45"}</definedName>
    <definedName name="_____________aa1" localSheetId="4" hidden="1">{"'PROFITABILITY'!$A$1:$F$45"}</definedName>
    <definedName name="_____________aa1" localSheetId="32" hidden="1">{"'PROFITABILITY'!$A$1:$F$45"}</definedName>
    <definedName name="_____________aa1" localSheetId="24" hidden="1">{"'PROFITABILITY'!$A$1:$F$45"}</definedName>
    <definedName name="_____________aa1" localSheetId="26" hidden="1">{"'PROFITABILITY'!$A$1:$F$45"}</definedName>
    <definedName name="_____________aa1" hidden="1">{"'PROFITABILITY'!$A$1:$F$45"}</definedName>
    <definedName name="_____________aba2">#REF!</definedName>
    <definedName name="_____________acs1">#REF!</definedName>
    <definedName name="_____________acs2">#REF!</definedName>
    <definedName name="_____________AHP1">#REF!</definedName>
    <definedName name="_____________axx1">#REF!</definedName>
    <definedName name="_____________axx2">#REF!</definedName>
    <definedName name="_____________axx3">#REF!</definedName>
    <definedName name="_____________AXX4">#REF!</definedName>
    <definedName name="_____________axx5">#REF!</definedName>
    <definedName name="_____________axx6">#REF!</definedName>
    <definedName name="_____________AXX7">#REF!</definedName>
    <definedName name="_____________axx8">#REF!</definedName>
    <definedName name="_____________b111121" localSheetId="12">#REF!</definedName>
    <definedName name="_____________b111121">#REF!</definedName>
    <definedName name="_____________B18000">#REF!</definedName>
    <definedName name="_____________B30000">#REF!</definedName>
    <definedName name="_____________B32000">#REF!</definedName>
    <definedName name="_____________BAA1">#REF!</definedName>
    <definedName name="_____________bhh2">#REF!</definedName>
    <definedName name="_____________bom1">#REF!</definedName>
    <definedName name="_____________CAN112">13.42</definedName>
    <definedName name="_____________CAN113">12.98</definedName>
    <definedName name="_____________CAN117">12.7</definedName>
    <definedName name="_____________CAN118">13.27</definedName>
    <definedName name="_____________CAN120">11.72</definedName>
    <definedName name="_____________CAN2">#N/A</definedName>
    <definedName name="_____________CAN210">10.38</definedName>
    <definedName name="_____________CAN211">10.58</definedName>
    <definedName name="_____________CAN213">10.56</definedName>
    <definedName name="_____________CAN215">10.22</definedName>
    <definedName name="_____________CAN216">9.61</definedName>
    <definedName name="_____________CAN217">10.47</definedName>
    <definedName name="_____________CAN219">10.91</definedName>
    <definedName name="_____________CAN220">11.09</definedName>
    <definedName name="_____________CAN221">11.25</definedName>
    <definedName name="_____________CAN222">10.17</definedName>
    <definedName name="_____________CAN223">9.89</definedName>
    <definedName name="_____________CAN230">10.79</definedName>
    <definedName name="_____________can421">40.2</definedName>
    <definedName name="_____________can422">41.57</definedName>
    <definedName name="_____________can423">43.9</definedName>
    <definedName name="_____________can424">41.19</definedName>
    <definedName name="_____________can425">42.81</definedName>
    <definedName name="_____________can426">40.77</definedName>
    <definedName name="_____________can427">40.92</definedName>
    <definedName name="_____________can428">39.29</definedName>
    <definedName name="_____________can429">45.19</definedName>
    <definedName name="_____________can430">40.73</definedName>
    <definedName name="_____________can431">42.52</definedName>
    <definedName name="_____________can432">42.53</definedName>
    <definedName name="_____________can433">43.69</definedName>
    <definedName name="_____________can434">40.43</definedName>
    <definedName name="_____________can435">43.3</definedName>
    <definedName name="_____________CAN9">#N/A</definedName>
    <definedName name="_____________CCT220">#REF!</definedName>
    <definedName name="_____________cdd2">#REF!</definedName>
    <definedName name="_____________cem124" localSheetId="12">#REF!</definedName>
    <definedName name="_____________cem124" localSheetId="27">#REF!</definedName>
    <definedName name="_____________cem124">#REF!</definedName>
    <definedName name="_____________CFB1">#REF!</definedName>
    <definedName name="_____________CFB2">#REF!</definedName>
    <definedName name="_____________CFB3">#REF!</definedName>
    <definedName name="_____________cff2">#REF!</definedName>
    <definedName name="_____________col33">#REF!</definedName>
    <definedName name="_____________cth2">#REF!</definedName>
    <definedName name="_____________CVT220">#REF!</definedName>
    <definedName name="_____________d5">#REF!</definedName>
    <definedName name="_____________DAT1">#REF!</definedName>
    <definedName name="_____________DAT10">#REF!</definedName>
    <definedName name="_____________DAT11">#REF!</definedName>
    <definedName name="_____________DAT12">#REF!</definedName>
    <definedName name="_____________DAT13">#REF!</definedName>
    <definedName name="_____________DAT14">#REF!</definedName>
    <definedName name="_____________DAT15">#REF!</definedName>
    <definedName name="_____________DAT16">#REF!</definedName>
    <definedName name="_____________DAT2">#REF!</definedName>
    <definedName name="_____________DAT3">#REF!</definedName>
    <definedName name="_____________DAT4">#REF!</definedName>
    <definedName name="_____________DAT5">#REF!</definedName>
    <definedName name="_____________DAT6">#REF!</definedName>
    <definedName name="_____________DAT7">#REF!</definedName>
    <definedName name="_____________DAT8">#REF!</definedName>
    <definedName name="_____________DAT9">#REF!</definedName>
    <definedName name="_____________dec05" localSheetId="12" hidden="1">{"'Sheet1'!$A$4386:$N$4591"}</definedName>
    <definedName name="_____________dec05" localSheetId="29" hidden="1">{"'Sheet1'!$A$4386:$N$4591"}</definedName>
    <definedName name="_____________dec05" localSheetId="27" hidden="1">{"'Sheet1'!$A$4386:$N$4591"}</definedName>
    <definedName name="_____________dec05" localSheetId="4" hidden="1">{"'Sheet1'!$A$4386:$N$4591"}</definedName>
    <definedName name="_____________dec05" localSheetId="32" hidden="1">{"'Sheet1'!$A$4386:$N$4591"}</definedName>
    <definedName name="_____________dec05" localSheetId="24" hidden="1">{"'Sheet1'!$A$4386:$N$4591"}</definedName>
    <definedName name="_____________dec05" localSheetId="26" hidden="1">{"'Sheet1'!$A$4386:$N$4591"}</definedName>
    <definedName name="_____________dec05" hidden="1">{"'Sheet1'!$A$4386:$N$4591"}</definedName>
    <definedName name="_____________del1">#REF!</definedName>
    <definedName name="_____________DET1">#REF!</definedName>
    <definedName name="_____________DET2">#REF!</definedName>
    <definedName name="_____________DET3">#REF!</definedName>
    <definedName name="_____________DET4">#REF!</definedName>
    <definedName name="_____________DET5">#REF!</definedName>
    <definedName name="_____________DET6">#REF!</definedName>
    <definedName name="_____________DIS1">#REF!</definedName>
    <definedName name="_____________dol12" localSheetId="6">#REF!</definedName>
    <definedName name="_____________dol12">#REF!</definedName>
    <definedName name="_____________dol6" localSheetId="6">#REF!</definedName>
    <definedName name="_____________dol6">#REF!</definedName>
    <definedName name="_____________drg1">#REF!</definedName>
    <definedName name="_____________drg2">#REF!</definedName>
    <definedName name="_____________eth2">#REF!</definedName>
    <definedName name="_____________f1">#REF!</definedName>
    <definedName name="_____________Fpi1">#REF!</definedName>
    <definedName name="_____________g1" localSheetId="12">#REF!</definedName>
    <definedName name="_____________g1">#REF!</definedName>
    <definedName name="_____________HCO2">#REF!</definedName>
    <definedName name="_____________hfi1">#REF!</definedName>
    <definedName name="_____________hfi2">#REF!</definedName>
    <definedName name="_____________hfi3">#REF!</definedName>
    <definedName name="_____________hfi4">#REF!</definedName>
    <definedName name="_____________hfi5">#REF!</definedName>
    <definedName name="_____________hfi6">#REF!</definedName>
    <definedName name="_____________HFI7">#REF!</definedName>
    <definedName name="_____________hfi8">#REF!</definedName>
    <definedName name="_____________Hra2">#REF!</definedName>
    <definedName name="_____________Hso2">#REF!</definedName>
    <definedName name="_____________Hso3">#REF!</definedName>
    <definedName name="_____________hxa1">#REF!</definedName>
    <definedName name="_____________hxa2">#REF!</definedName>
    <definedName name="_____________hxb1">#REF!</definedName>
    <definedName name="_____________hxb2">#REF!</definedName>
    <definedName name="_____________hxc1">#REF!</definedName>
    <definedName name="_____________hxc2">#REF!</definedName>
    <definedName name="_____________hxd1">#REF!</definedName>
    <definedName name="_____________IDA1" localSheetId="6">#REF!</definedName>
    <definedName name="_____________IDA1">#REF!</definedName>
    <definedName name="_____________ifa1">#REF!</definedName>
    <definedName name="_____________ifa2">#REF!</definedName>
    <definedName name="_____________in18900">#REF!</definedName>
    <definedName name="_____________INT1">#REF!</definedName>
    <definedName name="_____________Ism3">#REF!</definedName>
    <definedName name="_____________ISO220">#REF!</definedName>
    <definedName name="_____________iv19000">#REF!</definedName>
    <definedName name="_____________kd1">#REF!</definedName>
    <definedName name="_____________kd2">#REF!</definedName>
    <definedName name="_____________kd3">#REF!</definedName>
    <definedName name="_____________Ki1">#REF!</definedName>
    <definedName name="_____________Ki2">#REF!</definedName>
    <definedName name="_____________lb1">#REF!</definedName>
    <definedName name="_____________lb2">#REF!</definedName>
    <definedName name="_____________LMH1">#REF!</definedName>
    <definedName name="_____________LMH2">#REF!</definedName>
    <definedName name="_____________m20">#REF!</definedName>
    <definedName name="_____________m234" localSheetId="12">#REF!</definedName>
    <definedName name="_____________m234">#REF!</definedName>
    <definedName name="_____________mac2">200</definedName>
    <definedName name="_____________MAN1">#REF!</definedName>
    <definedName name="_____________mcl132">#REF!</definedName>
    <definedName name="_____________mix10">4.5</definedName>
    <definedName name="_____________mix15">264/50</definedName>
    <definedName name="_____________mix20">330/50</definedName>
    <definedName name="_____________mix30">350/50</definedName>
    <definedName name="_____________mix40">450/50</definedName>
    <definedName name="_____________ml3">#REF!</definedName>
    <definedName name="_____________ml33">#REF!</definedName>
    <definedName name="_____________mlc33">#REF!</definedName>
    <definedName name="_____________mm1" localSheetId="27">#REF!</definedName>
    <definedName name="_____________mm1">#REF!</definedName>
    <definedName name="_____________mm2" localSheetId="27">#REF!</definedName>
    <definedName name="_____________mm2">#REF!</definedName>
    <definedName name="_____________mm3" localSheetId="27">#REF!</definedName>
    <definedName name="_____________mm3">#REF!</definedName>
    <definedName name="_____________MMB220">#REF!</definedName>
    <definedName name="_____________new1">#REF!</definedName>
    <definedName name="_____________Nov2007" localSheetId="12" hidden="1">{"'PROFITABILITY'!$A$1:$F$45"}</definedName>
    <definedName name="_____________Nov2007" localSheetId="6" hidden="1">{"'PROFITABILITY'!$A$1:$F$45"}</definedName>
    <definedName name="_____________Nov2007" localSheetId="29" hidden="1">{"'PROFITABILITY'!$A$1:$F$45"}</definedName>
    <definedName name="_____________Nov2007" localSheetId="27" hidden="1">{"'PROFITABILITY'!$A$1:$F$45"}</definedName>
    <definedName name="_____________Nov2007" localSheetId="4" hidden="1">{"'PROFITABILITY'!$A$1:$F$45"}</definedName>
    <definedName name="_____________Nov2007" localSheetId="32" hidden="1">{"'PROFITABILITY'!$A$1:$F$45"}</definedName>
    <definedName name="_____________Nov2007" localSheetId="24" hidden="1">{"'PROFITABILITY'!$A$1:$F$45"}</definedName>
    <definedName name="_____________Nov2007" localSheetId="26" hidden="1">{"'PROFITABILITY'!$A$1:$F$45"}</definedName>
    <definedName name="_____________Nov2007" hidden="1">{"'PROFITABILITY'!$A$1:$F$45"}</definedName>
    <definedName name="_____________OPT8">#N/A</definedName>
    <definedName name="_____________OPT9">#N/A</definedName>
    <definedName name="_____________out2">#REF!</definedName>
    <definedName name="_____________PB1">#REF!</definedName>
    <definedName name="_____________pep99">#REF!</definedName>
    <definedName name="_____________pfi1">#REF!</definedName>
    <definedName name="_____________pp1">#REF!</definedName>
    <definedName name="_____________pp2">#REF!</definedName>
    <definedName name="_____________rcu2">#REF!</definedName>
    <definedName name="_____________Re1">#REF!</definedName>
    <definedName name="_____________Rl1">#REF!</definedName>
    <definedName name="_____________Rs1">#REF!</definedName>
    <definedName name="_____________rt1">#REF!</definedName>
    <definedName name="_____________rt2">#REF!</definedName>
    <definedName name="_____________rt3">#REF!</definedName>
    <definedName name="_____________run1">#REF!</definedName>
    <definedName name="_____________run2">#REF!</definedName>
    <definedName name="_____________run3">#REF!</definedName>
    <definedName name="_____________sch2">#REF!</definedName>
    <definedName name="_____________sch9">#REF!</definedName>
    <definedName name="_____________sh1">90</definedName>
    <definedName name="_____________sh2">120</definedName>
    <definedName name="_____________sh3">150</definedName>
    <definedName name="_____________sh4">180</definedName>
    <definedName name="_____________SS402">#REF!</definedName>
    <definedName name="_____________SS403">#REF!</definedName>
    <definedName name="_____________SS404">#REF!</definedName>
    <definedName name="_____________SS405">#REF!</definedName>
    <definedName name="_____________SS406">#REF!</definedName>
    <definedName name="_____________SS407">#REF!</definedName>
    <definedName name="_____________SS408">#REF!</definedName>
    <definedName name="_____________SS409">#REF!</definedName>
    <definedName name="_____________SS423">#REF!</definedName>
    <definedName name="_____________SS424">#REF!</definedName>
    <definedName name="_____________tab1" localSheetId="27">#REF!</definedName>
    <definedName name="_____________tab1" localSheetId="4">#REF!</definedName>
    <definedName name="_____________tab1" localSheetId="32">#REF!</definedName>
    <definedName name="_____________tab1">#REF!</definedName>
    <definedName name="_____________tab2" localSheetId="27">#REF!</definedName>
    <definedName name="_____________tab2">#REF!</definedName>
    <definedName name="_____________Tk1">#REF!</definedName>
    <definedName name="_____________Tk11">#REF!</definedName>
    <definedName name="_____________Tk2">#REF!</definedName>
    <definedName name="_____________Tkl1">#REF!</definedName>
    <definedName name="_____________tl1">#REF!</definedName>
    <definedName name="_____________tl2">#REF!</definedName>
    <definedName name="_____________Vf1">#REF!</definedName>
    <definedName name="_____________Vf2">#REF!</definedName>
    <definedName name="_____________vr1">#REF!</definedName>
    <definedName name="_____________VS2004" localSheetId="29" hidden="1">#REF!</definedName>
    <definedName name="_____________VS2004" localSheetId="26" hidden="1">#REF!</definedName>
    <definedName name="_____________VS2004" hidden="1">#REF!</definedName>
    <definedName name="_____________Wc1">#REF!</definedName>
    <definedName name="_____________WC3">#REF!</definedName>
    <definedName name="_____________wp1">#REF!</definedName>
    <definedName name="_____________Wr1">#REF!</definedName>
    <definedName name="_____________Wr3">#REF!</definedName>
    <definedName name="_____________Xl1">#REF!</definedName>
    <definedName name="_____________xlnm._FilterDatabase_2">#REF!</definedName>
    <definedName name="_____________xlnm.Print_Area_1" localSheetId="29">#REF!</definedName>
    <definedName name="_____________xlnm.Print_Area_1" localSheetId="26">#REF!</definedName>
    <definedName name="_____________xlnm.Print_Area_1">#REF!</definedName>
    <definedName name="_____________xlnm.Print_Area_10">#REF!</definedName>
    <definedName name="_____________xlnm.Print_Area_13">#REF!</definedName>
    <definedName name="_____________xlnm.Print_Area_2">#REF!</definedName>
    <definedName name="_____________xlnm.Print_Area_3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_xlnm.Print_Titles_1">#REF!</definedName>
    <definedName name="_____________xlnm.Print_Titles_2" localSheetId="6">(#REF!,#REF!)</definedName>
    <definedName name="_____________xlnm.Print_Titles_2" localSheetId="27">(#REF!,#REF!)</definedName>
    <definedName name="_____________xlnm.Print_Titles_2">(#REF!,#REF!)</definedName>
    <definedName name="_____________xlnm.Print_Titles_3" localSheetId="6">(#REF!,#REF!)</definedName>
    <definedName name="_____________xlnm.Print_Titles_3" localSheetId="29">(#REF!,#REF!)</definedName>
    <definedName name="_____________xlnm.Print_Titles_3" localSheetId="26">(#REF!,#REF!)</definedName>
    <definedName name="_____________xlnm.Print_Titles_3">(#REF!,#REF!)</definedName>
    <definedName name="____________a1">#REF!</definedName>
    <definedName name="____________a5">#N/A</definedName>
    <definedName name="____________a6">#N/A</definedName>
    <definedName name="____________A655600">#REF!</definedName>
    <definedName name="____________A71614" localSheetId="24">#REF!</definedName>
    <definedName name="____________A71614">#REF!</definedName>
    <definedName name="____________A81614" localSheetId="24">#REF!</definedName>
    <definedName name="____________A81614">#REF!</definedName>
    <definedName name="____________A91614" localSheetId="24">#REF!</definedName>
    <definedName name="____________A91614">#REF!</definedName>
    <definedName name="____________aa1" localSheetId="12" hidden="1">{"'PROFITABILITY'!$A$1:$F$45"}</definedName>
    <definedName name="____________aa1" localSheetId="6" hidden="1">{"'PROFITABILITY'!$A$1:$F$45"}</definedName>
    <definedName name="____________aa1" localSheetId="29" hidden="1">{"'PROFITABILITY'!$A$1:$F$45"}</definedName>
    <definedName name="____________aa1" localSheetId="27" hidden="1">{"'PROFITABILITY'!$A$1:$F$45"}</definedName>
    <definedName name="____________aa1" localSheetId="4" hidden="1">{"'PROFITABILITY'!$A$1:$F$45"}</definedName>
    <definedName name="____________aa1" localSheetId="32" hidden="1">{"'PROFITABILITY'!$A$1:$F$45"}</definedName>
    <definedName name="____________aa1" localSheetId="24" hidden="1">{"'PROFITABILITY'!$A$1:$F$45"}</definedName>
    <definedName name="____________aa1" localSheetId="26" hidden="1">{"'PROFITABILITY'!$A$1:$F$45"}</definedName>
    <definedName name="____________aa1" hidden="1">{"'PROFITABILITY'!$A$1:$F$45"}</definedName>
    <definedName name="____________aba2">#REF!</definedName>
    <definedName name="____________acs1">#REF!</definedName>
    <definedName name="____________acs2">#REF!</definedName>
    <definedName name="____________AHP1">#REF!</definedName>
    <definedName name="____________aoc1">#REF!</definedName>
    <definedName name="____________aoc2">#REF!</definedName>
    <definedName name="____________aoc3">#REF!</definedName>
    <definedName name="____________aoc4">#REF!</definedName>
    <definedName name="____________axx1">#REF!</definedName>
    <definedName name="____________axx2">#REF!</definedName>
    <definedName name="____________axx3">#REF!</definedName>
    <definedName name="____________AXX4">#REF!</definedName>
    <definedName name="____________axx5">#REF!</definedName>
    <definedName name="____________axx6">#REF!</definedName>
    <definedName name="____________AXX7">#REF!</definedName>
    <definedName name="____________axx8">#REF!</definedName>
    <definedName name="____________b111121" localSheetId="12">#REF!</definedName>
    <definedName name="____________b111121">#REF!</definedName>
    <definedName name="____________B18000">#REF!</definedName>
    <definedName name="____________B30000">#REF!</definedName>
    <definedName name="____________B32000">#REF!</definedName>
    <definedName name="____________BAA1">#REF!</definedName>
    <definedName name="____________bhh2">#REF!</definedName>
    <definedName name="____________bom1">#REF!</definedName>
    <definedName name="____________BoQ4">#REF!</definedName>
    <definedName name="____________CAN112">13.42</definedName>
    <definedName name="____________CAN113">12.98</definedName>
    <definedName name="____________CAN117">12.7</definedName>
    <definedName name="____________CAN118">13.27</definedName>
    <definedName name="____________CAN120">11.72</definedName>
    <definedName name="____________CAN2">#N/A</definedName>
    <definedName name="____________CAN210">10.38</definedName>
    <definedName name="____________CAN211">10.58</definedName>
    <definedName name="____________CAN213">10.56</definedName>
    <definedName name="____________CAN215">10.22</definedName>
    <definedName name="____________CAN216">9.61</definedName>
    <definedName name="____________CAN217">10.47</definedName>
    <definedName name="____________CAN219">10.91</definedName>
    <definedName name="____________CAN220">11.09</definedName>
    <definedName name="____________CAN221">11.25</definedName>
    <definedName name="____________CAN222">10.17</definedName>
    <definedName name="____________CAN223">9.89</definedName>
    <definedName name="____________CAN230">10.79</definedName>
    <definedName name="____________can421">40.2</definedName>
    <definedName name="____________can422">41.57</definedName>
    <definedName name="____________can423">43.9</definedName>
    <definedName name="____________can424">41.19</definedName>
    <definedName name="____________can425">42.81</definedName>
    <definedName name="____________can426">40.77</definedName>
    <definedName name="____________can427">40.92</definedName>
    <definedName name="____________can428">39.29</definedName>
    <definedName name="____________can429">45.19</definedName>
    <definedName name="____________can430">40.73</definedName>
    <definedName name="____________can431">42.52</definedName>
    <definedName name="____________can432">42.53</definedName>
    <definedName name="____________can433">43.69</definedName>
    <definedName name="____________can434">40.43</definedName>
    <definedName name="____________can435">43.3</definedName>
    <definedName name="____________CAN9">#N/A</definedName>
    <definedName name="____________CCT220">#REF!</definedName>
    <definedName name="____________cdd2">#REF!</definedName>
    <definedName name="____________CFB1">#REF!</definedName>
    <definedName name="____________CFB2">#REF!</definedName>
    <definedName name="____________CFB3">#REF!</definedName>
    <definedName name="____________cff2">#REF!</definedName>
    <definedName name="____________col33">#REF!</definedName>
    <definedName name="____________cth2">#REF!</definedName>
    <definedName name="____________CVT220">#REF!</definedName>
    <definedName name="____________d5">#REF!</definedName>
    <definedName name="____________DAT1">#REF!</definedName>
    <definedName name="____________DAT10">#REF!</definedName>
    <definedName name="____________DAT11">#REF!</definedName>
    <definedName name="____________DAT12">#REF!</definedName>
    <definedName name="____________DAT13">#REF!</definedName>
    <definedName name="____________DAT14">#REF!</definedName>
    <definedName name="____________DAT15">#REF!</definedName>
    <definedName name="____________DAT16">#REF!</definedName>
    <definedName name="____________DAT2">#REF!</definedName>
    <definedName name="____________DAT3">#REF!</definedName>
    <definedName name="____________DAT4">#REF!</definedName>
    <definedName name="____________DAT5">#REF!</definedName>
    <definedName name="____________DAT6">#REF!</definedName>
    <definedName name="____________DAT7">#REF!</definedName>
    <definedName name="____________DAT8">#REF!</definedName>
    <definedName name="____________DAT9">#REF!</definedName>
    <definedName name="____________dec05" localSheetId="12" hidden="1">{"'Sheet1'!$A$4386:$N$4591"}</definedName>
    <definedName name="____________dec05" localSheetId="29" hidden="1">{"'Sheet1'!$A$4386:$N$4591"}</definedName>
    <definedName name="____________dec05" localSheetId="27" hidden="1">{"'Sheet1'!$A$4386:$N$4591"}</definedName>
    <definedName name="____________dec05" localSheetId="4" hidden="1">{"'Sheet1'!$A$4386:$N$4591"}</definedName>
    <definedName name="____________dec05" localSheetId="32" hidden="1">{"'Sheet1'!$A$4386:$N$4591"}</definedName>
    <definedName name="____________dec05" localSheetId="24" hidden="1">{"'Sheet1'!$A$4386:$N$4591"}</definedName>
    <definedName name="____________dec05" localSheetId="26" hidden="1">{"'Sheet1'!$A$4386:$N$4591"}</definedName>
    <definedName name="____________dec05" hidden="1">{"'Sheet1'!$A$4386:$N$4591"}</definedName>
    <definedName name="____________del1">#REF!</definedName>
    <definedName name="____________DET1">#REF!</definedName>
    <definedName name="____________DET2">#REF!</definedName>
    <definedName name="____________DET3">#REF!</definedName>
    <definedName name="____________DET4">#REF!</definedName>
    <definedName name="____________DET5">#REF!</definedName>
    <definedName name="____________DET6">#REF!</definedName>
    <definedName name="____________DIS1">#REF!</definedName>
    <definedName name="____________dol12" localSheetId="6">#REF!</definedName>
    <definedName name="____________dol12">#REF!</definedName>
    <definedName name="____________dol6" localSheetId="6">#REF!</definedName>
    <definedName name="____________dol6">#REF!</definedName>
    <definedName name="____________drg1">#REF!</definedName>
    <definedName name="____________drg2">#REF!</definedName>
    <definedName name="____________eth2">#REF!</definedName>
    <definedName name="____________f1">#REF!</definedName>
    <definedName name="____________Fpi1">#REF!</definedName>
    <definedName name="____________g1" localSheetId="12">#REF!</definedName>
    <definedName name="____________g1">#REF!</definedName>
    <definedName name="____________HCO2">#REF!</definedName>
    <definedName name="____________hfi1">#REF!</definedName>
    <definedName name="____________hfi2">#REF!</definedName>
    <definedName name="____________hfi3">#REF!</definedName>
    <definedName name="____________hfi4">#REF!</definedName>
    <definedName name="____________hfi5">#REF!</definedName>
    <definedName name="____________hfi6">#REF!</definedName>
    <definedName name="____________HFI7">#REF!</definedName>
    <definedName name="____________hfi8">#REF!</definedName>
    <definedName name="____________Hra2">#REF!</definedName>
    <definedName name="____________Hso2">#REF!</definedName>
    <definedName name="____________Hso3">#REF!</definedName>
    <definedName name="____________hxa1">#REF!</definedName>
    <definedName name="____________hxa2">#REF!</definedName>
    <definedName name="____________hxb1">#REF!</definedName>
    <definedName name="____________hxb2">#REF!</definedName>
    <definedName name="____________hxc1">#REF!</definedName>
    <definedName name="____________hxc2">#REF!</definedName>
    <definedName name="____________hxd1">#REF!</definedName>
    <definedName name="____________IDA1" localSheetId="6">#REF!</definedName>
    <definedName name="____________IDA1">#REF!</definedName>
    <definedName name="____________ifa1">#REF!</definedName>
    <definedName name="____________ifa2">#REF!</definedName>
    <definedName name="____________in18900">#REF!</definedName>
    <definedName name="____________INT1">#REF!</definedName>
    <definedName name="____________Ism3">#REF!</definedName>
    <definedName name="____________ISO220">#REF!</definedName>
    <definedName name="____________iv19000">#REF!</definedName>
    <definedName name="____________kd1">#REF!</definedName>
    <definedName name="____________kd2">#REF!</definedName>
    <definedName name="____________kd3">#REF!</definedName>
    <definedName name="____________KEY3" localSheetId="12" hidden="1">#REF!</definedName>
    <definedName name="____________KEY3" hidden="1">#REF!</definedName>
    <definedName name="____________Ki1">#REF!</definedName>
    <definedName name="____________Ki2">#REF!</definedName>
    <definedName name="____________lb1">#REF!</definedName>
    <definedName name="____________lb2">#REF!</definedName>
    <definedName name="____________LMH1">#REF!</definedName>
    <definedName name="____________LMH2">#REF!</definedName>
    <definedName name="____________m20">#REF!</definedName>
    <definedName name="____________m234" localSheetId="12">#REF!</definedName>
    <definedName name="____________m234">#REF!</definedName>
    <definedName name="____________m35">#REF!</definedName>
    <definedName name="____________mac2">200</definedName>
    <definedName name="____________MAN1">#REF!</definedName>
    <definedName name="____________mcl132">#REF!</definedName>
    <definedName name="____________mix10">4.5</definedName>
    <definedName name="____________mix15">264/50</definedName>
    <definedName name="____________mix20">330/50</definedName>
    <definedName name="____________mix30">350/50</definedName>
    <definedName name="____________mix40">450/50</definedName>
    <definedName name="____________ml3">#REF!</definedName>
    <definedName name="____________ml33">#REF!</definedName>
    <definedName name="____________mlc33">#REF!</definedName>
    <definedName name="____________mm1" localSheetId="27">#REF!</definedName>
    <definedName name="____________mm1">#REF!</definedName>
    <definedName name="____________mm2" localSheetId="27">#REF!</definedName>
    <definedName name="____________mm2">#REF!</definedName>
    <definedName name="____________mm3" localSheetId="27">#REF!</definedName>
    <definedName name="____________mm3">#REF!</definedName>
    <definedName name="____________MMB220">#REF!</definedName>
    <definedName name="____________new1">#REF!</definedName>
    <definedName name="____________Nov2007" localSheetId="12" hidden="1">{"'PROFITABILITY'!$A$1:$F$45"}</definedName>
    <definedName name="____________Nov2007" localSheetId="6" hidden="1">{"'PROFITABILITY'!$A$1:$F$45"}</definedName>
    <definedName name="____________Nov2007" localSheetId="29" hidden="1">{"'PROFITABILITY'!$A$1:$F$45"}</definedName>
    <definedName name="____________Nov2007" localSheetId="27" hidden="1">{"'PROFITABILITY'!$A$1:$F$45"}</definedName>
    <definedName name="____________Nov2007" localSheetId="4" hidden="1">{"'PROFITABILITY'!$A$1:$F$45"}</definedName>
    <definedName name="____________Nov2007" localSheetId="32" hidden="1">{"'PROFITABILITY'!$A$1:$F$45"}</definedName>
    <definedName name="____________Nov2007" localSheetId="24" hidden="1">{"'PROFITABILITY'!$A$1:$F$45"}</definedName>
    <definedName name="____________Nov2007" localSheetId="26" hidden="1">{"'PROFITABILITY'!$A$1:$F$45"}</definedName>
    <definedName name="____________Nov2007" hidden="1">{"'PROFITABILITY'!$A$1:$F$45"}</definedName>
    <definedName name="____________OPT8">#N/A</definedName>
    <definedName name="____________OPT9">#N/A</definedName>
    <definedName name="____________out2">#REF!</definedName>
    <definedName name="____________PB1">#REF!</definedName>
    <definedName name="____________pep99">#REF!</definedName>
    <definedName name="____________pfi1">#REF!</definedName>
    <definedName name="____________pp1">#REF!</definedName>
    <definedName name="____________pp2">#REF!</definedName>
    <definedName name="____________rcu2">#REF!</definedName>
    <definedName name="____________Re1">#REF!</definedName>
    <definedName name="____________Rl1">#REF!</definedName>
    <definedName name="____________Rs1">#REF!</definedName>
    <definedName name="____________rt1">#REF!</definedName>
    <definedName name="____________rt2">#REF!</definedName>
    <definedName name="____________rt3">#REF!</definedName>
    <definedName name="____________run1">#REF!</definedName>
    <definedName name="____________run2">#REF!</definedName>
    <definedName name="____________run3">#REF!</definedName>
    <definedName name="____________sch2">#REF!</definedName>
    <definedName name="____________sch9">#REF!</definedName>
    <definedName name="____________sh1">90</definedName>
    <definedName name="____________sh2">120</definedName>
    <definedName name="____________sh3">150</definedName>
    <definedName name="____________sh4">180</definedName>
    <definedName name="____________SS402">#REF!</definedName>
    <definedName name="____________SS403">#REF!</definedName>
    <definedName name="____________SS404">#REF!</definedName>
    <definedName name="____________SS405">#REF!</definedName>
    <definedName name="____________SS406">#REF!</definedName>
    <definedName name="____________SS407">#REF!</definedName>
    <definedName name="____________SS408">#REF!</definedName>
    <definedName name="____________SS409">#REF!</definedName>
    <definedName name="____________SS423">#REF!</definedName>
    <definedName name="____________SS424">#REF!</definedName>
    <definedName name="____________tab1" localSheetId="27">#REF!</definedName>
    <definedName name="____________tab1" localSheetId="4">#REF!</definedName>
    <definedName name="____________tab1" localSheetId="32">#REF!</definedName>
    <definedName name="____________tab1">#REF!</definedName>
    <definedName name="____________tab2" localSheetId="27">#REF!</definedName>
    <definedName name="____________tab2">#REF!</definedName>
    <definedName name="____________Tk1">#REF!</definedName>
    <definedName name="____________Tk11">#REF!</definedName>
    <definedName name="____________Tk2">#REF!</definedName>
    <definedName name="____________Tkl1">#REF!</definedName>
    <definedName name="____________tl1">#REF!</definedName>
    <definedName name="____________tl2">#REF!</definedName>
    <definedName name="____________Vf1">#REF!</definedName>
    <definedName name="____________Vf2">#REF!</definedName>
    <definedName name="____________vr1">#REF!</definedName>
    <definedName name="____________VS2004" localSheetId="29" hidden="1">#REF!</definedName>
    <definedName name="____________VS2004" localSheetId="26" hidden="1">#REF!</definedName>
    <definedName name="____________VS2004" hidden="1">#REF!</definedName>
    <definedName name="____________Wc1">#REF!</definedName>
    <definedName name="____________WC3">#REF!</definedName>
    <definedName name="____________wp1">#REF!</definedName>
    <definedName name="____________Wr1">#REF!</definedName>
    <definedName name="____________Wr3">#REF!</definedName>
    <definedName name="____________Xl1">#REF!</definedName>
    <definedName name="____________xlnm._FilterDatabase_1">"#REF!"</definedName>
    <definedName name="____________xlnm.Print_Area_1" localSheetId="6">#REF!</definedName>
    <definedName name="____________xlnm.Print_Area_1" localSheetId="29">#REF!</definedName>
    <definedName name="____________xlnm.Print_Area_1" localSheetId="24">#REF!</definedName>
    <definedName name="____________xlnm.Print_Area_1" localSheetId="26">#REF!</definedName>
    <definedName name="____________xlnm.Print_Area_1">#REF!</definedName>
    <definedName name="____________xlnm.Print_Area_13" localSheetId="6">#REF!</definedName>
    <definedName name="____________xlnm.Print_Area_13" localSheetId="29">#REF!</definedName>
    <definedName name="____________xlnm.Print_Area_13" localSheetId="26">#REF!</definedName>
    <definedName name="____________xlnm.Print_Area_13">#REF!</definedName>
    <definedName name="____________xlnm.Print_Area_2" localSheetId="29">#REF!</definedName>
    <definedName name="____________xlnm.Print_Area_2" localSheetId="26">#REF!</definedName>
    <definedName name="____________xlnm.Print_Area_2">#REF!</definedName>
    <definedName name="____________xlnm.Print_Area_3" localSheetId="29">#REF!</definedName>
    <definedName name="____________xlnm.Print_Area_3" localSheetId="26">#REF!</definedName>
    <definedName name="____________xlnm.Print_Area_3">#REF!</definedName>
    <definedName name="____________xlnm.Print_Titles_1">#REF!</definedName>
    <definedName name="____________xlnm.Print_Titles_2" localSheetId="6">(#REF!,#REF!)</definedName>
    <definedName name="____________xlnm.Print_Titles_2" localSheetId="27">(#REF!,#REF!)</definedName>
    <definedName name="____________xlnm.Print_Titles_2">(#REF!,#REF!)</definedName>
    <definedName name="____________xlnm.Print_Titles_3" localSheetId="6">(#REF!,#REF!)</definedName>
    <definedName name="____________xlnm.Print_Titles_3" localSheetId="29">(#REF!,#REF!)</definedName>
    <definedName name="____________xlnm.Print_Titles_3" localSheetId="26">(#REF!,#REF!)</definedName>
    <definedName name="____________xlnm.Print_Titles_3">(#REF!,#REF!)</definedName>
    <definedName name="___________a1">#REF!</definedName>
    <definedName name="___________a5">#REF!</definedName>
    <definedName name="___________a6">#REF!</definedName>
    <definedName name="___________A65537">#REF!</definedName>
    <definedName name="___________A655600">#REF!</definedName>
    <definedName name="___________a655601">#REF!</definedName>
    <definedName name="___________A71614" localSheetId="24">#REF!</definedName>
    <definedName name="___________A71614">#REF!</definedName>
    <definedName name="___________A81614" localSheetId="24">#REF!</definedName>
    <definedName name="___________A81614">#REF!</definedName>
    <definedName name="___________A91614" localSheetId="24">#REF!</definedName>
    <definedName name="___________A91614">#REF!</definedName>
    <definedName name="___________aa1" localSheetId="12" hidden="1">{"'PROFITABILITY'!$A$1:$F$45"}</definedName>
    <definedName name="___________aa1" localSheetId="6" hidden="1">{"'PROFITABILITY'!$A$1:$F$45"}</definedName>
    <definedName name="___________aa1" localSheetId="29" hidden="1">{"'PROFITABILITY'!$A$1:$F$45"}</definedName>
    <definedName name="___________aa1" localSheetId="27" hidden="1">{"'PROFITABILITY'!$A$1:$F$45"}</definedName>
    <definedName name="___________aa1" localSheetId="4" hidden="1">{"'PROFITABILITY'!$A$1:$F$45"}</definedName>
    <definedName name="___________aa1" localSheetId="32" hidden="1">{"'PROFITABILITY'!$A$1:$F$45"}</definedName>
    <definedName name="___________aa1" localSheetId="24" hidden="1">{"'PROFITABILITY'!$A$1:$F$45"}</definedName>
    <definedName name="___________aa1" localSheetId="26" hidden="1">{"'PROFITABILITY'!$A$1:$F$45"}</definedName>
    <definedName name="___________aa1" hidden="1">{"'PROFITABILITY'!$A$1:$F$45"}</definedName>
    <definedName name="___________aba2">#REF!</definedName>
    <definedName name="___________acs1">#REF!</definedName>
    <definedName name="___________acs2">#REF!</definedName>
    <definedName name="___________AHP1">#REF!</definedName>
    <definedName name="___________aoc1">#REF!</definedName>
    <definedName name="___________aoc2">#REF!</definedName>
    <definedName name="___________aoc3">#REF!</definedName>
    <definedName name="___________aoc4">#REF!</definedName>
    <definedName name="___________axx1">#REF!</definedName>
    <definedName name="___________axx2">#REF!</definedName>
    <definedName name="___________axx3">#REF!</definedName>
    <definedName name="___________AXX4">#REF!</definedName>
    <definedName name="___________axx5">#REF!</definedName>
    <definedName name="___________axx6">#REF!</definedName>
    <definedName name="___________AXX7">#REF!</definedName>
    <definedName name="___________axx8">#REF!</definedName>
    <definedName name="___________b111121" localSheetId="12">#REF!</definedName>
    <definedName name="___________b111121" localSheetId="4">#REF!</definedName>
    <definedName name="___________b111121" localSheetId="32">#REF!</definedName>
    <definedName name="___________b111121">#REF!</definedName>
    <definedName name="___________B18000">#REF!</definedName>
    <definedName name="___________B30000">#REF!</definedName>
    <definedName name="___________B32000">#REF!</definedName>
    <definedName name="___________BAA1">#REF!</definedName>
    <definedName name="___________bhh2">#REF!</definedName>
    <definedName name="___________bom1">#REF!</definedName>
    <definedName name="___________CAN112">13.42</definedName>
    <definedName name="___________CAN113">12.98</definedName>
    <definedName name="___________CAN117">12.7</definedName>
    <definedName name="___________CAN118">13.27</definedName>
    <definedName name="___________CAN120">11.72</definedName>
    <definedName name="___________CAN2">#N/A</definedName>
    <definedName name="___________CAN210">10.38</definedName>
    <definedName name="___________CAN211">10.58</definedName>
    <definedName name="___________CAN213">10.56</definedName>
    <definedName name="___________CAN215">10.22</definedName>
    <definedName name="___________CAN216">9.61</definedName>
    <definedName name="___________CAN217">10.47</definedName>
    <definedName name="___________CAN219">10.91</definedName>
    <definedName name="___________CAN220">11.09</definedName>
    <definedName name="___________CAN221">11.25</definedName>
    <definedName name="___________CAN222">10.17</definedName>
    <definedName name="___________CAN223">9.89</definedName>
    <definedName name="___________CAN230">10.79</definedName>
    <definedName name="___________can421">40.2</definedName>
    <definedName name="___________can422">41.57</definedName>
    <definedName name="___________can423">43.9</definedName>
    <definedName name="___________can424">41.19</definedName>
    <definedName name="___________can425">42.81</definedName>
    <definedName name="___________can426">40.77</definedName>
    <definedName name="___________can427">40.92</definedName>
    <definedName name="___________can428">39.29</definedName>
    <definedName name="___________can429">45.19</definedName>
    <definedName name="___________can430">40.73</definedName>
    <definedName name="___________can431">42.52</definedName>
    <definedName name="___________can432">42.53</definedName>
    <definedName name="___________can433">43.69</definedName>
    <definedName name="___________can434">40.43</definedName>
    <definedName name="___________can435">43.3</definedName>
    <definedName name="___________CAN9">#N/A</definedName>
    <definedName name="___________CCT220">#REF!</definedName>
    <definedName name="___________cdd2">#REF!</definedName>
    <definedName name="___________cem124" localSheetId="12">#REF!</definedName>
    <definedName name="___________cem124" localSheetId="27">#REF!</definedName>
    <definedName name="___________cem124">#REF!</definedName>
    <definedName name="___________CFB1">#REF!</definedName>
    <definedName name="___________CFB2">#REF!</definedName>
    <definedName name="___________CFB3">#REF!</definedName>
    <definedName name="___________cff2">#REF!</definedName>
    <definedName name="___________col33">#REF!</definedName>
    <definedName name="___________cth2">#REF!</definedName>
    <definedName name="___________CVT220">#REF!</definedName>
    <definedName name="___________d5">#REF!</definedName>
    <definedName name="___________DAT1">#REF!</definedName>
    <definedName name="___________DAT10">#REF!</definedName>
    <definedName name="___________DAT11">#REF!</definedName>
    <definedName name="___________DAT12">#REF!</definedName>
    <definedName name="___________DAT13">#REF!</definedName>
    <definedName name="___________DAT14">#REF!</definedName>
    <definedName name="___________DAT15">#REF!</definedName>
    <definedName name="___________DAT16">#REF!</definedName>
    <definedName name="___________DAT2">#REF!</definedName>
    <definedName name="___________DAT3">#REF!</definedName>
    <definedName name="___________DAT4">#REF!</definedName>
    <definedName name="___________DAT5">#REF!</definedName>
    <definedName name="___________DAT6">#REF!</definedName>
    <definedName name="___________DAT7">#REF!</definedName>
    <definedName name="___________DAT8">#REF!</definedName>
    <definedName name="___________DAT9">#REF!</definedName>
    <definedName name="___________dec05" localSheetId="12" hidden="1">{"'Sheet1'!$A$4386:$N$4591"}</definedName>
    <definedName name="___________dec05" localSheetId="29" hidden="1">{"'Sheet1'!$A$4386:$N$4591"}</definedName>
    <definedName name="___________dec05" localSheetId="27" hidden="1">{"'Sheet1'!$A$4386:$N$4591"}</definedName>
    <definedName name="___________dec05" localSheetId="4" hidden="1">{"'Sheet1'!$A$4386:$N$4591"}</definedName>
    <definedName name="___________dec05" localSheetId="32" hidden="1">{"'Sheet1'!$A$4386:$N$4591"}</definedName>
    <definedName name="___________dec05" localSheetId="24" hidden="1">{"'Sheet1'!$A$4386:$N$4591"}</definedName>
    <definedName name="___________dec05" localSheetId="26" hidden="1">{"'Sheet1'!$A$4386:$N$4591"}</definedName>
    <definedName name="___________dec05" hidden="1">{"'Sheet1'!$A$4386:$N$4591"}</definedName>
    <definedName name="___________del1">#REF!</definedName>
    <definedName name="___________DET1">#REF!</definedName>
    <definedName name="___________DET2">#REF!</definedName>
    <definedName name="___________DET3">#REF!</definedName>
    <definedName name="___________DET4">#REF!</definedName>
    <definedName name="___________DET5">#REF!</definedName>
    <definedName name="___________DET6">#REF!</definedName>
    <definedName name="___________DIS1">#REF!</definedName>
    <definedName name="___________dol12" localSheetId="6">#REF!</definedName>
    <definedName name="___________dol12">#REF!</definedName>
    <definedName name="___________dol6" localSheetId="6">#REF!</definedName>
    <definedName name="___________dol6">#REF!</definedName>
    <definedName name="___________drg1">#REF!</definedName>
    <definedName name="___________drg2">#REF!</definedName>
    <definedName name="___________eth2">#REF!</definedName>
    <definedName name="___________f1">#REF!</definedName>
    <definedName name="___________Fpi1">#REF!</definedName>
    <definedName name="___________g1" localSheetId="12">#REF!</definedName>
    <definedName name="___________g1">#REF!</definedName>
    <definedName name="___________HCO2">#REF!</definedName>
    <definedName name="___________hfi1">#REF!</definedName>
    <definedName name="___________hfi2">#REF!</definedName>
    <definedName name="___________hfi3">#REF!</definedName>
    <definedName name="___________hfi4">#REF!</definedName>
    <definedName name="___________hfi5">#REF!</definedName>
    <definedName name="___________hfi6">#REF!</definedName>
    <definedName name="___________HFI7">#REF!</definedName>
    <definedName name="___________hfi8">#REF!</definedName>
    <definedName name="___________Hra2">#REF!</definedName>
    <definedName name="___________Hso2">#REF!</definedName>
    <definedName name="___________Hso3">#REF!</definedName>
    <definedName name="___________hxa1">#REF!</definedName>
    <definedName name="___________hxa2">#REF!</definedName>
    <definedName name="___________hxb1">#REF!</definedName>
    <definedName name="___________hxb2">#REF!</definedName>
    <definedName name="___________hxc1">#REF!</definedName>
    <definedName name="___________hxc2">#REF!</definedName>
    <definedName name="___________hxd1">#REF!</definedName>
    <definedName name="___________IDA1" localSheetId="6">#REF!</definedName>
    <definedName name="___________IDA1">#REF!</definedName>
    <definedName name="___________ifa1">#REF!</definedName>
    <definedName name="___________ifa2">#REF!</definedName>
    <definedName name="___________in18900">#REF!</definedName>
    <definedName name="___________INT1">#REF!</definedName>
    <definedName name="___________Ism3">#REF!</definedName>
    <definedName name="___________ISO220">#REF!</definedName>
    <definedName name="___________iv19000">#REF!</definedName>
    <definedName name="___________kd1">#REF!</definedName>
    <definedName name="___________kd2">#REF!</definedName>
    <definedName name="___________kd3">#REF!</definedName>
    <definedName name="___________KEY3" hidden="1">#REF!</definedName>
    <definedName name="___________Ki1" localSheetId="12">#REF!</definedName>
    <definedName name="___________Ki1">#REF!</definedName>
    <definedName name="___________Ki2" localSheetId="12">#REF!</definedName>
    <definedName name="___________Ki2">#REF!</definedName>
    <definedName name="___________lb1">#REF!</definedName>
    <definedName name="___________lb2">#REF!</definedName>
    <definedName name="___________LMH1">#REF!</definedName>
    <definedName name="___________LMH2">#REF!</definedName>
    <definedName name="___________m20">#REF!</definedName>
    <definedName name="___________m234" localSheetId="12">#REF!</definedName>
    <definedName name="___________m234">#REF!</definedName>
    <definedName name="___________m35">#REF!</definedName>
    <definedName name="___________mac2">200</definedName>
    <definedName name="___________MAN1">#REF!</definedName>
    <definedName name="___________mcl132">#REF!</definedName>
    <definedName name="___________mix10">4.5</definedName>
    <definedName name="___________mix15">264/50</definedName>
    <definedName name="___________mix20">330/50</definedName>
    <definedName name="___________mix30">350/50</definedName>
    <definedName name="___________mix40">450/50</definedName>
    <definedName name="___________ml3">#REF!</definedName>
    <definedName name="___________ml33">#REF!</definedName>
    <definedName name="___________mlc33">#REF!</definedName>
    <definedName name="___________mm1" localSheetId="27">#REF!</definedName>
    <definedName name="___________mm1">#REF!</definedName>
    <definedName name="___________mm2" localSheetId="27">#REF!</definedName>
    <definedName name="___________mm2">#REF!</definedName>
    <definedName name="___________mm3" localSheetId="27">#REF!</definedName>
    <definedName name="___________mm3">#REF!</definedName>
    <definedName name="___________MMB220">#REF!</definedName>
    <definedName name="___________new1">#REF!</definedName>
    <definedName name="___________Nov2007" localSheetId="12" hidden="1">{"'PROFITABILITY'!$A$1:$F$45"}</definedName>
    <definedName name="___________Nov2007" localSheetId="6" hidden="1">{"'PROFITABILITY'!$A$1:$F$45"}</definedName>
    <definedName name="___________Nov2007" localSheetId="29" hidden="1">{"'PROFITABILITY'!$A$1:$F$45"}</definedName>
    <definedName name="___________Nov2007" localSheetId="27" hidden="1">{"'PROFITABILITY'!$A$1:$F$45"}</definedName>
    <definedName name="___________Nov2007" localSheetId="4" hidden="1">{"'PROFITABILITY'!$A$1:$F$45"}</definedName>
    <definedName name="___________Nov2007" localSheetId="32" hidden="1">{"'PROFITABILITY'!$A$1:$F$45"}</definedName>
    <definedName name="___________Nov2007" localSheetId="24" hidden="1">{"'PROFITABILITY'!$A$1:$F$45"}</definedName>
    <definedName name="___________Nov2007" localSheetId="26" hidden="1">{"'PROFITABILITY'!$A$1:$F$45"}</definedName>
    <definedName name="___________Nov2007" hidden="1">{"'PROFITABILITY'!$A$1:$F$45"}</definedName>
    <definedName name="___________OPT8">#N/A</definedName>
    <definedName name="___________OPT9">#N/A</definedName>
    <definedName name="___________out2">#REF!</definedName>
    <definedName name="___________PB1">#REF!</definedName>
    <definedName name="___________pep99">#REF!</definedName>
    <definedName name="___________pfi1">#REF!</definedName>
    <definedName name="___________pp1">#REF!</definedName>
    <definedName name="___________pp2">#REF!</definedName>
    <definedName name="___________rcu2">#REF!</definedName>
    <definedName name="___________Re1">#REF!</definedName>
    <definedName name="___________Rl1">#REF!</definedName>
    <definedName name="___________Rs1">#REF!</definedName>
    <definedName name="___________rt1">#REF!</definedName>
    <definedName name="___________rt2">#REF!</definedName>
    <definedName name="___________rt3">#REF!</definedName>
    <definedName name="___________run1">#REF!</definedName>
    <definedName name="___________run2">#REF!</definedName>
    <definedName name="___________run3">#REF!</definedName>
    <definedName name="___________sch2">#REF!</definedName>
    <definedName name="___________sch9">#REF!</definedName>
    <definedName name="___________sh1">90</definedName>
    <definedName name="___________sh2">120</definedName>
    <definedName name="___________sh3">150</definedName>
    <definedName name="___________sh4">180</definedName>
    <definedName name="___________SS402">#REF!</definedName>
    <definedName name="___________SS403">#REF!</definedName>
    <definedName name="___________SS404">#REF!</definedName>
    <definedName name="___________SS405">#REF!</definedName>
    <definedName name="___________SS406">#REF!</definedName>
    <definedName name="___________SS407">#REF!</definedName>
    <definedName name="___________SS408">#REF!</definedName>
    <definedName name="___________SS409">#REF!</definedName>
    <definedName name="___________SS423">#REF!</definedName>
    <definedName name="___________SS424">#REF!</definedName>
    <definedName name="___________tab1" localSheetId="27">#REF!</definedName>
    <definedName name="___________tab1" localSheetId="4">#REF!</definedName>
    <definedName name="___________tab1" localSheetId="32">#REF!</definedName>
    <definedName name="___________tab1">#REF!</definedName>
    <definedName name="___________tab2" localSheetId="27">#REF!</definedName>
    <definedName name="___________tab2">#REF!</definedName>
    <definedName name="___________Tk1">#REF!</definedName>
    <definedName name="___________Tk11">#REF!</definedName>
    <definedName name="___________Tk2">#REF!</definedName>
    <definedName name="___________Tkl1">#REF!</definedName>
    <definedName name="___________tl1">#REF!</definedName>
    <definedName name="___________tl2">#REF!</definedName>
    <definedName name="___________Vf1">#REF!</definedName>
    <definedName name="___________Vf2">#REF!</definedName>
    <definedName name="___________vr1">#REF!</definedName>
    <definedName name="___________VS2004" localSheetId="29" hidden="1">#REF!</definedName>
    <definedName name="___________VS2004" localSheetId="26" hidden="1">#REF!</definedName>
    <definedName name="___________VS2004" hidden="1">#REF!</definedName>
    <definedName name="___________Wc1">#REF!</definedName>
    <definedName name="___________WC3">#REF!</definedName>
    <definedName name="___________wp1">#REF!</definedName>
    <definedName name="___________Wr1">#REF!</definedName>
    <definedName name="___________Wr3">#REF!</definedName>
    <definedName name="___________Xl1">#REF!</definedName>
    <definedName name="___________xlnm._FilterDatabase_1">#REF!</definedName>
    <definedName name="___________xlnm._FilterDatabase_2">#REF!</definedName>
    <definedName name="___________xlnm.Print_Area_1" localSheetId="29">#REF!</definedName>
    <definedName name="___________xlnm.Print_Area_1" localSheetId="26">#REF!</definedName>
    <definedName name="___________xlnm.Print_Area_1">#REF!</definedName>
    <definedName name="___________xlnm.Print_Area_10">#REF!</definedName>
    <definedName name="___________xlnm.Print_Area_13">#REF!</definedName>
    <definedName name="___________xlnm.Print_Area_2" localSheetId="29">#REF!</definedName>
    <definedName name="___________xlnm.Print_Area_2" localSheetId="26">#REF!</definedName>
    <definedName name="___________xlnm.Print_Area_2">#REF!</definedName>
    <definedName name="___________xlnm.Print_Area_3" localSheetId="12">"#NAME?"</definedName>
    <definedName name="___________xlnm.Print_Area_3" localSheetId="6">"#NAME?"</definedName>
    <definedName name="___________xlnm.Print_Area_3" localSheetId="29">"#NAME?"</definedName>
    <definedName name="___________xlnm.Print_Area_3" localSheetId="4">"#NAME?"</definedName>
    <definedName name="___________xlnm.Print_Area_3" localSheetId="32">"#NAME?"</definedName>
    <definedName name="___________xlnm.Print_Area_3" localSheetId="24">"#NAME?"</definedName>
    <definedName name="___________xlnm.Print_Area_3" localSheetId="26">"#NAME?"</definedName>
    <definedName name="___________xlnm.Print_Area_3">#REF!</definedName>
    <definedName name="___________xlnm.Print_Area_4" localSheetId="6">#REF!</definedName>
    <definedName name="___________xlnm.Print_Area_4" localSheetId="27">#REF!</definedName>
    <definedName name="___________xlnm.Print_Area_4">#REF!</definedName>
    <definedName name="___________xlnm.Print_Area_5" localSheetId="6">#REF!</definedName>
    <definedName name="___________xlnm.Print_Area_5">#REF!</definedName>
    <definedName name="___________xlnm.Print_Area_6" localSheetId="6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_xlnm.Print_Titles_1">#REF!</definedName>
    <definedName name="___________xlnm.Print_Titles_2" localSheetId="6">(#REF!,#REF!)</definedName>
    <definedName name="___________xlnm.Print_Titles_2" localSheetId="27">(#REF!,#REF!)</definedName>
    <definedName name="___________xlnm.Print_Titles_2">(#REF!,#REF!)</definedName>
    <definedName name="___________xlnm.Print_Titles_3" localSheetId="6">(#REF!,#REF!)</definedName>
    <definedName name="___________xlnm.Print_Titles_3" localSheetId="29">(#REF!,#REF!)</definedName>
    <definedName name="___________xlnm.Print_Titles_3" localSheetId="26">(#REF!,#REF!)</definedName>
    <definedName name="___________xlnm.Print_Titles_3">(#REF!,#REF!)</definedName>
    <definedName name="__________a1">#REF!</definedName>
    <definedName name="__________a5">#N/A</definedName>
    <definedName name="__________a6">#N/A</definedName>
    <definedName name="__________A65537">#REF!</definedName>
    <definedName name="__________A655600">#REF!</definedName>
    <definedName name="__________a655601">#REF!</definedName>
    <definedName name="__________A71614" localSheetId="24">#REF!</definedName>
    <definedName name="__________A71614">#REF!</definedName>
    <definedName name="__________A81614" localSheetId="24">#REF!</definedName>
    <definedName name="__________A81614">#REF!</definedName>
    <definedName name="__________A91614" localSheetId="24">#REF!</definedName>
    <definedName name="__________A91614">#REF!</definedName>
    <definedName name="__________a999999">#REF!</definedName>
    <definedName name="__________aa1" localSheetId="12" hidden="1">{"'PROFITABILITY'!$A$1:$F$45"}</definedName>
    <definedName name="__________aa1" localSheetId="6" hidden="1">{"'PROFITABILITY'!$A$1:$F$45"}</definedName>
    <definedName name="__________aa1" localSheetId="29" hidden="1">{"'PROFITABILITY'!$A$1:$F$45"}</definedName>
    <definedName name="__________aa1" localSheetId="27" hidden="1">{"'PROFITABILITY'!$A$1:$F$45"}</definedName>
    <definedName name="__________aa1" localSheetId="4" hidden="1">{"'PROFITABILITY'!$A$1:$F$45"}</definedName>
    <definedName name="__________aa1" localSheetId="32" hidden="1">{"'PROFITABILITY'!$A$1:$F$45"}</definedName>
    <definedName name="__________aa1" localSheetId="24" hidden="1">{"'PROFITABILITY'!$A$1:$F$45"}</definedName>
    <definedName name="__________aa1" localSheetId="26" hidden="1">{"'PROFITABILITY'!$A$1:$F$45"}</definedName>
    <definedName name="__________aa1" hidden="1">{"'PROFITABILITY'!$A$1:$F$45"}</definedName>
    <definedName name="__________aba2">#REF!</definedName>
    <definedName name="__________acs1">#REF!</definedName>
    <definedName name="__________acs2">#REF!</definedName>
    <definedName name="__________AHP1">#REF!</definedName>
    <definedName name="__________aoc1">#REF!</definedName>
    <definedName name="__________aoc2">#REF!</definedName>
    <definedName name="__________aoc3">#REF!</definedName>
    <definedName name="__________aoc4">#REF!</definedName>
    <definedName name="__________axx1">#REF!</definedName>
    <definedName name="__________axx2">#REF!</definedName>
    <definedName name="__________axx3">#REF!</definedName>
    <definedName name="__________AXX4">#REF!</definedName>
    <definedName name="__________axx5">#REF!</definedName>
    <definedName name="__________axx6">#REF!</definedName>
    <definedName name="__________AXX7">#REF!</definedName>
    <definedName name="__________axx8">#REF!</definedName>
    <definedName name="__________b111121" localSheetId="12">#REF!</definedName>
    <definedName name="__________b111121">#REF!</definedName>
    <definedName name="__________B18000">#REF!</definedName>
    <definedName name="__________B30000">#REF!</definedName>
    <definedName name="__________B32000">#REF!</definedName>
    <definedName name="__________BAA1">#REF!</definedName>
    <definedName name="__________bhh2">#REF!</definedName>
    <definedName name="__________bom1">#REF!</definedName>
    <definedName name="__________BoQ4">#REF!</definedName>
    <definedName name="__________CAN112">13.42</definedName>
    <definedName name="__________CAN113">12.98</definedName>
    <definedName name="__________CAN117">12.7</definedName>
    <definedName name="__________CAN118">13.27</definedName>
    <definedName name="__________CAN120">11.72</definedName>
    <definedName name="__________CAN2">#N/A</definedName>
    <definedName name="__________CAN210">10.38</definedName>
    <definedName name="__________CAN211">10.58</definedName>
    <definedName name="__________CAN213">10.56</definedName>
    <definedName name="__________CAN215">10.22</definedName>
    <definedName name="__________CAN216">9.61</definedName>
    <definedName name="__________CAN217">10.47</definedName>
    <definedName name="__________CAN219">10.91</definedName>
    <definedName name="__________CAN220">11.09</definedName>
    <definedName name="__________CAN221">11.25</definedName>
    <definedName name="__________CAN222">10.17</definedName>
    <definedName name="__________CAN223">9.89</definedName>
    <definedName name="__________CAN230">10.79</definedName>
    <definedName name="__________can421">40.2</definedName>
    <definedName name="__________can422">41.57</definedName>
    <definedName name="__________can423">43.9</definedName>
    <definedName name="__________can424">41.19</definedName>
    <definedName name="__________can425">42.81</definedName>
    <definedName name="__________can426">40.77</definedName>
    <definedName name="__________can427">40.92</definedName>
    <definedName name="__________can428">39.29</definedName>
    <definedName name="__________can429">45.19</definedName>
    <definedName name="__________can430">40.73</definedName>
    <definedName name="__________can431">42.52</definedName>
    <definedName name="__________can432">42.53</definedName>
    <definedName name="__________can433">43.69</definedName>
    <definedName name="__________can434">40.43</definedName>
    <definedName name="__________can435">43.3</definedName>
    <definedName name="__________CAN9">#N/A</definedName>
    <definedName name="__________CCT220">#REF!</definedName>
    <definedName name="__________cdd2">#REF!</definedName>
    <definedName name="__________CFB1">#REF!</definedName>
    <definedName name="__________CFB2">#REF!</definedName>
    <definedName name="__________CFB3">#REF!</definedName>
    <definedName name="__________cff2">#REF!</definedName>
    <definedName name="__________col33">#REF!</definedName>
    <definedName name="__________cth2">#REF!</definedName>
    <definedName name="__________CVT220">#REF!</definedName>
    <definedName name="__________d5">#REF!</definedName>
    <definedName name="__________DAT1">#REF!</definedName>
    <definedName name="__________DAT10">#REF!</definedName>
    <definedName name="__________DAT11">#REF!</definedName>
    <definedName name="__________DAT12">#REF!</definedName>
    <definedName name="__________DAT13">#REF!</definedName>
    <definedName name="__________DAT14">#REF!</definedName>
    <definedName name="__________DAT15">#REF!</definedName>
    <definedName name="__________DAT16">#REF!</definedName>
    <definedName name="__________DAT2">#REF!</definedName>
    <definedName name="__________DAT3">#REF!</definedName>
    <definedName name="__________DAT4">#REF!</definedName>
    <definedName name="__________DAT5">#REF!</definedName>
    <definedName name="__________DAT6">#REF!</definedName>
    <definedName name="__________DAT7">#REF!</definedName>
    <definedName name="__________DAT8">#REF!</definedName>
    <definedName name="__________DAT9">#REF!</definedName>
    <definedName name="__________dec05" localSheetId="12" hidden="1">{"'Sheet1'!$A$4386:$N$4591"}</definedName>
    <definedName name="__________dec05" localSheetId="29" hidden="1">{"'Sheet1'!$A$4386:$N$4591"}</definedName>
    <definedName name="__________dec05" localSheetId="27" hidden="1">{"'Sheet1'!$A$4386:$N$4591"}</definedName>
    <definedName name="__________dec05" localSheetId="4" hidden="1">{"'Sheet1'!$A$4386:$N$4591"}</definedName>
    <definedName name="__________dec05" localSheetId="32" hidden="1">{"'Sheet1'!$A$4386:$N$4591"}</definedName>
    <definedName name="__________dec05" localSheetId="24" hidden="1">{"'Sheet1'!$A$4386:$N$4591"}</definedName>
    <definedName name="__________dec05" localSheetId="26" hidden="1">{"'Sheet1'!$A$4386:$N$4591"}</definedName>
    <definedName name="__________dec05" hidden="1">{"'Sheet1'!$A$4386:$N$4591"}</definedName>
    <definedName name="__________del1">#REF!</definedName>
    <definedName name="__________DET1">#REF!</definedName>
    <definedName name="__________DET2">#REF!</definedName>
    <definedName name="__________DET3">#REF!</definedName>
    <definedName name="__________DET4">#REF!</definedName>
    <definedName name="__________DET5">#REF!</definedName>
    <definedName name="__________DET6">#REF!</definedName>
    <definedName name="__________DIS1">#REF!</definedName>
    <definedName name="__________dol12" localSheetId="6">#REF!</definedName>
    <definedName name="__________dol12">#REF!</definedName>
    <definedName name="__________dol6" localSheetId="6">#REF!</definedName>
    <definedName name="__________dol6">#REF!</definedName>
    <definedName name="__________drg1">#REF!</definedName>
    <definedName name="__________drg2">#REF!</definedName>
    <definedName name="__________eth2">#REF!</definedName>
    <definedName name="__________f1">#REF!</definedName>
    <definedName name="__________Fpi1">#REF!</definedName>
    <definedName name="__________g1" localSheetId="12">#REF!</definedName>
    <definedName name="__________g1">#REF!</definedName>
    <definedName name="__________HCO2">#REF!</definedName>
    <definedName name="__________hfi1">#REF!</definedName>
    <definedName name="__________hfi2">#REF!</definedName>
    <definedName name="__________hfi3">#REF!</definedName>
    <definedName name="__________hfi4">#REF!</definedName>
    <definedName name="__________hfi5">#REF!</definedName>
    <definedName name="__________hfi6">#REF!</definedName>
    <definedName name="__________HFI7">#REF!</definedName>
    <definedName name="__________hfi8">#REF!</definedName>
    <definedName name="__________Hra2">#REF!</definedName>
    <definedName name="__________Hso2">#REF!</definedName>
    <definedName name="__________Hso3">#REF!</definedName>
    <definedName name="__________hxa1">#REF!</definedName>
    <definedName name="__________hxa2">#REF!</definedName>
    <definedName name="__________hxb1">#REF!</definedName>
    <definedName name="__________hxb2">#REF!</definedName>
    <definedName name="__________hxc1">#REF!</definedName>
    <definedName name="__________hxc2">#REF!</definedName>
    <definedName name="__________hxd1">#REF!</definedName>
    <definedName name="__________IDA1" localSheetId="6">#REF!</definedName>
    <definedName name="__________IDA1">#REF!</definedName>
    <definedName name="__________ifa1">#REF!</definedName>
    <definedName name="__________ifa2">#REF!</definedName>
    <definedName name="__________in18900">#REF!</definedName>
    <definedName name="__________INT1">#REF!</definedName>
    <definedName name="__________Ism3">#REF!</definedName>
    <definedName name="__________ISO220">#REF!</definedName>
    <definedName name="__________iv19000">#REF!</definedName>
    <definedName name="__________kd1">#REF!</definedName>
    <definedName name="__________kd2">#REF!</definedName>
    <definedName name="__________kd3">#REF!</definedName>
    <definedName name="__________KEY3" hidden="1">#REF!</definedName>
    <definedName name="__________Ki1" localSheetId="12">#REF!</definedName>
    <definedName name="__________Ki1">#REF!</definedName>
    <definedName name="__________Ki2" localSheetId="12">#REF!</definedName>
    <definedName name="__________Ki2">#REF!</definedName>
    <definedName name="__________lb1">#REF!</definedName>
    <definedName name="__________lb2">#REF!</definedName>
    <definedName name="__________LMH1">#REF!</definedName>
    <definedName name="__________LMH2">#REF!</definedName>
    <definedName name="__________m20">#REF!</definedName>
    <definedName name="__________m234" localSheetId="12">#REF!</definedName>
    <definedName name="__________m234">#REF!</definedName>
    <definedName name="__________m35">#REF!</definedName>
    <definedName name="__________mac2">200</definedName>
    <definedName name="__________MAN1">#REF!</definedName>
    <definedName name="__________mcl132">#REF!</definedName>
    <definedName name="__________mix10">4.5</definedName>
    <definedName name="__________mix15">264/50</definedName>
    <definedName name="__________mix20">330/50</definedName>
    <definedName name="__________mix30">350/50</definedName>
    <definedName name="__________mix40">450/50</definedName>
    <definedName name="__________ml3">#REF!</definedName>
    <definedName name="__________ml33">#REF!</definedName>
    <definedName name="__________mlc33">#REF!</definedName>
    <definedName name="__________mm1" localSheetId="27">#REF!</definedName>
    <definedName name="__________mm1">#REF!</definedName>
    <definedName name="__________mm2" localSheetId="27">#REF!</definedName>
    <definedName name="__________mm2">#REF!</definedName>
    <definedName name="__________mm3" localSheetId="27">#REF!</definedName>
    <definedName name="__________mm3">#REF!</definedName>
    <definedName name="__________MMB220">#REF!</definedName>
    <definedName name="__________new1">#REF!</definedName>
    <definedName name="__________Nov2007" localSheetId="12" hidden="1">{"'PROFITABILITY'!$A$1:$F$45"}</definedName>
    <definedName name="__________Nov2007" localSheetId="6" hidden="1">{"'PROFITABILITY'!$A$1:$F$45"}</definedName>
    <definedName name="__________Nov2007" localSheetId="29" hidden="1">{"'PROFITABILITY'!$A$1:$F$45"}</definedName>
    <definedName name="__________Nov2007" localSheetId="27" hidden="1">{"'PROFITABILITY'!$A$1:$F$45"}</definedName>
    <definedName name="__________Nov2007" localSheetId="4" hidden="1">{"'PROFITABILITY'!$A$1:$F$45"}</definedName>
    <definedName name="__________Nov2007" localSheetId="32" hidden="1">{"'PROFITABILITY'!$A$1:$F$45"}</definedName>
    <definedName name="__________Nov2007" localSheetId="24" hidden="1">{"'PROFITABILITY'!$A$1:$F$45"}</definedName>
    <definedName name="__________Nov2007" localSheetId="26" hidden="1">{"'PROFITABILITY'!$A$1:$F$45"}</definedName>
    <definedName name="__________Nov2007" hidden="1">{"'PROFITABILITY'!$A$1:$F$45"}</definedName>
    <definedName name="__________OPT8">#N/A</definedName>
    <definedName name="__________OPT9">#N/A</definedName>
    <definedName name="__________out2">#REF!</definedName>
    <definedName name="__________PB1">#REF!</definedName>
    <definedName name="__________pep99">#REF!</definedName>
    <definedName name="__________pfi1">#REF!</definedName>
    <definedName name="__________pp1">#REF!</definedName>
    <definedName name="__________pp2">#REF!</definedName>
    <definedName name="__________rcu2">#REF!</definedName>
    <definedName name="__________Re1">#REF!</definedName>
    <definedName name="__________Rl1">#REF!</definedName>
    <definedName name="__________Rs1">#REF!</definedName>
    <definedName name="__________rt1">#REF!</definedName>
    <definedName name="__________rt2">#REF!</definedName>
    <definedName name="__________rt3">#REF!</definedName>
    <definedName name="__________run1">#REF!</definedName>
    <definedName name="__________run2">#REF!</definedName>
    <definedName name="__________run3">#REF!</definedName>
    <definedName name="__________sch2">#REF!</definedName>
    <definedName name="__________sch9">#REF!</definedName>
    <definedName name="__________sh1">90</definedName>
    <definedName name="__________sh2">120</definedName>
    <definedName name="__________sh3">150</definedName>
    <definedName name="__________sh4">180</definedName>
    <definedName name="__________SS402">#REF!</definedName>
    <definedName name="__________SS403">#REF!</definedName>
    <definedName name="__________SS404">#REF!</definedName>
    <definedName name="__________SS405">#REF!</definedName>
    <definedName name="__________SS406">#REF!</definedName>
    <definedName name="__________SS407">#REF!</definedName>
    <definedName name="__________SS408">#REF!</definedName>
    <definedName name="__________SS409">#REF!</definedName>
    <definedName name="__________SS423">#REF!</definedName>
    <definedName name="__________SS424">#REF!</definedName>
    <definedName name="__________tab1" localSheetId="27">#REF!</definedName>
    <definedName name="__________tab1" localSheetId="4">#REF!</definedName>
    <definedName name="__________tab1" localSheetId="32">#REF!</definedName>
    <definedName name="__________tab1">#REF!</definedName>
    <definedName name="__________tab2" localSheetId="27">#REF!</definedName>
    <definedName name="__________tab2">#REF!</definedName>
    <definedName name="__________Tk1">#REF!</definedName>
    <definedName name="__________Tk11">#REF!</definedName>
    <definedName name="__________Tk2">#REF!</definedName>
    <definedName name="__________Tkl1">#REF!</definedName>
    <definedName name="__________tl1">#REF!</definedName>
    <definedName name="__________tl2">#REF!</definedName>
    <definedName name="__________Vf1">#REF!</definedName>
    <definedName name="__________Vf2">#REF!</definedName>
    <definedName name="__________vr1">#REF!</definedName>
    <definedName name="__________VS2004" localSheetId="29" hidden="1">#REF!</definedName>
    <definedName name="__________VS2004" localSheetId="26" hidden="1">#REF!</definedName>
    <definedName name="__________VS2004" hidden="1">#REF!</definedName>
    <definedName name="__________Wc1">#REF!</definedName>
    <definedName name="__________WC3">#REF!</definedName>
    <definedName name="__________wp1">#REF!</definedName>
    <definedName name="__________Wr1">#REF!</definedName>
    <definedName name="__________Wr3">#REF!</definedName>
    <definedName name="__________Xl1">#REF!</definedName>
    <definedName name="__________xlcn.WorksheetConnection_InfoEntryA2D32" localSheetId="6" hidden="1">#REF!</definedName>
    <definedName name="__________xlcn.WorksheetConnection_InfoEntryA2D32" localSheetId="27" hidden="1">#REF!</definedName>
    <definedName name="__________xlcn.WorksheetConnection_InfoEntryA2D32" localSheetId="4" hidden="1">#REF!</definedName>
    <definedName name="__________xlcn.WorksheetConnection_InfoEntryA2D32" localSheetId="32" hidden="1">#REF!</definedName>
    <definedName name="__________xlcn.WorksheetConnection_InfoEntryA2D32" localSheetId="24" hidden="1">#REF!</definedName>
    <definedName name="__________xlcn.WorksheetConnection_InfoEntryA2D32" hidden="1">#REF!</definedName>
    <definedName name="__________xlnm._FilterDatabase_1" localSheetId="29">#REF!</definedName>
    <definedName name="__________xlnm._FilterDatabase_1" localSheetId="24">#REF!</definedName>
    <definedName name="__________xlnm._FilterDatabase_1" localSheetId="26">#REF!</definedName>
    <definedName name="__________xlnm._FilterDatabase_1">#REF!</definedName>
    <definedName name="__________xlnm._FilterDatabase_2" localSheetId="29">#REF!</definedName>
    <definedName name="__________xlnm._FilterDatabase_2" localSheetId="26">#REF!</definedName>
    <definedName name="__________xlnm._FilterDatabase_2">#REF!</definedName>
    <definedName name="__________xlnm._FilterDatabase_5">#N/A</definedName>
    <definedName name="__________xlnm.Print_Area_1" localSheetId="6">#REF!</definedName>
    <definedName name="__________xlnm.Print_Area_1" localSheetId="29">#REF!</definedName>
    <definedName name="__________xlnm.Print_Area_1" localSheetId="24">#REF!</definedName>
    <definedName name="__________xlnm.Print_Area_1" localSheetId="26">#REF!</definedName>
    <definedName name="__________xlnm.Print_Area_1">#REF!</definedName>
    <definedName name="__________xlnm.Print_Area_10" localSheetId="6">#REF!</definedName>
    <definedName name="__________xlnm.Print_Area_10">#REF!</definedName>
    <definedName name="__________xlnm.Print_Area_13" localSheetId="6">#REF!</definedName>
    <definedName name="__________xlnm.Print_Area_13">#REF!</definedName>
    <definedName name="__________xlnm.Print_Area_2" localSheetId="29">#REF!</definedName>
    <definedName name="__________xlnm.Print_Area_2" localSheetId="26">#REF!</definedName>
    <definedName name="__________xlnm.Print_Area_2">#REF!</definedName>
    <definedName name="__________xlnm.Print_Area_3" localSheetId="29">#REF!</definedName>
    <definedName name="__________xlnm.Print_Area_3" localSheetId="26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_xlnm.Print_Titles_1">#REF!</definedName>
    <definedName name="__________xlnm.Print_Titles_2" localSheetId="6">(#REF!,#REF!)</definedName>
    <definedName name="__________xlnm.Print_Titles_2" localSheetId="29">(#REF!,#REF!)</definedName>
    <definedName name="__________xlnm.Print_Titles_2" localSheetId="24">(#REF!,#REF!)</definedName>
    <definedName name="__________xlnm.Print_Titles_2" localSheetId="26">(#REF!,#REF!)</definedName>
    <definedName name="__________xlnm.Print_Titles_2">(#REF!,#REF!)</definedName>
    <definedName name="__________xlnm.Print_Titles_3" localSheetId="6">(#REF!,#REF!)</definedName>
    <definedName name="__________xlnm.Print_Titles_3" localSheetId="29">(#REF!,#REF!)</definedName>
    <definedName name="__________xlnm.Print_Titles_3" localSheetId="26">(#REF!,#REF!)</definedName>
    <definedName name="__________xlnm.Print_Titles_3">(#REF!,#REF!)</definedName>
    <definedName name="_________1____123Graph_ACHART_1" localSheetId="6" hidden="1">#REF!</definedName>
    <definedName name="_________1____123Graph_ACHART_1" localSheetId="29" hidden="1">#REF!</definedName>
    <definedName name="_________1____123Graph_ACHART_1" localSheetId="24" hidden="1">#REF!</definedName>
    <definedName name="_________1____123Graph_ACHART_1" localSheetId="26" hidden="1">#REF!</definedName>
    <definedName name="_________1____123Graph_ACHART_1" hidden="1">#REF!</definedName>
    <definedName name="_________2____123Graph_BCHART_1" localSheetId="6" hidden="1">#REF!</definedName>
    <definedName name="_________2____123Graph_BCHART_1" localSheetId="29" hidden="1">#REF!</definedName>
    <definedName name="_________2____123Graph_BCHART_1" localSheetId="26" hidden="1">#REF!</definedName>
    <definedName name="_________2____123Graph_BCHART_1" hidden="1">#REF!</definedName>
    <definedName name="_________3____123Graph_CCHART_1" localSheetId="6" hidden="1">#REF!</definedName>
    <definedName name="_________3____123Graph_CCHART_1" localSheetId="29" hidden="1">#REF!</definedName>
    <definedName name="_________3____123Graph_CCHART_1" localSheetId="26" hidden="1">#REF!</definedName>
    <definedName name="_________3____123Graph_CCHART_1" hidden="1">#REF!</definedName>
    <definedName name="_________4___123Graph_ACHART_1" hidden="1">#REF!</definedName>
    <definedName name="_________5___123Graph_BCHART_1" hidden="1">#REF!</definedName>
    <definedName name="_________6___123Graph_CCHART_1" hidden="1">#REF!</definedName>
    <definedName name="_________7__123Graph_ACHART_1" hidden="1">#REF!</definedName>
    <definedName name="_________8__123Graph_BCHART_1" hidden="1">#REF!</definedName>
    <definedName name="_________9__123Graph_CCHART_1" hidden="1">#REF!</definedName>
    <definedName name="_________a1">#REF!</definedName>
    <definedName name="_________a5">#N/A</definedName>
    <definedName name="_________a6">#N/A</definedName>
    <definedName name="_________A65537">#REF!</definedName>
    <definedName name="_________A655600">#REF!</definedName>
    <definedName name="_________a655601">#REF!</definedName>
    <definedName name="_________A71614">#REF!</definedName>
    <definedName name="_________A81614">#REF!</definedName>
    <definedName name="_________A91614">#REF!</definedName>
    <definedName name="_________a999999">#REF!</definedName>
    <definedName name="_________aa1" localSheetId="12" hidden="1">{"'PROFITABILITY'!$A$1:$F$45"}</definedName>
    <definedName name="_________aa1" localSheetId="6" hidden="1">{"'PROFITABILITY'!$A$1:$F$45"}</definedName>
    <definedName name="_________aa1" localSheetId="29" hidden="1">{"'PROFITABILITY'!$A$1:$F$45"}</definedName>
    <definedName name="_________aa1" localSheetId="27" hidden="1">{"'PROFITABILITY'!$A$1:$F$45"}</definedName>
    <definedName name="_________aa1" localSheetId="4" hidden="1">{"'PROFITABILITY'!$A$1:$F$45"}</definedName>
    <definedName name="_________aa1" localSheetId="32" hidden="1">{"'PROFITABILITY'!$A$1:$F$45"}</definedName>
    <definedName name="_________aa1" localSheetId="24" hidden="1">{"'PROFITABILITY'!$A$1:$F$45"}</definedName>
    <definedName name="_________aa1" localSheetId="26" hidden="1">{"'PROFITABILITY'!$A$1:$F$45"}</definedName>
    <definedName name="_________aa1" hidden="1">{"'PROFITABILITY'!$A$1:$F$45"}</definedName>
    <definedName name="_________aba2">#REF!</definedName>
    <definedName name="_________acs1">#REF!</definedName>
    <definedName name="_________acs2">#REF!</definedName>
    <definedName name="_________AHP1">#N/A</definedName>
    <definedName name="_________aoc1">#REF!</definedName>
    <definedName name="_________aoc2">#REF!</definedName>
    <definedName name="_________aoc3">#REF!</definedName>
    <definedName name="_________aoc4">#REF!</definedName>
    <definedName name="_________axx1">#REF!</definedName>
    <definedName name="_________axx2">#REF!</definedName>
    <definedName name="_________axx3">#REF!</definedName>
    <definedName name="_________AXX4">#REF!</definedName>
    <definedName name="_________axx5">#REF!</definedName>
    <definedName name="_________axx6">#REF!</definedName>
    <definedName name="_________AXX7">#REF!</definedName>
    <definedName name="_________axx8">#REF!</definedName>
    <definedName name="_________b111121" localSheetId="12">#REF!</definedName>
    <definedName name="_________b111121" localSheetId="4">#REF!</definedName>
    <definedName name="_________b111121" localSheetId="32">#REF!</definedName>
    <definedName name="_________b111121">#REF!</definedName>
    <definedName name="_________B18000">#REF!</definedName>
    <definedName name="_________B30000">#REF!</definedName>
    <definedName name="_________B32000">#REF!</definedName>
    <definedName name="_________BAA1">#REF!</definedName>
    <definedName name="_________bhh2">#REF!</definedName>
    <definedName name="_________bom1">#REF!</definedName>
    <definedName name="_________CAN112">13.42</definedName>
    <definedName name="_________CAN113">12.98</definedName>
    <definedName name="_________CAN117">12.7</definedName>
    <definedName name="_________CAN118">13.27</definedName>
    <definedName name="_________CAN120">11.72</definedName>
    <definedName name="_________CAN2">#N/A</definedName>
    <definedName name="_________CAN210">10.38</definedName>
    <definedName name="_________CAN211">10.58</definedName>
    <definedName name="_________CAN213">10.56</definedName>
    <definedName name="_________CAN215">10.22</definedName>
    <definedName name="_________CAN216">9.61</definedName>
    <definedName name="_________CAN217">10.47</definedName>
    <definedName name="_________CAN219">10.91</definedName>
    <definedName name="_________CAN220">11.09</definedName>
    <definedName name="_________CAN221">11.25</definedName>
    <definedName name="_________CAN222">10.17</definedName>
    <definedName name="_________CAN223">9.89</definedName>
    <definedName name="_________CAN230">10.79</definedName>
    <definedName name="_________can421">40.2</definedName>
    <definedName name="_________can422">41.57</definedName>
    <definedName name="_________can423">43.9</definedName>
    <definedName name="_________can424">41.19</definedName>
    <definedName name="_________can425">42.81</definedName>
    <definedName name="_________can426">40.77</definedName>
    <definedName name="_________can427">40.92</definedName>
    <definedName name="_________can428">39.29</definedName>
    <definedName name="_________can429">45.19</definedName>
    <definedName name="_________can430">40.73</definedName>
    <definedName name="_________can431">42.52</definedName>
    <definedName name="_________can432">42.53</definedName>
    <definedName name="_________can433">43.69</definedName>
    <definedName name="_________can434">40.43</definedName>
    <definedName name="_________can435">43.3</definedName>
    <definedName name="_________CAN9">#N/A</definedName>
    <definedName name="_________CCT220">#REF!</definedName>
    <definedName name="_________cdd2">#REF!</definedName>
    <definedName name="_________cem124" localSheetId="12">#REF!</definedName>
    <definedName name="_________cem124" localSheetId="27">#REF!</definedName>
    <definedName name="_________cem124">#REF!</definedName>
    <definedName name="_________CFB1">#REF!</definedName>
    <definedName name="_________CFB2">#REF!</definedName>
    <definedName name="_________CFB3">#REF!</definedName>
    <definedName name="_________cff2">#REF!</definedName>
    <definedName name="_________col33">#REF!</definedName>
    <definedName name="_________cth2">#REF!</definedName>
    <definedName name="_________CVT220">#REF!</definedName>
    <definedName name="_________d5">#REF!</definedName>
    <definedName name="_________DAT1">#REF!</definedName>
    <definedName name="_________DAT10">#REF!</definedName>
    <definedName name="_________DAT11">#REF!</definedName>
    <definedName name="_________DAT12">#REF!</definedName>
    <definedName name="_________DAT13">#REF!</definedName>
    <definedName name="_________DAT14">#REF!</definedName>
    <definedName name="_________DAT15">#REF!</definedName>
    <definedName name="_________DAT16">#REF!</definedName>
    <definedName name="_________DAT2">#REF!</definedName>
    <definedName name="_________DAT3">#REF!</definedName>
    <definedName name="_________DAT4">#REF!</definedName>
    <definedName name="_________DAT5">#REF!</definedName>
    <definedName name="_________DAT6">#REF!</definedName>
    <definedName name="_________DAT7">#REF!</definedName>
    <definedName name="_________DAT8">#REF!</definedName>
    <definedName name="_________DAT9">#REF!</definedName>
    <definedName name="_________dec05" localSheetId="12" hidden="1">{"'Sheet1'!$A$4386:$N$4591"}</definedName>
    <definedName name="_________dec05" localSheetId="29" hidden="1">{"'Sheet1'!$A$4386:$N$4591"}</definedName>
    <definedName name="_________dec05" localSheetId="27" hidden="1">{"'Sheet1'!$A$4386:$N$4591"}</definedName>
    <definedName name="_________dec05" localSheetId="4" hidden="1">{"'Sheet1'!$A$4386:$N$4591"}</definedName>
    <definedName name="_________dec05" localSheetId="32" hidden="1">{"'Sheet1'!$A$4386:$N$4591"}</definedName>
    <definedName name="_________dec05" localSheetId="24" hidden="1">{"'Sheet1'!$A$4386:$N$4591"}</definedName>
    <definedName name="_________dec05" localSheetId="26" hidden="1">{"'Sheet1'!$A$4386:$N$4591"}</definedName>
    <definedName name="_________dec05" hidden="1">{"'Sheet1'!$A$4386:$N$4591"}</definedName>
    <definedName name="_________del1">#REF!</definedName>
    <definedName name="_________DET1">#REF!</definedName>
    <definedName name="_________DET2">#REF!</definedName>
    <definedName name="_________DET3">#REF!</definedName>
    <definedName name="_________DET4">#REF!</definedName>
    <definedName name="_________DET5">#REF!</definedName>
    <definedName name="_________DET6">#REF!</definedName>
    <definedName name="_________DIS1">#REF!</definedName>
    <definedName name="_________dol12" localSheetId="6">#REF!</definedName>
    <definedName name="_________dol12">#REF!</definedName>
    <definedName name="_________dol6" localSheetId="6">#REF!</definedName>
    <definedName name="_________dol6">#REF!</definedName>
    <definedName name="_________drg1">#REF!</definedName>
    <definedName name="_________drg2">#REF!</definedName>
    <definedName name="_________eth2">#REF!</definedName>
    <definedName name="_________f1">#REF!</definedName>
    <definedName name="_________Fpi1">#REF!</definedName>
    <definedName name="_________g1" localSheetId="12">#REF!</definedName>
    <definedName name="_________g1">#REF!</definedName>
    <definedName name="_________HCO2">#REF!</definedName>
    <definedName name="_________hfi1">#REF!</definedName>
    <definedName name="_________hfi2">#REF!</definedName>
    <definedName name="_________hfi3">#REF!</definedName>
    <definedName name="_________hfi4">#REF!</definedName>
    <definedName name="_________hfi5">#REF!</definedName>
    <definedName name="_________hfi6">#REF!</definedName>
    <definedName name="_________HFI7">#REF!</definedName>
    <definedName name="_________hfi8">#REF!</definedName>
    <definedName name="_________Hra2">#REF!</definedName>
    <definedName name="_________Hso2">#REF!</definedName>
    <definedName name="_________Hso3">#REF!</definedName>
    <definedName name="_________hxa1">#REF!</definedName>
    <definedName name="_________hxa2">#REF!</definedName>
    <definedName name="_________hxb1">#REF!</definedName>
    <definedName name="_________hxb2">#REF!</definedName>
    <definedName name="_________hxc1">#REF!</definedName>
    <definedName name="_________hxc2">#REF!</definedName>
    <definedName name="_________hxd1">#REF!</definedName>
    <definedName name="_________IDA1" localSheetId="6">#REF!</definedName>
    <definedName name="_________IDA1">#REF!</definedName>
    <definedName name="_________ifa1">#REF!</definedName>
    <definedName name="_________ifa2">#REF!</definedName>
    <definedName name="_________in18900">#REF!</definedName>
    <definedName name="_________INT1">#REF!</definedName>
    <definedName name="_________Ism3">#REF!</definedName>
    <definedName name="_________ISO220">#REF!</definedName>
    <definedName name="_________iv19000">#REF!</definedName>
    <definedName name="_________kd1">#REF!</definedName>
    <definedName name="_________kd2">#REF!</definedName>
    <definedName name="_________kd3">#REF!</definedName>
    <definedName name="_________KEY3" hidden="1">#REF!</definedName>
    <definedName name="_________Ki1" localSheetId="12">#REF!</definedName>
    <definedName name="_________Ki1">#REF!</definedName>
    <definedName name="_________Ki2" localSheetId="12">#REF!</definedName>
    <definedName name="_________Ki2">#REF!</definedName>
    <definedName name="_________lb1">#REF!</definedName>
    <definedName name="_________lb2">#REF!</definedName>
    <definedName name="_________LMH1">#REF!</definedName>
    <definedName name="_________LMH2">#REF!</definedName>
    <definedName name="_________m20">#REF!</definedName>
    <definedName name="_________m234" localSheetId="12">#REF!</definedName>
    <definedName name="_________m234">#REF!</definedName>
    <definedName name="_________m35">#REF!</definedName>
    <definedName name="_________mac2">200</definedName>
    <definedName name="_________MAN1">#REF!</definedName>
    <definedName name="_________mcl132">#REF!</definedName>
    <definedName name="_________mix10">4.5</definedName>
    <definedName name="_________mix15">264/50</definedName>
    <definedName name="_________mix20">330/50</definedName>
    <definedName name="_________mix30">350/50</definedName>
    <definedName name="_________mix40">450/50</definedName>
    <definedName name="_________ml3">#REF!</definedName>
    <definedName name="_________ml33">#REF!</definedName>
    <definedName name="_________mlc33">#REF!</definedName>
    <definedName name="_________mm1" localSheetId="27">#REF!</definedName>
    <definedName name="_________mm1">#REF!</definedName>
    <definedName name="_________mm2" localSheetId="27">#REF!</definedName>
    <definedName name="_________mm2">#REF!</definedName>
    <definedName name="_________mm3" localSheetId="27">#REF!</definedName>
    <definedName name="_________mm3">#REF!</definedName>
    <definedName name="_________MMB220">#REF!</definedName>
    <definedName name="_________new1">#REF!</definedName>
    <definedName name="_________Nov2007" localSheetId="12" hidden="1">{"'PROFITABILITY'!$A$1:$F$45"}</definedName>
    <definedName name="_________Nov2007" localSheetId="6" hidden="1">{"'PROFITABILITY'!$A$1:$F$45"}</definedName>
    <definedName name="_________Nov2007" localSheetId="29" hidden="1">{"'PROFITABILITY'!$A$1:$F$45"}</definedName>
    <definedName name="_________Nov2007" localSheetId="27" hidden="1">{"'PROFITABILITY'!$A$1:$F$45"}</definedName>
    <definedName name="_________Nov2007" localSheetId="4" hidden="1">{"'PROFITABILITY'!$A$1:$F$45"}</definedName>
    <definedName name="_________Nov2007" localSheetId="32" hidden="1">{"'PROFITABILITY'!$A$1:$F$45"}</definedName>
    <definedName name="_________Nov2007" localSheetId="24" hidden="1">{"'PROFITABILITY'!$A$1:$F$45"}</definedName>
    <definedName name="_________Nov2007" localSheetId="26" hidden="1">{"'PROFITABILITY'!$A$1:$F$45"}</definedName>
    <definedName name="_________Nov2007" hidden="1">{"'PROFITABILITY'!$A$1:$F$45"}</definedName>
    <definedName name="_________OPT8">#N/A</definedName>
    <definedName name="_________OPT9">#N/A</definedName>
    <definedName name="_________out2">#REF!</definedName>
    <definedName name="_________PB1">#REF!</definedName>
    <definedName name="_________pep99">#REF!</definedName>
    <definedName name="_________pfi1">#REF!</definedName>
    <definedName name="_________pp1">#REF!</definedName>
    <definedName name="_________pp2">#REF!</definedName>
    <definedName name="_________rcu2">#REF!</definedName>
    <definedName name="_________Re1">#REF!</definedName>
    <definedName name="_________Rl1">#REF!</definedName>
    <definedName name="_________Rs1">#REF!</definedName>
    <definedName name="_________rt1">#REF!</definedName>
    <definedName name="_________rt2">#REF!</definedName>
    <definedName name="_________rt3">#REF!</definedName>
    <definedName name="_________run1">#REF!</definedName>
    <definedName name="_________run2">#REF!</definedName>
    <definedName name="_________run3">#REF!</definedName>
    <definedName name="_________sch2">#REF!</definedName>
    <definedName name="_________sch9">#REF!</definedName>
    <definedName name="_________sh1">90</definedName>
    <definedName name="_________sh2">120</definedName>
    <definedName name="_________sh3">150</definedName>
    <definedName name="_________sh4">180</definedName>
    <definedName name="_________SS402">#REF!</definedName>
    <definedName name="_________SS403">#REF!</definedName>
    <definedName name="_________SS404">#REF!</definedName>
    <definedName name="_________SS405">#REF!</definedName>
    <definedName name="_________SS406">#REF!</definedName>
    <definedName name="_________SS407">#REF!</definedName>
    <definedName name="_________SS408">#REF!</definedName>
    <definedName name="_________SS409">#REF!</definedName>
    <definedName name="_________SS423">#REF!</definedName>
    <definedName name="_________SS424">#REF!</definedName>
    <definedName name="_________tab1" localSheetId="27">#REF!</definedName>
    <definedName name="_________tab1" localSheetId="4">#REF!</definedName>
    <definedName name="_________tab1" localSheetId="32">#REF!</definedName>
    <definedName name="_________tab1">#REF!</definedName>
    <definedName name="_________tab2" localSheetId="27">#REF!</definedName>
    <definedName name="_________tab2">#REF!</definedName>
    <definedName name="_________Tk1">#REF!</definedName>
    <definedName name="_________Tk11">#REF!</definedName>
    <definedName name="_________Tk2">#REF!</definedName>
    <definedName name="_________Tkl1">#REF!</definedName>
    <definedName name="_________tl1">#REF!</definedName>
    <definedName name="_________tl2">#REF!</definedName>
    <definedName name="_________Vf1">#REF!</definedName>
    <definedName name="_________Vf2">#REF!</definedName>
    <definedName name="_________vr1">#REF!</definedName>
    <definedName name="_________VS2004" localSheetId="29" hidden="1">#REF!</definedName>
    <definedName name="_________VS2004" localSheetId="26" hidden="1">#REF!</definedName>
    <definedName name="_________VS2004" hidden="1">#REF!</definedName>
    <definedName name="_________Wc1">#REF!</definedName>
    <definedName name="_________WC3">#REF!</definedName>
    <definedName name="_________wp1">#REF!</definedName>
    <definedName name="_________Wr1">#REF!</definedName>
    <definedName name="_________Wr3">#REF!</definedName>
    <definedName name="_________Xl1">#REF!</definedName>
    <definedName name="_________xlcn.WorksheetConnection_InfoEntryA2D32" localSheetId="6" hidden="1">#REF!</definedName>
    <definedName name="_________xlcn.WorksheetConnection_InfoEntryA2D32" localSheetId="27" hidden="1">#REF!</definedName>
    <definedName name="_________xlcn.WorksheetConnection_InfoEntryA2D32" localSheetId="4" hidden="1">#REF!</definedName>
    <definedName name="_________xlcn.WorksheetConnection_InfoEntryA2D32" localSheetId="32" hidden="1">#REF!</definedName>
    <definedName name="_________xlcn.WorksheetConnection_InfoEntryA2D32" localSheetId="24" hidden="1">#REF!</definedName>
    <definedName name="_________xlcn.WorksheetConnection_InfoEntryA2D32" hidden="1">#REF!</definedName>
    <definedName name="_________xlnm._FilterDatabase_1" localSheetId="29">#REF!</definedName>
    <definedName name="_________xlnm._FilterDatabase_1" localSheetId="24">#REF!</definedName>
    <definedName name="_________xlnm._FilterDatabase_1" localSheetId="26">#REF!</definedName>
    <definedName name="_________xlnm._FilterDatabase_1">#REF!</definedName>
    <definedName name="_________xlnm._FilterDatabase_2" localSheetId="29">#REF!</definedName>
    <definedName name="_________xlnm._FilterDatabase_2" localSheetId="26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#N/A</definedName>
    <definedName name="_________xlnm.Print_Area_1" localSheetId="6">#REF!</definedName>
    <definedName name="_________xlnm.Print_Area_1" localSheetId="29">#REF!</definedName>
    <definedName name="_________xlnm.Print_Area_1" localSheetId="24">#REF!</definedName>
    <definedName name="_________xlnm.Print_Area_1" localSheetId="26">#REF!</definedName>
    <definedName name="_________xlnm.Print_Area_1">#REF!</definedName>
    <definedName name="_________xlnm.Print_Area_1_1">"#REF!"</definedName>
    <definedName name="_________xlnm.Print_Area_10" localSheetId="6">#REF!</definedName>
    <definedName name="_________xlnm.Print_Area_10" localSheetId="29">#REF!</definedName>
    <definedName name="_________xlnm.Print_Area_10" localSheetId="24">#REF!</definedName>
    <definedName name="_________xlnm.Print_Area_10" localSheetId="26">#REF!</definedName>
    <definedName name="_________xlnm.Print_Area_10">#REF!</definedName>
    <definedName name="_________xlnm.Print_Area_10_1">"#REF!"</definedName>
    <definedName name="_________xlnm.Print_Area_11" localSheetId="6">#REF!</definedName>
    <definedName name="_________xlnm.Print_Area_11" localSheetId="29">#REF!</definedName>
    <definedName name="_________xlnm.Print_Area_11" localSheetId="24">#REF!</definedName>
    <definedName name="_________xlnm.Print_Area_11" localSheetId="26">#REF!</definedName>
    <definedName name="_________xlnm.Print_Area_11">#REF!</definedName>
    <definedName name="_________xlnm.Print_Area_13" localSheetId="6">#REF!</definedName>
    <definedName name="_________xlnm.Print_Area_13" localSheetId="29">#REF!</definedName>
    <definedName name="_________xlnm.Print_Area_13" localSheetId="26">#REF!</definedName>
    <definedName name="_________xlnm.Print_Area_13">#REF!</definedName>
    <definedName name="_________xlnm.Print_Area_2" localSheetId="29">#REF!</definedName>
    <definedName name="_________xlnm.Print_Area_2" localSheetId="26">#REF!</definedName>
    <definedName name="_________xlnm.Print_Area_2">#REF!</definedName>
    <definedName name="_________xlnm.Print_Area_2_1">"#REF!"</definedName>
    <definedName name="_________xlnm.Print_Area_3" localSheetId="6">#REF!</definedName>
    <definedName name="_________xlnm.Print_Area_3" localSheetId="29">#REF!</definedName>
    <definedName name="_________xlnm.Print_Area_3" localSheetId="24">#REF!</definedName>
    <definedName name="_________xlnm.Print_Area_3" localSheetId="26">#REF!</definedName>
    <definedName name="_________xlnm.Print_Area_3">#REF!</definedName>
    <definedName name="_________xlnm.Print_Area_4" localSheetId="6">#REF!</definedName>
    <definedName name="_________xlnm.Print_Area_4">#REF!</definedName>
    <definedName name="_________xlnm.Print_Area_5" localSheetId="6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1">#REF!</definedName>
    <definedName name="_________xlnm.Print_Titles_2" localSheetId="6">(#REF!,#REF!)</definedName>
    <definedName name="_________xlnm.Print_Titles_2" localSheetId="27">(#REF!,#REF!)</definedName>
    <definedName name="_________xlnm.Print_Titles_2">(#REF!,#REF!)</definedName>
    <definedName name="_________xlnm.Print_Titles_3" localSheetId="6">(#REF!,#REF!)</definedName>
    <definedName name="_________xlnm.Print_Titles_3" localSheetId="29">(#REF!,#REF!)</definedName>
    <definedName name="_________xlnm.Print_Titles_3" localSheetId="26">(#REF!,#REF!)</definedName>
    <definedName name="_________xlnm.Print_Titles_3">(#REF!,#REF!)</definedName>
    <definedName name="_________xlnm.Print_Titles_4" localSheetId="6">#REF!</definedName>
    <definedName name="_________xlnm.Print_Titles_4" localSheetId="29">#REF!</definedName>
    <definedName name="_________xlnm.Print_Titles_4" localSheetId="24">#REF!</definedName>
    <definedName name="_________xlnm.Print_Titles_4" localSheetId="26">#REF!</definedName>
    <definedName name="_________xlnm.Print_Titles_4">#REF!</definedName>
    <definedName name="_________xlnm.Print_Titles_7" localSheetId="6">#REF!</definedName>
    <definedName name="_________xlnm.Print_Titles_7">#REF!</definedName>
    <definedName name="________1____123Graph_ACHART_1" localSheetId="6" hidden="1">#REF!</definedName>
    <definedName name="________1____123Graph_ACHART_1" hidden="1">#REF!</definedName>
    <definedName name="________2____123Graph_BCHART_1" hidden="1">#REF!</definedName>
    <definedName name="________3____123Graph_CCHART_1" hidden="1">#REF!</definedName>
    <definedName name="________4_____a">#REF!</definedName>
    <definedName name="________4___123Graph_ACHART_1" hidden="1">#REF!</definedName>
    <definedName name="________5___123Graph_BCHART_1" hidden="1">#REF!</definedName>
    <definedName name="________6___123Graph_CCHART_1" hidden="1">#REF!</definedName>
    <definedName name="________7__123Graph_ACHART_1" hidden="1">#REF!</definedName>
    <definedName name="________8__123Graph_BCHART_1" hidden="1">#REF!</definedName>
    <definedName name="________9__123Graph_CCHART_1" hidden="1">#REF!</definedName>
    <definedName name="________a1">#REF!</definedName>
    <definedName name="________a5">#N/A</definedName>
    <definedName name="________a6">#N/A</definedName>
    <definedName name="________A65537">#REF!</definedName>
    <definedName name="________A655600">#REF!</definedName>
    <definedName name="________a655601">#REF!</definedName>
    <definedName name="________A71614">#REF!</definedName>
    <definedName name="________A81614">#REF!</definedName>
    <definedName name="________A91614">#REF!</definedName>
    <definedName name="________a999999">#REF!</definedName>
    <definedName name="________aa1" localSheetId="12" hidden="1">{"'PROFITABILITY'!$A$1:$F$45"}</definedName>
    <definedName name="________aa1" localSheetId="6" hidden="1">{"'PROFITABILITY'!$A$1:$F$45"}</definedName>
    <definedName name="________aa1" localSheetId="29" hidden="1">{"'PROFITABILITY'!$A$1:$F$45"}</definedName>
    <definedName name="________aa1" localSheetId="27" hidden="1">{"'PROFITABILITY'!$A$1:$F$45"}</definedName>
    <definedName name="________aa1" localSheetId="4" hidden="1">{"'PROFITABILITY'!$A$1:$F$45"}</definedName>
    <definedName name="________aa1" localSheetId="32" hidden="1">{"'PROFITABILITY'!$A$1:$F$45"}</definedName>
    <definedName name="________aa1" localSheetId="24" hidden="1">{"'PROFITABILITY'!$A$1:$F$45"}</definedName>
    <definedName name="________aa1" localSheetId="26" hidden="1">{"'PROFITABILITY'!$A$1:$F$45"}</definedName>
    <definedName name="________aa1" hidden="1">{"'PROFITABILITY'!$A$1:$F$45"}</definedName>
    <definedName name="________aba2">#REF!</definedName>
    <definedName name="________acs1">#REF!</definedName>
    <definedName name="________acs2">#REF!</definedName>
    <definedName name="________AHP1">#REF!</definedName>
    <definedName name="________aoc1">#REF!</definedName>
    <definedName name="________aoc2">#REF!</definedName>
    <definedName name="________aoc3">#REF!</definedName>
    <definedName name="________aoc4">#REF!</definedName>
    <definedName name="________axx1">#REF!</definedName>
    <definedName name="________axx2">#REF!</definedName>
    <definedName name="________axx3">#REF!</definedName>
    <definedName name="________AXX4">#REF!</definedName>
    <definedName name="________axx5">#REF!</definedName>
    <definedName name="________axx6">#REF!</definedName>
    <definedName name="________AXX7">#REF!</definedName>
    <definedName name="________axx8">#REF!</definedName>
    <definedName name="________b111121" localSheetId="12">#REF!</definedName>
    <definedName name="________b111121" localSheetId="4">#REF!</definedName>
    <definedName name="________b111121" localSheetId="32">#REF!</definedName>
    <definedName name="________b111121">#REF!</definedName>
    <definedName name="________B18000">#REF!</definedName>
    <definedName name="________B30000">#REF!</definedName>
    <definedName name="________B32000">#REF!</definedName>
    <definedName name="________BAA1">#REF!</definedName>
    <definedName name="________bhh2">#REF!</definedName>
    <definedName name="________bom1">#REF!</definedName>
    <definedName name="________BoQ3">#REF!</definedName>
    <definedName name="________BoQ4">#REF!</definedName>
    <definedName name="________CAN112">13.42</definedName>
    <definedName name="________CAN113">12.98</definedName>
    <definedName name="________CAN117">12.7</definedName>
    <definedName name="________CAN118">13.27</definedName>
    <definedName name="________CAN120">11.72</definedName>
    <definedName name="________CAN2">#N/A</definedName>
    <definedName name="________CAN210">10.38</definedName>
    <definedName name="________CAN211">10.58</definedName>
    <definedName name="________CAN213">10.56</definedName>
    <definedName name="________CAN215">10.22</definedName>
    <definedName name="________CAN216">9.61</definedName>
    <definedName name="________CAN217">10.47</definedName>
    <definedName name="________CAN219">10.91</definedName>
    <definedName name="________CAN220">11.09</definedName>
    <definedName name="________CAN221">11.25</definedName>
    <definedName name="________CAN222">10.17</definedName>
    <definedName name="________CAN223">9.89</definedName>
    <definedName name="________CAN230">10.79</definedName>
    <definedName name="________can421">40.2</definedName>
    <definedName name="________can422">41.57</definedName>
    <definedName name="________can423">43.9</definedName>
    <definedName name="________can424">41.19</definedName>
    <definedName name="________can425">42.81</definedName>
    <definedName name="________can426">40.77</definedName>
    <definedName name="________can427">40.92</definedName>
    <definedName name="________can428">39.29</definedName>
    <definedName name="________can429">45.19</definedName>
    <definedName name="________can430">40.73</definedName>
    <definedName name="________can431">42.52</definedName>
    <definedName name="________can432">42.53</definedName>
    <definedName name="________can433">43.69</definedName>
    <definedName name="________can434">40.43</definedName>
    <definedName name="________can435">43.3</definedName>
    <definedName name="________CAN9">#N/A</definedName>
    <definedName name="________CCT220">#REF!</definedName>
    <definedName name="________cdd2">#REF!</definedName>
    <definedName name="________cem124" localSheetId="12">#REF!</definedName>
    <definedName name="________cem124" localSheetId="27">#REF!</definedName>
    <definedName name="________cem124">#REF!</definedName>
    <definedName name="________CFB1">#REF!</definedName>
    <definedName name="________CFB2">#REF!</definedName>
    <definedName name="________CFB3">#REF!</definedName>
    <definedName name="________cff2">#REF!</definedName>
    <definedName name="________col33">#REF!</definedName>
    <definedName name="________cth2">#REF!</definedName>
    <definedName name="________CU600" localSheetId="12" hidden="1">{#N/A,#N/A,TRUE,"toc";#N/A,#N/A,TRUE,"general";#N/A,#N/A,TRUE,"compressive";#N/A,#N/A,TRUE,"lateral";#N/A,#N/A,TRUE,"shallow"}</definedName>
    <definedName name="________CU600" localSheetId="6" hidden="1">{#N/A,#N/A,TRUE,"toc";#N/A,#N/A,TRUE,"general";#N/A,#N/A,TRUE,"compressive";#N/A,#N/A,TRUE,"lateral";#N/A,#N/A,TRUE,"shallow"}</definedName>
    <definedName name="________CU600" localSheetId="29" hidden="1">{#N/A,#N/A,TRUE,"toc";#N/A,#N/A,TRUE,"general";#N/A,#N/A,TRUE,"compressive";#N/A,#N/A,TRUE,"lateral";#N/A,#N/A,TRUE,"shallow"}</definedName>
    <definedName name="________CU600" localSheetId="27" hidden="1">{#N/A,#N/A,TRUE,"toc";#N/A,#N/A,TRUE,"general";#N/A,#N/A,TRUE,"compressive";#N/A,#N/A,TRUE,"lateral";#N/A,#N/A,TRUE,"shallow"}</definedName>
    <definedName name="________CU600" localSheetId="4" hidden="1">{#N/A,#N/A,TRUE,"toc";#N/A,#N/A,TRUE,"general";#N/A,#N/A,TRUE,"compressive";#N/A,#N/A,TRUE,"lateral";#N/A,#N/A,TRUE,"shallow"}</definedName>
    <definedName name="________CU600" localSheetId="32" hidden="1">{#N/A,#N/A,TRUE,"toc";#N/A,#N/A,TRUE,"general";#N/A,#N/A,TRUE,"compressive";#N/A,#N/A,TRUE,"lateral";#N/A,#N/A,TRUE,"shallow"}</definedName>
    <definedName name="________CU600" localSheetId="24" hidden="1">{#N/A,#N/A,TRUE,"toc";#N/A,#N/A,TRUE,"general";#N/A,#N/A,TRUE,"compressive";#N/A,#N/A,TRUE,"lateral";#N/A,#N/A,TRUE,"shallow"}</definedName>
    <definedName name="________CU600" localSheetId="26" hidden="1">{#N/A,#N/A,TRUE,"toc";#N/A,#N/A,TRUE,"general";#N/A,#N/A,TRUE,"compressive";#N/A,#N/A,TRUE,"lateral";#N/A,#N/A,TRUE,"shallow"}</definedName>
    <definedName name="________CU600" hidden="1">{#N/A,#N/A,TRUE,"toc";#N/A,#N/A,TRUE,"general";#N/A,#N/A,TRUE,"compressive";#N/A,#N/A,TRUE,"lateral";#N/A,#N/A,TRUE,"shallow"}</definedName>
    <definedName name="________CVT220">#REF!</definedName>
    <definedName name="________d5">#REF!</definedName>
    <definedName name="________DAT1">#REF!</definedName>
    <definedName name="________DAT10">#REF!</definedName>
    <definedName name="________DAT11">#REF!</definedName>
    <definedName name="________DAT12">#REF!</definedName>
    <definedName name="________DAT13">#REF!</definedName>
    <definedName name="________DAT14">#REF!</definedName>
    <definedName name="________DAT15">#REF!</definedName>
    <definedName name="________DAT16">#REF!</definedName>
    <definedName name="________DAT2">#REF!</definedName>
    <definedName name="________DAT3">#REF!</definedName>
    <definedName name="________DAT4">#REF!</definedName>
    <definedName name="________DAT5">#REF!</definedName>
    <definedName name="________DAT6">#REF!</definedName>
    <definedName name="________DAT7">#REF!</definedName>
    <definedName name="________DAT8">#REF!</definedName>
    <definedName name="________DAT9">#REF!</definedName>
    <definedName name="________dec05" localSheetId="12" hidden="1">{"'Sheet1'!$A$4386:$N$4591"}</definedName>
    <definedName name="________dec05" localSheetId="29" hidden="1">{"'Sheet1'!$A$4386:$N$4591"}</definedName>
    <definedName name="________dec05" localSheetId="27" hidden="1">{"'Sheet1'!$A$4386:$N$4591"}</definedName>
    <definedName name="________dec05" localSheetId="4" hidden="1">{"'Sheet1'!$A$4386:$N$4591"}</definedName>
    <definedName name="________dec05" localSheetId="32" hidden="1">{"'Sheet1'!$A$4386:$N$4591"}</definedName>
    <definedName name="________dec05" localSheetId="24" hidden="1">{"'Sheet1'!$A$4386:$N$4591"}</definedName>
    <definedName name="________dec05" localSheetId="26" hidden="1">{"'Sheet1'!$A$4386:$N$4591"}</definedName>
    <definedName name="________dec05" hidden="1">{"'Sheet1'!$A$4386:$N$4591"}</definedName>
    <definedName name="________del1">#REF!</definedName>
    <definedName name="________DET1" localSheetId="6">#REF!</definedName>
    <definedName name="________DET1" localSheetId="27">#REF!</definedName>
    <definedName name="________DET1" localSheetId="4">#REF!</definedName>
    <definedName name="________DET1" localSheetId="32">#REF!</definedName>
    <definedName name="________DET1" localSheetId="24">#REF!</definedName>
    <definedName name="________DET1">#REF!</definedName>
    <definedName name="________DET2">#REF!</definedName>
    <definedName name="________DET3">#REF!</definedName>
    <definedName name="________DET4">#REF!</definedName>
    <definedName name="________DET5">#REF!</definedName>
    <definedName name="________DET6">#REF!</definedName>
    <definedName name="________DIS1">#REF!</definedName>
    <definedName name="________dol12" localSheetId="6">#REF!</definedName>
    <definedName name="________dol12" localSheetId="29">#REF!</definedName>
    <definedName name="________dol12" localSheetId="26">#REF!</definedName>
    <definedName name="________dol12">#REF!</definedName>
    <definedName name="________dol6" localSheetId="6">#REF!</definedName>
    <definedName name="________dol6">#REF!</definedName>
    <definedName name="________drg1">#REF!</definedName>
    <definedName name="________drg2">#REF!</definedName>
    <definedName name="________eth2">#REF!</definedName>
    <definedName name="________f1">#REF!</definedName>
    <definedName name="________FEL1" localSheetId="6">#REF!</definedName>
    <definedName name="________FEL1" localSheetId="27">#REF!</definedName>
    <definedName name="________FEL1" localSheetId="4">#REF!</definedName>
    <definedName name="________FEL1" localSheetId="32">#REF!</definedName>
    <definedName name="________FEL1" localSheetId="24">#REF!</definedName>
    <definedName name="________FEL1">#REF!</definedName>
    <definedName name="________Fpi1">#REF!</definedName>
    <definedName name="________g1" localSheetId="12">#REF!</definedName>
    <definedName name="________g1" localSheetId="24">#REF!</definedName>
    <definedName name="________g1">#REF!</definedName>
    <definedName name="________g2">#REF!</definedName>
    <definedName name="________GEL1" localSheetId="6">#REF!</definedName>
    <definedName name="________GEL1" localSheetId="27">#REF!</definedName>
    <definedName name="________GEL1" localSheetId="4">#REF!</definedName>
    <definedName name="________GEL1" localSheetId="32">#REF!</definedName>
    <definedName name="________GEL1" localSheetId="24">#REF!</definedName>
    <definedName name="________GEL1">#REF!</definedName>
    <definedName name="________HBG10" localSheetId="6">#REF!</definedName>
    <definedName name="________HBG10" localSheetId="27">#REF!</definedName>
    <definedName name="________HBG10" localSheetId="4">#REF!</definedName>
    <definedName name="________HBG10" localSheetId="32">#REF!</definedName>
    <definedName name="________HBG10" localSheetId="24">#REF!</definedName>
    <definedName name="________HBG10">#REF!</definedName>
    <definedName name="________HBG12" localSheetId="6">#REF!</definedName>
    <definedName name="________HBG12" localSheetId="27">#REF!</definedName>
    <definedName name="________HBG12" localSheetId="4">#REF!</definedName>
    <definedName name="________HBG12" localSheetId="32">#REF!</definedName>
    <definedName name="________HBG12" localSheetId="24">#REF!</definedName>
    <definedName name="________HBG12">#REF!</definedName>
    <definedName name="________HBG25" localSheetId="6">#REF!</definedName>
    <definedName name="________HBG25" localSheetId="27">#REF!</definedName>
    <definedName name="________HBG25" localSheetId="4">#REF!</definedName>
    <definedName name="________HBG25" localSheetId="32">#REF!</definedName>
    <definedName name="________HBG25" localSheetId="24">#REF!</definedName>
    <definedName name="________HBG25">#REF!</definedName>
    <definedName name="________HBG40" localSheetId="6">#REF!</definedName>
    <definedName name="________HBG40" localSheetId="27">#REF!</definedName>
    <definedName name="________HBG40" localSheetId="4">#REF!</definedName>
    <definedName name="________HBG40" localSheetId="32">#REF!</definedName>
    <definedName name="________HBG40" localSheetId="24">#REF!</definedName>
    <definedName name="________HBG40">#REF!</definedName>
    <definedName name="________HBG50" localSheetId="6">#REF!</definedName>
    <definedName name="________HBG50" localSheetId="27">#REF!</definedName>
    <definedName name="________HBG50" localSheetId="4">#REF!</definedName>
    <definedName name="________HBG50" localSheetId="32">#REF!</definedName>
    <definedName name="________HBG50" localSheetId="24">#REF!</definedName>
    <definedName name="________HBG50">#REF!</definedName>
    <definedName name="________HBG6" localSheetId="6">#REF!</definedName>
    <definedName name="________HBG6" localSheetId="27">#REF!</definedName>
    <definedName name="________HBG6" localSheetId="4">#REF!</definedName>
    <definedName name="________HBG6" localSheetId="32">#REF!</definedName>
    <definedName name="________HBG6" localSheetId="24">#REF!</definedName>
    <definedName name="________HBG6">#REF!</definedName>
    <definedName name="________HCO2">#REF!</definedName>
    <definedName name="________hfi1">#REF!</definedName>
    <definedName name="________hfi2">#REF!</definedName>
    <definedName name="________hfi3">#REF!</definedName>
    <definedName name="________hfi4">#REF!</definedName>
    <definedName name="________hfi5">#REF!</definedName>
    <definedName name="________hfi6">#REF!</definedName>
    <definedName name="________HFI7">#REF!</definedName>
    <definedName name="________hfi8">#REF!</definedName>
    <definedName name="________Hra2">#REF!</definedName>
    <definedName name="________Hso2">#REF!</definedName>
    <definedName name="________Hso3">#REF!</definedName>
    <definedName name="________hxa1">#REF!</definedName>
    <definedName name="________hxa2">#REF!</definedName>
    <definedName name="________hxb1">#REF!</definedName>
    <definedName name="________hxb2">#REF!</definedName>
    <definedName name="________hxc1">#REF!</definedName>
    <definedName name="________hxc2">#REF!</definedName>
    <definedName name="________hxd1">#REF!</definedName>
    <definedName name="________IDA1" localSheetId="29">#REF!</definedName>
    <definedName name="________IDA1" localSheetId="24">#REF!</definedName>
    <definedName name="________IDA1" localSheetId="26">#REF!</definedName>
    <definedName name="________IDA1">#REF!</definedName>
    <definedName name="________ifa1">#REF!</definedName>
    <definedName name="________ifa2">#REF!</definedName>
    <definedName name="________in18900" localSheetId="29">#REF!</definedName>
    <definedName name="________in18900" localSheetId="26">#REF!</definedName>
    <definedName name="________in18900">#REF!</definedName>
    <definedName name="________INT1">#REF!</definedName>
    <definedName name="________Ism3">#REF!</definedName>
    <definedName name="________ISO220">#REF!</definedName>
    <definedName name="________iv19000">#REF!</definedName>
    <definedName name="________kd1">#REF!</definedName>
    <definedName name="________kd2">#REF!</definedName>
    <definedName name="________kd3">#REF!</definedName>
    <definedName name="________KEY3" localSheetId="12" hidden="1">#REF!</definedName>
    <definedName name="________KEY3" hidden="1">#REF!</definedName>
    <definedName name="________Ki1">#REF!</definedName>
    <definedName name="________Ki2">#REF!</definedName>
    <definedName name="________lb1">#REF!</definedName>
    <definedName name="________lb2">#REF!</definedName>
    <definedName name="________LMH1">#REF!</definedName>
    <definedName name="________LMH2">#REF!</definedName>
    <definedName name="________lvl1">#REF!</definedName>
    <definedName name="________m20">#REF!</definedName>
    <definedName name="________m234" localSheetId="12">#REF!</definedName>
    <definedName name="________m234">#REF!</definedName>
    <definedName name="________m35">#REF!</definedName>
    <definedName name="________mac2">200</definedName>
    <definedName name="________MAN1">#REF!</definedName>
    <definedName name="________mcl132">#REF!</definedName>
    <definedName name="________MG1" localSheetId="6">#REF!</definedName>
    <definedName name="________MG1" localSheetId="27">#REF!</definedName>
    <definedName name="________MG1" localSheetId="4">#REF!</definedName>
    <definedName name="________MG1" localSheetId="32">#REF!</definedName>
    <definedName name="________MG1" localSheetId="24">#REF!</definedName>
    <definedName name="________MG1">#REF!</definedName>
    <definedName name="________mix10">4.5</definedName>
    <definedName name="________mix15">264/50</definedName>
    <definedName name="________mix20">330/50</definedName>
    <definedName name="________mix30">350/50</definedName>
    <definedName name="________mix40">450/50</definedName>
    <definedName name="________ml3">#REF!</definedName>
    <definedName name="________ml33">#REF!</definedName>
    <definedName name="________mlc33">#REF!</definedName>
    <definedName name="________mm1" localSheetId="27">#REF!</definedName>
    <definedName name="________mm1">#REF!</definedName>
    <definedName name="________mm2" localSheetId="27">#REF!</definedName>
    <definedName name="________mm2">#REF!</definedName>
    <definedName name="________mm3" localSheetId="27">#REF!</definedName>
    <definedName name="________mm3">#REF!</definedName>
    <definedName name="________MMB220">#REF!</definedName>
    <definedName name="________Mzd1" localSheetId="6">#REF!</definedName>
    <definedName name="________Mzd1" localSheetId="27">#REF!</definedName>
    <definedName name="________Mzd1" localSheetId="4">#REF!</definedName>
    <definedName name="________Mzd1" localSheetId="32">#REF!</definedName>
    <definedName name="________Mzd1" localSheetId="24">#REF!</definedName>
    <definedName name="________Mzd1">#REF!</definedName>
    <definedName name="________new1">#REF!</definedName>
    <definedName name="________Nov2007" localSheetId="12" hidden="1">{"'PROFITABILITY'!$A$1:$F$45"}</definedName>
    <definedName name="________Nov2007" localSheetId="6" hidden="1">{"'PROFITABILITY'!$A$1:$F$45"}</definedName>
    <definedName name="________Nov2007" localSheetId="29" hidden="1">{"'PROFITABILITY'!$A$1:$F$45"}</definedName>
    <definedName name="________Nov2007" localSheetId="27" hidden="1">{"'PROFITABILITY'!$A$1:$F$45"}</definedName>
    <definedName name="________Nov2007" localSheetId="4" hidden="1">{"'PROFITABILITY'!$A$1:$F$45"}</definedName>
    <definedName name="________Nov2007" localSheetId="32" hidden="1">{"'PROFITABILITY'!$A$1:$F$45"}</definedName>
    <definedName name="________Nov2007" localSheetId="24" hidden="1">{"'PROFITABILITY'!$A$1:$F$45"}</definedName>
    <definedName name="________Nov2007" localSheetId="26" hidden="1">{"'PROFITABILITY'!$A$1:$F$45"}</definedName>
    <definedName name="________Nov2007" hidden="1">{"'PROFITABILITY'!$A$1:$F$45"}</definedName>
    <definedName name="________OP2" localSheetId="6">#REF!</definedName>
    <definedName name="________OP2" localSheetId="27">#REF!</definedName>
    <definedName name="________OP2" localSheetId="4">#REF!</definedName>
    <definedName name="________OP2" localSheetId="32">#REF!</definedName>
    <definedName name="________OP2" localSheetId="24">#REF!</definedName>
    <definedName name="________OP2">#REF!</definedName>
    <definedName name="________OPT8">#N/A</definedName>
    <definedName name="________OPT9">#N/A</definedName>
    <definedName name="________out2">#REF!</definedName>
    <definedName name="________PB1">#REF!</definedName>
    <definedName name="________pep99">#REF!</definedName>
    <definedName name="________pfi1">#REF!</definedName>
    <definedName name="________PM123" localSheetId="12" hidden="1">{"'Sheet1'!$A$4386:$N$4591"}</definedName>
    <definedName name="________PM123" hidden="1">{"'Sheet1'!$A$4386:$N$4591"}</definedName>
    <definedName name="________pp1">#REF!</definedName>
    <definedName name="________pp2">#REF!</definedName>
    <definedName name="________rcu2">#REF!</definedName>
    <definedName name="________Re1">#REF!</definedName>
    <definedName name="________Rl1">#REF!</definedName>
    <definedName name="________Rs1">#REF!</definedName>
    <definedName name="________rt1">#REF!</definedName>
    <definedName name="________rt2">#REF!</definedName>
    <definedName name="________rt3">#REF!</definedName>
    <definedName name="________run1">#REF!</definedName>
    <definedName name="________run2">#REF!</definedName>
    <definedName name="________run3">#REF!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sch2">#REF!</definedName>
    <definedName name="________sch9">#REF!</definedName>
    <definedName name="________sh1">90</definedName>
    <definedName name="________sh2">120</definedName>
    <definedName name="________sh3">150</definedName>
    <definedName name="________sh4">180</definedName>
    <definedName name="________SS402">#REF!</definedName>
    <definedName name="________SS403">#REF!</definedName>
    <definedName name="________SS404">#REF!</definedName>
    <definedName name="________SS405">#REF!</definedName>
    <definedName name="________SS406">#REF!</definedName>
    <definedName name="________SS407">#REF!</definedName>
    <definedName name="________SS408">#REF!</definedName>
    <definedName name="________SS409">#REF!</definedName>
    <definedName name="________SS423">#REF!</definedName>
    <definedName name="________SS424">#REF!</definedName>
    <definedName name="________tab1" localSheetId="27">#REF!</definedName>
    <definedName name="________tab1" localSheetId="4">#REF!</definedName>
    <definedName name="________tab1" localSheetId="32">#REF!</definedName>
    <definedName name="________tab1" localSheetId="24">#REF!</definedName>
    <definedName name="________tab1">#REF!</definedName>
    <definedName name="________tab2" localSheetId="24">#REF!</definedName>
    <definedName name="________tab2">#REF!</definedName>
    <definedName name="________TER1">#REF!</definedName>
    <definedName name="________Tk1">#REF!</definedName>
    <definedName name="________Tk11">#REF!</definedName>
    <definedName name="________Tk2">#REF!</definedName>
    <definedName name="________Tkl1">#REF!</definedName>
    <definedName name="________tl1">#REF!</definedName>
    <definedName name="________tl2">#REF!</definedName>
    <definedName name="________Vf1">#REF!</definedName>
    <definedName name="________Vf2">#REF!</definedName>
    <definedName name="________vr1">#REF!</definedName>
    <definedName name="________VS2004" localSheetId="29" hidden="1">#REF!</definedName>
    <definedName name="________VS2004" localSheetId="26" hidden="1">#REF!</definedName>
    <definedName name="________VS2004" hidden="1">#REF!</definedName>
    <definedName name="________Wc1">#REF!</definedName>
    <definedName name="________WC3">#REF!</definedName>
    <definedName name="________WD2" localSheetId="6">#REF!</definedName>
    <definedName name="________WD2" localSheetId="27">#REF!</definedName>
    <definedName name="________WD2" localSheetId="4">#REF!</definedName>
    <definedName name="________WD2" localSheetId="32">#REF!</definedName>
    <definedName name="________WD2" localSheetId="24">#REF!</definedName>
    <definedName name="________WD2">#REF!</definedName>
    <definedName name="________wp1">#REF!</definedName>
    <definedName name="________Wr1">#REF!</definedName>
    <definedName name="________Wr3">#REF!</definedName>
    <definedName name="________Xl1">#REF!</definedName>
    <definedName name="________xlcn.WorksheetConnection_InfoEntryA2D32" localSheetId="6" hidden="1">#REF!</definedName>
    <definedName name="________xlcn.WorksheetConnection_InfoEntryA2D32" localSheetId="27" hidden="1">#REF!</definedName>
    <definedName name="________xlcn.WorksheetConnection_InfoEntryA2D32" localSheetId="4" hidden="1">#REF!</definedName>
    <definedName name="________xlcn.WorksheetConnection_InfoEntryA2D32" localSheetId="32" hidden="1">#REF!</definedName>
    <definedName name="________xlcn.WorksheetConnection_InfoEntryA2D32" localSheetId="24" hidden="1">#REF!</definedName>
    <definedName name="________xlcn.WorksheetConnection_InfoEntryA2D32" hidden="1">#REF!</definedName>
    <definedName name="________xlnm._FilterDatabase_1" localSheetId="29">#REF!</definedName>
    <definedName name="________xlnm._FilterDatabase_1" localSheetId="24">#REF!</definedName>
    <definedName name="________xlnm._FilterDatabase_1" localSheetId="26">#REF!</definedName>
    <definedName name="________xlnm._FilterDatabase_1">#REF!</definedName>
    <definedName name="________xlnm._FilterDatabase_2" localSheetId="29">#REF!</definedName>
    <definedName name="________xlnm._FilterDatabase_2" localSheetId="26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#N/A</definedName>
    <definedName name="________xlnm.Print_Area_1" localSheetId="6">#REF!</definedName>
    <definedName name="________xlnm.Print_Area_1" localSheetId="29">#REF!</definedName>
    <definedName name="________xlnm.Print_Area_1" localSheetId="24">#REF!</definedName>
    <definedName name="________xlnm.Print_Area_1" localSheetId="26">#REF!</definedName>
    <definedName name="________xlnm.Print_Area_1">#REF!</definedName>
    <definedName name="________xlnm.Print_Area_1_1">"#REF!"</definedName>
    <definedName name="________xlnm.Print_Area_10" localSheetId="6">#REF!</definedName>
    <definedName name="________xlnm.Print_Area_10" localSheetId="29">#REF!</definedName>
    <definedName name="________xlnm.Print_Area_10" localSheetId="24">#REF!</definedName>
    <definedName name="________xlnm.Print_Area_10" localSheetId="26">#REF!</definedName>
    <definedName name="________xlnm.Print_Area_10">#REF!</definedName>
    <definedName name="________xlnm.Print_Area_10_1">"#REF!"</definedName>
    <definedName name="________xlnm.Print_Area_11" localSheetId="6">#REF!</definedName>
    <definedName name="________xlnm.Print_Area_11" localSheetId="29">#REF!</definedName>
    <definedName name="________xlnm.Print_Area_11" localSheetId="24">#REF!</definedName>
    <definedName name="________xlnm.Print_Area_11" localSheetId="26">#REF!</definedName>
    <definedName name="________xlnm.Print_Area_11">#REF!</definedName>
    <definedName name="________xlnm.Print_Area_11_1">"#REF!"</definedName>
    <definedName name="________xlnm.Print_Area_13" localSheetId="6">#REF!</definedName>
    <definedName name="________xlnm.Print_Area_13" localSheetId="29">#REF!</definedName>
    <definedName name="________xlnm.Print_Area_13" localSheetId="24">#REF!</definedName>
    <definedName name="________xlnm.Print_Area_13" localSheetId="26">#REF!</definedName>
    <definedName name="________xlnm.Print_Area_13">#REF!</definedName>
    <definedName name="________xlnm.Print_Area_2" localSheetId="6">#REF!</definedName>
    <definedName name="________xlnm.Print_Area_2" localSheetId="29">#REF!</definedName>
    <definedName name="________xlnm.Print_Area_2" localSheetId="26">#REF!</definedName>
    <definedName name="________xlnm.Print_Area_2">#REF!</definedName>
    <definedName name="________xlnm.Print_Area_3" localSheetId="29">#REF!</definedName>
    <definedName name="________xlnm.Print_Area_3" localSheetId="26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1">#REF!</definedName>
    <definedName name="________xlnm.Print_Titles_2" localSheetId="6">(#REF!,#REF!)</definedName>
    <definedName name="________xlnm.Print_Titles_2" localSheetId="27">(#REF!,#REF!)</definedName>
    <definedName name="________xlnm.Print_Titles_2">(#REF!,#REF!)</definedName>
    <definedName name="________xlnm.Print_Titles_3" localSheetId="6">(#REF!,#REF!)</definedName>
    <definedName name="________xlnm.Print_Titles_3" localSheetId="29">(#REF!,#REF!)</definedName>
    <definedName name="________xlnm.Print_Titles_3" localSheetId="26">(#REF!,#REF!)</definedName>
    <definedName name="________xlnm.Print_Titles_3">(#REF!,#REF!)</definedName>
    <definedName name="________xlnm.Print_Titles_4" localSheetId="6">#REF!</definedName>
    <definedName name="________xlnm.Print_Titles_4" localSheetId="29">#REF!</definedName>
    <definedName name="________xlnm.Print_Titles_4" localSheetId="24">#REF!</definedName>
    <definedName name="________xlnm.Print_Titles_4" localSheetId="26">#REF!</definedName>
    <definedName name="________xlnm.Print_Titles_4">#REF!</definedName>
    <definedName name="________xlnm.Print_Titles_7" localSheetId="6">#REF!</definedName>
    <definedName name="________xlnm.Print_Titles_7">#REF!</definedName>
    <definedName name="_______1____123Graph_ACHART_1" localSheetId="6" hidden="1">#REF!</definedName>
    <definedName name="_______1____123Graph_ACHART_1" hidden="1">#REF!</definedName>
    <definedName name="_______2____123Graph_BCHART_1" hidden="1">#REF!</definedName>
    <definedName name="_______3____123Graph_CCHART_1" hidden="1">#REF!</definedName>
    <definedName name="_______4___123Graph_ACHART_1" hidden="1">#REF!</definedName>
    <definedName name="_______5___123Graph_BCHART_1" hidden="1">#REF!</definedName>
    <definedName name="_______6___123Graph_CCHART_1" hidden="1">#REF!</definedName>
    <definedName name="_______7__123Graph_ACHART_1" hidden="1">#REF!</definedName>
    <definedName name="_______8__123Graph_BCHART_1" hidden="1">#REF!</definedName>
    <definedName name="_______9__123Graph_CCHART_1" hidden="1">#REF!</definedName>
    <definedName name="_______a1">#REF!</definedName>
    <definedName name="_______A2">#REF!</definedName>
    <definedName name="_______a5">#REF!</definedName>
    <definedName name="_______a6">#REF!</definedName>
    <definedName name="_______A65537">#REF!</definedName>
    <definedName name="_______A655600">#REF!</definedName>
    <definedName name="_______a655601">#REF!</definedName>
    <definedName name="_______A71614">#REF!</definedName>
    <definedName name="_______A81614">#REF!</definedName>
    <definedName name="_______A91614">#REF!</definedName>
    <definedName name="_______a999999">#REF!</definedName>
    <definedName name="_______aa1" localSheetId="12" hidden="1">{"'PROFITABILITY'!$A$1:$F$45"}</definedName>
    <definedName name="_______aa1" localSheetId="6" hidden="1">{"'PROFITABILITY'!$A$1:$F$45"}</definedName>
    <definedName name="_______aa1" localSheetId="29" hidden="1">{"'PROFITABILITY'!$A$1:$F$45"}</definedName>
    <definedName name="_______aa1" localSheetId="27" hidden="1">{"'PROFITABILITY'!$A$1:$F$45"}</definedName>
    <definedName name="_______aa1" localSheetId="4" hidden="1">{"'PROFITABILITY'!$A$1:$F$45"}</definedName>
    <definedName name="_______aa1" localSheetId="32" hidden="1">{"'PROFITABILITY'!$A$1:$F$45"}</definedName>
    <definedName name="_______aa1" localSheetId="24" hidden="1">{"'PROFITABILITY'!$A$1:$F$45"}</definedName>
    <definedName name="_______aa1" localSheetId="26" hidden="1">{"'PROFITABILITY'!$A$1:$F$45"}</definedName>
    <definedName name="_______aa1" hidden="1">{"'PROFITABILITY'!$A$1:$F$45"}</definedName>
    <definedName name="_______aba2">#REF!</definedName>
    <definedName name="_______acs1">#REF!</definedName>
    <definedName name="_______acs2">#REF!</definedName>
    <definedName name="_______AHP1">#REF!</definedName>
    <definedName name="_______aoc1" localSheetId="12">#REF!</definedName>
    <definedName name="_______aoc1">#REF!</definedName>
    <definedName name="_______aoc2" localSheetId="12">#REF!</definedName>
    <definedName name="_______aoc2">#REF!</definedName>
    <definedName name="_______aoc3" localSheetId="12">#REF!</definedName>
    <definedName name="_______aoc3">#REF!</definedName>
    <definedName name="_______aoc4" localSheetId="12">#REF!</definedName>
    <definedName name="_______aoc4">#REF!</definedName>
    <definedName name="_______axx1">#REF!</definedName>
    <definedName name="_______axx2">#REF!</definedName>
    <definedName name="_______axx3">#REF!</definedName>
    <definedName name="_______AXX4">#REF!</definedName>
    <definedName name="_______axx5">#REF!</definedName>
    <definedName name="_______axx6">#REF!</definedName>
    <definedName name="_______AXX7">#REF!</definedName>
    <definedName name="_______axx8">#REF!</definedName>
    <definedName name="_______b111121" localSheetId="12">#REF!</definedName>
    <definedName name="_______b111121" localSheetId="4">#REF!</definedName>
    <definedName name="_______b111121" localSheetId="32">#REF!</definedName>
    <definedName name="_______b111121">#REF!</definedName>
    <definedName name="_______B18000">#REF!</definedName>
    <definedName name="_______B30000">#REF!</definedName>
    <definedName name="_______B32000">#REF!</definedName>
    <definedName name="_______BAA1">#REF!</definedName>
    <definedName name="_______bhh2">#REF!</definedName>
    <definedName name="_______bom1">#REF!</definedName>
    <definedName name="_______CAN112">13.42</definedName>
    <definedName name="_______CAN113">12.98</definedName>
    <definedName name="_______CAN117">12.7</definedName>
    <definedName name="_______CAN118">13.27</definedName>
    <definedName name="_______CAN120">11.72</definedName>
    <definedName name="_______CAN2">#N/A</definedName>
    <definedName name="_______CAN210">10.38</definedName>
    <definedName name="_______CAN211">10.58</definedName>
    <definedName name="_______CAN213">10.56</definedName>
    <definedName name="_______CAN215">10.22</definedName>
    <definedName name="_______CAN216">9.61</definedName>
    <definedName name="_______CAN217">10.47</definedName>
    <definedName name="_______CAN219">10.91</definedName>
    <definedName name="_______CAN220">11.09</definedName>
    <definedName name="_______CAN221">11.25</definedName>
    <definedName name="_______CAN222">10.17</definedName>
    <definedName name="_______CAN223">9.89</definedName>
    <definedName name="_______CAN230">10.79</definedName>
    <definedName name="_______can421">40.2</definedName>
    <definedName name="_______can422">41.57</definedName>
    <definedName name="_______can423">43.9</definedName>
    <definedName name="_______can424">41.19</definedName>
    <definedName name="_______can425">42.81</definedName>
    <definedName name="_______can426">40.77</definedName>
    <definedName name="_______can427">40.92</definedName>
    <definedName name="_______can428">39.29</definedName>
    <definedName name="_______can429">45.19</definedName>
    <definedName name="_______can430">40.73</definedName>
    <definedName name="_______can431">42.52</definedName>
    <definedName name="_______can432">42.53</definedName>
    <definedName name="_______can433">43.69</definedName>
    <definedName name="_______can434">40.43</definedName>
    <definedName name="_______can435">43.3</definedName>
    <definedName name="_______CAN9">#N/A</definedName>
    <definedName name="_______CCT220">#REF!</definedName>
    <definedName name="_______cdd2">#REF!</definedName>
    <definedName name="_______cem124" localSheetId="12">#REF!</definedName>
    <definedName name="_______cem124" localSheetId="27">#REF!</definedName>
    <definedName name="_______cem124">#REF!</definedName>
    <definedName name="_______CFB1">#REF!</definedName>
    <definedName name="_______CFB2">#REF!</definedName>
    <definedName name="_______CFB3">#REF!</definedName>
    <definedName name="_______cff2">#REF!</definedName>
    <definedName name="_______col33" localSheetId="12">#REF!</definedName>
    <definedName name="_______col33">#REF!</definedName>
    <definedName name="_______cth2">#REF!</definedName>
    <definedName name="_______CVT220">#REF!</definedName>
    <definedName name="_______d5">#N/A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c05" localSheetId="12" hidden="1">{"'Sheet1'!$A$4386:$N$4591"}</definedName>
    <definedName name="_______dec05" localSheetId="29" hidden="1">{"'Sheet1'!$A$4386:$N$4591"}</definedName>
    <definedName name="_______dec05" localSheetId="27" hidden="1">{"'Sheet1'!$A$4386:$N$4591"}</definedName>
    <definedName name="_______dec05" localSheetId="4" hidden="1">{"'Sheet1'!$A$4386:$N$4591"}</definedName>
    <definedName name="_______dec05" localSheetId="32" hidden="1">{"'Sheet1'!$A$4386:$N$4591"}</definedName>
    <definedName name="_______dec05" localSheetId="24" hidden="1">{"'Sheet1'!$A$4386:$N$4591"}</definedName>
    <definedName name="_______dec05" localSheetId="26" hidden="1">{"'Sheet1'!$A$4386:$N$4591"}</definedName>
    <definedName name="_______dec05" hidden="1">{"'Sheet1'!$A$4386:$N$4591"}</definedName>
    <definedName name="_______del1">#REF!</definedName>
    <definedName name="_______DET1" localSheetId="6">#REF!</definedName>
    <definedName name="_______DET1" localSheetId="27">#REF!</definedName>
    <definedName name="_______DET1" localSheetId="4">#REF!</definedName>
    <definedName name="_______DET1" localSheetId="32">#REF!</definedName>
    <definedName name="_______DET1" localSheetId="24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ev9947">#REF!</definedName>
    <definedName name="_______DIS1">#REF!</definedName>
    <definedName name="_______dol12" localSheetId="6">#REF!</definedName>
    <definedName name="_______dol12" localSheetId="29">#REF!</definedName>
    <definedName name="_______dol12" localSheetId="26">#REF!</definedName>
    <definedName name="_______dol12">#REF!</definedName>
    <definedName name="_______dol6" localSheetId="6">#REF!</definedName>
    <definedName name="_______dol6">#REF!</definedName>
    <definedName name="_______drg1">#REF!</definedName>
    <definedName name="_______drg2">#REF!</definedName>
    <definedName name="_______eth2">#REF!</definedName>
    <definedName name="_______f1">#REF!</definedName>
    <definedName name="_______FEL1" localSheetId="6">#REF!</definedName>
    <definedName name="_______FEL1" localSheetId="27">#REF!</definedName>
    <definedName name="_______FEL1" localSheetId="4">#REF!</definedName>
    <definedName name="_______FEL1" localSheetId="32">#REF!</definedName>
    <definedName name="_______FEL1" localSheetId="24">#REF!</definedName>
    <definedName name="_______FEL1">#REF!</definedName>
    <definedName name="_______Fpi1">#REF!</definedName>
    <definedName name="_______g1" localSheetId="12">#REF!</definedName>
    <definedName name="_______g1" localSheetId="24">#REF!</definedName>
    <definedName name="_______g1">#REF!</definedName>
    <definedName name="_______g2">#REF!</definedName>
    <definedName name="_______GEL1" localSheetId="6">#REF!</definedName>
    <definedName name="_______GEL1" localSheetId="27">#REF!</definedName>
    <definedName name="_______GEL1" localSheetId="4">#REF!</definedName>
    <definedName name="_______GEL1" localSheetId="32">#REF!</definedName>
    <definedName name="_______GEL1" localSheetId="24">#REF!</definedName>
    <definedName name="_______GEL1">#REF!</definedName>
    <definedName name="_______HBG10" localSheetId="6">#REF!</definedName>
    <definedName name="_______HBG10" localSheetId="27">#REF!</definedName>
    <definedName name="_______HBG10" localSheetId="4">#REF!</definedName>
    <definedName name="_______HBG10" localSheetId="32">#REF!</definedName>
    <definedName name="_______HBG10" localSheetId="24">#REF!</definedName>
    <definedName name="_______HBG10">#REF!</definedName>
    <definedName name="_______HBG12" localSheetId="6">#REF!</definedName>
    <definedName name="_______HBG12" localSheetId="27">#REF!</definedName>
    <definedName name="_______HBG12" localSheetId="4">#REF!</definedName>
    <definedName name="_______HBG12" localSheetId="32">#REF!</definedName>
    <definedName name="_______HBG12" localSheetId="24">#REF!</definedName>
    <definedName name="_______HBG12">#REF!</definedName>
    <definedName name="_______HBG25" localSheetId="6">#REF!</definedName>
    <definedName name="_______HBG25" localSheetId="27">#REF!</definedName>
    <definedName name="_______HBG25" localSheetId="4">#REF!</definedName>
    <definedName name="_______HBG25" localSheetId="32">#REF!</definedName>
    <definedName name="_______HBG25" localSheetId="24">#REF!</definedName>
    <definedName name="_______HBG25">#REF!</definedName>
    <definedName name="_______HBG40" localSheetId="6">#REF!</definedName>
    <definedName name="_______HBG40" localSheetId="27">#REF!</definedName>
    <definedName name="_______HBG40" localSheetId="4">#REF!</definedName>
    <definedName name="_______HBG40" localSheetId="32">#REF!</definedName>
    <definedName name="_______HBG40" localSheetId="24">#REF!</definedName>
    <definedName name="_______HBG40">#REF!</definedName>
    <definedName name="_______HBG50" localSheetId="6">#REF!</definedName>
    <definedName name="_______HBG50" localSheetId="27">#REF!</definedName>
    <definedName name="_______HBG50" localSheetId="4">#REF!</definedName>
    <definedName name="_______HBG50" localSheetId="32">#REF!</definedName>
    <definedName name="_______HBG50" localSheetId="24">#REF!</definedName>
    <definedName name="_______HBG50">#REF!</definedName>
    <definedName name="_______HBG6" localSheetId="6">#REF!</definedName>
    <definedName name="_______HBG6" localSheetId="27">#REF!</definedName>
    <definedName name="_______HBG6" localSheetId="4">#REF!</definedName>
    <definedName name="_______HBG6" localSheetId="32">#REF!</definedName>
    <definedName name="_______HBG6" localSheetId="24">#REF!</definedName>
    <definedName name="_______HBG6">#REF!</definedName>
    <definedName name="_______HCO2">#REF!</definedName>
    <definedName name="_______hfi1">#REF!</definedName>
    <definedName name="_______hfi2">#REF!</definedName>
    <definedName name="_______hfi3">#REF!</definedName>
    <definedName name="_______hfi4">#REF!</definedName>
    <definedName name="_______hfi5">#REF!</definedName>
    <definedName name="_______hfi6">#REF!</definedName>
    <definedName name="_______HFI7">#REF!</definedName>
    <definedName name="_______hfi8">#REF!</definedName>
    <definedName name="_______Hra2">#REF!</definedName>
    <definedName name="_______Hso2">#REF!</definedName>
    <definedName name="_______Hso3">#REF!</definedName>
    <definedName name="_______hxa1">#REF!</definedName>
    <definedName name="_______hxa2">#REF!</definedName>
    <definedName name="_______hxb1">#REF!</definedName>
    <definedName name="_______hxb2">#REF!</definedName>
    <definedName name="_______hxc1">#REF!</definedName>
    <definedName name="_______hxc2">#REF!</definedName>
    <definedName name="_______hxd1">#REF!</definedName>
    <definedName name="_______IDA1" localSheetId="29">#REF!</definedName>
    <definedName name="_______IDA1" localSheetId="24">#REF!</definedName>
    <definedName name="_______IDA1" localSheetId="26">#REF!</definedName>
    <definedName name="_______IDA1">#REF!</definedName>
    <definedName name="_______ifa1">#REF!</definedName>
    <definedName name="_______ifa2">#REF!</definedName>
    <definedName name="_______in18900" localSheetId="29">#REF!</definedName>
    <definedName name="_______in18900" localSheetId="26">#REF!</definedName>
    <definedName name="_______in18900">#REF!</definedName>
    <definedName name="_______INT1">#REF!</definedName>
    <definedName name="_______Ism3">#REF!</definedName>
    <definedName name="_______ISO220">#REF!</definedName>
    <definedName name="_______iv19000">#REF!</definedName>
    <definedName name="_______kd1">#REF!</definedName>
    <definedName name="_______kd2">#REF!</definedName>
    <definedName name="_______kd3">#REF!</definedName>
    <definedName name="_______KEY3" hidden="1">#REF!</definedName>
    <definedName name="_______Ki1">#REF!</definedName>
    <definedName name="_______Ki2">#REF!</definedName>
    <definedName name="_______lb1">#REF!</definedName>
    <definedName name="_______lb2">#REF!</definedName>
    <definedName name="_______LMH1">#REF!</definedName>
    <definedName name="_______LMH2">#REF!</definedName>
    <definedName name="_______lvl1">#REF!</definedName>
    <definedName name="_______m20">#REF!</definedName>
    <definedName name="_______m234" localSheetId="12">#REF!</definedName>
    <definedName name="_______m234">#REF!</definedName>
    <definedName name="_______m35">#REF!</definedName>
    <definedName name="_______mac2">200</definedName>
    <definedName name="_______MAN1">#REF!</definedName>
    <definedName name="_______mcl132" localSheetId="12">#REF!</definedName>
    <definedName name="_______mcl132">#REF!</definedName>
    <definedName name="_______MG1" localSheetId="6">#REF!</definedName>
    <definedName name="_______MG1" localSheetId="27">#REF!</definedName>
    <definedName name="_______MG1" localSheetId="4">#REF!</definedName>
    <definedName name="_______MG1" localSheetId="32">#REF!</definedName>
    <definedName name="_______MG1" localSheetId="24">#REF!</definedName>
    <definedName name="_______MG1">#REF!</definedName>
    <definedName name="_______mix10">4.5</definedName>
    <definedName name="_______mix15">264/50</definedName>
    <definedName name="_______mix20">330/50</definedName>
    <definedName name="_______mix30">350/50</definedName>
    <definedName name="_______mix40">450/50</definedName>
    <definedName name="_______ml3" localSheetId="12">#REF!</definedName>
    <definedName name="_______ml3">#REF!</definedName>
    <definedName name="_______ml33" localSheetId="12">#REF!</definedName>
    <definedName name="_______ml33">#REF!</definedName>
    <definedName name="_______mlc33" localSheetId="12">#REF!</definedName>
    <definedName name="_______mlc33">#REF!</definedName>
    <definedName name="_______mm1" localSheetId="27">#REF!</definedName>
    <definedName name="_______mm1">#REF!</definedName>
    <definedName name="_______mm2" localSheetId="27">#REF!</definedName>
    <definedName name="_______mm2">#REF!</definedName>
    <definedName name="_______mm3" localSheetId="27">#REF!</definedName>
    <definedName name="_______mm3">#REF!</definedName>
    <definedName name="_______MMB220">#REF!</definedName>
    <definedName name="_______mnk1">#REF!</definedName>
    <definedName name="_______Mzd1" localSheetId="6">#REF!</definedName>
    <definedName name="_______Mzd1" localSheetId="27">#REF!</definedName>
    <definedName name="_______Mzd1" localSheetId="4">#REF!</definedName>
    <definedName name="_______Mzd1" localSheetId="32">#REF!</definedName>
    <definedName name="_______Mzd1" localSheetId="24">#REF!</definedName>
    <definedName name="_______Mzd1">#REF!</definedName>
    <definedName name="_______new1">#REF!</definedName>
    <definedName name="_______Nov2007" localSheetId="12" hidden="1">{"'PROFITABILITY'!$A$1:$F$45"}</definedName>
    <definedName name="_______Nov2007" localSheetId="6" hidden="1">{"'PROFITABILITY'!$A$1:$F$45"}</definedName>
    <definedName name="_______Nov2007" localSheetId="29" hidden="1">{"'PROFITABILITY'!$A$1:$F$45"}</definedName>
    <definedName name="_______Nov2007" localSheetId="27" hidden="1">{"'PROFITABILITY'!$A$1:$F$45"}</definedName>
    <definedName name="_______Nov2007" localSheetId="4" hidden="1">{"'PROFITABILITY'!$A$1:$F$45"}</definedName>
    <definedName name="_______Nov2007" localSheetId="32" hidden="1">{"'PROFITABILITY'!$A$1:$F$45"}</definedName>
    <definedName name="_______Nov2007" localSheetId="24" hidden="1">{"'PROFITABILITY'!$A$1:$F$45"}</definedName>
    <definedName name="_______Nov2007" localSheetId="26" hidden="1">{"'PROFITABILITY'!$A$1:$F$45"}</definedName>
    <definedName name="_______Nov2007" hidden="1">{"'PROFITABILITY'!$A$1:$F$45"}</definedName>
    <definedName name="_______OP2" localSheetId="6">#REF!</definedName>
    <definedName name="_______OP2" localSheetId="27">#REF!</definedName>
    <definedName name="_______OP2" localSheetId="4">#REF!</definedName>
    <definedName name="_______OP2" localSheetId="32">#REF!</definedName>
    <definedName name="_______OP2" localSheetId="24">#REF!</definedName>
    <definedName name="_______OP2">#REF!</definedName>
    <definedName name="_______OPT8">#N/A</definedName>
    <definedName name="_______OPT9">#N/A</definedName>
    <definedName name="_______out2">#REF!</definedName>
    <definedName name="_______PB1">#REF!</definedName>
    <definedName name="_______pep99">#REF!</definedName>
    <definedName name="_______pfi1">#REF!</definedName>
    <definedName name="_______pp1">#REF!</definedName>
    <definedName name="_______pp2">#REF!</definedName>
    <definedName name="_______rcu2">#REF!</definedName>
    <definedName name="_______Re1">#REF!</definedName>
    <definedName name="_______Rl1">#REF!</definedName>
    <definedName name="_______rs1" localSheetId="12">#REF!</definedName>
    <definedName name="_______rs1" localSheetId="24">#REF!</definedName>
    <definedName name="_______rs1">#REF!</definedName>
    <definedName name="_______rt1">#REF!</definedName>
    <definedName name="_______rt2">#REF!</definedName>
    <definedName name="_______rt3">#REF!</definedName>
    <definedName name="_______run1">#REF!</definedName>
    <definedName name="_______run2">#REF!</definedName>
    <definedName name="_______run3">#REF!</definedName>
    <definedName name="_______s41" localSheetId="12" hidden="1">{"form-D1",#N/A,FALSE,"FORM-D1";"form-D1_amt",#N/A,FALSE,"FORM-D1"}</definedName>
    <definedName name="_______s41" hidden="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ch2">#REF!</definedName>
    <definedName name="_______sch9">#REF!</definedName>
    <definedName name="_______sh1">90</definedName>
    <definedName name="_______sh2">120</definedName>
    <definedName name="_______sh3">150</definedName>
    <definedName name="_______sh4">180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ab1" localSheetId="4">#REF!</definedName>
    <definedName name="_______tab1" localSheetId="32">#REF!</definedName>
    <definedName name="_______tab1" localSheetId="24">#REF!</definedName>
    <definedName name="_______tab1">#REF!</definedName>
    <definedName name="_______tab2" localSheetId="27">#REF!</definedName>
    <definedName name="_______tab2">#REF!</definedName>
    <definedName name="_______TER1">#REF!</definedName>
    <definedName name="_______Tk1">#REF!</definedName>
    <definedName name="_______Tk11">#REF!</definedName>
    <definedName name="_______Tk2">#REF!</definedName>
    <definedName name="_______Tkl1">#REF!</definedName>
    <definedName name="_______tl1">#REF!</definedName>
    <definedName name="_______tl2">#REF!</definedName>
    <definedName name="_______Vf1">#REF!</definedName>
    <definedName name="_______Vf2">#REF!</definedName>
    <definedName name="_______vr1">#REF!</definedName>
    <definedName name="_______VS2004" localSheetId="29" hidden="1">#REF!</definedName>
    <definedName name="_______VS2004" localSheetId="26" hidden="1">#REF!</definedName>
    <definedName name="_______VS2004" hidden="1">#REF!</definedName>
    <definedName name="_______Wc1">#REF!</definedName>
    <definedName name="_______WC3">#REF!</definedName>
    <definedName name="_______WD2" localSheetId="6">#REF!</definedName>
    <definedName name="_______WD2" localSheetId="27">#REF!</definedName>
    <definedName name="_______WD2" localSheetId="4">#REF!</definedName>
    <definedName name="_______WD2" localSheetId="32">#REF!</definedName>
    <definedName name="_______WD2" localSheetId="24">#REF!</definedName>
    <definedName name="_______WD2">#REF!</definedName>
    <definedName name="_______wp1">#REF!</definedName>
    <definedName name="_______Wr1">#REF!</definedName>
    <definedName name="_______Wr3">#REF!</definedName>
    <definedName name="_______Xl1">#REF!</definedName>
    <definedName name="_______xlcn.WorksheetConnection_InfoEntryA2D32" localSheetId="6" hidden="1">#REF!</definedName>
    <definedName name="_______xlcn.WorksheetConnection_InfoEntryA2D32" localSheetId="27" hidden="1">#REF!</definedName>
    <definedName name="_______xlcn.WorksheetConnection_InfoEntryA2D32" localSheetId="4" hidden="1">#REF!</definedName>
    <definedName name="_______xlcn.WorksheetConnection_InfoEntryA2D32" localSheetId="32" hidden="1">#REF!</definedName>
    <definedName name="_______xlcn.WorksheetConnection_InfoEntryA2D32" localSheetId="24" hidden="1">#REF!</definedName>
    <definedName name="_______xlcn.WorksheetConnection_InfoEntryA2D32" hidden="1">#REF!</definedName>
    <definedName name="_______xlnm._FilterDatabase_1" localSheetId="29">#REF!</definedName>
    <definedName name="_______xlnm._FilterDatabase_1" localSheetId="24">#REF!</definedName>
    <definedName name="_______xlnm._FilterDatabase_1" localSheetId="26">#REF!</definedName>
    <definedName name="_______xlnm._FilterDatabase_1">#REF!</definedName>
    <definedName name="_______xlnm._FilterDatabase_2" localSheetId="29">#REF!</definedName>
    <definedName name="_______xlnm._FilterDatabase_2" localSheetId="26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#N/A</definedName>
    <definedName name="_______xlnm.Print_Area_1" localSheetId="6">#REF!</definedName>
    <definedName name="_______xlnm.Print_Area_1" localSheetId="29">#REF!</definedName>
    <definedName name="_______xlnm.Print_Area_1" localSheetId="24">#REF!</definedName>
    <definedName name="_______xlnm.Print_Area_1" localSheetId="26">#REF!</definedName>
    <definedName name="_______xlnm.Print_Area_1">#REF!</definedName>
    <definedName name="_______xlnm.Print_Area_1_1">"#REF!"</definedName>
    <definedName name="_______xlnm.Print_Area_10" localSheetId="6">#REF!</definedName>
    <definedName name="_______xlnm.Print_Area_10" localSheetId="29">#REF!</definedName>
    <definedName name="_______xlnm.Print_Area_10" localSheetId="24">#REF!</definedName>
    <definedName name="_______xlnm.Print_Area_10" localSheetId="26">#REF!</definedName>
    <definedName name="_______xlnm.Print_Area_10">#REF!</definedName>
    <definedName name="_______xlnm.Print_Area_10_1">"#REF!"</definedName>
    <definedName name="_______xlnm.Print_Area_11" localSheetId="6">#REF!</definedName>
    <definedName name="_______xlnm.Print_Area_11" localSheetId="29">#REF!</definedName>
    <definedName name="_______xlnm.Print_Area_11" localSheetId="24">#REF!</definedName>
    <definedName name="_______xlnm.Print_Area_11" localSheetId="26">#REF!</definedName>
    <definedName name="_______xlnm.Print_Area_11">#REF!</definedName>
    <definedName name="_______xlnm.Print_Area_11_1">"#REF!"</definedName>
    <definedName name="_______xlnm.Print_Area_13" localSheetId="6">#REF!</definedName>
    <definedName name="_______xlnm.Print_Area_13" localSheetId="29">#REF!</definedName>
    <definedName name="_______xlnm.Print_Area_13" localSheetId="24">#REF!</definedName>
    <definedName name="_______xlnm.Print_Area_13" localSheetId="26">#REF!</definedName>
    <definedName name="_______xlnm.Print_Area_13">#REF!</definedName>
    <definedName name="_______xlnm.Print_Area_2" localSheetId="6">#REF!</definedName>
    <definedName name="_______xlnm.Print_Area_2" localSheetId="29">#REF!</definedName>
    <definedName name="_______xlnm.Print_Area_2" localSheetId="26">#REF!</definedName>
    <definedName name="_______xlnm.Print_Area_2">#REF!</definedName>
    <definedName name="_______xlnm.Print_Area_3" localSheetId="29">#REF!</definedName>
    <definedName name="_______xlnm.Print_Area_3" localSheetId="26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1">#REF!</definedName>
    <definedName name="_______xlnm.Print_Titles_2" localSheetId="6">(#REF!,#REF!)</definedName>
    <definedName name="_______xlnm.Print_Titles_2" localSheetId="27">(#REF!,#REF!)</definedName>
    <definedName name="_______xlnm.Print_Titles_2">(#REF!,#REF!)</definedName>
    <definedName name="_______xlnm.Print_Titles_3" localSheetId="6">(#REF!,#REF!)</definedName>
    <definedName name="_______xlnm.Print_Titles_3" localSheetId="29">(#REF!,#REF!)</definedName>
    <definedName name="_______xlnm.Print_Titles_3" localSheetId="26">(#REF!,#REF!)</definedName>
    <definedName name="_______xlnm.Print_Titles_3">(#REF!,#REF!)</definedName>
    <definedName name="_______xlnm.Print_Titles_4" localSheetId="6">#REF!</definedName>
    <definedName name="_______xlnm.Print_Titles_4" localSheetId="29">#REF!</definedName>
    <definedName name="_______xlnm.Print_Titles_4" localSheetId="24">#REF!</definedName>
    <definedName name="_______xlnm.Print_Titles_4" localSheetId="26">#REF!</definedName>
    <definedName name="_______xlnm.Print_Titles_4">#REF!</definedName>
    <definedName name="_______xlnm.Print_Titles_7" localSheetId="6">#REF!</definedName>
    <definedName name="_______xlnm.Print_Titles_7">#REF!</definedName>
    <definedName name="______1____123Graph_ACHART_1" localSheetId="6" hidden="1">#REF!</definedName>
    <definedName name="______1____123Graph_ACHART_1" hidden="1">#REF!</definedName>
    <definedName name="______2____123Graph_BCHART_1" hidden="1">#REF!</definedName>
    <definedName name="______3____123Graph_CCHART_1" hidden="1">#REF!</definedName>
    <definedName name="______4___123Graph_ACHART_1" hidden="1">#REF!</definedName>
    <definedName name="______5___123Graph_BCHART_1" hidden="1">#REF!</definedName>
    <definedName name="______6___123Graph_CCHART_1" hidden="1">#REF!</definedName>
    <definedName name="______7__123Graph_ACHART_1" hidden="1">#REF!</definedName>
    <definedName name="______8__123Graph_BCHART_1" hidden="1">#REF!</definedName>
    <definedName name="______9__123Graph_CCHART_1" hidden="1">#REF!</definedName>
    <definedName name="______a1">#REF!</definedName>
    <definedName name="______A2">#REF!</definedName>
    <definedName name="______a5">#N/A</definedName>
    <definedName name="______a6">#N/A</definedName>
    <definedName name="______A65537">#REF!</definedName>
    <definedName name="______A655600">#REF!</definedName>
    <definedName name="______a655601">#REF!</definedName>
    <definedName name="______A71614">#REF!</definedName>
    <definedName name="______A81614">#REF!</definedName>
    <definedName name="______A91614">#REF!</definedName>
    <definedName name="______a999999">#REF!</definedName>
    <definedName name="______aa1" localSheetId="12" hidden="1">{"'PROFITABILITY'!$A$1:$F$45"}</definedName>
    <definedName name="______aa1" localSheetId="6" hidden="1">{"'PROFITABILITY'!$A$1:$F$45"}</definedName>
    <definedName name="______aa1" localSheetId="29" hidden="1">{"'PROFITABILITY'!$A$1:$F$45"}</definedName>
    <definedName name="______aa1" localSheetId="27" hidden="1">{"'PROFITABILITY'!$A$1:$F$45"}</definedName>
    <definedName name="______aa1" localSheetId="4" hidden="1">{"'PROFITABILITY'!$A$1:$F$45"}</definedName>
    <definedName name="______aa1" localSheetId="32" hidden="1">{"'PROFITABILITY'!$A$1:$F$45"}</definedName>
    <definedName name="______aa1" localSheetId="24" hidden="1">{"'PROFITABILITY'!$A$1:$F$45"}</definedName>
    <definedName name="______aa1" localSheetId="26" hidden="1">{"'PROFITABILITY'!$A$1:$F$45"}</definedName>
    <definedName name="______aa1" hidden="1">{"'PROFITABILITY'!$A$1:$F$45"}</definedName>
    <definedName name="______aba2">#REF!</definedName>
    <definedName name="______acs1">#REF!</definedName>
    <definedName name="______acs2">#REF!</definedName>
    <definedName name="______AHP1">#REF!</definedName>
    <definedName name="______aoc1" localSheetId="12">#REF!</definedName>
    <definedName name="______aoc1">#REF!</definedName>
    <definedName name="______aoc2" localSheetId="12">#REF!</definedName>
    <definedName name="______aoc2">#REF!</definedName>
    <definedName name="______aoc3" localSheetId="12">#REF!</definedName>
    <definedName name="______aoc3">#REF!</definedName>
    <definedName name="______aoc4" localSheetId="12">#REF!</definedName>
    <definedName name="______aoc4">#REF!</definedName>
    <definedName name="______axx1">#REF!</definedName>
    <definedName name="______axx2" localSheetId="12">#REF!</definedName>
    <definedName name="______axx2">#REF!</definedName>
    <definedName name="______axx3">#REF!</definedName>
    <definedName name="______AXX4" localSheetId="12">#REF!</definedName>
    <definedName name="______AXX4">#REF!</definedName>
    <definedName name="______axx5" localSheetId="12">#REF!</definedName>
    <definedName name="______axx5">#REF!</definedName>
    <definedName name="______axx6" localSheetId="12">#REF!</definedName>
    <definedName name="______axx6">#REF!</definedName>
    <definedName name="______AXX7" localSheetId="12">#REF!</definedName>
    <definedName name="______AXX7">#REF!</definedName>
    <definedName name="______axx8" localSheetId="12">#REF!</definedName>
    <definedName name="______axx8">#REF!</definedName>
    <definedName name="______b111121" localSheetId="12">#REF!</definedName>
    <definedName name="______b111121" localSheetId="4">#REF!</definedName>
    <definedName name="______b111121" localSheetId="32">#REF!</definedName>
    <definedName name="______b111121">#REF!</definedName>
    <definedName name="______B18000">#REF!</definedName>
    <definedName name="______B30000">#REF!</definedName>
    <definedName name="______B32000">#REF!</definedName>
    <definedName name="______BAA1">#REF!</definedName>
    <definedName name="______bhh2">#REF!</definedName>
    <definedName name="______bom1">#REF!</definedName>
    <definedName name="______BoQ3">#REF!</definedName>
    <definedName name="______BOQ35">#REF!</definedName>
    <definedName name="______BoQ4">#REF!</definedName>
    <definedName name="______BoQ5">#REF!</definedName>
    <definedName name="______BoQ9">#REF!</definedName>
    <definedName name="______CAN112">13.42</definedName>
    <definedName name="______CAN113">12.98</definedName>
    <definedName name="______CAN117">12.7</definedName>
    <definedName name="______CAN118">13.27</definedName>
    <definedName name="______CAN120">11.72</definedName>
    <definedName name="______CAN2">#N/A</definedName>
    <definedName name="______CAN210">10.38</definedName>
    <definedName name="______CAN211">10.58</definedName>
    <definedName name="______CAN213">10.56</definedName>
    <definedName name="______CAN215">10.22</definedName>
    <definedName name="______CAN216">9.61</definedName>
    <definedName name="______CAN217">10.47</definedName>
    <definedName name="______CAN219">10.91</definedName>
    <definedName name="______CAN220">11.09</definedName>
    <definedName name="______CAN221">11.25</definedName>
    <definedName name="______CAN222">10.17</definedName>
    <definedName name="______CAN223">9.89</definedName>
    <definedName name="______CAN230">10.79</definedName>
    <definedName name="______can421">40.2</definedName>
    <definedName name="______can422">41.57</definedName>
    <definedName name="______can423">43.9</definedName>
    <definedName name="______can424">41.19</definedName>
    <definedName name="______can425">42.81</definedName>
    <definedName name="______can426">40.77</definedName>
    <definedName name="______can427">40.92</definedName>
    <definedName name="______can428">39.29</definedName>
    <definedName name="______can429">45.19</definedName>
    <definedName name="______can430">40.73</definedName>
    <definedName name="______can431">42.52</definedName>
    <definedName name="______can432">42.53</definedName>
    <definedName name="______can433">43.69</definedName>
    <definedName name="______can434">40.43</definedName>
    <definedName name="______can435">43.3</definedName>
    <definedName name="______CAN9">#N/A</definedName>
    <definedName name="______CCT220">#REF!</definedName>
    <definedName name="______cdd2">#REF!</definedName>
    <definedName name="______cem124" localSheetId="12">#REF!</definedName>
    <definedName name="______cem124" localSheetId="27">#REF!</definedName>
    <definedName name="______cem124">#REF!</definedName>
    <definedName name="______CFB1">#REF!</definedName>
    <definedName name="______CFB2">#REF!</definedName>
    <definedName name="______CFB3">#REF!</definedName>
    <definedName name="______cff2">#REF!</definedName>
    <definedName name="______cli1" localSheetId="12">#REF!</definedName>
    <definedName name="______cli1">#REF!</definedName>
    <definedName name="______cli2" localSheetId="12">#REF!</definedName>
    <definedName name="______cli2">#REF!</definedName>
    <definedName name="______cli3" localSheetId="12">#REF!</definedName>
    <definedName name="______cli3">#REF!</definedName>
    <definedName name="______cli4" localSheetId="12">#REF!</definedName>
    <definedName name="______cli4">#REF!</definedName>
    <definedName name="______col33" localSheetId="12">#REF!</definedName>
    <definedName name="______col33">#REF!</definedName>
    <definedName name="______cth2">#REF!</definedName>
    <definedName name="______CU600" localSheetId="12" hidden="1">{#N/A,#N/A,TRUE,"toc";#N/A,#N/A,TRUE,"general";#N/A,#N/A,TRUE,"compressive";#N/A,#N/A,TRUE,"lateral";#N/A,#N/A,TRUE,"shallow"}</definedName>
    <definedName name="______CU600" localSheetId="6" hidden="1">{#N/A,#N/A,TRUE,"toc";#N/A,#N/A,TRUE,"general";#N/A,#N/A,TRUE,"compressive";#N/A,#N/A,TRUE,"lateral";#N/A,#N/A,TRUE,"shallow"}</definedName>
    <definedName name="______CU600" localSheetId="29" hidden="1">{#N/A,#N/A,TRUE,"toc";#N/A,#N/A,TRUE,"general";#N/A,#N/A,TRUE,"compressive";#N/A,#N/A,TRUE,"lateral";#N/A,#N/A,TRUE,"shallow"}</definedName>
    <definedName name="______CU600" localSheetId="27" hidden="1">{#N/A,#N/A,TRUE,"toc";#N/A,#N/A,TRUE,"general";#N/A,#N/A,TRUE,"compressive";#N/A,#N/A,TRUE,"lateral";#N/A,#N/A,TRUE,"shallow"}</definedName>
    <definedName name="______CU600" localSheetId="4" hidden="1">{#N/A,#N/A,TRUE,"toc";#N/A,#N/A,TRUE,"general";#N/A,#N/A,TRUE,"compressive";#N/A,#N/A,TRUE,"lateral";#N/A,#N/A,TRUE,"shallow"}</definedName>
    <definedName name="______CU600" localSheetId="32" hidden="1">{#N/A,#N/A,TRUE,"toc";#N/A,#N/A,TRUE,"general";#N/A,#N/A,TRUE,"compressive";#N/A,#N/A,TRUE,"lateral";#N/A,#N/A,TRUE,"shallow"}</definedName>
    <definedName name="______CU600" localSheetId="24" hidden="1">{#N/A,#N/A,TRUE,"toc";#N/A,#N/A,TRUE,"general";#N/A,#N/A,TRUE,"compressive";#N/A,#N/A,TRUE,"lateral";#N/A,#N/A,TRUE,"shallow"}</definedName>
    <definedName name="______CU600" localSheetId="26" hidden="1">{#N/A,#N/A,TRUE,"toc";#N/A,#N/A,TRUE,"general";#N/A,#N/A,TRUE,"compressive";#N/A,#N/A,TRUE,"lateral";#N/A,#N/A,TRUE,"shallow"}</definedName>
    <definedName name="______CU600" hidden="1">{#N/A,#N/A,TRUE,"toc";#N/A,#N/A,TRUE,"general";#N/A,#N/A,TRUE,"compressive";#N/A,#N/A,TRUE,"lateral";#N/A,#N/A,TRUE,"shallow"}</definedName>
    <definedName name="______CVT220">#REF!</definedName>
    <definedName name="______d5">#REF!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c05" localSheetId="12" hidden="1">{"'Sheet1'!$A$4386:$N$4591"}</definedName>
    <definedName name="______dec05" localSheetId="29" hidden="1">{"'Sheet1'!$A$4386:$N$4591"}</definedName>
    <definedName name="______dec05" localSheetId="27" hidden="1">{"'Sheet1'!$A$4386:$N$4591"}</definedName>
    <definedName name="______dec05" localSheetId="4" hidden="1">{"'Sheet1'!$A$4386:$N$4591"}</definedName>
    <definedName name="______dec05" localSheetId="32" hidden="1">{"'Sheet1'!$A$4386:$N$4591"}</definedName>
    <definedName name="______dec05" localSheetId="24" hidden="1">{"'Sheet1'!$A$4386:$N$4591"}</definedName>
    <definedName name="______dec05" localSheetId="26" hidden="1">{"'Sheet1'!$A$4386:$N$4591"}</definedName>
    <definedName name="______dec05" hidden="1">{"'Sheet1'!$A$4386:$N$4591"}</definedName>
    <definedName name="______del1">#REF!</definedName>
    <definedName name="______DET1" localSheetId="6">#REF!</definedName>
    <definedName name="______DET1" localSheetId="27">#REF!</definedName>
    <definedName name="______DET1" localSheetId="4">#REF!</definedName>
    <definedName name="______DET1" localSheetId="32">#REF!</definedName>
    <definedName name="______DET1" localSheetId="24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ev9947">#REF!</definedName>
    <definedName name="______DIS1">#REF!</definedName>
    <definedName name="______dol12" localSheetId="6">#REF!</definedName>
    <definedName name="______dol12" localSheetId="29">#REF!</definedName>
    <definedName name="______dol12" localSheetId="26">#REF!</definedName>
    <definedName name="______dol12">#REF!</definedName>
    <definedName name="______dol6" localSheetId="6">#REF!</definedName>
    <definedName name="______dol6">#REF!</definedName>
    <definedName name="______drg1">#REF!</definedName>
    <definedName name="______drg2">#REF!</definedName>
    <definedName name="______eth2">#REF!</definedName>
    <definedName name="______f1">#REF!</definedName>
    <definedName name="______FEL1" localSheetId="6">#REF!</definedName>
    <definedName name="______FEL1" localSheetId="27">#REF!</definedName>
    <definedName name="______FEL1" localSheetId="4">#REF!</definedName>
    <definedName name="______FEL1" localSheetId="32">#REF!</definedName>
    <definedName name="______FEL1" localSheetId="24">#REF!</definedName>
    <definedName name="______FEL1">#REF!</definedName>
    <definedName name="______Fpi1">#REF!</definedName>
    <definedName name="______g1" localSheetId="12">#REF!</definedName>
    <definedName name="______g1" localSheetId="24">#REF!</definedName>
    <definedName name="______g1">#REF!</definedName>
    <definedName name="______g2">#REF!</definedName>
    <definedName name="______GEL1" localSheetId="6">#REF!</definedName>
    <definedName name="______GEL1" localSheetId="27">#REF!</definedName>
    <definedName name="______GEL1" localSheetId="4">#REF!</definedName>
    <definedName name="______GEL1" localSheetId="32">#REF!</definedName>
    <definedName name="______GEL1" localSheetId="24">#REF!</definedName>
    <definedName name="______GEL1">#REF!</definedName>
    <definedName name="______hai1">#REF!</definedName>
    <definedName name="______hai2">#REF!</definedName>
    <definedName name="______HBG10" localSheetId="6">#REF!</definedName>
    <definedName name="______HBG10" localSheetId="27">#REF!</definedName>
    <definedName name="______HBG10" localSheetId="4">#REF!</definedName>
    <definedName name="______HBG10" localSheetId="32">#REF!</definedName>
    <definedName name="______HBG10" localSheetId="24">#REF!</definedName>
    <definedName name="______HBG10">#REF!</definedName>
    <definedName name="______HBG12" localSheetId="6">#REF!</definedName>
    <definedName name="______HBG12" localSheetId="27">#REF!</definedName>
    <definedName name="______HBG12" localSheetId="4">#REF!</definedName>
    <definedName name="______HBG12" localSheetId="32">#REF!</definedName>
    <definedName name="______HBG12" localSheetId="24">#REF!</definedName>
    <definedName name="______HBG12">#REF!</definedName>
    <definedName name="______HBG25" localSheetId="6">#REF!</definedName>
    <definedName name="______HBG25" localSheetId="27">#REF!</definedName>
    <definedName name="______HBG25" localSheetId="4">#REF!</definedName>
    <definedName name="______HBG25" localSheetId="32">#REF!</definedName>
    <definedName name="______HBG25" localSheetId="24">#REF!</definedName>
    <definedName name="______HBG25">#REF!</definedName>
    <definedName name="______HBG40" localSheetId="6">#REF!</definedName>
    <definedName name="______HBG40" localSheetId="27">#REF!</definedName>
    <definedName name="______HBG40" localSheetId="4">#REF!</definedName>
    <definedName name="______HBG40" localSheetId="32">#REF!</definedName>
    <definedName name="______HBG40" localSheetId="24">#REF!</definedName>
    <definedName name="______HBG40">#REF!</definedName>
    <definedName name="______HBG50" localSheetId="6">#REF!</definedName>
    <definedName name="______HBG50" localSheetId="27">#REF!</definedName>
    <definedName name="______HBG50" localSheetId="4">#REF!</definedName>
    <definedName name="______HBG50" localSheetId="32">#REF!</definedName>
    <definedName name="______HBG50" localSheetId="24">#REF!</definedName>
    <definedName name="______HBG50">#REF!</definedName>
    <definedName name="______HBG6" localSheetId="6">#REF!</definedName>
    <definedName name="______HBG6" localSheetId="27">#REF!</definedName>
    <definedName name="______HBG6" localSheetId="4">#REF!</definedName>
    <definedName name="______HBG6" localSheetId="32">#REF!</definedName>
    <definedName name="______HBG6" localSheetId="24">#REF!</definedName>
    <definedName name="______HBG6">#REF!</definedName>
    <definedName name="______HCO2" localSheetId="12">#REF!</definedName>
    <definedName name="______HCO2">#REF!</definedName>
    <definedName name="______hfi1">#REF!</definedName>
    <definedName name="______hfi2" localSheetId="12">#REF!</definedName>
    <definedName name="______hfi2">#REF!</definedName>
    <definedName name="______hfi3" localSheetId="12">#REF!</definedName>
    <definedName name="______hfi3">#REF!</definedName>
    <definedName name="______hfi4" localSheetId="12">#REF!</definedName>
    <definedName name="______hfi4">#REF!</definedName>
    <definedName name="______hfi5" localSheetId="12">#REF!</definedName>
    <definedName name="______hfi5">#REF!</definedName>
    <definedName name="______hfi6" localSheetId="12">#REF!</definedName>
    <definedName name="______hfi6">#REF!</definedName>
    <definedName name="______HFI7" localSheetId="12">#REF!</definedName>
    <definedName name="______HFI7">#REF!</definedName>
    <definedName name="______hfi8" localSheetId="12">#REF!</definedName>
    <definedName name="______hfi8">#REF!</definedName>
    <definedName name="______Hra2" localSheetId="12">#REF!</definedName>
    <definedName name="______Hra2">#REF!</definedName>
    <definedName name="______Hso2" localSheetId="12">#REF!</definedName>
    <definedName name="______Hso2">#REF!</definedName>
    <definedName name="______Hso3" localSheetId="12">#REF!</definedName>
    <definedName name="______Hso3">#REF!</definedName>
    <definedName name="______hxa1">#REF!</definedName>
    <definedName name="______hxa2">#REF!</definedName>
    <definedName name="______hxb1">#REF!</definedName>
    <definedName name="______hxb2">#REF!</definedName>
    <definedName name="______hxc1">#REF!</definedName>
    <definedName name="______hxc2">#REF!</definedName>
    <definedName name="______hxd1">#REF!</definedName>
    <definedName name="______IDA1" localSheetId="29">#REF!</definedName>
    <definedName name="______IDA1" localSheetId="24">#REF!</definedName>
    <definedName name="______IDA1" localSheetId="26">#REF!</definedName>
    <definedName name="______IDA1">#REF!</definedName>
    <definedName name="______ifa1">#REF!</definedName>
    <definedName name="______ifa2">#REF!</definedName>
    <definedName name="______in18900" localSheetId="29">#REF!</definedName>
    <definedName name="______in18900" localSheetId="26">#REF!</definedName>
    <definedName name="______in18900">#REF!</definedName>
    <definedName name="______INT1">#REF!</definedName>
    <definedName name="______Ism3" localSheetId="12">#REF!</definedName>
    <definedName name="______Ism3">#REF!</definedName>
    <definedName name="______ISO220">#REF!</definedName>
    <definedName name="______iv19000">#REF!</definedName>
    <definedName name="______kd1" localSheetId="12">#REF!</definedName>
    <definedName name="______kd1">#REF!</definedName>
    <definedName name="______kd2" localSheetId="12">#REF!</definedName>
    <definedName name="______kd2">#REF!</definedName>
    <definedName name="______kd3" localSheetId="12">#REF!</definedName>
    <definedName name="______kd3">#REF!</definedName>
    <definedName name="______KEY3" hidden="1">#REF!</definedName>
    <definedName name="______Ki1">#REF!</definedName>
    <definedName name="______Ki2">#REF!</definedName>
    <definedName name="______lb1">#REF!</definedName>
    <definedName name="______lb2">#REF!</definedName>
    <definedName name="______LMH1">#REF!</definedName>
    <definedName name="______LMH2">#REF!</definedName>
    <definedName name="______lvl1">#REF!</definedName>
    <definedName name="______m20">#REF!</definedName>
    <definedName name="______m234" localSheetId="12">#REF!</definedName>
    <definedName name="______m234">#REF!</definedName>
    <definedName name="______m35">#REF!</definedName>
    <definedName name="______mac2">200</definedName>
    <definedName name="______MAN1">#REF!</definedName>
    <definedName name="______mcl132" localSheetId="12">#REF!</definedName>
    <definedName name="______mcl132">#REF!</definedName>
    <definedName name="______MG1" localSheetId="6">#REF!</definedName>
    <definedName name="______MG1" localSheetId="27">#REF!</definedName>
    <definedName name="______MG1" localSheetId="4">#REF!</definedName>
    <definedName name="______MG1" localSheetId="32">#REF!</definedName>
    <definedName name="______MG1" localSheetId="24">#REF!</definedName>
    <definedName name="______MG1">#REF!</definedName>
    <definedName name="______mix10">4.5</definedName>
    <definedName name="______mix15">264/50</definedName>
    <definedName name="______mix20">330/50</definedName>
    <definedName name="______mix30">350/50</definedName>
    <definedName name="______mix40">450/50</definedName>
    <definedName name="______ml3" localSheetId="12">#REF!</definedName>
    <definedName name="______ml3">#REF!</definedName>
    <definedName name="______ml33" localSheetId="12">#REF!</definedName>
    <definedName name="______ml33">#REF!</definedName>
    <definedName name="______mlc33" localSheetId="12">#REF!</definedName>
    <definedName name="______mlc33">#REF!</definedName>
    <definedName name="______mm1" localSheetId="27">#REF!</definedName>
    <definedName name="______mm1">#REF!</definedName>
    <definedName name="______mm2" localSheetId="27">#REF!</definedName>
    <definedName name="______mm2">#REF!</definedName>
    <definedName name="______mm3" localSheetId="27">#REF!</definedName>
    <definedName name="______mm3">#REF!</definedName>
    <definedName name="______MMB220">#REF!</definedName>
    <definedName name="______mnk1">#REF!</definedName>
    <definedName name="______Mzd1" localSheetId="6">#REF!</definedName>
    <definedName name="______Mzd1" localSheetId="27">#REF!</definedName>
    <definedName name="______Mzd1" localSheetId="4">#REF!</definedName>
    <definedName name="______Mzd1" localSheetId="32">#REF!</definedName>
    <definedName name="______Mzd1" localSheetId="24">#REF!</definedName>
    <definedName name="______Mzd1">#REF!</definedName>
    <definedName name="______new1">#REF!</definedName>
    <definedName name="______Nov2007" localSheetId="12" hidden="1">{"'PROFITABILITY'!$A$1:$F$45"}</definedName>
    <definedName name="______Nov2007" localSheetId="6" hidden="1">{"'PROFITABILITY'!$A$1:$F$45"}</definedName>
    <definedName name="______Nov2007" localSheetId="29" hidden="1">{"'PROFITABILITY'!$A$1:$F$45"}</definedName>
    <definedName name="______Nov2007" localSheetId="27" hidden="1">{"'PROFITABILITY'!$A$1:$F$45"}</definedName>
    <definedName name="______Nov2007" localSheetId="4" hidden="1">{"'PROFITABILITY'!$A$1:$F$45"}</definedName>
    <definedName name="______Nov2007" localSheetId="32" hidden="1">{"'PROFITABILITY'!$A$1:$F$45"}</definedName>
    <definedName name="______Nov2007" localSheetId="24" hidden="1">{"'PROFITABILITY'!$A$1:$F$45"}</definedName>
    <definedName name="______Nov2007" localSheetId="26" hidden="1">{"'PROFITABILITY'!$A$1:$F$45"}</definedName>
    <definedName name="______Nov2007" hidden="1">{"'PROFITABILITY'!$A$1:$F$45"}</definedName>
    <definedName name="______OP2" localSheetId="6">#REF!</definedName>
    <definedName name="______OP2" localSheetId="27">#REF!</definedName>
    <definedName name="______OP2" localSheetId="4">#REF!</definedName>
    <definedName name="______OP2" localSheetId="32">#REF!</definedName>
    <definedName name="______OP2" localSheetId="24">#REF!</definedName>
    <definedName name="______OP2">#REF!</definedName>
    <definedName name="______OPT8">#N/A</definedName>
    <definedName name="______OPT9">#N/A</definedName>
    <definedName name="______out2">#REF!</definedName>
    <definedName name="______pan1">#REF!</definedName>
    <definedName name="______PAN2">#REF!</definedName>
    <definedName name="______PB1">#REF!</definedName>
    <definedName name="______pep99">#REF!</definedName>
    <definedName name="______pfi1">#REF!</definedName>
    <definedName name="______PM123" localSheetId="12" hidden="1">{"'Sheet1'!$A$4386:$N$4591"}</definedName>
    <definedName name="______PM123" hidden="1">{"'Sheet1'!$A$4386:$N$4591"}</definedName>
    <definedName name="______pp1">#REF!</definedName>
    <definedName name="______pp2">#REF!</definedName>
    <definedName name="______rcu2">#REF!</definedName>
    <definedName name="______Re1">#REF!</definedName>
    <definedName name="______Rl1">#REF!</definedName>
    <definedName name="______rs1" localSheetId="12">#REF!</definedName>
    <definedName name="______rs1" localSheetId="24">#REF!</definedName>
    <definedName name="______rs1">#REF!</definedName>
    <definedName name="______rt1">#REF!</definedName>
    <definedName name="______rt2">#REF!</definedName>
    <definedName name="______rt3">#REF!</definedName>
    <definedName name="______run1" localSheetId="12">#REF!</definedName>
    <definedName name="______run1">#REF!</definedName>
    <definedName name="______run2" localSheetId="12">#REF!</definedName>
    <definedName name="______run2">#REF!</definedName>
    <definedName name="______run3" localSheetId="12">#REF!</definedName>
    <definedName name="______run3">#REF!</definedName>
    <definedName name="______s41" localSheetId="12" hidden="1">{"form-D1",#N/A,FALSE,"FORM-D1";"form-D1_amt",#N/A,FALSE,"FORM-D1"}</definedName>
    <definedName name="______s41" hidden="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ch2">#REF!</definedName>
    <definedName name="______sch9">#REF!</definedName>
    <definedName name="______sh1">90</definedName>
    <definedName name="______sh2">120</definedName>
    <definedName name="______sh3">150</definedName>
    <definedName name="______sh4">180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ab1" localSheetId="4">#REF!</definedName>
    <definedName name="______tab1" localSheetId="32">#REF!</definedName>
    <definedName name="______tab1" localSheetId="24">#REF!</definedName>
    <definedName name="______tab1">#REF!</definedName>
    <definedName name="______tab2" localSheetId="27">#REF!</definedName>
    <definedName name="______tab2">#REF!</definedName>
    <definedName name="______TER1">#REF!</definedName>
    <definedName name="______Tk1">#REF!</definedName>
    <definedName name="______Tk11">#REF!</definedName>
    <definedName name="______Tk2">#REF!</definedName>
    <definedName name="______Tkl1">#REF!</definedName>
    <definedName name="______tl1">#REF!</definedName>
    <definedName name="______tl2">#REF!</definedName>
    <definedName name="______Vf1">#REF!</definedName>
    <definedName name="______Vf2">#REF!</definedName>
    <definedName name="______vr1">#REF!</definedName>
    <definedName name="______VS2004" localSheetId="29" hidden="1">#REF!</definedName>
    <definedName name="______VS2004" localSheetId="26" hidden="1">#REF!</definedName>
    <definedName name="______VS2004" hidden="1">#REF!</definedName>
    <definedName name="______Wc1" localSheetId="12">#REF!</definedName>
    <definedName name="______Wc1">#REF!</definedName>
    <definedName name="______WC3" localSheetId="12">#REF!</definedName>
    <definedName name="______WC3">#REF!</definedName>
    <definedName name="______WD2" localSheetId="6">#REF!</definedName>
    <definedName name="______WD2" localSheetId="27">#REF!</definedName>
    <definedName name="______WD2" localSheetId="4">#REF!</definedName>
    <definedName name="______WD2" localSheetId="32">#REF!</definedName>
    <definedName name="______WD2" localSheetId="24">#REF!</definedName>
    <definedName name="______WD2">#REF!</definedName>
    <definedName name="______wp1">#REF!</definedName>
    <definedName name="______Wr1" localSheetId="12">#REF!</definedName>
    <definedName name="______Wr1">#REF!</definedName>
    <definedName name="______Wr3" localSheetId="12">#REF!</definedName>
    <definedName name="______Wr3">#REF!</definedName>
    <definedName name="______Xl1">#REF!</definedName>
    <definedName name="______xlcn.WorksheetConnection_InfoEntryA2D32" localSheetId="6" hidden="1">#REF!</definedName>
    <definedName name="______xlcn.WorksheetConnection_InfoEntryA2D32" localSheetId="27" hidden="1">#REF!</definedName>
    <definedName name="______xlcn.WorksheetConnection_InfoEntryA2D32" localSheetId="4" hidden="1">#REF!</definedName>
    <definedName name="______xlcn.WorksheetConnection_InfoEntryA2D32" localSheetId="32" hidden="1">#REF!</definedName>
    <definedName name="______xlcn.WorksheetConnection_InfoEntryA2D32" localSheetId="24" hidden="1">#REF!</definedName>
    <definedName name="______xlcn.WorksheetConnection_InfoEntryA2D32" hidden="1">#REF!</definedName>
    <definedName name="______xlnm._FilterDatabase_1" localSheetId="29">#REF!</definedName>
    <definedName name="______xlnm._FilterDatabase_1" localSheetId="24">#REF!</definedName>
    <definedName name="______xlnm._FilterDatabase_1" localSheetId="26">#REF!</definedName>
    <definedName name="______xlnm._FilterDatabase_1">#REF!</definedName>
    <definedName name="______xlnm._FilterDatabase_2" localSheetId="29">#REF!</definedName>
    <definedName name="______xlnm._FilterDatabase_2" localSheetId="26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#N/A</definedName>
    <definedName name="______xlnm.Print_Area_1" localSheetId="6">#REF!</definedName>
    <definedName name="______xlnm.Print_Area_1" localSheetId="29">#REF!</definedName>
    <definedName name="______xlnm.Print_Area_1" localSheetId="24">#REF!</definedName>
    <definedName name="______xlnm.Print_Area_1" localSheetId="26">#REF!</definedName>
    <definedName name="______xlnm.Print_Area_1">#REF!</definedName>
    <definedName name="______xlnm.Print_Area_1_1">"#REF!"</definedName>
    <definedName name="______xlnm.Print_Area_10" localSheetId="6">#REF!</definedName>
    <definedName name="______xlnm.Print_Area_10" localSheetId="29">#REF!</definedName>
    <definedName name="______xlnm.Print_Area_10" localSheetId="24">#REF!</definedName>
    <definedName name="______xlnm.Print_Area_10" localSheetId="26">#REF!</definedName>
    <definedName name="______xlnm.Print_Area_10">#REF!</definedName>
    <definedName name="______xlnm.Print_Area_10_1">"#REF!"</definedName>
    <definedName name="______xlnm.Print_Area_11" localSheetId="6">#REF!</definedName>
    <definedName name="______xlnm.Print_Area_11" localSheetId="29">#REF!</definedName>
    <definedName name="______xlnm.Print_Area_11" localSheetId="24">#REF!</definedName>
    <definedName name="______xlnm.Print_Area_11" localSheetId="26">#REF!</definedName>
    <definedName name="______xlnm.Print_Area_11">#REF!</definedName>
    <definedName name="______xlnm.Print_Area_11_1">"#REF!"</definedName>
    <definedName name="______xlnm.Print_Area_13" localSheetId="6">#REF!</definedName>
    <definedName name="______xlnm.Print_Area_13" localSheetId="29">#REF!</definedName>
    <definedName name="______xlnm.Print_Area_13" localSheetId="24">#REF!</definedName>
    <definedName name="______xlnm.Print_Area_13" localSheetId="26">#REF!</definedName>
    <definedName name="______xlnm.Print_Area_13">#REF!</definedName>
    <definedName name="______xlnm.Print_Area_2" localSheetId="6">#REF!</definedName>
    <definedName name="______xlnm.Print_Area_2" localSheetId="29">#REF!</definedName>
    <definedName name="______xlnm.Print_Area_2" localSheetId="26">#REF!</definedName>
    <definedName name="______xlnm.Print_Area_2">#REF!</definedName>
    <definedName name="______xlnm.Print_Area_3" localSheetId="29">#REF!</definedName>
    <definedName name="______xlnm.Print_Area_3" localSheetId="26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1">#REF!</definedName>
    <definedName name="______xlnm.Print_Titles_2" localSheetId="6">(#REF!,#REF!)</definedName>
    <definedName name="______xlnm.Print_Titles_2" localSheetId="29">(#REF!,#REF!)</definedName>
    <definedName name="______xlnm.Print_Titles_2" localSheetId="24">(#REF!,#REF!)</definedName>
    <definedName name="______xlnm.Print_Titles_2" localSheetId="26">(#REF!,#REF!)</definedName>
    <definedName name="______xlnm.Print_Titles_2">(#REF!,#REF!)</definedName>
    <definedName name="______xlnm.Print_Titles_3" localSheetId="6">(#REF!,#REF!)</definedName>
    <definedName name="______xlnm.Print_Titles_3" localSheetId="29">(#REF!,#REF!)</definedName>
    <definedName name="______xlnm.Print_Titles_3" localSheetId="26">(#REF!,#REF!)</definedName>
    <definedName name="______xlnm.Print_Titles_3">(#REF!,#REF!)</definedName>
    <definedName name="______xlnm.Print_Titles_4" localSheetId="6">#REF!</definedName>
    <definedName name="______xlnm.Print_Titles_4" localSheetId="29">#REF!</definedName>
    <definedName name="______xlnm.Print_Titles_4" localSheetId="24">#REF!</definedName>
    <definedName name="______xlnm.Print_Titles_4" localSheetId="26">#REF!</definedName>
    <definedName name="______xlnm.Print_Titles_4">#REF!</definedName>
    <definedName name="______xlnm.Print_Titles_7" localSheetId="6">#REF!</definedName>
    <definedName name="______xlnm.Print_Titles_7">#REF!</definedName>
    <definedName name="_____1____123Graph_ACHART_1" localSheetId="6" hidden="1">#REF!</definedName>
    <definedName name="_____1____123Graph_ACHART_1" hidden="1">#REF!</definedName>
    <definedName name="_____2____123Graph_BCHART_1" hidden="1">#REF!</definedName>
    <definedName name="_____3____123Graph_CCHART_1" hidden="1">#REF!</definedName>
    <definedName name="_____4___123Graph_ACHART_1" hidden="1">#REF!</definedName>
    <definedName name="_____5___123Graph_BCHART_1" hidden="1">#REF!</definedName>
    <definedName name="_____6___123Graph_CCHART_1" hidden="1">#REF!</definedName>
    <definedName name="_____7__123Graph_ACHART_1" hidden="1">#REF!</definedName>
    <definedName name="_____8__123Graph_BCHART_1" hidden="1">#REF!</definedName>
    <definedName name="_____9__123Graph_CCHART_1" hidden="1">#REF!</definedName>
    <definedName name="_____a1">#REF!</definedName>
    <definedName name="_____A2">#REF!</definedName>
    <definedName name="_____a5">#N/A</definedName>
    <definedName name="_____a6">#N/A</definedName>
    <definedName name="_____A65537">#REF!</definedName>
    <definedName name="_____A655600">#REF!</definedName>
    <definedName name="_____a655601">#REF!</definedName>
    <definedName name="_____A71614">#REF!</definedName>
    <definedName name="_____A81614">#REF!</definedName>
    <definedName name="_____A91614">#REF!</definedName>
    <definedName name="_____a999999">#REF!</definedName>
    <definedName name="_____aa1" localSheetId="12" hidden="1">{"'PROFITABILITY'!$A$1:$F$45"}</definedName>
    <definedName name="_____aa1" localSheetId="6" hidden="1">{"'PROFITABILITY'!$A$1:$F$45"}</definedName>
    <definedName name="_____aa1" localSheetId="29" hidden="1">{"'PROFITABILITY'!$A$1:$F$45"}</definedName>
    <definedName name="_____aa1" localSheetId="27" hidden="1">{"'PROFITABILITY'!$A$1:$F$45"}</definedName>
    <definedName name="_____aa1" localSheetId="4" hidden="1">{"'PROFITABILITY'!$A$1:$F$45"}</definedName>
    <definedName name="_____aa1" localSheetId="32" hidden="1">{"'PROFITABILITY'!$A$1:$F$45"}</definedName>
    <definedName name="_____aa1" localSheetId="24" hidden="1">{"'PROFITABILITY'!$A$1:$F$45"}</definedName>
    <definedName name="_____aa1" localSheetId="26" hidden="1">{"'PROFITABILITY'!$A$1:$F$45"}</definedName>
    <definedName name="_____aa1" hidden="1">{"'PROFITABILITY'!$A$1:$F$45"}</definedName>
    <definedName name="_____aba2">#REF!</definedName>
    <definedName name="_____acs1">#REF!</definedName>
    <definedName name="_____acs2">#REF!</definedName>
    <definedName name="_____AHP1">#REF!</definedName>
    <definedName name="_____aoc1" localSheetId="12">#REF!</definedName>
    <definedName name="_____aoc1">#REF!</definedName>
    <definedName name="_____aoc2" localSheetId="12">#REF!</definedName>
    <definedName name="_____aoc2">#REF!</definedName>
    <definedName name="_____aoc3" localSheetId="12">#REF!</definedName>
    <definedName name="_____aoc3">#REF!</definedName>
    <definedName name="_____aoc4" localSheetId="12">#REF!</definedName>
    <definedName name="_____aoc4">#REF!</definedName>
    <definedName name="_____axx1" localSheetId="12">#REF!</definedName>
    <definedName name="_____axx1">#REF!</definedName>
    <definedName name="_____axx2" localSheetId="12">#REF!</definedName>
    <definedName name="_____axx2">#REF!</definedName>
    <definedName name="_____axx3" localSheetId="12">#REF!</definedName>
    <definedName name="_____axx3">#REF!</definedName>
    <definedName name="_____AXX4" localSheetId="12">#REF!</definedName>
    <definedName name="_____AXX4">#REF!</definedName>
    <definedName name="_____axx5" localSheetId="12">#REF!</definedName>
    <definedName name="_____axx5">#REF!</definedName>
    <definedName name="_____axx6" localSheetId="12">#REF!</definedName>
    <definedName name="_____axx6">#REF!</definedName>
    <definedName name="_____AXX7" localSheetId="12">#REF!</definedName>
    <definedName name="_____AXX7">#REF!</definedName>
    <definedName name="_____axx8" localSheetId="12">#REF!</definedName>
    <definedName name="_____axx8">#REF!</definedName>
    <definedName name="_____b1">#REF!</definedName>
    <definedName name="_____b111121" localSheetId="12">#REF!</definedName>
    <definedName name="_____b111121" localSheetId="4">#REF!</definedName>
    <definedName name="_____b111121" localSheetId="32">#REF!</definedName>
    <definedName name="_____b111121">#REF!</definedName>
    <definedName name="_____B18000">#REF!</definedName>
    <definedName name="_____B30000">#REF!</definedName>
    <definedName name="_____B32000">#REF!</definedName>
    <definedName name="_____BAA1">#REF!</definedName>
    <definedName name="_____bhh2">#REF!</definedName>
    <definedName name="_____bom1">#REF!</definedName>
    <definedName name="_____BoQ3">#REF!</definedName>
    <definedName name="_____BOQ35">#REF!</definedName>
    <definedName name="_____BoQ4">#REF!</definedName>
    <definedName name="_____BoQ5">#REF!</definedName>
    <definedName name="_____BoQ7">#REF!</definedName>
    <definedName name="_____BoQ9">#REF!</definedName>
    <definedName name="_____CAN112">13.42</definedName>
    <definedName name="_____CAN113">12.98</definedName>
    <definedName name="_____CAN117">12.7</definedName>
    <definedName name="_____CAN118">13.27</definedName>
    <definedName name="_____CAN120">11.72</definedName>
    <definedName name="_____CAN2">#N/A</definedName>
    <definedName name="_____CAN210">10.38</definedName>
    <definedName name="_____CAN211">10.58</definedName>
    <definedName name="_____CAN213">10.56</definedName>
    <definedName name="_____CAN215">10.22</definedName>
    <definedName name="_____CAN216">9.61</definedName>
    <definedName name="_____CAN217">10.47</definedName>
    <definedName name="_____CAN219">10.91</definedName>
    <definedName name="_____CAN220">11.09</definedName>
    <definedName name="_____CAN221">11.25</definedName>
    <definedName name="_____CAN222">10.17</definedName>
    <definedName name="_____CAN223">9.89</definedName>
    <definedName name="_____CAN230">10.79</definedName>
    <definedName name="_____can421">40.2</definedName>
    <definedName name="_____can422">41.57</definedName>
    <definedName name="_____can423">43.9</definedName>
    <definedName name="_____can424">41.19</definedName>
    <definedName name="_____can425">42.81</definedName>
    <definedName name="_____can426">40.77</definedName>
    <definedName name="_____can427">40.92</definedName>
    <definedName name="_____can428">39.29</definedName>
    <definedName name="_____can429">45.19</definedName>
    <definedName name="_____can430">40.73</definedName>
    <definedName name="_____can431">42.52</definedName>
    <definedName name="_____can432">42.53</definedName>
    <definedName name="_____can433">43.69</definedName>
    <definedName name="_____can434">40.43</definedName>
    <definedName name="_____can435">43.3</definedName>
    <definedName name="_____CAN9">#N/A</definedName>
    <definedName name="_____CCT220">#REF!</definedName>
    <definedName name="_____cdd2">#REF!</definedName>
    <definedName name="_____cem124" localSheetId="12">#REF!</definedName>
    <definedName name="_____cem124" localSheetId="27">#REF!</definedName>
    <definedName name="_____cem124">#REF!</definedName>
    <definedName name="_____CFB1">#REF!</definedName>
    <definedName name="_____CFB2">#REF!</definedName>
    <definedName name="_____CFB3">#REF!</definedName>
    <definedName name="_____cff2">#REF!</definedName>
    <definedName name="_____cli1" localSheetId="12">#REF!</definedName>
    <definedName name="_____cli1">#REF!</definedName>
    <definedName name="_____cli2" localSheetId="12">#REF!</definedName>
    <definedName name="_____cli2">#REF!</definedName>
    <definedName name="_____cli3" localSheetId="12">#REF!</definedName>
    <definedName name="_____cli3">#REF!</definedName>
    <definedName name="_____cli4" localSheetId="12">#REF!</definedName>
    <definedName name="_____cli4">#REF!</definedName>
    <definedName name="_____col33" localSheetId="12">#REF!</definedName>
    <definedName name="_____col33">#REF!</definedName>
    <definedName name="_____cth2">#REF!</definedName>
    <definedName name="_____CVT220">#REF!</definedName>
    <definedName name="_____d5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c05" localSheetId="12" hidden="1">{"'Sheet1'!$A$4386:$N$4591"}</definedName>
    <definedName name="_____dec05" localSheetId="29" hidden="1">{"'Sheet1'!$A$4386:$N$4591"}</definedName>
    <definedName name="_____dec05" localSheetId="27" hidden="1">{"'Sheet1'!$A$4386:$N$4591"}</definedName>
    <definedName name="_____dec05" localSheetId="4" hidden="1">{"'Sheet1'!$A$4386:$N$4591"}</definedName>
    <definedName name="_____dec05" localSheetId="32" hidden="1">{"'Sheet1'!$A$4386:$N$4591"}</definedName>
    <definedName name="_____dec05" localSheetId="24" hidden="1">{"'Sheet1'!$A$4386:$N$4591"}</definedName>
    <definedName name="_____dec05" localSheetId="26" hidden="1">{"'Sheet1'!$A$4386:$N$4591"}</definedName>
    <definedName name="_____dec05" hidden="1">{"'Sheet1'!$A$4386:$N$4591"}</definedName>
    <definedName name="_____del1">#REF!</definedName>
    <definedName name="_____DET1" localSheetId="6">#REF!</definedName>
    <definedName name="_____DET1" localSheetId="27">#REF!</definedName>
    <definedName name="_____DET1" localSheetId="4">#REF!</definedName>
    <definedName name="_____DET1" localSheetId="32">#REF!</definedName>
    <definedName name="_____DET1" localSheetId="24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ev9947">#REF!</definedName>
    <definedName name="_____DIS1">#REF!</definedName>
    <definedName name="_____dol12" localSheetId="6">#REF!</definedName>
    <definedName name="_____dol12" localSheetId="29">#REF!</definedName>
    <definedName name="_____dol12" localSheetId="26">#REF!</definedName>
    <definedName name="_____dol12">#REF!</definedName>
    <definedName name="_____dol6" localSheetId="6">#REF!</definedName>
    <definedName name="_____dol6">#REF!</definedName>
    <definedName name="_____drg1">#REF!</definedName>
    <definedName name="_____drg2">#REF!</definedName>
    <definedName name="_____eth2">#REF!</definedName>
    <definedName name="_____f1">#REF!</definedName>
    <definedName name="_____FEL1" localSheetId="6">#REF!</definedName>
    <definedName name="_____FEL1" localSheetId="27">#REF!</definedName>
    <definedName name="_____FEL1" localSheetId="4">#REF!</definedName>
    <definedName name="_____FEL1" localSheetId="32">#REF!</definedName>
    <definedName name="_____FEL1" localSheetId="24">#REF!</definedName>
    <definedName name="_____FEL1">#REF!</definedName>
    <definedName name="_____Fpi1">#REF!</definedName>
    <definedName name="_____g1" localSheetId="12">#REF!</definedName>
    <definedName name="_____g1" localSheetId="24">#REF!</definedName>
    <definedName name="_____g1">#REF!</definedName>
    <definedName name="_____g2">#REF!</definedName>
    <definedName name="_____GEL1" localSheetId="6">#REF!</definedName>
    <definedName name="_____GEL1" localSheetId="27">#REF!</definedName>
    <definedName name="_____GEL1" localSheetId="4">#REF!</definedName>
    <definedName name="_____GEL1" localSheetId="32">#REF!</definedName>
    <definedName name="_____GEL1" localSheetId="24">#REF!</definedName>
    <definedName name="_____GEL1">#REF!</definedName>
    <definedName name="_____hai1">#REF!</definedName>
    <definedName name="_____hai2">#REF!</definedName>
    <definedName name="_____HBG10" localSheetId="6">#REF!</definedName>
    <definedName name="_____HBG10" localSheetId="27">#REF!</definedName>
    <definedName name="_____HBG10" localSheetId="4">#REF!</definedName>
    <definedName name="_____HBG10" localSheetId="32">#REF!</definedName>
    <definedName name="_____HBG10" localSheetId="24">#REF!</definedName>
    <definedName name="_____HBG10">#REF!</definedName>
    <definedName name="_____HBG12" localSheetId="6">#REF!</definedName>
    <definedName name="_____HBG12" localSheetId="27">#REF!</definedName>
    <definedName name="_____HBG12" localSheetId="4">#REF!</definedName>
    <definedName name="_____HBG12" localSheetId="32">#REF!</definedName>
    <definedName name="_____HBG12" localSheetId="24">#REF!</definedName>
    <definedName name="_____HBG12">#REF!</definedName>
    <definedName name="_____HBG25" localSheetId="6">#REF!</definedName>
    <definedName name="_____HBG25" localSheetId="27">#REF!</definedName>
    <definedName name="_____HBG25" localSheetId="4">#REF!</definedName>
    <definedName name="_____HBG25" localSheetId="32">#REF!</definedName>
    <definedName name="_____HBG25" localSheetId="24">#REF!</definedName>
    <definedName name="_____HBG25">#REF!</definedName>
    <definedName name="_____HBG40" localSheetId="6">#REF!</definedName>
    <definedName name="_____HBG40" localSheetId="27">#REF!</definedName>
    <definedName name="_____HBG40" localSheetId="4">#REF!</definedName>
    <definedName name="_____HBG40" localSheetId="32">#REF!</definedName>
    <definedName name="_____HBG40" localSheetId="24">#REF!</definedName>
    <definedName name="_____HBG40">#REF!</definedName>
    <definedName name="_____HBG50" localSheetId="6">#REF!</definedName>
    <definedName name="_____HBG50" localSheetId="27">#REF!</definedName>
    <definedName name="_____HBG50" localSheetId="4">#REF!</definedName>
    <definedName name="_____HBG50" localSheetId="32">#REF!</definedName>
    <definedName name="_____HBG50" localSheetId="24">#REF!</definedName>
    <definedName name="_____HBG50">#REF!</definedName>
    <definedName name="_____HBG6" localSheetId="6">#REF!</definedName>
    <definedName name="_____HBG6" localSheetId="27">#REF!</definedName>
    <definedName name="_____HBG6" localSheetId="4">#REF!</definedName>
    <definedName name="_____HBG6" localSheetId="32">#REF!</definedName>
    <definedName name="_____HBG6" localSheetId="24">#REF!</definedName>
    <definedName name="_____HBG6">#REF!</definedName>
    <definedName name="_____HCO2" localSheetId="12">#REF!</definedName>
    <definedName name="_____HCO2">#REF!</definedName>
    <definedName name="_____hfi1" localSheetId="12">#REF!</definedName>
    <definedName name="_____hfi1">#REF!</definedName>
    <definedName name="_____hfi2" localSheetId="12">#REF!</definedName>
    <definedName name="_____hfi2">#REF!</definedName>
    <definedName name="_____hfi3" localSheetId="12">#REF!</definedName>
    <definedName name="_____hfi3">#REF!</definedName>
    <definedName name="_____hfi4" localSheetId="12">#REF!</definedName>
    <definedName name="_____hfi4">#REF!</definedName>
    <definedName name="_____hfi5" localSheetId="12">#REF!</definedName>
    <definedName name="_____hfi5">#REF!</definedName>
    <definedName name="_____hfi6" localSheetId="12">#REF!</definedName>
    <definedName name="_____hfi6">#REF!</definedName>
    <definedName name="_____HFI7" localSheetId="12">#REF!</definedName>
    <definedName name="_____HFI7">#REF!</definedName>
    <definedName name="_____hfi8" localSheetId="12">#REF!</definedName>
    <definedName name="_____hfi8">#REF!</definedName>
    <definedName name="_____Hra2" localSheetId="12">#REF!</definedName>
    <definedName name="_____Hra2">#REF!</definedName>
    <definedName name="_____Hso2" localSheetId="12">#REF!</definedName>
    <definedName name="_____Hso2">#REF!</definedName>
    <definedName name="_____Hso3" localSheetId="12">#REF!</definedName>
    <definedName name="_____Hso3">#REF!</definedName>
    <definedName name="_____hxa1">#REF!</definedName>
    <definedName name="_____hxa2">#REF!</definedName>
    <definedName name="_____hxb1">#REF!</definedName>
    <definedName name="_____hxb2">#REF!</definedName>
    <definedName name="_____hxc1">#REF!</definedName>
    <definedName name="_____hxc2">#REF!</definedName>
    <definedName name="_____hxd1">#REF!</definedName>
    <definedName name="_____IDA1" localSheetId="29">#REF!</definedName>
    <definedName name="_____IDA1" localSheetId="24">#REF!</definedName>
    <definedName name="_____IDA1" localSheetId="26">#REF!</definedName>
    <definedName name="_____IDA1">#REF!</definedName>
    <definedName name="_____ifa1">#REF!</definedName>
    <definedName name="_____ifa2">#REF!</definedName>
    <definedName name="_____in18900" localSheetId="29">#REF!</definedName>
    <definedName name="_____in18900" localSheetId="26">#REF!</definedName>
    <definedName name="_____in18900">#REF!</definedName>
    <definedName name="_____INT1">#REF!</definedName>
    <definedName name="_____Ism3" localSheetId="12">#REF!</definedName>
    <definedName name="_____Ism3">#REF!</definedName>
    <definedName name="_____ISO220">#REF!</definedName>
    <definedName name="_____iv19000">#REF!</definedName>
    <definedName name="_____kd1" localSheetId="12">#REF!</definedName>
    <definedName name="_____kd1">#REF!</definedName>
    <definedName name="_____kd2" localSheetId="12">#REF!</definedName>
    <definedName name="_____kd2">#REF!</definedName>
    <definedName name="_____kd3" localSheetId="12">#REF!</definedName>
    <definedName name="_____kd3">#REF!</definedName>
    <definedName name="_____KEY3" hidden="1">#REF!</definedName>
    <definedName name="_____Ki1">#REF!</definedName>
    <definedName name="_____Ki2">#REF!</definedName>
    <definedName name="_____lb1">#REF!</definedName>
    <definedName name="_____lb2">#REF!</definedName>
    <definedName name="_____LMH1">#REF!</definedName>
    <definedName name="_____LMH2">#REF!</definedName>
    <definedName name="_____lvl1">#REF!</definedName>
    <definedName name="_____m20">#REF!</definedName>
    <definedName name="_____m234" localSheetId="12">#REF!</definedName>
    <definedName name="_____m234">#REF!</definedName>
    <definedName name="_____m35">#REF!</definedName>
    <definedName name="_____mac2">200</definedName>
    <definedName name="_____MAN1">#REF!</definedName>
    <definedName name="_____mcl132" localSheetId="12">#REF!</definedName>
    <definedName name="_____mcl132">#REF!</definedName>
    <definedName name="_____MG1" localSheetId="6">#REF!</definedName>
    <definedName name="_____MG1" localSheetId="27">#REF!</definedName>
    <definedName name="_____MG1" localSheetId="4">#REF!</definedName>
    <definedName name="_____MG1" localSheetId="32">#REF!</definedName>
    <definedName name="_____MG1" localSheetId="24">#REF!</definedName>
    <definedName name="_____MG1">#REF!</definedName>
    <definedName name="_____mix10">4.5</definedName>
    <definedName name="_____mix15">264/50</definedName>
    <definedName name="_____mix20">330/50</definedName>
    <definedName name="_____mix30">350/50</definedName>
    <definedName name="_____mix40">450/50</definedName>
    <definedName name="_____ml3" localSheetId="12">#REF!</definedName>
    <definedName name="_____ml3">#REF!</definedName>
    <definedName name="_____ml33" localSheetId="12">#REF!</definedName>
    <definedName name="_____ml33">#REF!</definedName>
    <definedName name="_____mlc33" localSheetId="12">#REF!</definedName>
    <definedName name="_____mlc33">#REF!</definedName>
    <definedName name="_____mm1" localSheetId="27">#REF!</definedName>
    <definedName name="_____mm1">#REF!</definedName>
    <definedName name="_____mm2" localSheetId="27">#REF!</definedName>
    <definedName name="_____mm2">#REF!</definedName>
    <definedName name="_____mm3" localSheetId="27">#REF!</definedName>
    <definedName name="_____mm3">#REF!</definedName>
    <definedName name="_____MMB220">#REF!</definedName>
    <definedName name="_____mnk1">#REF!</definedName>
    <definedName name="_____Mzd1" localSheetId="6">#REF!</definedName>
    <definedName name="_____Mzd1" localSheetId="27">#REF!</definedName>
    <definedName name="_____Mzd1" localSheetId="4">#REF!</definedName>
    <definedName name="_____Mzd1" localSheetId="32">#REF!</definedName>
    <definedName name="_____Mzd1" localSheetId="24">#REF!</definedName>
    <definedName name="_____Mzd1">#REF!</definedName>
    <definedName name="_____new1">#REF!</definedName>
    <definedName name="_____Nov2007" localSheetId="12" hidden="1">{"'PROFITABILITY'!$A$1:$F$45"}</definedName>
    <definedName name="_____Nov2007" localSheetId="6" hidden="1">{"'PROFITABILITY'!$A$1:$F$45"}</definedName>
    <definedName name="_____Nov2007" localSheetId="29" hidden="1">{"'PROFITABILITY'!$A$1:$F$45"}</definedName>
    <definedName name="_____Nov2007" localSheetId="27" hidden="1">{"'PROFITABILITY'!$A$1:$F$45"}</definedName>
    <definedName name="_____Nov2007" localSheetId="4" hidden="1">{"'PROFITABILITY'!$A$1:$F$45"}</definedName>
    <definedName name="_____Nov2007" localSheetId="32" hidden="1">{"'PROFITABILITY'!$A$1:$F$45"}</definedName>
    <definedName name="_____Nov2007" localSheetId="24" hidden="1">{"'PROFITABILITY'!$A$1:$F$45"}</definedName>
    <definedName name="_____Nov2007" localSheetId="26" hidden="1">{"'PROFITABILITY'!$A$1:$F$45"}</definedName>
    <definedName name="_____Nov2007" hidden="1">{"'PROFITABILITY'!$A$1:$F$45"}</definedName>
    <definedName name="_____np3" localSheetId="6">#REF!</definedName>
    <definedName name="_____np3" localSheetId="27">#REF!</definedName>
    <definedName name="_____np3" localSheetId="4">#REF!</definedName>
    <definedName name="_____np3" localSheetId="32">#REF!</definedName>
    <definedName name="_____np3" localSheetId="24">#REF!</definedName>
    <definedName name="_____np3">#REF!</definedName>
    <definedName name="_____OP2" localSheetId="6">#REF!</definedName>
    <definedName name="_____OP2" localSheetId="27">#REF!</definedName>
    <definedName name="_____OP2" localSheetId="4">#REF!</definedName>
    <definedName name="_____OP2" localSheetId="32">#REF!</definedName>
    <definedName name="_____OP2" localSheetId="24">#REF!</definedName>
    <definedName name="_____OP2">#REF!</definedName>
    <definedName name="_____OPT8">#N/A</definedName>
    <definedName name="_____OPT9">#N/A</definedName>
    <definedName name="_____out2">#REF!</definedName>
    <definedName name="_____pan1">#REF!</definedName>
    <definedName name="_____PAN2">#REF!</definedName>
    <definedName name="_____PB1">#REF!</definedName>
    <definedName name="_____pep99">#REF!</definedName>
    <definedName name="_____pfi1">#REF!</definedName>
    <definedName name="_____PM123" localSheetId="12" hidden="1">{"'Sheet1'!$A$4386:$N$4591"}</definedName>
    <definedName name="_____PM123" hidden="1">{"'Sheet1'!$A$4386:$N$4591"}</definedName>
    <definedName name="_____pp1">#REF!</definedName>
    <definedName name="_____pp2">#REF!</definedName>
    <definedName name="_____RAC1" localSheetId="24">#REF!</definedName>
    <definedName name="_____RAC1">#REF!</definedName>
    <definedName name="_____rcu2">#REF!</definedName>
    <definedName name="_____Re1">#REF!</definedName>
    <definedName name="_____Rl1">#REF!</definedName>
    <definedName name="_____rs1" localSheetId="12">#REF!</definedName>
    <definedName name="_____rs1" localSheetId="24">#REF!</definedName>
    <definedName name="_____rs1">#REF!</definedName>
    <definedName name="_____rt1">#REF!</definedName>
    <definedName name="_____rt2">#REF!</definedName>
    <definedName name="_____rt3">#REF!</definedName>
    <definedName name="_____run1" localSheetId="12">#REF!</definedName>
    <definedName name="_____run1">#REF!</definedName>
    <definedName name="_____run2" localSheetId="12">#REF!</definedName>
    <definedName name="_____run2">#REF!</definedName>
    <definedName name="_____run3" localSheetId="12">#REF!</definedName>
    <definedName name="_____run3">#REF!</definedName>
    <definedName name="_____s41" localSheetId="12" hidden="1">{"form-D1",#N/A,FALSE,"FORM-D1";"form-D1_amt",#N/A,FALSE,"FORM-D1"}</definedName>
    <definedName name="_____s41" hidden="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C01" localSheetId="12">#REF!</definedName>
    <definedName name="_____SC01">#REF!</definedName>
    <definedName name="_____SC02" localSheetId="12">#REF!</definedName>
    <definedName name="_____SC02">#REF!</definedName>
    <definedName name="_____SC03" localSheetId="12">#REF!</definedName>
    <definedName name="_____SC03">#REF!</definedName>
    <definedName name="_____SC04" localSheetId="12">#REF!</definedName>
    <definedName name="_____SC04">#REF!</definedName>
    <definedName name="_____SC05" localSheetId="12">#REF!</definedName>
    <definedName name="_____SC05">#REF!</definedName>
    <definedName name="_____SC06" localSheetId="12">#REF!</definedName>
    <definedName name="_____SC06">#REF!</definedName>
    <definedName name="_____SC11" localSheetId="12">#REF!</definedName>
    <definedName name="_____SC11">#REF!</definedName>
    <definedName name="_____SC12" localSheetId="12">#REF!</definedName>
    <definedName name="_____SC12">#REF!</definedName>
    <definedName name="_____SC13" localSheetId="12">#REF!</definedName>
    <definedName name="_____SC13">#REF!</definedName>
    <definedName name="_____SC21" localSheetId="12">#REF!</definedName>
    <definedName name="_____SC21">#REF!</definedName>
    <definedName name="_____SC22" localSheetId="12">#REF!</definedName>
    <definedName name="_____SC22">#REF!</definedName>
    <definedName name="_____SC23" localSheetId="12">#REF!</definedName>
    <definedName name="_____SC23">#REF!</definedName>
    <definedName name="_____SC24" localSheetId="12">#REF!</definedName>
    <definedName name="_____SC24">#REF!</definedName>
    <definedName name="_____SC25" localSheetId="12">#REF!</definedName>
    <definedName name="_____SC25">#REF!</definedName>
    <definedName name="_____SC26" localSheetId="12">#REF!</definedName>
    <definedName name="_____SC26">#REF!</definedName>
    <definedName name="_____sch2">#REF!</definedName>
    <definedName name="_____sch9">#REF!</definedName>
    <definedName name="_____sh1">90</definedName>
    <definedName name="_____sh2">120</definedName>
    <definedName name="_____sh3">150</definedName>
    <definedName name="_____sh4">180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ab1" localSheetId="27">#REF!</definedName>
    <definedName name="_____tab1" localSheetId="4">#REF!</definedName>
    <definedName name="_____tab1" localSheetId="32">#REF!</definedName>
    <definedName name="_____tab1">#REF!</definedName>
    <definedName name="_____tab2" localSheetId="27">#REF!</definedName>
    <definedName name="_____tab2">#REF!</definedName>
    <definedName name="_____TER1">#REF!</definedName>
    <definedName name="_____tf2" localSheetId="6">#REF!</definedName>
    <definedName name="_____tf2" localSheetId="27">#REF!</definedName>
    <definedName name="_____tf2" localSheetId="4">#REF!</definedName>
    <definedName name="_____tf2" localSheetId="32">#REF!</definedName>
    <definedName name="_____tf2" localSheetId="24">#REF!</definedName>
    <definedName name="_____tf2">#REF!</definedName>
    <definedName name="_____tf3" localSheetId="6">#REF!</definedName>
    <definedName name="_____tf3" localSheetId="27">#REF!</definedName>
    <definedName name="_____tf3" localSheetId="4">#REF!</definedName>
    <definedName name="_____tf3" localSheetId="32">#REF!</definedName>
    <definedName name="_____tf3" localSheetId="24">#REF!</definedName>
    <definedName name="_____tf3">#REF!</definedName>
    <definedName name="_____tf4" localSheetId="6">#REF!</definedName>
    <definedName name="_____tf4" localSheetId="27">#REF!</definedName>
    <definedName name="_____tf4" localSheetId="4">#REF!</definedName>
    <definedName name="_____tf4" localSheetId="32">#REF!</definedName>
    <definedName name="_____tf4" localSheetId="24">#REF!</definedName>
    <definedName name="_____tf4">#REF!</definedName>
    <definedName name="_____tfd1" localSheetId="6">#REF!</definedName>
    <definedName name="_____tfd1" localSheetId="27">#REF!</definedName>
    <definedName name="_____tfd1" localSheetId="4">#REF!</definedName>
    <definedName name="_____tfd1" localSheetId="32">#REF!</definedName>
    <definedName name="_____tfd1" localSheetId="24">#REF!</definedName>
    <definedName name="_____tfd1">#REF!</definedName>
    <definedName name="_____tfd2" localSheetId="6">#REF!</definedName>
    <definedName name="_____tfd2" localSheetId="27">#REF!</definedName>
    <definedName name="_____tfd2" localSheetId="4">#REF!</definedName>
    <definedName name="_____tfd2" localSheetId="32">#REF!</definedName>
    <definedName name="_____tfd2" localSheetId="24">#REF!</definedName>
    <definedName name="_____tfd2">#REF!</definedName>
    <definedName name="_____tfd3" localSheetId="6">#REF!</definedName>
    <definedName name="_____tfd3" localSheetId="27">#REF!</definedName>
    <definedName name="_____tfd3" localSheetId="4">#REF!</definedName>
    <definedName name="_____tfd3" localSheetId="32">#REF!</definedName>
    <definedName name="_____tfd3" localSheetId="24">#REF!</definedName>
    <definedName name="_____tfd3">#REF!</definedName>
    <definedName name="_____tfd4" localSheetId="6">#REF!</definedName>
    <definedName name="_____tfd4" localSheetId="27">#REF!</definedName>
    <definedName name="_____tfd4" localSheetId="4">#REF!</definedName>
    <definedName name="_____tfd4" localSheetId="32">#REF!</definedName>
    <definedName name="_____tfd4" localSheetId="24">#REF!</definedName>
    <definedName name="_____tfd4">#REF!</definedName>
    <definedName name="_____Tk1">#REF!</definedName>
    <definedName name="_____Tk11">#REF!</definedName>
    <definedName name="_____Tk2">#REF!</definedName>
    <definedName name="_____Tkl1">#REF!</definedName>
    <definedName name="_____tl1">#REF!</definedName>
    <definedName name="_____tl2">#REF!</definedName>
    <definedName name="_____tr1" localSheetId="6">#REF!</definedName>
    <definedName name="_____tr1" localSheetId="27">#REF!</definedName>
    <definedName name="_____tr1" localSheetId="4">#REF!</definedName>
    <definedName name="_____tr1" localSheetId="32">#REF!</definedName>
    <definedName name="_____tr1" localSheetId="24">#REF!</definedName>
    <definedName name="_____tr1">#REF!</definedName>
    <definedName name="_____tr2" localSheetId="6">#REF!</definedName>
    <definedName name="_____tr2" localSheetId="27">#REF!</definedName>
    <definedName name="_____tr2" localSheetId="4">#REF!</definedName>
    <definedName name="_____tr2" localSheetId="32">#REF!</definedName>
    <definedName name="_____tr2" localSheetId="24">#REF!</definedName>
    <definedName name="_____tr2">#REF!</definedName>
    <definedName name="_____tr3" localSheetId="6">#REF!</definedName>
    <definedName name="_____tr3" localSheetId="27">#REF!</definedName>
    <definedName name="_____tr3" localSheetId="4">#REF!</definedName>
    <definedName name="_____tr3" localSheetId="32">#REF!</definedName>
    <definedName name="_____tr3" localSheetId="24">#REF!</definedName>
    <definedName name="_____tr3">#REF!</definedName>
    <definedName name="_____trd1" localSheetId="6">#REF!</definedName>
    <definedName name="_____trd1" localSheetId="27">#REF!</definedName>
    <definedName name="_____trd1" localSheetId="4">#REF!</definedName>
    <definedName name="_____trd1" localSheetId="32">#REF!</definedName>
    <definedName name="_____trd1" localSheetId="24">#REF!</definedName>
    <definedName name="_____trd1">#REF!</definedName>
    <definedName name="_____trd2" localSheetId="6">#REF!</definedName>
    <definedName name="_____trd2" localSheetId="27">#REF!</definedName>
    <definedName name="_____trd2" localSheetId="4">#REF!</definedName>
    <definedName name="_____trd2" localSheetId="32">#REF!</definedName>
    <definedName name="_____trd2" localSheetId="24">#REF!</definedName>
    <definedName name="_____trd2">#REF!</definedName>
    <definedName name="_____trd3" localSheetId="6">#REF!</definedName>
    <definedName name="_____trd3" localSheetId="27">#REF!</definedName>
    <definedName name="_____trd3" localSheetId="4">#REF!</definedName>
    <definedName name="_____trd3" localSheetId="32">#REF!</definedName>
    <definedName name="_____trd3" localSheetId="24">#REF!</definedName>
    <definedName name="_____trd3">#REF!</definedName>
    <definedName name="_____Vf1">#REF!</definedName>
    <definedName name="_____Vf2">#REF!</definedName>
    <definedName name="_____vr1">#REF!</definedName>
    <definedName name="_____VS2004" localSheetId="29" hidden="1">#REF!</definedName>
    <definedName name="_____VS2004" localSheetId="24" hidden="1">#REF!</definedName>
    <definedName name="_____VS2004" localSheetId="26" hidden="1">#REF!</definedName>
    <definedName name="_____VS2004" hidden="1">#REF!</definedName>
    <definedName name="_____Wc1" localSheetId="12">#REF!</definedName>
    <definedName name="_____Wc1">#REF!</definedName>
    <definedName name="_____WC3" localSheetId="12">#REF!</definedName>
    <definedName name="_____WC3">#REF!</definedName>
    <definedName name="_____WD2" localSheetId="6">#REF!</definedName>
    <definedName name="_____WD2" localSheetId="27">#REF!</definedName>
    <definedName name="_____WD2" localSheetId="4">#REF!</definedName>
    <definedName name="_____WD2" localSheetId="32">#REF!</definedName>
    <definedName name="_____WD2" localSheetId="24">#REF!</definedName>
    <definedName name="_____WD2">#REF!</definedName>
    <definedName name="_____wp1">#REF!</definedName>
    <definedName name="_____Wr1" localSheetId="12">#REF!</definedName>
    <definedName name="_____Wr1">#REF!</definedName>
    <definedName name="_____Wr3" localSheetId="12">#REF!</definedName>
    <definedName name="_____Wr3">#REF!</definedName>
    <definedName name="_____Xl1">#REF!</definedName>
    <definedName name="_____xlcn.WorksheetConnection_InfoEntryA2D32" localSheetId="6" hidden="1">#REF!</definedName>
    <definedName name="_____xlcn.WorksheetConnection_InfoEntryA2D32" localSheetId="27" hidden="1">#REF!</definedName>
    <definedName name="_____xlcn.WorksheetConnection_InfoEntryA2D32" localSheetId="4" hidden="1">#REF!</definedName>
    <definedName name="_____xlcn.WorksheetConnection_InfoEntryA2D32" localSheetId="32" hidden="1">#REF!</definedName>
    <definedName name="_____xlcn.WorksheetConnection_InfoEntryA2D32" localSheetId="24" hidden="1">#REF!</definedName>
    <definedName name="_____xlcn.WorksheetConnection_InfoEntryA2D32" hidden="1">#REF!</definedName>
    <definedName name="_____xlnm._FilterDatabase" localSheetId="29">#REF!</definedName>
    <definedName name="_____xlnm._FilterDatabase" localSheetId="24">#REF!</definedName>
    <definedName name="_____xlnm._FilterDatabase" localSheetId="26">#REF!</definedName>
    <definedName name="_____xlnm._FilterDatabase">#REF!</definedName>
    <definedName name="_____xlnm._FilterDatabase_1" localSheetId="29">#REF!</definedName>
    <definedName name="_____xlnm._FilterDatabase_1" localSheetId="26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#N/A</definedName>
    <definedName name="_____xlnm.Print_Area_1" localSheetId="6">#REF!</definedName>
    <definedName name="_____xlnm.Print_Area_1" localSheetId="29">#REF!</definedName>
    <definedName name="_____xlnm.Print_Area_1" localSheetId="24">#REF!</definedName>
    <definedName name="_____xlnm.Print_Area_1" localSheetId="26">#REF!</definedName>
    <definedName name="_____xlnm.Print_Area_1">#REF!</definedName>
    <definedName name="_____xlnm.Print_Area_1_1">"#REF!"</definedName>
    <definedName name="_____xlnm.Print_Area_10" localSheetId="6">#REF!</definedName>
    <definedName name="_____xlnm.Print_Area_10" localSheetId="29">#REF!</definedName>
    <definedName name="_____xlnm.Print_Area_10" localSheetId="24">#REF!</definedName>
    <definedName name="_____xlnm.Print_Area_10" localSheetId="26">#REF!</definedName>
    <definedName name="_____xlnm.Print_Area_10">#REF!</definedName>
    <definedName name="_____xlnm.Print_Area_10_1">"#REF!"</definedName>
    <definedName name="_____xlnm.Print_Area_11" localSheetId="6">#REF!</definedName>
    <definedName name="_____xlnm.Print_Area_11" localSheetId="29">#REF!</definedName>
    <definedName name="_____xlnm.Print_Area_11" localSheetId="24">#REF!</definedName>
    <definedName name="_____xlnm.Print_Area_11" localSheetId="26">#REF!</definedName>
    <definedName name="_____xlnm.Print_Area_11">#REF!</definedName>
    <definedName name="_____xlnm.Print_Area_11_1">"#REF!"</definedName>
    <definedName name="_____xlnm.Print_Area_13" localSheetId="6">#REF!</definedName>
    <definedName name="_____xlnm.Print_Area_13" localSheetId="29">#REF!</definedName>
    <definedName name="_____xlnm.Print_Area_13" localSheetId="24">#REF!</definedName>
    <definedName name="_____xlnm.Print_Area_13" localSheetId="26">#REF!</definedName>
    <definedName name="_____xlnm.Print_Area_13">#REF!</definedName>
    <definedName name="_____xlnm.Print_Area_2" localSheetId="6">#REF!</definedName>
    <definedName name="_____xlnm.Print_Area_2" localSheetId="29">#REF!</definedName>
    <definedName name="_____xlnm.Print_Area_2" localSheetId="26">#REF!</definedName>
    <definedName name="_____xlnm.Print_Area_2">#REF!</definedName>
    <definedName name="_____xlnm.Print_Area_3" localSheetId="29">#REF!</definedName>
    <definedName name="_____xlnm.Print_Area_3" localSheetId="26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 localSheetId="12">"#NAME?"</definedName>
    <definedName name="_____xlnm.Print_Titles_1" localSheetId="6">"#NAME?"</definedName>
    <definedName name="_____xlnm.Print_Titles_1" localSheetId="29">"#NAME?"</definedName>
    <definedName name="_____xlnm.Print_Titles_1" localSheetId="4">"#NAME?"</definedName>
    <definedName name="_____xlnm.Print_Titles_1" localSheetId="32">"#NAME?"</definedName>
    <definedName name="_____xlnm.Print_Titles_1" localSheetId="24">"#NAME?"</definedName>
    <definedName name="_____xlnm.Print_Titles_1" localSheetId="26">"#NAME?"</definedName>
    <definedName name="_____xlnm.Print_Titles_1">#REF!</definedName>
    <definedName name="_____xlnm.Print_Titles_2" localSheetId="6">(#REF!,#REF!)</definedName>
    <definedName name="_____xlnm.Print_Titles_2" localSheetId="29">(#REF!,#REF!)</definedName>
    <definedName name="_____xlnm.Print_Titles_2" localSheetId="24">(#REF!,#REF!)</definedName>
    <definedName name="_____xlnm.Print_Titles_2" localSheetId="26">(#REF!,#REF!)</definedName>
    <definedName name="_____xlnm.Print_Titles_2">(#REF!,#REF!)</definedName>
    <definedName name="_____xlnm.Print_Titles_3" localSheetId="6">(#REF!,#REF!)</definedName>
    <definedName name="_____xlnm.Print_Titles_3" localSheetId="29">(#REF!,#REF!)</definedName>
    <definedName name="_____xlnm.Print_Titles_3" localSheetId="26">(#REF!,#REF!)</definedName>
    <definedName name="_____xlnm.Print_Titles_3">(#REF!,#REF!)</definedName>
    <definedName name="_____xlnm.Print_Titles_4" localSheetId="6">#REF!</definedName>
    <definedName name="_____xlnm.Print_Titles_4" localSheetId="29">#REF!</definedName>
    <definedName name="_____xlnm.Print_Titles_4" localSheetId="24">#REF!</definedName>
    <definedName name="_____xlnm.Print_Titles_4" localSheetId="26">#REF!</definedName>
    <definedName name="_____xlnm.Print_Titles_4">#REF!</definedName>
    <definedName name="_____xlnm.Print_Titles_7" localSheetId="6">#REF!</definedName>
    <definedName name="_____xlnm.Print_Titles_7">#REF!</definedName>
    <definedName name="____1____123Graph_ACHART_1" localSheetId="6" hidden="1">#REF!</definedName>
    <definedName name="____1____123Graph_ACHART_1" hidden="1">#REF!</definedName>
    <definedName name="____2____123Graph_BCHART_1" hidden="1">#REF!</definedName>
    <definedName name="____3____123Graph_CCHART_1" hidden="1">#REF!</definedName>
    <definedName name="____4___123Graph_ACHART_1" hidden="1">#REF!</definedName>
    <definedName name="____5___123Graph_BCHART_1" hidden="1">#REF!</definedName>
    <definedName name="____6___123Graph_CCHART_1" hidden="1">#REF!</definedName>
    <definedName name="____7__123Graph_ACHART_1" hidden="1">#REF!</definedName>
    <definedName name="____8__123Graph_BCHART_1" hidden="1">#REF!</definedName>
    <definedName name="____9__123Graph_CCHART_1" hidden="1">#REF!</definedName>
    <definedName name="____a1">#REF!</definedName>
    <definedName name="____A10">#REF!</definedName>
    <definedName name="____A13">#REF!</definedName>
    <definedName name="____A2">#REF!</definedName>
    <definedName name="____A3">#REF!</definedName>
    <definedName name="____A4">#REF!</definedName>
    <definedName name="____a5">#N/A</definedName>
    <definedName name="____a6">#N/A</definedName>
    <definedName name="____A65537">#REF!</definedName>
    <definedName name="____A655600">#REF!</definedName>
    <definedName name="____a655601">#REF!</definedName>
    <definedName name="____A7">#REF!</definedName>
    <definedName name="____A71614">#REF!</definedName>
    <definedName name="____A8">#REF!</definedName>
    <definedName name="____A81614">#REF!</definedName>
    <definedName name="____A9">#REF!</definedName>
    <definedName name="____A91614">#REF!</definedName>
    <definedName name="____a999999">#REF!</definedName>
    <definedName name="____aa1" localSheetId="12" hidden="1">{"'PROFITABILITY'!$A$1:$F$45"}</definedName>
    <definedName name="____aa1" localSheetId="6" hidden="1">{"'PROFITABILITY'!$A$1:$F$45"}</definedName>
    <definedName name="____aa1" localSheetId="29" hidden="1">{"'PROFITABILITY'!$A$1:$F$45"}</definedName>
    <definedName name="____aa1" localSheetId="27" hidden="1">{"'PROFITABILITY'!$A$1:$F$45"}</definedName>
    <definedName name="____aa1" localSheetId="4" hidden="1">{"'PROFITABILITY'!$A$1:$F$45"}</definedName>
    <definedName name="____aa1" localSheetId="32" hidden="1">{"'PROFITABILITY'!$A$1:$F$45"}</definedName>
    <definedName name="____aa1" localSheetId="24" hidden="1">{"'PROFITABILITY'!$A$1:$F$45"}</definedName>
    <definedName name="____aa1" localSheetId="26" hidden="1">{"'PROFITABILITY'!$A$1:$F$45"}</definedName>
    <definedName name="____aa1" hidden="1">{"'PROFITABILITY'!$A$1:$F$45"}</definedName>
    <definedName name="____aba2">#REF!</definedName>
    <definedName name="____acs1">#REF!</definedName>
    <definedName name="____acs2">#REF!</definedName>
    <definedName name="____AHP1">#REF!</definedName>
    <definedName name="____aoc1" localSheetId="12">#REF!</definedName>
    <definedName name="____aoc1">#REF!</definedName>
    <definedName name="____aoc2" localSheetId="12">#REF!</definedName>
    <definedName name="____aoc2">#REF!</definedName>
    <definedName name="____aoc3" localSheetId="12">#REF!</definedName>
    <definedName name="____aoc3">#REF!</definedName>
    <definedName name="____aoc4" localSheetId="12">#REF!</definedName>
    <definedName name="____aoc4">#REF!</definedName>
    <definedName name="____axx1" localSheetId="12">#REF!</definedName>
    <definedName name="____axx1">#REF!</definedName>
    <definedName name="____axx2" localSheetId="12">#REF!</definedName>
    <definedName name="____axx2">#REF!</definedName>
    <definedName name="____axx3" localSheetId="12">#REF!</definedName>
    <definedName name="____axx3">#REF!</definedName>
    <definedName name="____AXX4" localSheetId="12">#REF!</definedName>
    <definedName name="____AXX4" localSheetId="4">#REF!</definedName>
    <definedName name="____AXX4" localSheetId="32">#REF!</definedName>
    <definedName name="____AXX4">#REF!</definedName>
    <definedName name="____axx5" localSheetId="12">#REF!</definedName>
    <definedName name="____axx5" localSheetId="4">#REF!</definedName>
    <definedName name="____axx5" localSheetId="32">#REF!</definedName>
    <definedName name="____axx5">#REF!</definedName>
    <definedName name="____axx6" localSheetId="12">#REF!</definedName>
    <definedName name="____axx6" localSheetId="4">#REF!</definedName>
    <definedName name="____axx6" localSheetId="32">#REF!</definedName>
    <definedName name="____axx6">#REF!</definedName>
    <definedName name="____AXX7" localSheetId="12">#REF!</definedName>
    <definedName name="____AXX7" localSheetId="4">#REF!</definedName>
    <definedName name="____AXX7" localSheetId="32">#REF!</definedName>
    <definedName name="____AXX7">#REF!</definedName>
    <definedName name="____axx8" localSheetId="12">#REF!</definedName>
    <definedName name="____axx8" localSheetId="4">#REF!</definedName>
    <definedName name="____axx8" localSheetId="32">#REF!</definedName>
    <definedName name="____axx8">#REF!</definedName>
    <definedName name="____b1">#REF!</definedName>
    <definedName name="____b111121" localSheetId="12">#REF!</definedName>
    <definedName name="____b111121" localSheetId="4">#REF!</definedName>
    <definedName name="____b111121" localSheetId="32">#REF!</definedName>
    <definedName name="____b111121">#REF!</definedName>
    <definedName name="____B18000">#REF!</definedName>
    <definedName name="____B30000">#REF!</definedName>
    <definedName name="____B32000">#REF!</definedName>
    <definedName name="____BAA1">#REF!</definedName>
    <definedName name="____bct75">#REF!</definedName>
    <definedName name="____bhh2">#REF!</definedName>
    <definedName name="____bom1">#REF!</definedName>
    <definedName name="____BoQ3">#REF!</definedName>
    <definedName name="____BOQ35">#REF!</definedName>
    <definedName name="____BoQ4">#REF!</definedName>
    <definedName name="____BoQ5">#REF!</definedName>
    <definedName name="____BoQ7">#REF!</definedName>
    <definedName name="____BoQ9">#REF!</definedName>
    <definedName name="____CAN112">13.42</definedName>
    <definedName name="____CAN113">12.98</definedName>
    <definedName name="____CAN117">12.7</definedName>
    <definedName name="____CAN118">13.27</definedName>
    <definedName name="____CAN120">11.72</definedName>
    <definedName name="____CAN2">#N/A</definedName>
    <definedName name="____CAN210">10.38</definedName>
    <definedName name="____CAN211">10.58</definedName>
    <definedName name="____CAN213">10.56</definedName>
    <definedName name="____CAN215">10.22</definedName>
    <definedName name="____CAN216">9.61</definedName>
    <definedName name="____CAN217">10.47</definedName>
    <definedName name="____CAN219">10.91</definedName>
    <definedName name="____CAN220">11.09</definedName>
    <definedName name="____CAN221">11.25</definedName>
    <definedName name="____CAN222">10.17</definedName>
    <definedName name="____CAN223">9.89</definedName>
    <definedName name="____CAN230">10.79</definedName>
    <definedName name="____can421">40.2</definedName>
    <definedName name="____can422">41.57</definedName>
    <definedName name="____can423">43.9</definedName>
    <definedName name="____can424">41.19</definedName>
    <definedName name="____can425">42.81</definedName>
    <definedName name="____can426">40.77</definedName>
    <definedName name="____can427">40.92</definedName>
    <definedName name="____can428">39.29</definedName>
    <definedName name="____can429">45.19</definedName>
    <definedName name="____can430">40.73</definedName>
    <definedName name="____can431">42.52</definedName>
    <definedName name="____can432">42.53</definedName>
    <definedName name="____can433">43.69</definedName>
    <definedName name="____can434">40.43</definedName>
    <definedName name="____can435">43.3</definedName>
    <definedName name="____CAN9">#N/A</definedName>
    <definedName name="____CBR220" localSheetId="6">#REF!</definedName>
    <definedName name="____CBR220" localSheetId="29">#REF!</definedName>
    <definedName name="____CBR220" localSheetId="24">#REF!</definedName>
    <definedName name="____CBR220" localSheetId="26">#REF!</definedName>
    <definedName name="____CBR220">#REF!</definedName>
    <definedName name="____CBR500" localSheetId="6">#REF!</definedName>
    <definedName name="____CBR500" localSheetId="29">#REF!</definedName>
    <definedName name="____CBR500" localSheetId="26">#REF!</definedName>
    <definedName name="____CBR500">#REF!</definedName>
    <definedName name="____CCT220">#REF!</definedName>
    <definedName name="____cdd2">#REF!</definedName>
    <definedName name="____cem124" localSheetId="12">#REF!</definedName>
    <definedName name="____cem124">#REF!</definedName>
    <definedName name="____CFB1">#REF!</definedName>
    <definedName name="____CFB2">#REF!</definedName>
    <definedName name="____CFB3">#REF!</definedName>
    <definedName name="____cff2">#REF!</definedName>
    <definedName name="____cli1" localSheetId="12">#REF!</definedName>
    <definedName name="____cli1">#REF!</definedName>
    <definedName name="____cli2" localSheetId="12">#REF!</definedName>
    <definedName name="____cli2">#REF!</definedName>
    <definedName name="____cli3" localSheetId="12">#REF!</definedName>
    <definedName name="____cli3">#REF!</definedName>
    <definedName name="____cli4" localSheetId="12">#REF!</definedName>
    <definedName name="____cli4">#REF!</definedName>
    <definedName name="____cli5">#REF!</definedName>
    <definedName name="____col33" localSheetId="12">#REF!</definedName>
    <definedName name="____col33">#REF!</definedName>
    <definedName name="____cth2">#REF!</definedName>
    <definedName name="____CTR220" localSheetId="6">#REF!</definedName>
    <definedName name="____CTR220">#REF!</definedName>
    <definedName name="____CTR500">#REF!</definedName>
    <definedName name="____CVT220">#REF!</definedName>
    <definedName name="____CVT500">#REF!</definedName>
    <definedName name="____d5">#N/A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ec05" localSheetId="12" hidden="1">{"'Sheet1'!$A$4386:$N$4591"}</definedName>
    <definedName name="____dec05" localSheetId="29" hidden="1">{"'Sheet1'!$A$4386:$N$4591"}</definedName>
    <definedName name="____dec05" localSheetId="27" hidden="1">{"'Sheet1'!$A$4386:$N$4591"}</definedName>
    <definedName name="____dec05" localSheetId="4" hidden="1">{"'Sheet1'!$A$4386:$N$4591"}</definedName>
    <definedName name="____dec05" localSheetId="32" hidden="1">{"'Sheet1'!$A$4386:$N$4591"}</definedName>
    <definedName name="____dec05" localSheetId="24" hidden="1">{"'Sheet1'!$A$4386:$N$4591"}</definedName>
    <definedName name="____dec05" localSheetId="26" hidden="1">{"'Sheet1'!$A$4386:$N$4591"}</definedName>
    <definedName name="____dec05" hidden="1">{"'Sheet1'!$A$4386:$N$4591"}</definedName>
    <definedName name="____del1">#REF!</definedName>
    <definedName name="____DET1" localSheetId="6">#REF!</definedName>
    <definedName name="____DET1" localSheetId="27">#REF!</definedName>
    <definedName name="____DET1" localSheetId="4">#REF!</definedName>
    <definedName name="____DET1" localSheetId="32">#REF!</definedName>
    <definedName name="____DET1" localSheetId="24">#REF!</definedName>
    <definedName name="____DET1">#REF!</definedName>
    <definedName name="____DET2">#REF!</definedName>
    <definedName name="____DET3">#REF!</definedName>
    <definedName name="____DET4">#REF!</definedName>
    <definedName name="____DET5">#REF!</definedName>
    <definedName name="____DET6">#REF!</definedName>
    <definedName name="____dev9947">#REF!</definedName>
    <definedName name="____DIS1" localSheetId="12">#REF!</definedName>
    <definedName name="____DIS1">#REF!</definedName>
    <definedName name="____DKT75">#REF!</definedName>
    <definedName name="____dol12" localSheetId="29">#REF!</definedName>
    <definedName name="____dol12" localSheetId="24">#REF!</definedName>
    <definedName name="____dol12" localSheetId="26">#REF!</definedName>
    <definedName name="____dol12">#REF!</definedName>
    <definedName name="____dol6" localSheetId="29">#REF!</definedName>
    <definedName name="____dol6" localSheetId="26">#REF!</definedName>
    <definedName name="____dol6">#REF!</definedName>
    <definedName name="____drg1">#REF!</definedName>
    <definedName name="____drg2">#REF!</definedName>
    <definedName name="____eth2">#REF!</definedName>
    <definedName name="____exc1">#REF!</definedName>
    <definedName name="____exc11">#REF!</definedName>
    <definedName name="____exc2">#REF!</definedName>
    <definedName name="____EXC3">#REF!</definedName>
    <definedName name="____EXC4">#REF!</definedName>
    <definedName name="____f1">#REF!</definedName>
    <definedName name="____FEL1" localSheetId="6">#REF!</definedName>
    <definedName name="____FEL1" localSheetId="27">#REF!</definedName>
    <definedName name="____FEL1" localSheetId="4">#REF!</definedName>
    <definedName name="____FEL1" localSheetId="32">#REF!</definedName>
    <definedName name="____FEL1" localSheetId="24">#REF!</definedName>
    <definedName name="____FEL1">#REF!</definedName>
    <definedName name="____foo1">#REF!</definedName>
    <definedName name="____foo2">#REF!</definedName>
    <definedName name="____foo3">#REF!</definedName>
    <definedName name="____FOO4">#REF!</definedName>
    <definedName name="____Fpi1" localSheetId="24">#REF!</definedName>
    <definedName name="____Fpi1">#REF!</definedName>
    <definedName name="____g1" localSheetId="12">#REF!</definedName>
    <definedName name="____g1" localSheetId="24">#REF!</definedName>
    <definedName name="____g1">#REF!</definedName>
    <definedName name="____g2">#REF!</definedName>
    <definedName name="____g2_1">#REF!</definedName>
    <definedName name="____GEL1" localSheetId="6">#REF!</definedName>
    <definedName name="____GEL1" localSheetId="27">#REF!</definedName>
    <definedName name="____GEL1" localSheetId="4">#REF!</definedName>
    <definedName name="____GEL1" localSheetId="32">#REF!</definedName>
    <definedName name="____GEL1" localSheetId="24">#REF!</definedName>
    <definedName name="____GEL1">#REF!</definedName>
    <definedName name="____hai1">#REF!</definedName>
    <definedName name="____hai2">#REF!</definedName>
    <definedName name="____HBG10" localSheetId="6">#REF!</definedName>
    <definedName name="____HBG10" localSheetId="27">#REF!</definedName>
    <definedName name="____HBG10" localSheetId="4">#REF!</definedName>
    <definedName name="____HBG10" localSheetId="32">#REF!</definedName>
    <definedName name="____HBG10" localSheetId="24">#REF!</definedName>
    <definedName name="____HBG10">#REF!</definedName>
    <definedName name="____HBG12" localSheetId="6">#REF!</definedName>
    <definedName name="____HBG12" localSheetId="27">#REF!</definedName>
    <definedName name="____HBG12" localSheetId="4">#REF!</definedName>
    <definedName name="____HBG12" localSheetId="32">#REF!</definedName>
    <definedName name="____HBG12" localSheetId="24">#REF!</definedName>
    <definedName name="____HBG12">#REF!</definedName>
    <definedName name="____HBG25" localSheetId="6">#REF!</definedName>
    <definedName name="____HBG25" localSheetId="27">#REF!</definedName>
    <definedName name="____HBG25" localSheetId="4">#REF!</definedName>
    <definedName name="____HBG25" localSheetId="32">#REF!</definedName>
    <definedName name="____HBG25" localSheetId="24">#REF!</definedName>
    <definedName name="____HBG25">#REF!</definedName>
    <definedName name="____HBG40" localSheetId="6">#REF!</definedName>
    <definedName name="____HBG40" localSheetId="27">#REF!</definedName>
    <definedName name="____HBG40" localSheetId="4">#REF!</definedName>
    <definedName name="____HBG40" localSheetId="32">#REF!</definedName>
    <definedName name="____HBG40" localSheetId="24">#REF!</definedName>
    <definedName name="____HBG40">#REF!</definedName>
    <definedName name="____HBG50" localSheetId="6">#REF!</definedName>
    <definedName name="____HBG50" localSheetId="27">#REF!</definedName>
    <definedName name="____HBG50" localSheetId="4">#REF!</definedName>
    <definedName name="____HBG50" localSheetId="32">#REF!</definedName>
    <definedName name="____HBG50" localSheetId="24">#REF!</definedName>
    <definedName name="____HBG50">#REF!</definedName>
    <definedName name="____HBG6" localSheetId="6">#REF!</definedName>
    <definedName name="____HBG6" localSheetId="27">#REF!</definedName>
    <definedName name="____HBG6" localSheetId="4">#REF!</definedName>
    <definedName name="____HBG6" localSheetId="32">#REF!</definedName>
    <definedName name="____HBG6" localSheetId="24">#REF!</definedName>
    <definedName name="____HBG6">#REF!</definedName>
    <definedName name="____HCO2" localSheetId="24">#REF!</definedName>
    <definedName name="____HCO2">#REF!</definedName>
    <definedName name="____hfi1" localSheetId="12">#REF!</definedName>
    <definedName name="____hfi1">#REF!</definedName>
    <definedName name="____hfi2" localSheetId="12">#REF!</definedName>
    <definedName name="____hfi2" localSheetId="4">#REF!</definedName>
    <definedName name="____hfi2" localSheetId="32">#REF!</definedName>
    <definedName name="____hfi2" localSheetId="24">#REF!</definedName>
    <definedName name="____hfi2">#REF!</definedName>
    <definedName name="____hfi3" localSheetId="12">#REF!</definedName>
    <definedName name="____hfi3">#REF!</definedName>
    <definedName name="____hfi4" localSheetId="12">#REF!</definedName>
    <definedName name="____hfi4" localSheetId="4">#REF!</definedName>
    <definedName name="____hfi4" localSheetId="32">#REF!</definedName>
    <definedName name="____hfi4">#REF!</definedName>
    <definedName name="____hfi5" localSheetId="12">#REF!</definedName>
    <definedName name="____hfi5" localSheetId="4">#REF!</definedName>
    <definedName name="____hfi5" localSheetId="32">#REF!</definedName>
    <definedName name="____hfi5">#REF!</definedName>
    <definedName name="____hfi6" localSheetId="12">#REF!</definedName>
    <definedName name="____hfi6" localSheetId="4">#REF!</definedName>
    <definedName name="____hfi6" localSheetId="32">#REF!</definedName>
    <definedName name="____hfi6">#REF!</definedName>
    <definedName name="____HFI7" localSheetId="12">#REF!</definedName>
    <definedName name="____HFI7">#REF!</definedName>
    <definedName name="____hfi8" localSheetId="12">#REF!</definedName>
    <definedName name="____hfi8" localSheetId="4">#REF!</definedName>
    <definedName name="____hfi8" localSheetId="32">#REF!</definedName>
    <definedName name="____hfi8">#REF!</definedName>
    <definedName name="____Hra2">#REF!</definedName>
    <definedName name="____Hso2">#REF!</definedName>
    <definedName name="____Hso3">#REF!</definedName>
    <definedName name="____hxa1">#REF!</definedName>
    <definedName name="____hxa2">#REF!</definedName>
    <definedName name="____hxb1">#REF!</definedName>
    <definedName name="____hxb2">#REF!</definedName>
    <definedName name="____hxc1">#REF!</definedName>
    <definedName name="____hxc2">#REF!</definedName>
    <definedName name="____hxd1" localSheetId="12">#REF!</definedName>
    <definedName name="____hxd1">#REF!</definedName>
    <definedName name="____hxf1">#REF!</definedName>
    <definedName name="____IDA1" localSheetId="29">#REF!</definedName>
    <definedName name="____IDA1" localSheetId="26">#REF!</definedName>
    <definedName name="____IDA1">#REF!</definedName>
    <definedName name="____IDC2">#N/A</definedName>
    <definedName name="____IDC21">#N/A</definedName>
    <definedName name="____IDC22">#N/A</definedName>
    <definedName name="____IDC23">#N/A</definedName>
    <definedName name="____idc3">#N/A</definedName>
    <definedName name="____ifa1">#REF!</definedName>
    <definedName name="____ifa2">#REF!</definedName>
    <definedName name="____in18900" localSheetId="6">#REF!</definedName>
    <definedName name="____in18900" localSheetId="29">#REF!</definedName>
    <definedName name="____in18900" localSheetId="24">#REF!</definedName>
    <definedName name="____in18900" localSheetId="26">#REF!</definedName>
    <definedName name="____in18900">#REF!</definedName>
    <definedName name="____INT1">#REF!</definedName>
    <definedName name="____Ism3" localSheetId="24">#REF!</definedName>
    <definedName name="____Ism3">#REF!</definedName>
    <definedName name="____ISO220">#REF!</definedName>
    <definedName name="____iv19000" localSheetId="6">#REF!</definedName>
    <definedName name="____iv19000">#REF!</definedName>
    <definedName name="____kd1">#REF!</definedName>
    <definedName name="____kd2">#REF!</definedName>
    <definedName name="____kd3">#REF!</definedName>
    <definedName name="____KEY3" hidden="1">#REF!</definedName>
    <definedName name="____Ki1" localSheetId="12">#REF!</definedName>
    <definedName name="____Ki1">#REF!</definedName>
    <definedName name="____Ki2" localSheetId="12">#REF!</definedName>
    <definedName name="____Ki2">#REF!</definedName>
    <definedName name="____LAR220" localSheetId="6">#REF!</definedName>
    <definedName name="____LAR220">#REF!</definedName>
    <definedName name="____LAR500">#REF!</definedName>
    <definedName name="____lb1">#REF!</definedName>
    <definedName name="____lb2">#REF!</definedName>
    <definedName name="____LMH1">#REF!</definedName>
    <definedName name="____LMH2">#REF!</definedName>
    <definedName name="____ls1">#REF!</definedName>
    <definedName name="____ls2">#REF!</definedName>
    <definedName name="____ls3">#REF!</definedName>
    <definedName name="____ls4">#REF!</definedName>
    <definedName name="____LTR220">#REF!</definedName>
    <definedName name="____LTR500">#REF!</definedName>
    <definedName name="____lvl1">#REF!</definedName>
    <definedName name="____m20">#REF!</definedName>
    <definedName name="____m234" localSheetId="12">#REF!</definedName>
    <definedName name="____m234">#REF!</definedName>
    <definedName name="____m35">#REF!</definedName>
    <definedName name="____mac2">200</definedName>
    <definedName name="____MAN1">#REF!</definedName>
    <definedName name="____mcl132" localSheetId="12">#REF!</definedName>
    <definedName name="____mcl132" localSheetId="27">#REF!</definedName>
    <definedName name="____mcl132" localSheetId="4">#REF!</definedName>
    <definedName name="____mcl132" localSheetId="32">#REF!</definedName>
    <definedName name="____mcl132">#REF!</definedName>
    <definedName name="____MG1" localSheetId="6">#REF!</definedName>
    <definedName name="____MG1" localSheetId="27">#REF!</definedName>
    <definedName name="____MG1" localSheetId="4">#REF!</definedName>
    <definedName name="____MG1" localSheetId="32">#REF!</definedName>
    <definedName name="____MG1" localSheetId="24">#REF!</definedName>
    <definedName name="____MG1">#REF!</definedName>
    <definedName name="____mix10">4.5</definedName>
    <definedName name="____mix15">264/50</definedName>
    <definedName name="____MIX1540" localSheetId="6">#REF!</definedName>
    <definedName name="____MIX1540" localSheetId="27">#REF!</definedName>
    <definedName name="____MIX1540" localSheetId="4">#REF!</definedName>
    <definedName name="____MIX1540" localSheetId="32">#REF!</definedName>
    <definedName name="____MIX1540" localSheetId="24">#REF!</definedName>
    <definedName name="____MIX1540">#REF!</definedName>
    <definedName name="____MIX2" localSheetId="6">#REF!</definedName>
    <definedName name="____MIX2" localSheetId="27">#REF!</definedName>
    <definedName name="____MIX2" localSheetId="4">#REF!</definedName>
    <definedName name="____MIX2" localSheetId="32">#REF!</definedName>
    <definedName name="____MIX2" localSheetId="24">#REF!</definedName>
    <definedName name="____MIX2">#REF!</definedName>
    <definedName name="____mix20">330/50</definedName>
    <definedName name="____MIX2020" localSheetId="6">#REF!</definedName>
    <definedName name="____MIX2020" localSheetId="27">#REF!</definedName>
    <definedName name="____MIX2020" localSheetId="4">#REF!</definedName>
    <definedName name="____MIX2020" localSheetId="32">#REF!</definedName>
    <definedName name="____MIX2020" localSheetId="24">#REF!</definedName>
    <definedName name="____MIX2020">#REF!</definedName>
    <definedName name="____MIX2040" localSheetId="6">#REF!</definedName>
    <definedName name="____MIX2040" localSheetId="27">#REF!</definedName>
    <definedName name="____MIX2040" localSheetId="4">#REF!</definedName>
    <definedName name="____MIX2040" localSheetId="32">#REF!</definedName>
    <definedName name="____MIX2040" localSheetId="24">#REF!</definedName>
    <definedName name="____MIX2040">#REF!</definedName>
    <definedName name="____MIX2540" localSheetId="6">#REF!</definedName>
    <definedName name="____MIX2540" localSheetId="27">#REF!</definedName>
    <definedName name="____MIX2540" localSheetId="4">#REF!</definedName>
    <definedName name="____MIX2540" localSheetId="32">#REF!</definedName>
    <definedName name="____MIX2540" localSheetId="24">#REF!</definedName>
    <definedName name="____MIX2540">#REF!</definedName>
    <definedName name="____Mix255" localSheetId="6">#REF!</definedName>
    <definedName name="____Mix255" localSheetId="27">#REF!</definedName>
    <definedName name="____Mix255" localSheetId="4">#REF!</definedName>
    <definedName name="____Mix255" localSheetId="32">#REF!</definedName>
    <definedName name="____Mix255" localSheetId="24">#REF!</definedName>
    <definedName name="____Mix255">#REF!</definedName>
    <definedName name="____mix30">350/50</definedName>
    <definedName name="____mix40">450/50</definedName>
    <definedName name="____ml3" localSheetId="12">#REF!</definedName>
    <definedName name="____ml3" localSheetId="27">#REF!</definedName>
    <definedName name="____ml3" localSheetId="4">#REF!</definedName>
    <definedName name="____ml3" localSheetId="32">#REF!</definedName>
    <definedName name="____ml3">#REF!</definedName>
    <definedName name="____ml33" localSheetId="12">#REF!</definedName>
    <definedName name="____ml33" localSheetId="27">#REF!</definedName>
    <definedName name="____ml33" localSheetId="4">#REF!</definedName>
    <definedName name="____ml33" localSheetId="32">#REF!</definedName>
    <definedName name="____ml33">#REF!</definedName>
    <definedName name="____mlc33" localSheetId="12">#REF!</definedName>
    <definedName name="____mlc33" localSheetId="27">#REF!</definedName>
    <definedName name="____mlc33" localSheetId="4">#REF!</definedName>
    <definedName name="____mlc33" localSheetId="32">#REF!</definedName>
    <definedName name="____mlc33">#REF!</definedName>
    <definedName name="____mm1">#REF!</definedName>
    <definedName name="____mm2">#REF!</definedName>
    <definedName name="____mm3">#REF!</definedName>
    <definedName name="____MMB220">#REF!</definedName>
    <definedName name="____mnk1">#REF!</definedName>
    <definedName name="____Mzd1" localSheetId="6">#REF!</definedName>
    <definedName name="____Mzd1" localSheetId="27">#REF!</definedName>
    <definedName name="____Mzd1" localSheetId="4">#REF!</definedName>
    <definedName name="____Mzd1" localSheetId="32">#REF!</definedName>
    <definedName name="____Mzd1" localSheetId="24">#REF!</definedName>
    <definedName name="____Mzd1">#REF!</definedName>
    <definedName name="____new1">#REF!</definedName>
    <definedName name="____Nov2007" localSheetId="12" hidden="1">{"'PROFITABILITY'!$A$1:$F$45"}</definedName>
    <definedName name="____Nov2007" localSheetId="6" hidden="1">{"'PROFITABILITY'!$A$1:$F$45"}</definedName>
    <definedName name="____Nov2007" localSheetId="29" hidden="1">{"'PROFITABILITY'!$A$1:$F$45"}</definedName>
    <definedName name="____Nov2007" localSheetId="27" hidden="1">{"'PROFITABILITY'!$A$1:$F$45"}</definedName>
    <definedName name="____Nov2007" localSheetId="4" hidden="1">{"'PROFITABILITY'!$A$1:$F$45"}</definedName>
    <definedName name="____Nov2007" localSheetId="32" hidden="1">{"'PROFITABILITY'!$A$1:$F$45"}</definedName>
    <definedName name="____Nov2007" localSheetId="24" hidden="1">{"'PROFITABILITY'!$A$1:$F$45"}</definedName>
    <definedName name="____Nov2007" localSheetId="26" hidden="1">{"'PROFITABILITY'!$A$1:$F$45"}</definedName>
    <definedName name="____Nov2007" hidden="1">{"'PROFITABILITY'!$A$1:$F$45"}</definedName>
    <definedName name="____np3" localSheetId="6">#REF!</definedName>
    <definedName name="____np3" localSheetId="27">#REF!</definedName>
    <definedName name="____np3" localSheetId="4">#REF!</definedName>
    <definedName name="____np3" localSheetId="32">#REF!</definedName>
    <definedName name="____np3" localSheetId="24">#REF!</definedName>
    <definedName name="____np3">#REF!</definedName>
    <definedName name="____nt75">#REF!</definedName>
    <definedName name="____OP2" localSheetId="6">#REF!</definedName>
    <definedName name="____OP2" localSheetId="27">#REF!</definedName>
    <definedName name="____OP2" localSheetId="4">#REF!</definedName>
    <definedName name="____OP2" localSheetId="32">#REF!</definedName>
    <definedName name="____OP2" localSheetId="24">#REF!</definedName>
    <definedName name="____OP2">#REF!</definedName>
    <definedName name="____OPT8">#N/A</definedName>
    <definedName name="____OPT9">#N/A</definedName>
    <definedName name="____out2">#REF!</definedName>
    <definedName name="____pan1">#REF!</definedName>
    <definedName name="____PAN2">#REF!</definedName>
    <definedName name="____PB1">#REF!</definedName>
    <definedName name="____pcc1">#REF!</definedName>
    <definedName name="____pcc2">#REF!</definedName>
    <definedName name="____pcc3">#REF!</definedName>
    <definedName name="____PCC4">#REF!</definedName>
    <definedName name="____pep99">#REF!</definedName>
    <definedName name="____pfi1" localSheetId="12">#REF!</definedName>
    <definedName name="____pfi1">#REF!</definedName>
    <definedName name="____plb1">#REF!</definedName>
    <definedName name="____plb2">#REF!</definedName>
    <definedName name="____plb3">#REF!</definedName>
    <definedName name="____plb4">#REF!</definedName>
    <definedName name="____PLC220" localSheetId="29">#REF!</definedName>
    <definedName name="____PLC220" localSheetId="24">#REF!</definedName>
    <definedName name="____PLC220" localSheetId="26">#REF!</definedName>
    <definedName name="____PLC220">#REF!</definedName>
    <definedName name="____PM123" localSheetId="12" hidden="1">{"'Sheet1'!$A$4386:$N$4591"}</definedName>
    <definedName name="____PM123" hidden="1">{"'Sheet1'!$A$4386:$N$4591"}</definedName>
    <definedName name="____pp1" localSheetId="12">#REF!</definedName>
    <definedName name="____pp1">#REF!</definedName>
    <definedName name="____pp2" localSheetId="12">#REF!</definedName>
    <definedName name="____pp2">#REF!</definedName>
    <definedName name="____RAC1">#REF!</definedName>
    <definedName name="____rcu2">#REF!</definedName>
    <definedName name="____Re1">#REF!</definedName>
    <definedName name="____RE220" localSheetId="29">#REF!</definedName>
    <definedName name="____RE220" localSheetId="26">#REF!</definedName>
    <definedName name="____RE220">#REF!</definedName>
    <definedName name="____RE500">#REF!</definedName>
    <definedName name="____Rl1">#REF!</definedName>
    <definedName name="____rs1" localSheetId="12">#REF!</definedName>
    <definedName name="____rs1">#REF!</definedName>
    <definedName name="____rt1">#REF!</definedName>
    <definedName name="____rt2">#REF!</definedName>
    <definedName name="____rt3">#REF!</definedName>
    <definedName name="____run1">#REF!</definedName>
    <definedName name="____run2">#REF!</definedName>
    <definedName name="____run3">#REF!</definedName>
    <definedName name="____s41" localSheetId="12" hidden="1">{"form-D1",#N/A,FALSE,"FORM-D1";"form-D1_amt",#N/A,FALSE,"FORM-D1"}</definedName>
    <definedName name="____s41" hidden="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01" localSheetId="12">#REF!</definedName>
    <definedName name="____SC01">#REF!</definedName>
    <definedName name="____SC02" localSheetId="12">#REF!</definedName>
    <definedName name="____SC02">#REF!</definedName>
    <definedName name="____SC03" localSheetId="12">#REF!</definedName>
    <definedName name="____SC03">#REF!</definedName>
    <definedName name="____SC04" localSheetId="12">#REF!</definedName>
    <definedName name="____SC04">#REF!</definedName>
    <definedName name="____SC05" localSheetId="12">#REF!</definedName>
    <definedName name="____SC05">#REF!</definedName>
    <definedName name="____SC06" localSheetId="12">#REF!</definedName>
    <definedName name="____SC06">#REF!</definedName>
    <definedName name="____SC11" localSheetId="12">#REF!</definedName>
    <definedName name="____SC11">#REF!</definedName>
    <definedName name="____SC12" localSheetId="12">#REF!</definedName>
    <definedName name="____SC12">#REF!</definedName>
    <definedName name="____SC13" localSheetId="12">#REF!</definedName>
    <definedName name="____SC13">#REF!</definedName>
    <definedName name="____SC21" localSheetId="12">#REF!</definedName>
    <definedName name="____SC21">#REF!</definedName>
    <definedName name="____SC22" localSheetId="12">#REF!</definedName>
    <definedName name="____SC22">#REF!</definedName>
    <definedName name="____SC23" localSheetId="12">#REF!</definedName>
    <definedName name="____SC23">#REF!</definedName>
    <definedName name="____SC24" localSheetId="12">#REF!</definedName>
    <definedName name="____SC24">#REF!</definedName>
    <definedName name="____SC25" localSheetId="12">#REF!</definedName>
    <definedName name="____SC25">#REF!</definedName>
    <definedName name="____SC26" localSheetId="12">#REF!</definedName>
    <definedName name="____SC26">#REF!</definedName>
    <definedName name="____sch2">#REF!</definedName>
    <definedName name="____sch9">#REF!</definedName>
    <definedName name="____sdf1" localSheetId="12">#REF!</definedName>
    <definedName name="____sdf1">#REF!</definedName>
    <definedName name="____SDF2">#REF!</definedName>
    <definedName name="____sh1">90</definedName>
    <definedName name="____sh2">120</definedName>
    <definedName name="____sh3">150</definedName>
    <definedName name="____sh4">180</definedName>
    <definedName name="____sit75">#REF!</definedName>
    <definedName name="____SS402">#REF!</definedName>
    <definedName name="____SS403">#REF!</definedName>
    <definedName name="____SS404">#REF!</definedName>
    <definedName name="____SS405">#REF!</definedName>
    <definedName name="____SS406">#REF!</definedName>
    <definedName name="____SS407">#REF!</definedName>
    <definedName name="____SS408">#REF!</definedName>
    <definedName name="____SS409">#REF!</definedName>
    <definedName name="____SS423">#REF!</definedName>
    <definedName name="____SS424">#REF!</definedName>
    <definedName name="____tab1" localSheetId="27">#REF!</definedName>
    <definedName name="____tab1" localSheetId="4">#REF!</definedName>
    <definedName name="____tab1" localSheetId="32">#REF!</definedName>
    <definedName name="____tab1">#REF!</definedName>
    <definedName name="____tab2" localSheetId="27">#REF!</definedName>
    <definedName name="____tab2">#REF!</definedName>
    <definedName name="____TB2" localSheetId="6">#REF!</definedName>
    <definedName name="____TB2" localSheetId="27">#REF!</definedName>
    <definedName name="____TB2" localSheetId="4">#REF!</definedName>
    <definedName name="____TB2" localSheetId="32">#REF!</definedName>
    <definedName name="____TB2" localSheetId="24">#REF!</definedName>
    <definedName name="____TB2">#REF!</definedName>
    <definedName name="____TER1">#REF!</definedName>
    <definedName name="____tf1" localSheetId="6">#REF!</definedName>
    <definedName name="____tf1" localSheetId="27">#REF!</definedName>
    <definedName name="____tf1" localSheetId="4">#REF!</definedName>
    <definedName name="____tf1" localSheetId="32">#REF!</definedName>
    <definedName name="____tf1" localSheetId="24">#REF!</definedName>
    <definedName name="____tf1">#REF!</definedName>
    <definedName name="____tf2" localSheetId="6">#REF!</definedName>
    <definedName name="____tf2" localSheetId="27">#REF!</definedName>
    <definedName name="____tf2" localSheetId="4">#REF!</definedName>
    <definedName name="____tf2" localSheetId="32">#REF!</definedName>
    <definedName name="____tf2" localSheetId="24">#REF!</definedName>
    <definedName name="____tf2">#REF!</definedName>
    <definedName name="____tf3" localSheetId="6">#REF!</definedName>
    <definedName name="____tf3" localSheetId="27">#REF!</definedName>
    <definedName name="____tf3" localSheetId="4">#REF!</definedName>
    <definedName name="____tf3" localSheetId="32">#REF!</definedName>
    <definedName name="____tf3" localSheetId="24">#REF!</definedName>
    <definedName name="____tf3">#REF!</definedName>
    <definedName name="____tf4" localSheetId="6">#REF!</definedName>
    <definedName name="____tf4" localSheetId="27">#REF!</definedName>
    <definedName name="____tf4" localSheetId="4">#REF!</definedName>
    <definedName name="____tf4" localSheetId="32">#REF!</definedName>
    <definedName name="____tf4" localSheetId="24">#REF!</definedName>
    <definedName name="____tf4">#REF!</definedName>
    <definedName name="____tfd1" localSheetId="6">#REF!</definedName>
    <definedName name="____tfd1" localSheetId="27">#REF!</definedName>
    <definedName name="____tfd1" localSheetId="4">#REF!</definedName>
    <definedName name="____tfd1" localSheetId="32">#REF!</definedName>
    <definedName name="____tfd1" localSheetId="24">#REF!</definedName>
    <definedName name="____tfd1">#REF!</definedName>
    <definedName name="____tfd2" localSheetId="6">#REF!</definedName>
    <definedName name="____tfd2" localSheetId="27">#REF!</definedName>
    <definedName name="____tfd2" localSheetId="4">#REF!</definedName>
    <definedName name="____tfd2" localSheetId="32">#REF!</definedName>
    <definedName name="____tfd2" localSheetId="24">#REF!</definedName>
    <definedName name="____tfd2">#REF!</definedName>
    <definedName name="____tfd3" localSheetId="6">#REF!</definedName>
    <definedName name="____tfd3" localSheetId="27">#REF!</definedName>
    <definedName name="____tfd3" localSheetId="4">#REF!</definedName>
    <definedName name="____tfd3" localSheetId="32">#REF!</definedName>
    <definedName name="____tfd3" localSheetId="24">#REF!</definedName>
    <definedName name="____tfd3">#REF!</definedName>
    <definedName name="____tfd4" localSheetId="6">#REF!</definedName>
    <definedName name="____tfd4" localSheetId="27">#REF!</definedName>
    <definedName name="____tfd4" localSheetId="4">#REF!</definedName>
    <definedName name="____tfd4" localSheetId="32">#REF!</definedName>
    <definedName name="____tfd4" localSheetId="24">#REF!</definedName>
    <definedName name="____tfd4">#REF!</definedName>
    <definedName name="____Tk1">#REF!</definedName>
    <definedName name="____Tk11">#REF!</definedName>
    <definedName name="____Tk2" localSheetId="24">#REF!</definedName>
    <definedName name="____Tk2">#REF!</definedName>
    <definedName name="____Tkl1">#REF!</definedName>
    <definedName name="____tl1">#REF!</definedName>
    <definedName name="____tl2">#REF!</definedName>
    <definedName name="____tr1" localSheetId="6">#REF!</definedName>
    <definedName name="____tr1" localSheetId="27">#REF!</definedName>
    <definedName name="____tr1" localSheetId="4">#REF!</definedName>
    <definedName name="____tr1" localSheetId="32">#REF!</definedName>
    <definedName name="____tr1" localSheetId="24">#REF!</definedName>
    <definedName name="____tr1">#REF!</definedName>
    <definedName name="____tr2" localSheetId="6">#REF!</definedName>
    <definedName name="____tr2" localSheetId="27">#REF!</definedName>
    <definedName name="____tr2" localSheetId="4">#REF!</definedName>
    <definedName name="____tr2" localSheetId="32">#REF!</definedName>
    <definedName name="____tr2" localSheetId="24">#REF!</definedName>
    <definedName name="____tr2">#REF!</definedName>
    <definedName name="____TR220" localSheetId="29">#REF!</definedName>
    <definedName name="____TR220" localSheetId="24">#REF!</definedName>
    <definedName name="____TR220" localSheetId="26">#REF!</definedName>
    <definedName name="____TR220">#REF!</definedName>
    <definedName name="____tr3" localSheetId="6">#REF!</definedName>
    <definedName name="____tr3" localSheetId="27">#REF!</definedName>
    <definedName name="____tr3" localSheetId="4">#REF!</definedName>
    <definedName name="____tr3" localSheetId="32">#REF!</definedName>
    <definedName name="____tr3" localSheetId="24">#REF!</definedName>
    <definedName name="____tr3">#REF!</definedName>
    <definedName name="____TR500" localSheetId="29">#REF!</definedName>
    <definedName name="____TR500" localSheetId="24">#REF!</definedName>
    <definedName name="____TR500" localSheetId="26">#REF!</definedName>
    <definedName name="____TR500">#REF!</definedName>
    <definedName name="____tr75">#REF!</definedName>
    <definedName name="____trd1" localSheetId="6">#REF!</definedName>
    <definedName name="____trd1" localSheetId="27">#REF!</definedName>
    <definedName name="____trd1" localSheetId="4">#REF!</definedName>
    <definedName name="____trd1" localSheetId="32">#REF!</definedName>
    <definedName name="____trd1" localSheetId="24">#REF!</definedName>
    <definedName name="____trd1">#REF!</definedName>
    <definedName name="____trd2" localSheetId="6">#REF!</definedName>
    <definedName name="____trd2" localSheetId="27">#REF!</definedName>
    <definedName name="____trd2" localSheetId="4">#REF!</definedName>
    <definedName name="____trd2" localSheetId="32">#REF!</definedName>
    <definedName name="____trd2" localSheetId="24">#REF!</definedName>
    <definedName name="____trd2">#REF!</definedName>
    <definedName name="____trd3" localSheetId="6">#REF!</definedName>
    <definedName name="____trd3" localSheetId="27">#REF!</definedName>
    <definedName name="____trd3" localSheetId="4">#REF!</definedName>
    <definedName name="____trd3" localSheetId="32">#REF!</definedName>
    <definedName name="____trd3" localSheetId="24">#REF!</definedName>
    <definedName name="____trd3">#REF!</definedName>
    <definedName name="____trt75">#REF!</definedName>
    <definedName name="____tt75">#REF!</definedName>
    <definedName name="____Vf1">#REF!</definedName>
    <definedName name="____Vf2">#REF!</definedName>
    <definedName name="____vr1" localSheetId="24">#REF!</definedName>
    <definedName name="____vr1">#REF!</definedName>
    <definedName name="____VS2004" localSheetId="29" hidden="1">#REF!</definedName>
    <definedName name="____VS2004" localSheetId="26" hidden="1">#REF!</definedName>
    <definedName name="____VS2004" hidden="1">#REF!</definedName>
    <definedName name="____Wc1">#REF!</definedName>
    <definedName name="____WC3">#REF!</definedName>
    <definedName name="____WD2" localSheetId="6">#REF!</definedName>
    <definedName name="____WD2" localSheetId="27">#REF!</definedName>
    <definedName name="____WD2" localSheetId="4">#REF!</definedName>
    <definedName name="____WD2" localSheetId="32">#REF!</definedName>
    <definedName name="____WD2" localSheetId="24">#REF!</definedName>
    <definedName name="____WD2">#REF!</definedName>
    <definedName name="____wp1" localSheetId="24">#REF!</definedName>
    <definedName name="____wp1">#REF!</definedName>
    <definedName name="____Wr1" localSheetId="24">#REF!</definedName>
    <definedName name="____Wr1">#REF!</definedName>
    <definedName name="____Wr3">#REF!</definedName>
    <definedName name="____Xl1">#REF!</definedName>
    <definedName name="____xlcn.WorksheetConnection_InfoEntryA2D32" localSheetId="6" hidden="1">#REF!</definedName>
    <definedName name="____xlcn.WorksheetConnection_InfoEntryA2D32" localSheetId="27" hidden="1">#REF!</definedName>
    <definedName name="____xlcn.WorksheetConnection_InfoEntryA2D32" localSheetId="4" hidden="1">#REF!</definedName>
    <definedName name="____xlcn.WorksheetConnection_InfoEntryA2D32" localSheetId="32" hidden="1">#REF!</definedName>
    <definedName name="____xlcn.WorksheetConnection_InfoEntryA2D32" localSheetId="24" hidden="1">#REF!</definedName>
    <definedName name="____xlcn.WorksheetConnection_InfoEntryA2D32" hidden="1">#REF!</definedName>
    <definedName name="____xlnm._FilterDatabase" localSheetId="29">#REF!</definedName>
    <definedName name="____xlnm._FilterDatabase" localSheetId="24">#REF!</definedName>
    <definedName name="____xlnm._FilterDatabase" localSheetId="26">#REF!</definedName>
    <definedName name="____xlnm._FilterDatabase">#REF!</definedName>
    <definedName name="____xlnm._FilterDatabase_1" localSheetId="29">#REF!</definedName>
    <definedName name="____xlnm._FilterDatabase_1" localSheetId="26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#N/A</definedName>
    <definedName name="____xlnm.Print_Area" localSheetId="6">#REF!</definedName>
    <definedName name="____xlnm.Print_Area" localSheetId="29">#REF!</definedName>
    <definedName name="____xlnm.Print_Area" localSheetId="24">#REF!</definedName>
    <definedName name="____xlnm.Print_Area" localSheetId="26">#REF!</definedName>
    <definedName name="____xlnm.Print_Area">#REF!</definedName>
    <definedName name="____xlnm.Print_Area_1" localSheetId="6">#REF!</definedName>
    <definedName name="____xlnm.Print_Area_1" localSheetId="29">#REF!</definedName>
    <definedName name="____xlnm.Print_Area_1" localSheetId="26">#REF!</definedName>
    <definedName name="____xlnm.Print_Area_1">#REF!</definedName>
    <definedName name="____xlnm.Print_Area_1_1">"#REF!"</definedName>
    <definedName name="____xlnm.Print_Area_1_2">"#REF!"</definedName>
    <definedName name="____xlnm.Print_Area_10" localSheetId="6">#REF!</definedName>
    <definedName name="____xlnm.Print_Area_10" localSheetId="29">#REF!</definedName>
    <definedName name="____xlnm.Print_Area_10" localSheetId="24">#REF!</definedName>
    <definedName name="____xlnm.Print_Area_10" localSheetId="26">#REF!</definedName>
    <definedName name="____xlnm.Print_Area_10">#REF!</definedName>
    <definedName name="____xlnm.Print_Area_10_1">"#REF!"</definedName>
    <definedName name="____xlnm.Print_Area_11" localSheetId="6">#REF!</definedName>
    <definedName name="____xlnm.Print_Area_11" localSheetId="29">#REF!</definedName>
    <definedName name="____xlnm.Print_Area_11" localSheetId="24">#REF!</definedName>
    <definedName name="____xlnm.Print_Area_11" localSheetId="26">#REF!</definedName>
    <definedName name="____xlnm.Print_Area_11">#REF!</definedName>
    <definedName name="____xlnm.Print_Area_13" localSheetId="6">#REF!</definedName>
    <definedName name="____xlnm.Print_Area_13">#REF!</definedName>
    <definedName name="____xlnm.Print_Area_2" localSheetId="29">#REF!</definedName>
    <definedName name="____xlnm.Print_Area_2" localSheetId="26">#REF!</definedName>
    <definedName name="____xlnm.Print_Area_2">#REF!</definedName>
    <definedName name="____xlnm.Print_Area_3" localSheetId="29">#REF!</definedName>
    <definedName name="____xlnm.Print_Area_3" localSheetId="26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 localSheetId="29">#REF!</definedName>
    <definedName name="____xlnm.Print_Titles_1" localSheetId="26">#REF!</definedName>
    <definedName name="____xlnm.Print_Titles_1">#REF!</definedName>
    <definedName name="____xlnm.Print_Titles_2" localSheetId="6">(#REF!,#REF!)</definedName>
    <definedName name="____xlnm.Print_Titles_2" localSheetId="27">(#REF!,#REF!)</definedName>
    <definedName name="____xlnm.Print_Titles_2">(#REF!,#REF!)</definedName>
    <definedName name="____xlnm.Print_Titles_3" localSheetId="6">(#REF!,#REF!)</definedName>
    <definedName name="____xlnm.Print_Titles_3" localSheetId="29">(#REF!,#REF!)</definedName>
    <definedName name="____xlnm.Print_Titles_3" localSheetId="26">(#REF!,#REF!)</definedName>
    <definedName name="____xlnm.Print_Titles_3">(#REF!,#REF!)</definedName>
    <definedName name="____xlnm.Print_Titles_4" localSheetId="6">#REF!</definedName>
    <definedName name="____xlnm.Print_Titles_4" localSheetId="29">#REF!</definedName>
    <definedName name="____xlnm.Print_Titles_4" localSheetId="24">#REF!</definedName>
    <definedName name="____xlnm.Print_Titles_4" localSheetId="26">#REF!</definedName>
    <definedName name="____xlnm.Print_Titles_4">#REF!</definedName>
    <definedName name="____xlnm.Print_Titles_7" localSheetId="6">#REF!</definedName>
    <definedName name="____xlnm.Print_Titles_7">#REF!</definedName>
    <definedName name="____ZS1">#REF!</definedName>
    <definedName name="____ZS2">#REF!</definedName>
    <definedName name="___1____123Graph_ACHART_1" localSheetId="6" hidden="1">#REF!</definedName>
    <definedName name="___1____123Graph_ACHART_1" hidden="1">#REF!</definedName>
    <definedName name="___1__123Graph_ACHART_1" hidden="1">#REF!</definedName>
    <definedName name="___1_3_1_1">#REF!</definedName>
    <definedName name="___10_s_1_1">#REF!</definedName>
    <definedName name="___11_Z_1_1">#REF!</definedName>
    <definedName name="___12Excel_BuiltIn_Print_Area_1_1">#REF!</definedName>
    <definedName name="___13Excel_BuiltIn_Print_Area_1_2">#REF!</definedName>
    <definedName name="___18__123Graph_CCHART_1" hidden="1">#REF!</definedName>
    <definedName name="___2____123Graph_BCHART_1" hidden="1">#REF!</definedName>
    <definedName name="___2__123Graph_BCHART_1" hidden="1">#REF!</definedName>
    <definedName name="___2_4_1_1">#REF!</definedName>
    <definedName name="___3____123Graph_CCHART_1" hidden="1">#REF!</definedName>
    <definedName name="___3__123Graph_CCHART_1" hidden="1">#REF!</definedName>
    <definedName name="___3_A_1_1">#REF!</definedName>
    <definedName name="___4___123Graph_ACHART_1" hidden="1">#REF!</definedName>
    <definedName name="___4_a1_1_1">#REF!</definedName>
    <definedName name="___5___123Graph_BCHART_1" hidden="1">#REF!</definedName>
    <definedName name="___5_a1_1_1_1">#REF!</definedName>
    <definedName name="___6___123Graph_CCHART_1" hidden="1">#REF!</definedName>
    <definedName name="___6_C_1_1">#REF!</definedName>
    <definedName name="___7__123Graph_ACHART_1" hidden="1">#REF!</definedName>
    <definedName name="___7_E_1_1">#REF!</definedName>
    <definedName name="___8__123Graph_BCHART_1" hidden="1">#REF!</definedName>
    <definedName name="___8_F_1_1">#REF!</definedName>
    <definedName name="___9__123Graph_CCHART_1" hidden="1">#REF!</definedName>
    <definedName name="___9_Q_1_1">#REF!</definedName>
    <definedName name="___A1">#REF!</definedName>
    <definedName name="___a1_1">#REF!</definedName>
    <definedName name="___A10">#REF!</definedName>
    <definedName name="___A13">#REF!</definedName>
    <definedName name="___A2">#REF!</definedName>
    <definedName name="___A3">#REF!</definedName>
    <definedName name="___A4">#REF!</definedName>
    <definedName name="___A5">#REF!</definedName>
    <definedName name="___A6">#REF!</definedName>
    <definedName name="___A65537">#REF!</definedName>
    <definedName name="___A655600">#REF!</definedName>
    <definedName name="___a655601">#REF!</definedName>
    <definedName name="___A7">#REF!</definedName>
    <definedName name="___A71614">#REF!</definedName>
    <definedName name="___A8">#REF!</definedName>
    <definedName name="___A81614">#REF!</definedName>
    <definedName name="___A9">#REF!</definedName>
    <definedName name="___A91614">#REF!</definedName>
    <definedName name="___a999999">#REF!</definedName>
    <definedName name="___aa1" localSheetId="12" hidden="1">{"'PROFITABILITY'!$A$1:$F$45"}</definedName>
    <definedName name="___aa1" localSheetId="6" hidden="1">{"'PROFITABILITY'!$A$1:$F$45"}</definedName>
    <definedName name="___aa1" localSheetId="29" hidden="1">{"'PROFITABILITY'!$A$1:$F$45"}</definedName>
    <definedName name="___aa1" localSheetId="27" hidden="1">{"'PROFITABILITY'!$A$1:$F$45"}</definedName>
    <definedName name="___aa1" localSheetId="4" hidden="1">{"'PROFITABILITY'!$A$1:$F$45"}</definedName>
    <definedName name="___aa1" localSheetId="32" hidden="1">{"'PROFITABILITY'!$A$1:$F$45"}</definedName>
    <definedName name="___aa1" localSheetId="24" hidden="1">{"'PROFITABILITY'!$A$1:$F$45"}</definedName>
    <definedName name="___aa1" localSheetId="26" hidden="1">{"'PROFITABILITY'!$A$1:$F$45"}</definedName>
    <definedName name="___aa1" hidden="1">{"'PROFITABILITY'!$A$1:$F$45"}</definedName>
    <definedName name="___aba2">#REF!</definedName>
    <definedName name="___acs1">#REF!</definedName>
    <definedName name="___acs2">#REF!</definedName>
    <definedName name="___AHP1">#N/A</definedName>
    <definedName name="___aoc1" localSheetId="12">#REF!</definedName>
    <definedName name="___aoc1">#REF!</definedName>
    <definedName name="___aoc2" localSheetId="12">#REF!</definedName>
    <definedName name="___aoc2">#REF!</definedName>
    <definedName name="___aoc3" localSheetId="12">#REF!</definedName>
    <definedName name="___aoc3">#REF!</definedName>
    <definedName name="___aoc4" localSheetId="12">#REF!</definedName>
    <definedName name="___aoc4">#REF!</definedName>
    <definedName name="___axx1" localSheetId="12">#REF!</definedName>
    <definedName name="___axx1">#REF!</definedName>
    <definedName name="___axx2" localSheetId="12">#REF!</definedName>
    <definedName name="___axx2">#REF!</definedName>
    <definedName name="___axx3" localSheetId="12">#REF!</definedName>
    <definedName name="___axx3">#REF!</definedName>
    <definedName name="___AXX4" localSheetId="12">#REF!</definedName>
    <definedName name="___AXX4" localSheetId="4">#REF!</definedName>
    <definedName name="___AXX4" localSheetId="32">#REF!</definedName>
    <definedName name="___AXX4">#REF!</definedName>
    <definedName name="___axx5" localSheetId="12">#REF!</definedName>
    <definedName name="___axx5" localSheetId="4">#REF!</definedName>
    <definedName name="___axx5" localSheetId="32">#REF!</definedName>
    <definedName name="___axx5">#REF!</definedName>
    <definedName name="___axx6" localSheetId="12">#REF!</definedName>
    <definedName name="___axx6" localSheetId="4">#REF!</definedName>
    <definedName name="___axx6" localSheetId="32">#REF!</definedName>
    <definedName name="___axx6">#REF!</definedName>
    <definedName name="___AXX7" localSheetId="12">#REF!</definedName>
    <definedName name="___AXX7" localSheetId="4">#REF!</definedName>
    <definedName name="___AXX7" localSheetId="32">#REF!</definedName>
    <definedName name="___AXX7">#REF!</definedName>
    <definedName name="___axx8" localSheetId="12">#REF!</definedName>
    <definedName name="___axx8" localSheetId="4">#REF!</definedName>
    <definedName name="___axx8" localSheetId="32">#REF!</definedName>
    <definedName name="___axx8">#REF!</definedName>
    <definedName name="___b1">#REF!</definedName>
    <definedName name="___b1_1">#REF!</definedName>
    <definedName name="___b111121" localSheetId="12">#REF!</definedName>
    <definedName name="___b111121" localSheetId="4">#REF!</definedName>
    <definedName name="___b111121" localSheetId="32">#REF!</definedName>
    <definedName name="___b111121">#REF!</definedName>
    <definedName name="___B18000">#REF!</definedName>
    <definedName name="___B30000">#REF!</definedName>
    <definedName name="___B32000">#REF!</definedName>
    <definedName name="___BAA1">#REF!</definedName>
    <definedName name="___bct75">#REF!</definedName>
    <definedName name="___bhh2">#REF!</definedName>
    <definedName name="___BLK2" localSheetId="6">#REF!</definedName>
    <definedName name="___BLK2" localSheetId="27">#REF!</definedName>
    <definedName name="___BLK2" localSheetId="4">#REF!</definedName>
    <definedName name="___BLK2" localSheetId="32">#REF!</definedName>
    <definedName name="___BLK2" localSheetId="24">#REF!</definedName>
    <definedName name="___BLK2">#REF!</definedName>
    <definedName name="___BLK3" localSheetId="6">#REF!</definedName>
    <definedName name="___BLK3" localSheetId="27">#REF!</definedName>
    <definedName name="___BLK3" localSheetId="4">#REF!</definedName>
    <definedName name="___BLK3" localSheetId="32">#REF!</definedName>
    <definedName name="___BLK3" localSheetId="24">#REF!</definedName>
    <definedName name="___BLK3">#REF!</definedName>
    <definedName name="___bom1">#REF!</definedName>
    <definedName name="___BOQ35">#REF!</definedName>
    <definedName name="___BoQ4">#REF!</definedName>
    <definedName name="___BoQ5">#REF!</definedName>
    <definedName name="___BOQ6">#REF!</definedName>
    <definedName name="___BoQ7">#REF!</definedName>
    <definedName name="___BoQ9">#REF!</definedName>
    <definedName name="___buh11">#REF!</definedName>
    <definedName name="___CAN112">13.42</definedName>
    <definedName name="___CAN113">12.98</definedName>
    <definedName name="___CAN117">12.7</definedName>
    <definedName name="___CAN118">13.27</definedName>
    <definedName name="___CAN120">11.72</definedName>
    <definedName name="___CAN2">#N/A</definedName>
    <definedName name="___CAN210">10.38</definedName>
    <definedName name="___CAN211">10.58</definedName>
    <definedName name="___CAN213">10.56</definedName>
    <definedName name="___CAN215">10.22</definedName>
    <definedName name="___CAN216">9.61</definedName>
    <definedName name="___CAN217">10.47</definedName>
    <definedName name="___CAN219">10.91</definedName>
    <definedName name="___CAN220">11.09</definedName>
    <definedName name="___CAN221">11.25</definedName>
    <definedName name="___CAN222">10.17</definedName>
    <definedName name="___CAN223">9.89</definedName>
    <definedName name="___CAN230">10.79</definedName>
    <definedName name="___can421">40.2</definedName>
    <definedName name="___can422">41.57</definedName>
    <definedName name="___can423">43.9</definedName>
    <definedName name="___can424">41.19</definedName>
    <definedName name="___can425">42.81</definedName>
    <definedName name="___can426">40.77</definedName>
    <definedName name="___can427">40.92</definedName>
    <definedName name="___can428">39.29</definedName>
    <definedName name="___can429">45.19</definedName>
    <definedName name="___can430">40.73</definedName>
    <definedName name="___can431">42.52</definedName>
    <definedName name="___can432">42.53</definedName>
    <definedName name="___can433">43.69</definedName>
    <definedName name="___can434">40.43</definedName>
    <definedName name="___can435">43.3</definedName>
    <definedName name="___CAN9">#N/A</definedName>
    <definedName name="___CBR220" localSheetId="6">#REF!</definedName>
    <definedName name="___CBR220" localSheetId="29">#REF!</definedName>
    <definedName name="___CBR220" localSheetId="24">#REF!</definedName>
    <definedName name="___CBR220" localSheetId="26">#REF!</definedName>
    <definedName name="___CBR220">#REF!</definedName>
    <definedName name="___CBR500" localSheetId="6">#REF!</definedName>
    <definedName name="___CBR500" localSheetId="29">#REF!</definedName>
    <definedName name="___CBR500" localSheetId="26">#REF!</definedName>
    <definedName name="___CBR500">#REF!</definedName>
    <definedName name="___CCT220">#REF!</definedName>
    <definedName name="___cdd2">#REF!</definedName>
    <definedName name="___cem124" localSheetId="12">#REF!</definedName>
    <definedName name="___cem124" localSheetId="6">#REF!</definedName>
    <definedName name="___cem124" localSheetId="29">#REF!</definedName>
    <definedName name="___cem124" localSheetId="4">#REF!</definedName>
    <definedName name="___cem124" localSheetId="32">#REF!</definedName>
    <definedName name="___cem124" localSheetId="24">#REF!</definedName>
    <definedName name="___cem124" localSheetId="26">#REF!</definedName>
    <definedName name="___cem124">#REF!</definedName>
    <definedName name="___CFB1">#REF!</definedName>
    <definedName name="___CFB2">#REF!</definedName>
    <definedName name="___CFB3">#REF!</definedName>
    <definedName name="___cff2" localSheetId="24">#REF!</definedName>
    <definedName name="___cff2">#REF!</definedName>
    <definedName name="___cli1" localSheetId="12">#REF!</definedName>
    <definedName name="___cli1">#REF!</definedName>
    <definedName name="___cli2" localSheetId="12">#REF!</definedName>
    <definedName name="___cli2">#REF!</definedName>
    <definedName name="___cli3" localSheetId="12">#REF!</definedName>
    <definedName name="___cli3">#REF!</definedName>
    <definedName name="___cli4" localSheetId="12">#REF!</definedName>
    <definedName name="___cli4">#REF!</definedName>
    <definedName name="___cli5">#REF!</definedName>
    <definedName name="___col33" localSheetId="12">#REF!</definedName>
    <definedName name="___col33" localSheetId="4">#REF!</definedName>
    <definedName name="___col33" localSheetId="32">#REF!</definedName>
    <definedName name="___col33">#REF!</definedName>
    <definedName name="___cth2">#REF!</definedName>
    <definedName name="___CTR220" localSheetId="29">#REF!</definedName>
    <definedName name="___CTR220" localSheetId="26">#REF!</definedName>
    <definedName name="___CTR220">#REF!</definedName>
    <definedName name="___CTR500" localSheetId="29">#REF!</definedName>
    <definedName name="___CTR500" localSheetId="26">#REF!</definedName>
    <definedName name="___CTR500">#REF!</definedName>
    <definedName name="___CVT220">#REF!</definedName>
    <definedName name="___CVT500">#REF!</definedName>
    <definedName name="___d5">#N/A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ec05" localSheetId="12" hidden="1">{"'Sheet1'!$A$4386:$N$4591"}</definedName>
    <definedName name="___dec05" localSheetId="29" hidden="1">{"'Sheet1'!$A$4386:$N$4591"}</definedName>
    <definedName name="___dec05" localSheetId="27" hidden="1">{"'Sheet1'!$A$4386:$N$4591"}</definedName>
    <definedName name="___dec05" localSheetId="4" hidden="1">{"'Sheet1'!$A$4386:$N$4591"}</definedName>
    <definedName name="___dec05" localSheetId="32" hidden="1">{"'Sheet1'!$A$4386:$N$4591"}</definedName>
    <definedName name="___dec05" localSheetId="24" hidden="1">{"'Sheet1'!$A$4386:$N$4591"}</definedName>
    <definedName name="___dec05" localSheetId="26" hidden="1">{"'Sheet1'!$A$4386:$N$4591"}</definedName>
    <definedName name="___dec05" hidden="1">{"'Sheet1'!$A$4386:$N$4591"}</definedName>
    <definedName name="___del1">#REF!</definedName>
    <definedName name="___DET1" localSheetId="6">#REF!</definedName>
    <definedName name="___DET1" localSheetId="27">#REF!</definedName>
    <definedName name="___DET1" localSheetId="4">#REF!</definedName>
    <definedName name="___DET1" localSheetId="32">#REF!</definedName>
    <definedName name="___DET1" localSheetId="24">#REF!</definedName>
    <definedName name="___DET1">#REF!</definedName>
    <definedName name="___DET2">#REF!</definedName>
    <definedName name="___DET3">#REF!</definedName>
    <definedName name="___DET4">#REF!</definedName>
    <definedName name="___DET5">#REF!</definedName>
    <definedName name="___DET6">#REF!</definedName>
    <definedName name="___dev9947">#REF!</definedName>
    <definedName name="___dim4">#REF!</definedName>
    <definedName name="___DIS1" localSheetId="12">#REF!</definedName>
    <definedName name="___DIS1">#REF!</definedName>
    <definedName name="___DKT75">#REF!</definedName>
    <definedName name="___dol12" localSheetId="29">#REF!</definedName>
    <definedName name="___dol12" localSheetId="24">#REF!</definedName>
    <definedName name="___dol12" localSheetId="26">#REF!</definedName>
    <definedName name="___dol12">#REF!</definedName>
    <definedName name="___dol6" localSheetId="29">#REF!</definedName>
    <definedName name="___dol6" localSheetId="26">#REF!</definedName>
    <definedName name="___dol6">#REF!</definedName>
    <definedName name="___drg1">#REF!</definedName>
    <definedName name="___drg2">#REF!</definedName>
    <definedName name="___eth2">#REF!</definedName>
    <definedName name="___exc1">#REF!</definedName>
    <definedName name="___exc11">#REF!</definedName>
    <definedName name="___exc2">#REF!</definedName>
    <definedName name="___EXC3">#REF!</definedName>
    <definedName name="___EXC4">#REF!</definedName>
    <definedName name="___f1">#REF!</definedName>
    <definedName name="___FEL1" localSheetId="6">#REF!</definedName>
    <definedName name="___FEL1" localSheetId="27">#REF!</definedName>
    <definedName name="___FEL1" localSheetId="4">#REF!</definedName>
    <definedName name="___FEL1" localSheetId="32">#REF!</definedName>
    <definedName name="___FEL1" localSheetId="24">#REF!</definedName>
    <definedName name="___FEL1">#REF!</definedName>
    <definedName name="___foo1">#REF!</definedName>
    <definedName name="___foo2">#REF!</definedName>
    <definedName name="___foo3">#REF!</definedName>
    <definedName name="___FOO4">#REF!</definedName>
    <definedName name="___Fpi1" localSheetId="24">#REF!</definedName>
    <definedName name="___Fpi1">#REF!</definedName>
    <definedName name="___g1" localSheetId="12">#REF!</definedName>
    <definedName name="___g1" localSheetId="24">#REF!</definedName>
    <definedName name="___g1">#REF!</definedName>
    <definedName name="___g2">#REF!</definedName>
    <definedName name="___g2_1">#REF!</definedName>
    <definedName name="___GEL1" localSheetId="6">#REF!</definedName>
    <definedName name="___GEL1" localSheetId="27">#REF!</definedName>
    <definedName name="___GEL1" localSheetId="4">#REF!</definedName>
    <definedName name="___GEL1" localSheetId="32">#REF!</definedName>
    <definedName name="___GEL1" localSheetId="24">#REF!</definedName>
    <definedName name="___GEL1">#REF!</definedName>
    <definedName name="___hai1">#REF!</definedName>
    <definedName name="___hai2">#REF!</definedName>
    <definedName name="___HBG10" localSheetId="6">#REF!</definedName>
    <definedName name="___HBG10" localSheetId="27">#REF!</definedName>
    <definedName name="___HBG10" localSheetId="4">#REF!</definedName>
    <definedName name="___HBG10" localSheetId="32">#REF!</definedName>
    <definedName name="___HBG10" localSheetId="24">#REF!</definedName>
    <definedName name="___HBG10">#REF!</definedName>
    <definedName name="___HBG12" localSheetId="6">#REF!</definedName>
    <definedName name="___HBG12" localSheetId="27">#REF!</definedName>
    <definedName name="___HBG12" localSheetId="4">#REF!</definedName>
    <definedName name="___HBG12" localSheetId="32">#REF!</definedName>
    <definedName name="___HBG12" localSheetId="24">#REF!</definedName>
    <definedName name="___HBG12">#REF!</definedName>
    <definedName name="___HBG25" localSheetId="6">#REF!</definedName>
    <definedName name="___HBG25" localSheetId="27">#REF!</definedName>
    <definedName name="___HBG25" localSheetId="4">#REF!</definedName>
    <definedName name="___HBG25" localSheetId="32">#REF!</definedName>
    <definedName name="___HBG25" localSheetId="24">#REF!</definedName>
    <definedName name="___HBG25">#REF!</definedName>
    <definedName name="___HBG40" localSheetId="6">#REF!</definedName>
    <definedName name="___HBG40" localSheetId="27">#REF!</definedName>
    <definedName name="___HBG40" localSheetId="4">#REF!</definedName>
    <definedName name="___HBG40" localSheetId="32">#REF!</definedName>
    <definedName name="___HBG40" localSheetId="24">#REF!</definedName>
    <definedName name="___HBG40">#REF!</definedName>
    <definedName name="___HBG50" localSheetId="6">#REF!</definedName>
    <definedName name="___HBG50" localSheetId="27">#REF!</definedName>
    <definedName name="___HBG50" localSheetId="4">#REF!</definedName>
    <definedName name="___HBG50" localSheetId="32">#REF!</definedName>
    <definedName name="___HBG50" localSheetId="24">#REF!</definedName>
    <definedName name="___HBG50">#REF!</definedName>
    <definedName name="___HBG6" localSheetId="6">#REF!</definedName>
    <definedName name="___HBG6" localSheetId="27">#REF!</definedName>
    <definedName name="___HBG6" localSheetId="4">#REF!</definedName>
    <definedName name="___HBG6" localSheetId="32">#REF!</definedName>
    <definedName name="___HBG6" localSheetId="24">#REF!</definedName>
    <definedName name="___HBG6">#REF!</definedName>
    <definedName name="___HCO2" localSheetId="24">#REF!</definedName>
    <definedName name="___HCO2">#REF!</definedName>
    <definedName name="___hfi04">#REF!</definedName>
    <definedName name="___hfi1" localSheetId="12">#REF!</definedName>
    <definedName name="___hfi1">#REF!</definedName>
    <definedName name="___hfi2" localSheetId="12">#REF!</definedName>
    <definedName name="___hfi2" localSheetId="4">#REF!</definedName>
    <definedName name="___hfi2" localSheetId="32">#REF!</definedName>
    <definedName name="___hfi2" localSheetId="24">#REF!</definedName>
    <definedName name="___hfi2">#REF!</definedName>
    <definedName name="___hfi3" localSheetId="12">#REF!</definedName>
    <definedName name="___hfi3">#REF!</definedName>
    <definedName name="___hfi4" localSheetId="12">#REF!</definedName>
    <definedName name="___hfi4" localSheetId="4">#REF!</definedName>
    <definedName name="___hfi4" localSheetId="32">#REF!</definedName>
    <definedName name="___hfi4">#REF!</definedName>
    <definedName name="___hfi5" localSheetId="12">#REF!</definedName>
    <definedName name="___hfi5" localSheetId="4">#REF!</definedName>
    <definedName name="___hfi5" localSheetId="32">#REF!</definedName>
    <definedName name="___hfi5">#REF!</definedName>
    <definedName name="___hfi6" localSheetId="12">#REF!</definedName>
    <definedName name="___hfi6" localSheetId="4">#REF!</definedName>
    <definedName name="___hfi6" localSheetId="32">#REF!</definedName>
    <definedName name="___hfi6">#REF!</definedName>
    <definedName name="___HFI7" localSheetId="12">#REF!</definedName>
    <definedName name="___HFI7" localSheetId="4">#REF!</definedName>
    <definedName name="___HFI7" localSheetId="32">#REF!</definedName>
    <definedName name="___HFI7">#REF!</definedName>
    <definedName name="___hfi8" localSheetId="12">#REF!</definedName>
    <definedName name="___hfi8" localSheetId="4">#REF!</definedName>
    <definedName name="___hfi8" localSheetId="32">#REF!</definedName>
    <definedName name="___hfi8">#REF!</definedName>
    <definedName name="___Hra2">#REF!</definedName>
    <definedName name="___Hso2">#REF!</definedName>
    <definedName name="___Hso3">#REF!</definedName>
    <definedName name="___hxa1">#REF!</definedName>
    <definedName name="___hxa2">#REF!</definedName>
    <definedName name="___hxb1">#REF!</definedName>
    <definedName name="___hxb2">#REF!</definedName>
    <definedName name="___hxc1">#REF!</definedName>
    <definedName name="___hxc2">#REF!</definedName>
    <definedName name="___hxd1" localSheetId="12">#REF!</definedName>
    <definedName name="___hxd1">#REF!</definedName>
    <definedName name="___hxf1">#REF!</definedName>
    <definedName name="___IDA1" localSheetId="29">#REF!</definedName>
    <definedName name="___IDA1" localSheetId="26">#REF!</definedName>
    <definedName name="___IDA1">#REF!</definedName>
    <definedName name="___ifa1">#REF!</definedName>
    <definedName name="___ifa2">#REF!</definedName>
    <definedName name="___III7">"$C4.$#REF!$#REF!"</definedName>
    <definedName name="___in18900" localSheetId="29">#REF!</definedName>
    <definedName name="___in18900" localSheetId="26">#REF!</definedName>
    <definedName name="___in18900">#REF!</definedName>
    <definedName name="___INDEX_SHEET___ASAP_Utilities">#REF!</definedName>
    <definedName name="___INT1">#REF!</definedName>
    <definedName name="___Ism3" localSheetId="24">#REF!</definedName>
    <definedName name="___Ism3">#REF!</definedName>
    <definedName name="___ISO220">#REF!</definedName>
    <definedName name="___iv19000">#REF!</definedName>
    <definedName name="___kd1">#REF!</definedName>
    <definedName name="___kd2">#REF!</definedName>
    <definedName name="___kd3">#REF!</definedName>
    <definedName name="___KEY3" localSheetId="12" hidden="1">#REF!</definedName>
    <definedName name="___KEY3" hidden="1">#REF!</definedName>
    <definedName name="___Ki1" localSheetId="12">#REF!</definedName>
    <definedName name="___Ki1">#REF!</definedName>
    <definedName name="___Ki2" localSheetId="12">#REF!</definedName>
    <definedName name="___Ki2">#REF!</definedName>
    <definedName name="___LAR220">#REF!</definedName>
    <definedName name="___LAR500">#REF!</definedName>
    <definedName name="___lb1">#REF!</definedName>
    <definedName name="___lb2">#REF!</definedName>
    <definedName name="___LMH1">#REF!</definedName>
    <definedName name="___LMH2">#REF!</definedName>
    <definedName name="___ls1">#REF!</definedName>
    <definedName name="___ls2">#REF!</definedName>
    <definedName name="___ls3">#REF!</definedName>
    <definedName name="___ls4">#REF!</definedName>
    <definedName name="___LTR220">#REF!</definedName>
    <definedName name="___LTR500">#REF!</definedName>
    <definedName name="___lvl1">#REF!</definedName>
    <definedName name="___m20">#REF!</definedName>
    <definedName name="___m234" localSheetId="12">#REF!</definedName>
    <definedName name="___m234">#REF!</definedName>
    <definedName name="___m35">#REF!</definedName>
    <definedName name="___mac2">200</definedName>
    <definedName name="___MAN1">#REF!</definedName>
    <definedName name="___mcl132" localSheetId="12">#REF!</definedName>
    <definedName name="___mcl132" localSheetId="27">#REF!</definedName>
    <definedName name="___mcl132" localSheetId="4">#REF!</definedName>
    <definedName name="___mcl132" localSheetId="32">#REF!</definedName>
    <definedName name="___mcl132">#REF!</definedName>
    <definedName name="___MG1" localSheetId="6">#REF!</definedName>
    <definedName name="___MG1" localSheetId="27">#REF!</definedName>
    <definedName name="___MG1" localSheetId="4">#REF!</definedName>
    <definedName name="___MG1" localSheetId="32">#REF!</definedName>
    <definedName name="___MG1" localSheetId="24">#REF!</definedName>
    <definedName name="___MG1">#REF!</definedName>
    <definedName name="___mix10">4.5</definedName>
    <definedName name="___mix15">264/50</definedName>
    <definedName name="___MIX1540" localSheetId="6">#REF!</definedName>
    <definedName name="___MIX1540" localSheetId="27">#REF!</definedName>
    <definedName name="___MIX1540" localSheetId="4">#REF!</definedName>
    <definedName name="___MIX1540" localSheetId="32">#REF!</definedName>
    <definedName name="___MIX1540" localSheetId="24">#REF!</definedName>
    <definedName name="___MIX1540">#REF!</definedName>
    <definedName name="___MIX2" localSheetId="6">#REF!</definedName>
    <definedName name="___MIX2" localSheetId="27">#REF!</definedName>
    <definedName name="___MIX2" localSheetId="4">#REF!</definedName>
    <definedName name="___MIX2" localSheetId="32">#REF!</definedName>
    <definedName name="___MIX2" localSheetId="24">#REF!</definedName>
    <definedName name="___MIX2">#REF!</definedName>
    <definedName name="___mix20">330/50</definedName>
    <definedName name="___MIX2020" localSheetId="6">#REF!</definedName>
    <definedName name="___MIX2020" localSheetId="27">#REF!</definedName>
    <definedName name="___MIX2020" localSheetId="4">#REF!</definedName>
    <definedName name="___MIX2020" localSheetId="32">#REF!</definedName>
    <definedName name="___MIX2020" localSheetId="24">#REF!</definedName>
    <definedName name="___MIX2020">#REF!</definedName>
    <definedName name="___MIX2040" localSheetId="6">#REF!</definedName>
    <definedName name="___MIX2040" localSheetId="27">#REF!</definedName>
    <definedName name="___MIX2040" localSheetId="4">#REF!</definedName>
    <definedName name="___MIX2040" localSheetId="32">#REF!</definedName>
    <definedName name="___MIX2040" localSheetId="24">#REF!</definedName>
    <definedName name="___MIX2040">#REF!</definedName>
    <definedName name="___MIX2540" localSheetId="6">#REF!</definedName>
    <definedName name="___MIX2540" localSheetId="27">#REF!</definedName>
    <definedName name="___MIX2540" localSheetId="4">#REF!</definedName>
    <definedName name="___MIX2540" localSheetId="32">#REF!</definedName>
    <definedName name="___MIX2540" localSheetId="24">#REF!</definedName>
    <definedName name="___MIX2540">#REF!</definedName>
    <definedName name="___Mix255" localSheetId="6">#REF!</definedName>
    <definedName name="___Mix255" localSheetId="27">#REF!</definedName>
    <definedName name="___Mix255" localSheetId="4">#REF!</definedName>
    <definedName name="___Mix255" localSheetId="32">#REF!</definedName>
    <definedName name="___Mix255" localSheetId="24">#REF!</definedName>
    <definedName name="___Mix255">#REF!</definedName>
    <definedName name="___mix30">350/50</definedName>
    <definedName name="___mix40">450/50</definedName>
    <definedName name="___ml3" localSheetId="12">#REF!</definedName>
    <definedName name="___ml3" localSheetId="27">#REF!</definedName>
    <definedName name="___ml3" localSheetId="4">#REF!</definedName>
    <definedName name="___ml3" localSheetId="32">#REF!</definedName>
    <definedName name="___ml3">#REF!</definedName>
    <definedName name="___ml33" localSheetId="12">#REF!</definedName>
    <definedName name="___ml33" localSheetId="27">#REF!</definedName>
    <definedName name="___ml33" localSheetId="4">#REF!</definedName>
    <definedName name="___ml33" localSheetId="32">#REF!</definedName>
    <definedName name="___ml33">#REF!</definedName>
    <definedName name="___mlc33" localSheetId="12">#REF!</definedName>
    <definedName name="___mlc33" localSheetId="27">#REF!</definedName>
    <definedName name="___mlc33" localSheetId="4">#REF!</definedName>
    <definedName name="___mlc33" localSheetId="32">#REF!</definedName>
    <definedName name="___mlc33">#REF!</definedName>
    <definedName name="___mm1">#REF!</definedName>
    <definedName name="___mm2">#REF!</definedName>
    <definedName name="___mm3">#REF!</definedName>
    <definedName name="___MMB220">#REF!</definedName>
    <definedName name="___mnk1">#REF!</definedName>
    <definedName name="___Mzd1" localSheetId="6">#REF!</definedName>
    <definedName name="___Mzd1" localSheetId="27">#REF!</definedName>
    <definedName name="___Mzd1" localSheetId="4">#REF!</definedName>
    <definedName name="___Mzd1" localSheetId="32">#REF!</definedName>
    <definedName name="___Mzd1" localSheetId="24">#REF!</definedName>
    <definedName name="___Mzd1">#REF!</definedName>
    <definedName name="___new1">#REF!</definedName>
    <definedName name="___Nov2007" localSheetId="12" hidden="1">{"'PROFITABILITY'!$A$1:$F$45"}</definedName>
    <definedName name="___Nov2007" localSheetId="6" hidden="1">{"'PROFITABILITY'!$A$1:$F$45"}</definedName>
    <definedName name="___Nov2007" localSheetId="29" hidden="1">{"'PROFITABILITY'!$A$1:$F$45"}</definedName>
    <definedName name="___Nov2007" localSheetId="27" hidden="1">{"'PROFITABILITY'!$A$1:$F$45"}</definedName>
    <definedName name="___Nov2007" localSheetId="4" hidden="1">{"'PROFITABILITY'!$A$1:$F$45"}</definedName>
    <definedName name="___Nov2007" localSheetId="32" hidden="1">{"'PROFITABILITY'!$A$1:$F$45"}</definedName>
    <definedName name="___Nov2007" localSheetId="24" hidden="1">{"'PROFITABILITY'!$A$1:$F$45"}</definedName>
    <definedName name="___Nov2007" localSheetId="26" hidden="1">{"'PROFITABILITY'!$A$1:$F$45"}</definedName>
    <definedName name="___Nov2007" hidden="1">{"'PROFITABILITY'!$A$1:$F$45"}</definedName>
    <definedName name="___np3" localSheetId="6">#REF!</definedName>
    <definedName name="___np3" localSheetId="27">#REF!</definedName>
    <definedName name="___np3" localSheetId="4">#REF!</definedName>
    <definedName name="___np3" localSheetId="32">#REF!</definedName>
    <definedName name="___np3" localSheetId="24">#REF!</definedName>
    <definedName name="___np3">#REF!</definedName>
    <definedName name="___nt75">#REF!</definedName>
    <definedName name="___OP2" localSheetId="6">#REF!</definedName>
    <definedName name="___OP2" localSheetId="27">#REF!</definedName>
    <definedName name="___OP2" localSheetId="4">#REF!</definedName>
    <definedName name="___OP2" localSheetId="32">#REF!</definedName>
    <definedName name="___OP2" localSheetId="24">#REF!</definedName>
    <definedName name="___OP2">#REF!</definedName>
    <definedName name="___OPT8">#N/A</definedName>
    <definedName name="___OPT9">#N/A</definedName>
    <definedName name="___out2">#REF!</definedName>
    <definedName name="___pan1">#REF!</definedName>
    <definedName name="___PAN2">#REF!</definedName>
    <definedName name="___PB1">#REF!</definedName>
    <definedName name="___pcc1">#REF!</definedName>
    <definedName name="___pcc2">#REF!</definedName>
    <definedName name="___pcc3">#REF!</definedName>
    <definedName name="___PCC4">#REF!</definedName>
    <definedName name="___pep99">#REF!</definedName>
    <definedName name="___pfi1" localSheetId="12">#REF!</definedName>
    <definedName name="___pfi1">#REF!</definedName>
    <definedName name="___plb1">#REF!</definedName>
    <definedName name="___plb2">#REF!</definedName>
    <definedName name="___plb3">#REF!</definedName>
    <definedName name="___plb4">#REF!</definedName>
    <definedName name="___PLC220" localSheetId="29">#REF!</definedName>
    <definedName name="___PLC220" localSheetId="24">#REF!</definedName>
    <definedName name="___PLC220" localSheetId="26">#REF!</definedName>
    <definedName name="___PLC220">#REF!</definedName>
    <definedName name="___PM123" localSheetId="12" hidden="1">{"'Sheet1'!$A$4386:$N$4591"}</definedName>
    <definedName name="___PM123" hidden="1">{"'Sheet1'!$A$4386:$N$4591"}</definedName>
    <definedName name="___pp1" localSheetId="12">#REF!</definedName>
    <definedName name="___pp1">#REF!</definedName>
    <definedName name="___pp2" localSheetId="12">#REF!</definedName>
    <definedName name="___pp2">#REF!</definedName>
    <definedName name="___RAC1">#REF!</definedName>
    <definedName name="___rcu2">#REF!</definedName>
    <definedName name="___Re1">#REF!</definedName>
    <definedName name="___RE220" localSheetId="29">#REF!</definedName>
    <definedName name="___RE220" localSheetId="26">#REF!</definedName>
    <definedName name="___RE220">#REF!</definedName>
    <definedName name="___RE500">#REF!</definedName>
    <definedName name="___Rl1">#REF!</definedName>
    <definedName name="___rm4">#REF!</definedName>
    <definedName name="___rs1" localSheetId="12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41" localSheetId="12" hidden="1">{"form-D1",#N/A,FALSE,"FORM-D1";"form-D1_amt",#N/A,FALSE,"FORM-D1"}</definedName>
    <definedName name="___s41" hidden="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01" localSheetId="12">#REF!</definedName>
    <definedName name="___SC01">#REF!</definedName>
    <definedName name="___SC02" localSheetId="12">#REF!</definedName>
    <definedName name="___SC02">#REF!</definedName>
    <definedName name="___SC03" localSheetId="12">#REF!</definedName>
    <definedName name="___SC03">#REF!</definedName>
    <definedName name="___SC04" localSheetId="12">#REF!</definedName>
    <definedName name="___SC04">#REF!</definedName>
    <definedName name="___SC05" localSheetId="12">#REF!</definedName>
    <definedName name="___SC05">#REF!</definedName>
    <definedName name="___SC06" localSheetId="12">#REF!</definedName>
    <definedName name="___SC06">#REF!</definedName>
    <definedName name="___SC11" localSheetId="12">#REF!</definedName>
    <definedName name="___SC11">#REF!</definedName>
    <definedName name="___SC12" localSheetId="12">#REF!</definedName>
    <definedName name="___SC12">#REF!</definedName>
    <definedName name="___SC13" localSheetId="12">#REF!</definedName>
    <definedName name="___SC13">#REF!</definedName>
    <definedName name="___SC21" localSheetId="12">#REF!</definedName>
    <definedName name="___SC21">#REF!</definedName>
    <definedName name="___SC22" localSheetId="12">#REF!</definedName>
    <definedName name="___SC22">#REF!</definedName>
    <definedName name="___SC23" localSheetId="12">#REF!</definedName>
    <definedName name="___SC23">#REF!</definedName>
    <definedName name="___SC24" localSheetId="12">#REF!</definedName>
    <definedName name="___SC24">#REF!</definedName>
    <definedName name="___SC25" localSheetId="12">#REF!</definedName>
    <definedName name="___SC25">#REF!</definedName>
    <definedName name="___SC26" localSheetId="12">#REF!</definedName>
    <definedName name="___SC26">#REF!</definedName>
    <definedName name="___sch2">#REF!</definedName>
    <definedName name="___sch9">#REF!</definedName>
    <definedName name="___sdf1" localSheetId="12">#REF!</definedName>
    <definedName name="___sdf1">#REF!</definedName>
    <definedName name="___SDF2">#REF!</definedName>
    <definedName name="___sh1">90</definedName>
    <definedName name="___sh2">120</definedName>
    <definedName name="___sh3">150</definedName>
    <definedName name="___sh4">180</definedName>
    <definedName name="___sig1">#REF!</definedName>
    <definedName name="___sig2">#REF!</definedName>
    <definedName name="___sig3">#REF!</definedName>
    <definedName name="___sig4">#REF!</definedName>
    <definedName name="___sig5">#REF!</definedName>
    <definedName name="___sit75">#REF!</definedName>
    <definedName name="___SS402">#REF!</definedName>
    <definedName name="___SS403">#REF!</definedName>
    <definedName name="___SS404">#REF!</definedName>
    <definedName name="___SS405">#REF!</definedName>
    <definedName name="___SS406">#REF!</definedName>
    <definedName name="___SS407">#REF!</definedName>
    <definedName name="___SS408">#REF!</definedName>
    <definedName name="___SS409">#REF!</definedName>
    <definedName name="___SS423">#REF!</definedName>
    <definedName name="___SS424">#REF!</definedName>
    <definedName name="___tab1" localSheetId="27">#REF!</definedName>
    <definedName name="___tab1" localSheetId="4">#REF!</definedName>
    <definedName name="___tab1" localSheetId="32">#REF!</definedName>
    <definedName name="___tab1">#REF!</definedName>
    <definedName name="___tab2" localSheetId="27">#REF!</definedName>
    <definedName name="___tab2">#REF!</definedName>
    <definedName name="___TB2" localSheetId="6">#REF!</definedName>
    <definedName name="___TB2" localSheetId="27">#REF!</definedName>
    <definedName name="___TB2" localSheetId="4">#REF!</definedName>
    <definedName name="___TB2" localSheetId="32">#REF!</definedName>
    <definedName name="___TB2" localSheetId="24">#REF!</definedName>
    <definedName name="___TB2">#REF!</definedName>
    <definedName name="___te1">#REF!</definedName>
    <definedName name="___TER1">#REF!</definedName>
    <definedName name="___tf1" localSheetId="6">#REF!</definedName>
    <definedName name="___tf1" localSheetId="27">#REF!</definedName>
    <definedName name="___tf1" localSheetId="4">#REF!</definedName>
    <definedName name="___tf1" localSheetId="32">#REF!</definedName>
    <definedName name="___tf1" localSheetId="24">#REF!</definedName>
    <definedName name="___tf1">#REF!</definedName>
    <definedName name="___tf2" localSheetId="6">#REF!</definedName>
    <definedName name="___tf2" localSheetId="27">#REF!</definedName>
    <definedName name="___tf2" localSheetId="4">#REF!</definedName>
    <definedName name="___tf2" localSheetId="32">#REF!</definedName>
    <definedName name="___tf2" localSheetId="24">#REF!</definedName>
    <definedName name="___tf2">#REF!</definedName>
    <definedName name="___tf3" localSheetId="6">#REF!</definedName>
    <definedName name="___tf3" localSheetId="27">#REF!</definedName>
    <definedName name="___tf3" localSheetId="4">#REF!</definedName>
    <definedName name="___tf3" localSheetId="32">#REF!</definedName>
    <definedName name="___tf3" localSheetId="24">#REF!</definedName>
    <definedName name="___tf3">#REF!</definedName>
    <definedName name="___tf4" localSheetId="6">#REF!</definedName>
    <definedName name="___tf4" localSheetId="27">#REF!</definedName>
    <definedName name="___tf4" localSheetId="4">#REF!</definedName>
    <definedName name="___tf4" localSheetId="32">#REF!</definedName>
    <definedName name="___tf4" localSheetId="24">#REF!</definedName>
    <definedName name="___tf4">#REF!</definedName>
    <definedName name="___tfd1" localSheetId="6">#REF!</definedName>
    <definedName name="___tfd1" localSheetId="27">#REF!</definedName>
    <definedName name="___tfd1" localSheetId="4">#REF!</definedName>
    <definedName name="___tfd1" localSheetId="32">#REF!</definedName>
    <definedName name="___tfd1" localSheetId="24">#REF!</definedName>
    <definedName name="___tfd1">#REF!</definedName>
    <definedName name="___tfd2" localSheetId="6">#REF!</definedName>
    <definedName name="___tfd2" localSheetId="27">#REF!</definedName>
    <definedName name="___tfd2" localSheetId="4">#REF!</definedName>
    <definedName name="___tfd2" localSheetId="32">#REF!</definedName>
    <definedName name="___tfd2" localSheetId="24">#REF!</definedName>
    <definedName name="___tfd2">#REF!</definedName>
    <definedName name="___tfd3" localSheetId="6">#REF!</definedName>
    <definedName name="___tfd3" localSheetId="27">#REF!</definedName>
    <definedName name="___tfd3" localSheetId="4">#REF!</definedName>
    <definedName name="___tfd3" localSheetId="32">#REF!</definedName>
    <definedName name="___tfd3" localSheetId="24">#REF!</definedName>
    <definedName name="___tfd3">#REF!</definedName>
    <definedName name="___tfd4" localSheetId="6">#REF!</definedName>
    <definedName name="___tfd4" localSheetId="27">#REF!</definedName>
    <definedName name="___tfd4" localSheetId="4">#REF!</definedName>
    <definedName name="___tfd4" localSheetId="32">#REF!</definedName>
    <definedName name="___tfd4" localSheetId="24">#REF!</definedName>
    <definedName name="___tfd4">#REF!</definedName>
    <definedName name="___Tk1" localSheetId="24">#REF!</definedName>
    <definedName name="___Tk1">#REF!</definedName>
    <definedName name="___Tk11" localSheetId="24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1" localSheetId="6">#REF!</definedName>
    <definedName name="___tr1" localSheetId="27">#REF!</definedName>
    <definedName name="___tr1" localSheetId="4">#REF!</definedName>
    <definedName name="___tr1" localSheetId="32">#REF!</definedName>
    <definedName name="___tr1" localSheetId="24">#REF!</definedName>
    <definedName name="___tr1">#REF!</definedName>
    <definedName name="___tr2" localSheetId="6">#REF!</definedName>
    <definedName name="___tr2" localSheetId="27">#REF!</definedName>
    <definedName name="___tr2" localSheetId="4">#REF!</definedName>
    <definedName name="___tr2" localSheetId="32">#REF!</definedName>
    <definedName name="___tr2" localSheetId="24">#REF!</definedName>
    <definedName name="___tr2">#REF!</definedName>
    <definedName name="___TR220" localSheetId="29">#REF!</definedName>
    <definedName name="___TR220" localSheetId="24">#REF!</definedName>
    <definedName name="___TR220" localSheetId="26">#REF!</definedName>
    <definedName name="___TR220">#REF!</definedName>
    <definedName name="___tr3" localSheetId="6">#REF!</definedName>
    <definedName name="___tr3" localSheetId="27">#REF!</definedName>
    <definedName name="___tr3" localSheetId="4">#REF!</definedName>
    <definedName name="___tr3" localSheetId="32">#REF!</definedName>
    <definedName name="___tr3" localSheetId="24">#REF!</definedName>
    <definedName name="___tr3">#REF!</definedName>
    <definedName name="___TR500" localSheetId="29">#REF!</definedName>
    <definedName name="___TR500" localSheetId="24">#REF!</definedName>
    <definedName name="___TR500" localSheetId="26">#REF!</definedName>
    <definedName name="___TR500">#REF!</definedName>
    <definedName name="___tr75">#REF!</definedName>
    <definedName name="___trd1" localSheetId="6">#REF!</definedName>
    <definedName name="___trd1" localSheetId="27">#REF!</definedName>
    <definedName name="___trd1" localSheetId="4">#REF!</definedName>
    <definedName name="___trd1" localSheetId="32">#REF!</definedName>
    <definedName name="___trd1" localSheetId="24">#REF!</definedName>
    <definedName name="___trd1">#REF!</definedName>
    <definedName name="___trd2" localSheetId="6">#REF!</definedName>
    <definedName name="___trd2" localSheetId="27">#REF!</definedName>
    <definedName name="___trd2" localSheetId="4">#REF!</definedName>
    <definedName name="___trd2" localSheetId="32">#REF!</definedName>
    <definedName name="___trd2" localSheetId="24">#REF!</definedName>
    <definedName name="___trd2">#REF!</definedName>
    <definedName name="___trd3" localSheetId="6">#REF!</definedName>
    <definedName name="___trd3" localSheetId="27">#REF!</definedName>
    <definedName name="___trd3" localSheetId="4">#REF!</definedName>
    <definedName name="___trd3" localSheetId="32">#REF!</definedName>
    <definedName name="___trd3" localSheetId="24">#REF!</definedName>
    <definedName name="___trd3">#REF!</definedName>
    <definedName name="___trt75">#REF!</definedName>
    <definedName name="___tt75">#REF!</definedName>
    <definedName name="___Vf1" localSheetId="24">#REF!</definedName>
    <definedName name="___Vf1">#REF!</definedName>
    <definedName name="___Vf2" localSheetId="24">#REF!</definedName>
    <definedName name="___Vf2">#REF!</definedName>
    <definedName name="___vr1">#REF!</definedName>
    <definedName name="___VS2004" localSheetId="29" hidden="1">#REF!</definedName>
    <definedName name="___VS2004" localSheetId="26" hidden="1">#REF!</definedName>
    <definedName name="___VS2004" hidden="1">#REF!</definedName>
    <definedName name="___Wc1">#REF!</definedName>
    <definedName name="___WC3">#REF!</definedName>
    <definedName name="___WD2" localSheetId="6">#REF!</definedName>
    <definedName name="___WD2" localSheetId="27">#REF!</definedName>
    <definedName name="___WD2" localSheetId="4">#REF!</definedName>
    <definedName name="___WD2" localSheetId="32">#REF!</definedName>
    <definedName name="___WD2" localSheetId="24">#REF!</definedName>
    <definedName name="___WD2">#REF!</definedName>
    <definedName name="___wp1" localSheetId="24">#REF!</definedName>
    <definedName name="___wp1">#REF!</definedName>
    <definedName name="___Wr1" localSheetId="24">#REF!</definedName>
    <definedName name="___Wr1">#REF!</definedName>
    <definedName name="___Wr3">#REF!</definedName>
    <definedName name="___Xl1">#REF!</definedName>
    <definedName name="___xlcn.WorksheetConnection_InfoEntryA2D32" localSheetId="6" hidden="1">#REF!</definedName>
    <definedName name="___xlcn.WorksheetConnection_InfoEntryA2D32" localSheetId="27" hidden="1">#REF!</definedName>
    <definedName name="___xlcn.WorksheetConnection_InfoEntryA2D32" localSheetId="4" hidden="1">#REF!</definedName>
    <definedName name="___xlcn.WorksheetConnection_InfoEntryA2D32" localSheetId="32" hidden="1">#REF!</definedName>
    <definedName name="___xlcn.WorksheetConnection_InfoEntryA2D32" localSheetId="24" hidden="1">#REF!</definedName>
    <definedName name="___xlcn.WorksheetConnection_InfoEntryA2D32" hidden="1">#REF!</definedName>
    <definedName name="___xlfn_COUNTIFS">#N/A</definedName>
    <definedName name="___xlfn_SUMIFS">#N/A</definedName>
    <definedName name="___xlnm._FilterDatabase" localSheetId="29">#REF!</definedName>
    <definedName name="___xlnm._FilterDatabase" localSheetId="24">#REF!</definedName>
    <definedName name="___xlnm._FilterDatabase" localSheetId="26">#REF!</definedName>
    <definedName name="___xlnm._FilterDatabase">#REF!</definedName>
    <definedName name="___xlnm._FilterDatabase_1" localSheetId="29">#REF!</definedName>
    <definedName name="___xlnm._FilterDatabase_1" localSheetId="26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#N/A</definedName>
    <definedName name="___xlnm.Print_Area" localSheetId="6">#REF!</definedName>
    <definedName name="___xlnm.Print_Area" localSheetId="29">#REF!</definedName>
    <definedName name="___xlnm.Print_Area" localSheetId="4">#REF!</definedName>
    <definedName name="___xlnm.Print_Area" localSheetId="32">#REF!</definedName>
    <definedName name="___xlnm.Print_Area" localSheetId="24">#REF!</definedName>
    <definedName name="___xlnm.Print_Area" localSheetId="26">#REF!</definedName>
    <definedName name="___xlnm.Print_Area">#REF!</definedName>
    <definedName name="___xlnm.Print_Area_1" localSheetId="6">#REF!</definedName>
    <definedName name="___xlnm.Print_Area_1" localSheetId="29">#REF!</definedName>
    <definedName name="___xlnm.Print_Area_1" localSheetId="26">#REF!</definedName>
    <definedName name="___xlnm.Print_Area_1">#REF!</definedName>
    <definedName name="___xlnm.Print_Area_1_1">"#REF!"</definedName>
    <definedName name="___xlnm.Print_Area_1_2">"#REF!"</definedName>
    <definedName name="___xlnm.Print_Area_10" localSheetId="6">#REF!</definedName>
    <definedName name="___xlnm.Print_Area_10" localSheetId="29">#REF!</definedName>
    <definedName name="___xlnm.Print_Area_10" localSheetId="24">#REF!</definedName>
    <definedName name="___xlnm.Print_Area_10" localSheetId="26">#REF!</definedName>
    <definedName name="___xlnm.Print_Area_10">#REF!</definedName>
    <definedName name="___xlnm.Print_Area_10_1">"#REF!"</definedName>
    <definedName name="___xlnm.Print_Area_11" localSheetId="6">#REF!</definedName>
    <definedName name="___xlnm.Print_Area_11" localSheetId="29">#REF!</definedName>
    <definedName name="___xlnm.Print_Area_11" localSheetId="24">#REF!</definedName>
    <definedName name="___xlnm.Print_Area_11" localSheetId="26">#REF!</definedName>
    <definedName name="___xlnm.Print_Area_11">#REF!</definedName>
    <definedName name="___xlnm.Print_Area_13" localSheetId="6">#REF!</definedName>
    <definedName name="___xlnm.Print_Area_13">#REF!</definedName>
    <definedName name="___xlnm.Print_Area_2" localSheetId="29">#REF!</definedName>
    <definedName name="___xlnm.Print_Area_2" localSheetId="4">#REF!</definedName>
    <definedName name="___xlnm.Print_Area_2" localSheetId="32">#REF!</definedName>
    <definedName name="___xlnm.Print_Area_2" localSheetId="26">#REF!</definedName>
    <definedName name="___xlnm.Print_Area_2">#REF!</definedName>
    <definedName name="___xlnm.Print_Area_3" localSheetId="29">#REF!</definedName>
    <definedName name="___xlnm.Print_Area_3" localSheetId="4">#REF!</definedName>
    <definedName name="___xlnm.Print_Area_3" localSheetId="32">#REF!</definedName>
    <definedName name="___xlnm.Print_Area_3" localSheetId="26">#REF!</definedName>
    <definedName name="___xlnm.Print_Area_3">#REF!</definedName>
    <definedName name="___xlnm.Print_Area_4">#REF!</definedName>
    <definedName name="___xlnm.Print_Area_5" localSheetId="4">#REF!</definedName>
    <definedName name="___xlnm.Print_Area_5" localSheetId="32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 localSheetId="29">#REF!</definedName>
    <definedName name="___xlnm.Print_Titles_1" localSheetId="26">#REF!</definedName>
    <definedName name="___xlnm.Print_Titles_1">#REF!</definedName>
    <definedName name="___xlnm.Print_Titles_2" localSheetId="6">(#REF!,#REF!)</definedName>
    <definedName name="___xlnm.Print_Titles_2" localSheetId="27">(#REF!,#REF!)</definedName>
    <definedName name="___xlnm.Print_Titles_2">(#REF!,#REF!)</definedName>
    <definedName name="___xlnm.Print_Titles_3" localSheetId="6">(#REF!,#REF!)</definedName>
    <definedName name="___xlnm.Print_Titles_3" localSheetId="29">(#REF!,#REF!)</definedName>
    <definedName name="___xlnm.Print_Titles_3" localSheetId="26">(#REF!,#REF!)</definedName>
    <definedName name="___xlnm.Print_Titles_3">(#REF!,#REF!)</definedName>
    <definedName name="___xlnm.Print_Titles_4" localSheetId="6">#REF!</definedName>
    <definedName name="___xlnm.Print_Titles_4" localSheetId="29">#REF!</definedName>
    <definedName name="___xlnm.Print_Titles_4" localSheetId="24">#REF!</definedName>
    <definedName name="___xlnm.Print_Titles_4" localSheetId="26">#REF!</definedName>
    <definedName name="___xlnm.Print_Titles_4">#REF!</definedName>
    <definedName name="___xlnm.Print_Titles_7" localSheetId="6">#REF!</definedName>
    <definedName name="___xlnm.Print_Titles_7">#REF!</definedName>
    <definedName name="___ZS1">#REF!</definedName>
    <definedName name="___ZS2">#REF!</definedName>
    <definedName name="__1_______123Graph_ACHART_1" localSheetId="6" hidden="1">#REF!</definedName>
    <definedName name="__1_______123Graph_ACHART_1" hidden="1">#REF!</definedName>
    <definedName name="__1____123Graph_ACHART_1" hidden="1">#REF!</definedName>
    <definedName name="__1__123Graph_ACHART_1" hidden="1">#REF!</definedName>
    <definedName name="__1_3_1_1">#REF!</definedName>
    <definedName name="__10____123Graph_ACHART_1" hidden="1">#REF!</definedName>
    <definedName name="__10_a1_1_1_1">#REF!</definedName>
    <definedName name="__10_s_1_1">#REF!</definedName>
    <definedName name="__10Excel_BuiltIn_Print_Titles_6_1_1">#REF!</definedName>
    <definedName name="__11____123Graph_BCHART_1" hidden="1">#REF!</definedName>
    <definedName name="__11_Z_1_1">#REF!</definedName>
    <definedName name="__12____123Graph_CCHART_1" hidden="1">#REF!</definedName>
    <definedName name="__12_C_1_1">#REF!</definedName>
    <definedName name="__123">#REF!</definedName>
    <definedName name="__123Graph_A" localSheetId="12" hidden="1">#REF!</definedName>
    <definedName name="__123Graph_A" localSheetId="6" hidden="1">#REF!</definedName>
    <definedName name="__123Graph_A" localSheetId="27" hidden="1">#REF!</definedName>
    <definedName name="__123Graph_A" hidden="1">#REF!</definedName>
    <definedName name="__123Graph_ACURRENT" localSheetId="6" hidden="1">#REF!</definedName>
    <definedName name="__123Graph_ACURRENT" localSheetId="27" hidden="1">#REF!</definedName>
    <definedName name="__123Graph_ACURRENT" localSheetId="4" hidden="1">#REF!</definedName>
    <definedName name="__123Graph_ACURRENT" localSheetId="32" hidden="1">#REF!</definedName>
    <definedName name="__123Graph_ACURRENT" localSheetId="24" hidden="1">#REF!</definedName>
    <definedName name="__123Graph_ACURRENT" hidden="1">#REF!</definedName>
    <definedName name="__123Graph_ASTATPROG" hidden="1">#REF!</definedName>
    <definedName name="__123Graph_B" localSheetId="12" hidden="1">#REF!</definedName>
    <definedName name="__123Graph_B" localSheetId="29" hidden="1">#REF!</definedName>
    <definedName name="__123Graph_B" localSheetId="4" hidden="1">#REF!</definedName>
    <definedName name="__123Graph_B" localSheetId="32" hidden="1">#REF!</definedName>
    <definedName name="__123Graph_B" localSheetId="26" hidden="1">#REF!</definedName>
    <definedName name="__123Graph_B" localSheetId="2" hidden="1">#REF!</definedName>
    <definedName name="__123Graph_B" hidden="1">#REF!</definedName>
    <definedName name="__123Graph_C" localSheetId="12" hidden="1">#REF!</definedName>
    <definedName name="__123Graph_C" hidden="1">#REF!</definedName>
    <definedName name="__123Graph_C_1">#N/A</definedName>
    <definedName name="__123Graph_C_1_1">"#N/A"</definedName>
    <definedName name="__123Graph_C_2">#N/A</definedName>
    <definedName name="__123Graph_D" hidden="1">#REF!</definedName>
    <definedName name="__123Graph_E" localSheetId="27" hidden="1">#REF!</definedName>
    <definedName name="__123Graph_E" hidden="1">#REF!</definedName>
    <definedName name="__123Graph_F" localSheetId="27" hidden="1">#REF!</definedName>
    <definedName name="__123Graph_F" hidden="1">#REF!</definedName>
    <definedName name="__123Graph_X" localSheetId="12" hidden="1">#REF!</definedName>
    <definedName name="__123Graph_X" localSheetId="29" hidden="1">#REF!</definedName>
    <definedName name="__123Graph_X" localSheetId="26" hidden="1">#REF!</definedName>
    <definedName name="__123Graph_X" hidden="1">#REF!</definedName>
    <definedName name="__123Graph_XSTATPROG" hidden="1">#REF!</definedName>
    <definedName name="__12Excel_BuiltIn_Print_Area_1_1">#REF!</definedName>
    <definedName name="__13___123Graph_ACHART_1" localSheetId="29" hidden="1">#REF!</definedName>
    <definedName name="__13___123Graph_ACHART_1" localSheetId="26" hidden="1">#REF!</definedName>
    <definedName name="__13___123Graph_ACHART_1" hidden="1">#REF!</definedName>
    <definedName name="__13Excel_BuiltIn_Print_Area_1_2">#REF!</definedName>
    <definedName name="__14___123Graph_BCHART_1" localSheetId="29" hidden="1">#REF!</definedName>
    <definedName name="__14___123Graph_BCHART_1" localSheetId="26" hidden="1">#REF!</definedName>
    <definedName name="__14___123Graph_BCHART_1" hidden="1">#REF!</definedName>
    <definedName name="__14_E_1_1">#REF!</definedName>
    <definedName name="__15___123Graph_CCHART_1" hidden="1">#REF!</definedName>
    <definedName name="__16__123Graph_ACHART_1" hidden="1">#REF!</definedName>
    <definedName name="__16_F_1_1">#REF!</definedName>
    <definedName name="__17__123Graph_BCHART_1" hidden="1">#REF!</definedName>
    <definedName name="__18__123Graph_CCHART_1" hidden="1">#REF!</definedName>
    <definedName name="__18_Q_1_1">#REF!</definedName>
    <definedName name="__1Excel_BuiltIn_Print_Area_4_1">#REF!</definedName>
    <definedName name="__2">#REF!</definedName>
    <definedName name="__2_______123Graph_BCHART_1" hidden="1">#REF!</definedName>
    <definedName name="__2____123Graph_BCHART_1" hidden="1">#REF!</definedName>
    <definedName name="__2__123Graph_BCHART_1" hidden="1">#REF!</definedName>
    <definedName name="__2_3_1_1">#REF!</definedName>
    <definedName name="__2_4_1_1">#REF!</definedName>
    <definedName name="__20_s_1_1">#REF!</definedName>
    <definedName name="__22_Z_1_1">#REF!</definedName>
    <definedName name="__24Excel_BuiltIn_Print_Area_1_1">#REF!</definedName>
    <definedName name="__25Excel_BuiltIn_Print_Area_1_2">#REF!</definedName>
    <definedName name="__2Excel_BuiltIn_Print_Area_4_1_1">#REF!</definedName>
    <definedName name="__3_______123Graph_CCHART_1" hidden="1">#REF!</definedName>
    <definedName name="__3____123Graph_CCHART_1" hidden="1">#REF!</definedName>
    <definedName name="__3__123Graph_CCHART_1" hidden="1">#REF!</definedName>
    <definedName name="__3_A_1_1">#REF!</definedName>
    <definedName name="__3Excel_BuiltIn_Print_Area_4_1_1_1">#REF!</definedName>
    <definedName name="__4________s">#REF!</definedName>
    <definedName name="__4______123Graph_ACHART_1" hidden="1">#REF!</definedName>
    <definedName name="__4___123Graph_ACHART_1" hidden="1">#REF!</definedName>
    <definedName name="__4_4_1_1">#REF!</definedName>
    <definedName name="__4_a1_1_1">#REF!</definedName>
    <definedName name="__4Excel_BuiltIn_Print_Area_4_1_1_1_1">#REF!</definedName>
    <definedName name="__5______123Graph_BCHART_1" hidden="1">#REF!</definedName>
    <definedName name="__5___123Graph_BCHART_1" hidden="1">#REF!</definedName>
    <definedName name="__5_a1_1_1_1">#REF!</definedName>
    <definedName name="__5Excel_BuiltIn_Print_Area_4_1_1_1_1_1">#REF!</definedName>
    <definedName name="__5Excel_BuiltIn_Print_Titles_5_1_1">#REF!</definedName>
    <definedName name="__6______123Graph_CCHART_1" hidden="1">#REF!</definedName>
    <definedName name="__6___123Graph_CCHART_1" hidden="1">#REF!</definedName>
    <definedName name="__6_A_1_1">#REF!</definedName>
    <definedName name="__6_C_1_1">#REF!</definedName>
    <definedName name="__6Excel_BuiltIn_Print_Titles_4_1">#REF!</definedName>
    <definedName name="__7_____123Graph_ACHART_1" hidden="1">#REF!</definedName>
    <definedName name="__7__123Graph_ACHART_1" hidden="1">#REF!</definedName>
    <definedName name="__7_E_1_1">#REF!</definedName>
    <definedName name="__8_____123Graph_BCHART_1" hidden="1">#REF!</definedName>
    <definedName name="__8__123Graph_BCHART_1" hidden="1">#REF!</definedName>
    <definedName name="__8_a1_1_1">#REF!</definedName>
    <definedName name="__8_F_1_1">#REF!</definedName>
    <definedName name="__9_____123Graph_CCHART_1" hidden="1">#REF!</definedName>
    <definedName name="__9__123Graph_CCHART_1" hidden="1">#REF!</definedName>
    <definedName name="__9_Q_1_1">#REF!</definedName>
    <definedName name="__A1">#REF!</definedName>
    <definedName name="__a1_1">#REF!</definedName>
    <definedName name="__A10">#REF!</definedName>
    <definedName name="__A13">#REF!</definedName>
    <definedName name="__A14">#REF!</definedName>
    <definedName name="__A2">#REF!</definedName>
    <definedName name="__A3">#REF!</definedName>
    <definedName name="__A4">#REF!</definedName>
    <definedName name="__A5">#REF!</definedName>
    <definedName name="__A6">#REF!</definedName>
    <definedName name="__A65537">#REF!</definedName>
    <definedName name="__A655600">#REF!</definedName>
    <definedName name="__a655601">#REF!</definedName>
    <definedName name="__A7">#REF!</definedName>
    <definedName name="__A71614">#REF!</definedName>
    <definedName name="__A8">#REF!</definedName>
    <definedName name="__A81614">#REF!</definedName>
    <definedName name="__A9">#REF!</definedName>
    <definedName name="__A91614">#REF!</definedName>
    <definedName name="__a999999">#REF!</definedName>
    <definedName name="__aa1" localSheetId="12" hidden="1">{"'PROFITABILITY'!$A$1:$F$45"}</definedName>
    <definedName name="__aa1" localSheetId="6" hidden="1">{"'PROFITABILITY'!$A$1:$F$45"}</definedName>
    <definedName name="__aa1" localSheetId="29" hidden="1">{"'PROFITABILITY'!$A$1:$F$45"}</definedName>
    <definedName name="__aa1" localSheetId="27" hidden="1">{"'PROFITABILITY'!$A$1:$F$45"}</definedName>
    <definedName name="__aa1" localSheetId="4" hidden="1">{"'PROFITABILITY'!$A$1:$F$45"}</definedName>
    <definedName name="__aa1" localSheetId="32" hidden="1">{"'PROFITABILITY'!$A$1:$F$45"}</definedName>
    <definedName name="__aa1" localSheetId="24" hidden="1">{"'PROFITABILITY'!$A$1:$F$45"}</definedName>
    <definedName name="__aa1" localSheetId="26" hidden="1">{"'PROFITABILITY'!$A$1:$F$45"}</definedName>
    <definedName name="__aa1" hidden="1">{"'PROFITABILITY'!$A$1:$F$45"}</definedName>
    <definedName name="__aba2">#REF!</definedName>
    <definedName name="__acs1">#REF!</definedName>
    <definedName name="__acs2">#REF!</definedName>
    <definedName name="__AHP1">#N/A</definedName>
    <definedName name="__ahu1" localSheetId="6">#REF!</definedName>
    <definedName name="__ahu1" localSheetId="27">#REF!</definedName>
    <definedName name="__ahu1" localSheetId="4">#REF!</definedName>
    <definedName name="__ahu1" localSheetId="32">#REF!</definedName>
    <definedName name="__ahu1" localSheetId="24">#REF!</definedName>
    <definedName name="__ahu1">#REF!</definedName>
    <definedName name="__ahu2" localSheetId="6">#REF!</definedName>
    <definedName name="__ahu2" localSheetId="27">#REF!</definedName>
    <definedName name="__ahu2" localSheetId="4">#REF!</definedName>
    <definedName name="__ahu2" localSheetId="32">#REF!</definedName>
    <definedName name="__ahu2" localSheetId="24">#REF!</definedName>
    <definedName name="__ahu2">#REF!</definedName>
    <definedName name="__aoc1" localSheetId="12">#REF!</definedName>
    <definedName name="__aoc1" localSheetId="24">#REF!</definedName>
    <definedName name="__aoc1">#REF!</definedName>
    <definedName name="__aoc2" localSheetId="12">#REF!</definedName>
    <definedName name="__aoc2" localSheetId="24">#REF!</definedName>
    <definedName name="__aoc2">#REF!</definedName>
    <definedName name="__aoc3" localSheetId="12">#REF!</definedName>
    <definedName name="__aoc3">#REF!</definedName>
    <definedName name="__aoc4" localSheetId="12">#REF!</definedName>
    <definedName name="__aoc4">#REF!</definedName>
    <definedName name="__axx1" localSheetId="12">#REF!</definedName>
    <definedName name="__axx1">#REF!</definedName>
    <definedName name="__axx2" localSheetId="12">#REF!</definedName>
    <definedName name="__axx2">#REF!</definedName>
    <definedName name="__axx3" localSheetId="12">#REF!</definedName>
    <definedName name="__axx3">#REF!</definedName>
    <definedName name="__AXX4" localSheetId="12">#REF!</definedName>
    <definedName name="__AXX4">#REF!</definedName>
    <definedName name="__axx5" localSheetId="12">#REF!</definedName>
    <definedName name="__axx5" localSheetId="4">#REF!</definedName>
    <definedName name="__axx5" localSheetId="32">#REF!</definedName>
    <definedName name="__axx5">#REF!</definedName>
    <definedName name="__axx6" localSheetId="12">#REF!</definedName>
    <definedName name="__axx6">#REF!</definedName>
    <definedName name="__AXX7" localSheetId="12">#REF!</definedName>
    <definedName name="__AXX7" localSheetId="4">#REF!</definedName>
    <definedName name="__AXX7" localSheetId="32">#REF!</definedName>
    <definedName name="__AXX7">#REF!</definedName>
    <definedName name="__axx8" localSheetId="12">#REF!</definedName>
    <definedName name="__axx8">#REF!</definedName>
    <definedName name="__AZ65550">#REF!</definedName>
    <definedName name="__b1">#REF!</definedName>
    <definedName name="__b1_1">#REF!</definedName>
    <definedName name="__b111121" localSheetId="12">#REF!</definedName>
    <definedName name="__b111121" localSheetId="4">#REF!</definedName>
    <definedName name="__b111121" localSheetId="32">#REF!</definedName>
    <definedName name="__b111121">#REF!</definedName>
    <definedName name="__B18000">#REF!</definedName>
    <definedName name="__B30000">#REF!</definedName>
    <definedName name="__B32000">#REF!</definedName>
    <definedName name="__BAA1">#REF!</definedName>
    <definedName name="__bct75">#REF!</definedName>
    <definedName name="__bhh2">#REF!</definedName>
    <definedName name="__BLK3" localSheetId="6">#REF!</definedName>
    <definedName name="__BLK3" localSheetId="27">#REF!</definedName>
    <definedName name="__BLK3" localSheetId="4">#REF!</definedName>
    <definedName name="__BLK3" localSheetId="32">#REF!</definedName>
    <definedName name="__BLK3" localSheetId="24">#REF!</definedName>
    <definedName name="__BLK3">#REF!</definedName>
    <definedName name="__bom1">#REF!</definedName>
    <definedName name="__BoQ3">#REF!</definedName>
    <definedName name="__BOQ35">#REF!</definedName>
    <definedName name="__BoQ4">#REF!</definedName>
    <definedName name="__BoQ5">#REF!</definedName>
    <definedName name="__BoQ7">#REF!</definedName>
    <definedName name="__BoQ9">#REF!</definedName>
    <definedName name="__buh11">#REF!</definedName>
    <definedName name="__CAN112">13.42</definedName>
    <definedName name="__CAN113">12.98</definedName>
    <definedName name="__CAN117">12.7</definedName>
    <definedName name="__CAN118">13.27</definedName>
    <definedName name="__CAN120">11.72</definedName>
    <definedName name="__CAN2">#N/A</definedName>
    <definedName name="__CAN210">10.38</definedName>
    <definedName name="__CAN211">10.58</definedName>
    <definedName name="__CAN213">10.56</definedName>
    <definedName name="__CAN215">10.22</definedName>
    <definedName name="__CAN216">9.61</definedName>
    <definedName name="__CAN217">10.47</definedName>
    <definedName name="__CAN219">10.91</definedName>
    <definedName name="__CAN220">11.09</definedName>
    <definedName name="__CAN221">11.25</definedName>
    <definedName name="__CAN222">10.17</definedName>
    <definedName name="__CAN223">9.89</definedName>
    <definedName name="__CAN230">10.79</definedName>
    <definedName name="__can421">40.2</definedName>
    <definedName name="__can422">41.57</definedName>
    <definedName name="__can423">43.9</definedName>
    <definedName name="__can424">41.19</definedName>
    <definedName name="__can425">42.81</definedName>
    <definedName name="__can426">40.77</definedName>
    <definedName name="__can427">40.92</definedName>
    <definedName name="__can428">39.29</definedName>
    <definedName name="__can429">45.19</definedName>
    <definedName name="__can430">40.73</definedName>
    <definedName name="__can431">42.52</definedName>
    <definedName name="__can432">42.53</definedName>
    <definedName name="__can433">43.69</definedName>
    <definedName name="__can434">40.43</definedName>
    <definedName name="__can435">43.3</definedName>
    <definedName name="__CAN9">#N/A</definedName>
    <definedName name="__CBR220" localSheetId="6">#REF!</definedName>
    <definedName name="__CBR220" localSheetId="29">#REF!</definedName>
    <definedName name="__CBR220" localSheetId="24">#REF!</definedName>
    <definedName name="__CBR220" localSheetId="26">#REF!</definedName>
    <definedName name="__CBR220">#REF!</definedName>
    <definedName name="__CBR500" localSheetId="6">#REF!</definedName>
    <definedName name="__CBR500" localSheetId="29">#REF!</definedName>
    <definedName name="__CBR500" localSheetId="26">#REF!</definedName>
    <definedName name="__CBR500">#REF!</definedName>
    <definedName name="__CCT220">#REF!</definedName>
    <definedName name="__cdd2">#REF!</definedName>
    <definedName name="__cem124" localSheetId="12">#REF!</definedName>
    <definedName name="__cem124" localSheetId="6">#REF!</definedName>
    <definedName name="__cem124" localSheetId="29">#REF!</definedName>
    <definedName name="__cem124" localSheetId="4">#REF!</definedName>
    <definedName name="__cem124" localSheetId="32">#REF!</definedName>
    <definedName name="__cem124" localSheetId="24">#REF!</definedName>
    <definedName name="__cem124" localSheetId="26">#REF!</definedName>
    <definedName name="__cem124">#REF!</definedName>
    <definedName name="__CFB1">#REF!</definedName>
    <definedName name="__CFB2">#REF!</definedName>
    <definedName name="__CFB3">#REF!</definedName>
    <definedName name="__cff2" localSheetId="24">#REF!</definedName>
    <definedName name="__cff2">#REF!</definedName>
    <definedName name="__cli1" localSheetId="12">#REF!</definedName>
    <definedName name="__cli1">#REF!</definedName>
    <definedName name="__cli2" localSheetId="12">#REF!</definedName>
    <definedName name="__cli2">#REF!</definedName>
    <definedName name="__cli3" localSheetId="12">#REF!</definedName>
    <definedName name="__cli3">#REF!</definedName>
    <definedName name="__cli4" localSheetId="12">#REF!</definedName>
    <definedName name="__cli4">#REF!</definedName>
    <definedName name="__cli5">#REF!</definedName>
    <definedName name="__col33" localSheetId="12">#REF!</definedName>
    <definedName name="__col33" localSheetId="4">#REF!</definedName>
    <definedName name="__col33" localSheetId="32">#REF!</definedName>
    <definedName name="__col33">#REF!</definedName>
    <definedName name="__cth2">#REF!</definedName>
    <definedName name="__CTR220" localSheetId="29">#REF!</definedName>
    <definedName name="__CTR220" localSheetId="26">#REF!</definedName>
    <definedName name="__CTR220">#REF!</definedName>
    <definedName name="__CTR500" localSheetId="29">#REF!</definedName>
    <definedName name="__CTR500" localSheetId="26">#REF!</definedName>
    <definedName name="__CTR500">#REF!</definedName>
    <definedName name="__CVT220">#REF!</definedName>
    <definedName name="__CVT500">#REF!</definedName>
    <definedName name="__d5">#N/A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 localSheetId="6">#REF!</definedName>
    <definedName name="__DAT17" localSheetId="27">#REF!</definedName>
    <definedName name="__DAT17" localSheetId="4">#REF!</definedName>
    <definedName name="__DAT17" localSheetId="32">#REF!</definedName>
    <definedName name="__DAT17" localSheetId="24">#REF!</definedName>
    <definedName name="__DAT17">#REF!</definedName>
    <definedName name="__DAT18" localSheetId="6">#REF!</definedName>
    <definedName name="__DAT18" localSheetId="27">#REF!</definedName>
    <definedName name="__DAT18" localSheetId="4">#REF!</definedName>
    <definedName name="__DAT18" localSheetId="32">#REF!</definedName>
    <definedName name="__DAT18" localSheetId="24">#REF!</definedName>
    <definedName name="__DAT18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ec05" localSheetId="12" hidden="1">{"'Sheet1'!$A$4386:$N$4591"}</definedName>
    <definedName name="__dec05" localSheetId="29" hidden="1">{"'Sheet1'!$A$4386:$N$4591"}</definedName>
    <definedName name="__dec05" localSheetId="27" hidden="1">{"'Sheet1'!$A$4386:$N$4591"}</definedName>
    <definedName name="__dec05" localSheetId="4" hidden="1">{"'Sheet1'!$A$4386:$N$4591"}</definedName>
    <definedName name="__dec05" localSheetId="32" hidden="1">{"'Sheet1'!$A$4386:$N$4591"}</definedName>
    <definedName name="__dec05" localSheetId="24" hidden="1">{"'Sheet1'!$A$4386:$N$4591"}</definedName>
    <definedName name="__dec05" localSheetId="26" hidden="1">{"'Sheet1'!$A$4386:$N$4591"}</definedName>
    <definedName name="__dec05" hidden="1">{"'Sheet1'!$A$4386:$N$4591"}</definedName>
    <definedName name="__del1">#REF!</definedName>
    <definedName name="__DET1" localSheetId="6">#REF!</definedName>
    <definedName name="__DET1" localSheetId="27">#REF!</definedName>
    <definedName name="__DET1" localSheetId="4">#REF!</definedName>
    <definedName name="__DET1" localSheetId="32">#REF!</definedName>
    <definedName name="__DET1" localSheetId="24">#REF!</definedName>
    <definedName name="__DET1">#REF!</definedName>
    <definedName name="__DET2">#REF!</definedName>
    <definedName name="__DET3">#REF!</definedName>
    <definedName name="__DET4">#REF!</definedName>
    <definedName name="__DET5">#REF!</definedName>
    <definedName name="__DET6">#REF!</definedName>
    <definedName name="__dev9947">#REF!</definedName>
    <definedName name="__dim4">#REF!</definedName>
    <definedName name="__DIS1" localSheetId="12">#REF!</definedName>
    <definedName name="__DIS1">#REF!</definedName>
    <definedName name="__DKT75">#REF!</definedName>
    <definedName name="__doc1">#REF!</definedName>
    <definedName name="__dol12" localSheetId="29">#REF!</definedName>
    <definedName name="__dol12" localSheetId="24">#REF!</definedName>
    <definedName name="__dol12" localSheetId="26">#REF!</definedName>
    <definedName name="__dol12">#REF!</definedName>
    <definedName name="__dol6" localSheetId="29">#REF!</definedName>
    <definedName name="__dol6" localSheetId="26">#REF!</definedName>
    <definedName name="__dol6">#REF!</definedName>
    <definedName name="__drg1">#REF!</definedName>
    <definedName name="__drg2">#REF!</definedName>
    <definedName name="__EdFJsKAA" localSheetId="12">#REF!</definedName>
    <definedName name="__EdFJsKAA" localSheetId="29">#REF!</definedName>
    <definedName name="__EdFJsKAA" localSheetId="26">#REF!</definedName>
    <definedName name="__EdFJsKAA">#REF!</definedName>
    <definedName name="__eid1" localSheetId="6">#REF!</definedName>
    <definedName name="__eid1" localSheetId="27">#REF!</definedName>
    <definedName name="__eid1" localSheetId="4">#REF!</definedName>
    <definedName name="__eid1" localSheetId="32">#REF!</definedName>
    <definedName name="__eid1" localSheetId="24">#REF!</definedName>
    <definedName name="__eid1">#REF!</definedName>
    <definedName name="__eth2" localSheetId="24">#REF!</definedName>
    <definedName name="__eth2">#REF!</definedName>
    <definedName name="__exc1">#REF!</definedName>
    <definedName name="__exc11">#REF!</definedName>
    <definedName name="__exc2">#REF!</definedName>
    <definedName name="__EXC3">#REF!</definedName>
    <definedName name="__EXC4">#REF!</definedName>
    <definedName name="__f1" localSheetId="24">#REF!</definedName>
    <definedName name="__f1">#REF!</definedName>
    <definedName name="__FEL1" localSheetId="6">#REF!</definedName>
    <definedName name="__FEL1" localSheetId="27">#REF!</definedName>
    <definedName name="__FEL1" localSheetId="4">#REF!</definedName>
    <definedName name="__FEL1" localSheetId="32">#REF!</definedName>
    <definedName name="__FEL1" localSheetId="24">#REF!</definedName>
    <definedName name="__FEL1">#REF!</definedName>
    <definedName name="__foo1">#REF!</definedName>
    <definedName name="__foo2">#REF!</definedName>
    <definedName name="__foo3">#REF!</definedName>
    <definedName name="__FOO4">#REF!</definedName>
    <definedName name="__Fpi1" localSheetId="24">#REF!</definedName>
    <definedName name="__Fpi1">#REF!</definedName>
    <definedName name="__g1" localSheetId="12">#REF!</definedName>
    <definedName name="__g1" localSheetId="24">#REF!</definedName>
    <definedName name="__g1">#REF!</definedName>
    <definedName name="__g2">#REF!</definedName>
    <definedName name="__g2_1">#REF!</definedName>
    <definedName name="__GEL1" localSheetId="6">#REF!</definedName>
    <definedName name="__GEL1" localSheetId="27">#REF!</definedName>
    <definedName name="__GEL1" localSheetId="4">#REF!</definedName>
    <definedName name="__GEL1" localSheetId="32">#REF!</definedName>
    <definedName name="__GEL1" localSheetId="24">#REF!</definedName>
    <definedName name="__GEL1">#REF!</definedName>
    <definedName name="__hai1">#REF!</definedName>
    <definedName name="__hai2">#REF!</definedName>
    <definedName name="__HBG10" localSheetId="6">#REF!</definedName>
    <definedName name="__HBG10" localSheetId="27">#REF!</definedName>
    <definedName name="__HBG10" localSheetId="4">#REF!</definedName>
    <definedName name="__HBG10" localSheetId="32">#REF!</definedName>
    <definedName name="__HBG10" localSheetId="24">#REF!</definedName>
    <definedName name="__HBG10">#REF!</definedName>
    <definedName name="__HBG12" localSheetId="6">#REF!</definedName>
    <definedName name="__HBG12" localSheetId="27">#REF!</definedName>
    <definedName name="__HBG12" localSheetId="4">#REF!</definedName>
    <definedName name="__HBG12" localSheetId="32">#REF!</definedName>
    <definedName name="__HBG12" localSheetId="24">#REF!</definedName>
    <definedName name="__HBG12">#REF!</definedName>
    <definedName name="__HBG25" localSheetId="6">#REF!</definedName>
    <definedName name="__HBG25" localSheetId="27">#REF!</definedName>
    <definedName name="__HBG25" localSheetId="4">#REF!</definedName>
    <definedName name="__HBG25" localSheetId="32">#REF!</definedName>
    <definedName name="__HBG25" localSheetId="24">#REF!</definedName>
    <definedName name="__HBG25">#REF!</definedName>
    <definedName name="__HBG40" localSheetId="6">#REF!</definedName>
    <definedName name="__HBG40" localSheetId="27">#REF!</definedName>
    <definedName name="__HBG40" localSheetId="4">#REF!</definedName>
    <definedName name="__HBG40" localSheetId="32">#REF!</definedName>
    <definedName name="__HBG40" localSheetId="24">#REF!</definedName>
    <definedName name="__HBG40">#REF!</definedName>
    <definedName name="__HBG50" localSheetId="6">#REF!</definedName>
    <definedName name="__HBG50" localSheetId="27">#REF!</definedName>
    <definedName name="__HBG50" localSheetId="4">#REF!</definedName>
    <definedName name="__HBG50" localSheetId="32">#REF!</definedName>
    <definedName name="__HBG50" localSheetId="24">#REF!</definedName>
    <definedName name="__HBG50">#REF!</definedName>
    <definedName name="__HBG6" localSheetId="6">#REF!</definedName>
    <definedName name="__HBG6" localSheetId="27">#REF!</definedName>
    <definedName name="__HBG6" localSheetId="4">#REF!</definedName>
    <definedName name="__HBG6" localSheetId="32">#REF!</definedName>
    <definedName name="__HBG6" localSheetId="24">#REF!</definedName>
    <definedName name="__HBG6">#REF!</definedName>
    <definedName name="__HCO2" localSheetId="24">#REF!</definedName>
    <definedName name="__HCO2">#REF!</definedName>
    <definedName name="__hfi1" localSheetId="12">#REF!</definedName>
    <definedName name="__hfi1">#REF!</definedName>
    <definedName name="__hfi2" localSheetId="12">#REF!</definedName>
    <definedName name="__hfi2" localSheetId="4">#REF!</definedName>
    <definedName name="__hfi2" localSheetId="32">#REF!</definedName>
    <definedName name="__hfi2" localSheetId="24">#REF!</definedName>
    <definedName name="__hfi2">#REF!</definedName>
    <definedName name="__hfi3" localSheetId="12">#REF!</definedName>
    <definedName name="__hfi3">#REF!</definedName>
    <definedName name="__hfi4" localSheetId="12">#REF!</definedName>
    <definedName name="__hfi4">#REF!</definedName>
    <definedName name="__hfi5" localSheetId="12">#REF!</definedName>
    <definedName name="__hfi5">#REF!</definedName>
    <definedName name="__hfi6" localSheetId="12">#REF!</definedName>
    <definedName name="__hfi6">#REF!</definedName>
    <definedName name="__HFI7" localSheetId="12">#REF!</definedName>
    <definedName name="__HFI7">#REF!</definedName>
    <definedName name="__hfi8" localSheetId="12">#REF!</definedName>
    <definedName name="__hfi8">#REF!</definedName>
    <definedName name="__Hra2">#REF!</definedName>
    <definedName name="__Hso2">#REF!</definedName>
    <definedName name="__Hso3">#REF!</definedName>
    <definedName name="__hxa1">#REF!</definedName>
    <definedName name="__hxa2">#REF!</definedName>
    <definedName name="__hxb1">#REF!</definedName>
    <definedName name="__hxb2">#REF!</definedName>
    <definedName name="__hxc1">#REF!</definedName>
    <definedName name="__hxc2">#REF!</definedName>
    <definedName name="__hxd1" localSheetId="12">#REF!</definedName>
    <definedName name="__hxd1">#REF!</definedName>
    <definedName name="__hxf1" localSheetId="12">#REF!</definedName>
    <definedName name="__hxf1">#REF!</definedName>
    <definedName name="__IDA1" localSheetId="29">#REF!</definedName>
    <definedName name="__IDA1" localSheetId="26">#REF!</definedName>
    <definedName name="__IDA1">#REF!</definedName>
    <definedName name="__ifa1">#REF!</definedName>
    <definedName name="__ifa2">#REF!</definedName>
    <definedName name="__III7">"$C4.$#REF!$#REF!"</definedName>
    <definedName name="__in18900" localSheetId="29">#REF!</definedName>
    <definedName name="__in18900" localSheetId="26">#REF!</definedName>
    <definedName name="__in18900">#REF!</definedName>
    <definedName name="__INT1">#REF!</definedName>
    <definedName name="__IntlFixup">TRUE</definedName>
    <definedName name="__Ism3" localSheetId="24">#REF!</definedName>
    <definedName name="__Ism3">#REF!</definedName>
    <definedName name="__ISO220">#REF!</definedName>
    <definedName name="__iv19000">#REF!</definedName>
    <definedName name="__kd1">#REF!</definedName>
    <definedName name="__kd2">#REF!</definedName>
    <definedName name="__kd3">#REF!</definedName>
    <definedName name="__KEY3" localSheetId="12" hidden="1">#REF!</definedName>
    <definedName name="__KEY3" hidden="1">#REF!</definedName>
    <definedName name="__Ki1" localSheetId="12">#REF!</definedName>
    <definedName name="__Ki1">#REF!</definedName>
    <definedName name="__Ki2" localSheetId="12">#REF!</definedName>
    <definedName name="__Ki2">#REF!</definedName>
    <definedName name="__kvs1" localSheetId="12" hidden="1">{#N/A,#N/A,FALSE,"COVER1.XLS ";#N/A,#N/A,FALSE,"RACT1.XLS";#N/A,#N/A,FALSE,"RACT2.XLS";#N/A,#N/A,FALSE,"ECCMP";#N/A,#N/A,FALSE,"WELDER.XLS"}</definedName>
    <definedName name="__kvs1" hidden="1">{#N/A,#N/A,FALSE,"COVER1.XLS ";#N/A,#N/A,FALSE,"RACT1.XLS";#N/A,#N/A,FALSE,"RACT2.XLS";#N/A,#N/A,FALSE,"ECCMP";#N/A,#N/A,FALSE,"WELDER.XLS"}</definedName>
    <definedName name="__LAR220">#REF!</definedName>
    <definedName name="__LAR500">#REF!</definedName>
    <definedName name="__lb1">#REF!</definedName>
    <definedName name="__lb2">#REF!</definedName>
    <definedName name="__LG1">NA()</definedName>
    <definedName name="__LMH1">#REF!</definedName>
    <definedName name="__LMH2">#REF!</definedName>
    <definedName name="__ls1">#REF!</definedName>
    <definedName name="__ls2">#REF!</definedName>
    <definedName name="__ls3">#REF!</definedName>
    <definedName name="__ls4">#REF!</definedName>
    <definedName name="__LTR220">#REF!</definedName>
    <definedName name="__LTR500">#REF!</definedName>
    <definedName name="__lvl1">#REF!</definedName>
    <definedName name="__Lx1">#REF!</definedName>
    <definedName name="__m20">#REF!</definedName>
    <definedName name="__m234" localSheetId="12">#REF!</definedName>
    <definedName name="__m234">#REF!</definedName>
    <definedName name="__m35">#REF!</definedName>
    <definedName name="__mac2">200</definedName>
    <definedName name="__MAN1">#REF!</definedName>
    <definedName name="__mcc1" localSheetId="6">#REF!</definedName>
    <definedName name="__mcc1" localSheetId="27">#REF!</definedName>
    <definedName name="__mcc1" localSheetId="4">#REF!</definedName>
    <definedName name="__mcc1" localSheetId="32">#REF!</definedName>
    <definedName name="__mcc1" localSheetId="24">#REF!</definedName>
    <definedName name="__mcc1">#REF!</definedName>
    <definedName name="__mcc2" localSheetId="6">#REF!</definedName>
    <definedName name="__mcc2" localSheetId="27">#REF!</definedName>
    <definedName name="__mcc2" localSheetId="4">#REF!</definedName>
    <definedName name="__mcc2" localSheetId="32">#REF!</definedName>
    <definedName name="__mcc2" localSheetId="24">#REF!</definedName>
    <definedName name="__mcc2">#REF!</definedName>
    <definedName name="__mcl132" localSheetId="12">#REF!</definedName>
    <definedName name="__mcl132" localSheetId="4">#REF!</definedName>
    <definedName name="__mcl132" localSheetId="32">#REF!</definedName>
    <definedName name="__mcl132" localSheetId="24">#REF!</definedName>
    <definedName name="__mcl132">#REF!</definedName>
    <definedName name="__MG1" localSheetId="6">#REF!</definedName>
    <definedName name="__MG1" localSheetId="27">#REF!</definedName>
    <definedName name="__MG1" localSheetId="4">#REF!</definedName>
    <definedName name="__MG1" localSheetId="32">#REF!</definedName>
    <definedName name="__MG1" localSheetId="24">#REF!</definedName>
    <definedName name="__MG1">#REF!</definedName>
    <definedName name="__mix10">4.5</definedName>
    <definedName name="__mix15">264/50</definedName>
    <definedName name="__MIX1540" localSheetId="6">#REF!</definedName>
    <definedName name="__MIX1540" localSheetId="27">#REF!</definedName>
    <definedName name="__MIX1540" localSheetId="4">#REF!</definedName>
    <definedName name="__MIX1540" localSheetId="32">#REF!</definedName>
    <definedName name="__MIX1540" localSheetId="24">#REF!</definedName>
    <definedName name="__MIX1540">#REF!</definedName>
    <definedName name="__MIX2" localSheetId="6">#REF!</definedName>
    <definedName name="__MIX2" localSheetId="27">#REF!</definedName>
    <definedName name="__MIX2" localSheetId="4">#REF!</definedName>
    <definedName name="__MIX2" localSheetId="32">#REF!</definedName>
    <definedName name="__MIX2" localSheetId="24">#REF!</definedName>
    <definedName name="__MIX2">#REF!</definedName>
    <definedName name="__mix20">330/50</definedName>
    <definedName name="__MIX2020" localSheetId="6">#REF!</definedName>
    <definedName name="__MIX2020" localSheetId="27">#REF!</definedName>
    <definedName name="__MIX2020" localSheetId="4">#REF!</definedName>
    <definedName name="__MIX2020" localSheetId="32">#REF!</definedName>
    <definedName name="__MIX2020" localSheetId="24">#REF!</definedName>
    <definedName name="__MIX2020">#REF!</definedName>
    <definedName name="__MIX2040" localSheetId="6">#REF!</definedName>
    <definedName name="__MIX2040" localSheetId="27">#REF!</definedName>
    <definedName name="__MIX2040" localSheetId="4">#REF!</definedName>
    <definedName name="__MIX2040" localSheetId="32">#REF!</definedName>
    <definedName name="__MIX2040" localSheetId="24">#REF!</definedName>
    <definedName name="__MIX2040">#REF!</definedName>
    <definedName name="__MIX2540" localSheetId="6">#REF!</definedName>
    <definedName name="__MIX2540" localSheetId="27">#REF!</definedName>
    <definedName name="__MIX2540" localSheetId="4">#REF!</definedName>
    <definedName name="__MIX2540" localSheetId="32">#REF!</definedName>
    <definedName name="__MIX2540" localSheetId="24">#REF!</definedName>
    <definedName name="__MIX2540">#REF!</definedName>
    <definedName name="__Mix255" localSheetId="6">#REF!</definedName>
    <definedName name="__Mix255" localSheetId="27">#REF!</definedName>
    <definedName name="__Mix255" localSheetId="4">#REF!</definedName>
    <definedName name="__Mix255" localSheetId="32">#REF!</definedName>
    <definedName name="__Mix255" localSheetId="24">#REF!</definedName>
    <definedName name="__Mix255">#REF!</definedName>
    <definedName name="__mix30">350/50</definedName>
    <definedName name="__mix40">450/50</definedName>
    <definedName name="__ml3" localSheetId="12">#REF!</definedName>
    <definedName name="__ml3" localSheetId="27">#REF!</definedName>
    <definedName name="__ml3" localSheetId="4">#REF!</definedName>
    <definedName name="__ml3" localSheetId="32">#REF!</definedName>
    <definedName name="__ml3">#REF!</definedName>
    <definedName name="__ml33" localSheetId="12">#REF!</definedName>
    <definedName name="__ml33" localSheetId="27">#REF!</definedName>
    <definedName name="__ml33" localSheetId="4">#REF!</definedName>
    <definedName name="__ml33" localSheetId="32">#REF!</definedName>
    <definedName name="__ml33">#REF!</definedName>
    <definedName name="__mlc33" localSheetId="12">#REF!</definedName>
    <definedName name="__mlc33" localSheetId="27">#REF!</definedName>
    <definedName name="__mlc33" localSheetId="4">#REF!</definedName>
    <definedName name="__mlc33" localSheetId="32">#REF!</definedName>
    <definedName name="__mlc33">#REF!</definedName>
    <definedName name="__mm1">#REF!</definedName>
    <definedName name="__mm2">#REF!</definedName>
    <definedName name="__mm3">#REF!</definedName>
    <definedName name="__MMB220">#REF!</definedName>
    <definedName name="__mnk1">#REF!</definedName>
    <definedName name="__mp1" localSheetId="6">#REF!</definedName>
    <definedName name="__mp1" localSheetId="27">#REF!</definedName>
    <definedName name="__mp1" localSheetId="4">#REF!</definedName>
    <definedName name="__mp1" localSheetId="32">#REF!</definedName>
    <definedName name="__mp1" localSheetId="24">#REF!</definedName>
    <definedName name="__mp1">#REF!</definedName>
    <definedName name="__Mzd1" localSheetId="6">#REF!</definedName>
    <definedName name="__Mzd1" localSheetId="27">#REF!</definedName>
    <definedName name="__Mzd1" localSheetId="4">#REF!</definedName>
    <definedName name="__Mzd1" localSheetId="32">#REF!</definedName>
    <definedName name="__Mzd1" localSheetId="24">#REF!</definedName>
    <definedName name="__Mzd1">#REF!</definedName>
    <definedName name="__new1">#REF!</definedName>
    <definedName name="__Nov2007" localSheetId="12" hidden="1">{"'PROFITABILITY'!$A$1:$F$45"}</definedName>
    <definedName name="__Nov2007" localSheetId="6" hidden="1">{"'PROFITABILITY'!$A$1:$F$45"}</definedName>
    <definedName name="__Nov2007" localSheetId="29" hidden="1">{"'PROFITABILITY'!$A$1:$F$45"}</definedName>
    <definedName name="__Nov2007" localSheetId="27" hidden="1">{"'PROFITABILITY'!$A$1:$F$45"}</definedName>
    <definedName name="__Nov2007" localSheetId="4" hidden="1">{"'PROFITABILITY'!$A$1:$F$45"}</definedName>
    <definedName name="__Nov2007" localSheetId="32" hidden="1">{"'PROFITABILITY'!$A$1:$F$45"}</definedName>
    <definedName name="__Nov2007" localSheetId="24" hidden="1">{"'PROFITABILITY'!$A$1:$F$45"}</definedName>
    <definedName name="__Nov2007" localSheetId="26" hidden="1">{"'PROFITABILITY'!$A$1:$F$45"}</definedName>
    <definedName name="__Nov2007" hidden="1">{"'PROFITABILITY'!$A$1:$F$45"}</definedName>
    <definedName name="__np3" localSheetId="6">#REF!</definedName>
    <definedName name="__np3" localSheetId="27">#REF!</definedName>
    <definedName name="__np3" localSheetId="4">#REF!</definedName>
    <definedName name="__np3" localSheetId="32">#REF!</definedName>
    <definedName name="__np3" localSheetId="24">#REF!</definedName>
    <definedName name="__np3">#REF!</definedName>
    <definedName name="__ns1" localSheetId="12" hidden="1">{#N/A,#N/A,FALSE,"COVER1.XLS ";#N/A,#N/A,FALSE,"RACT1.XLS";#N/A,#N/A,FALSE,"RACT2.XLS";#N/A,#N/A,FALSE,"ECCMP";#N/A,#N/A,FALSE,"WELDER.XLS"}</definedName>
    <definedName name="__ns1" hidden="1">{#N/A,#N/A,FALSE,"COVER1.XLS ";#N/A,#N/A,FALSE,"RACT1.XLS";#N/A,#N/A,FALSE,"RACT2.XLS";#N/A,#N/A,FALSE,"ECCMP";#N/A,#N/A,FALSE,"WELDER.XLS"}</definedName>
    <definedName name="__nt75">#REF!</definedName>
    <definedName name="__OP2" localSheetId="6">#REF!</definedName>
    <definedName name="__OP2" localSheetId="27">#REF!</definedName>
    <definedName name="__OP2" localSheetId="4">#REF!</definedName>
    <definedName name="__OP2" localSheetId="32">#REF!</definedName>
    <definedName name="__OP2" localSheetId="24">#REF!</definedName>
    <definedName name="__OP2">#REF!</definedName>
    <definedName name="__OPT8">#N/A</definedName>
    <definedName name="__OPT9">#N/A</definedName>
    <definedName name="__out2">#REF!</definedName>
    <definedName name="__pan1">#REF!</definedName>
    <definedName name="__PAN2">#REF!</definedName>
    <definedName name="__PB1">#REF!</definedName>
    <definedName name="__pcc1">#REF!</definedName>
    <definedName name="__pcc2">#REF!</definedName>
    <definedName name="__pcc3">#REF!</definedName>
    <definedName name="__PCC4">#REF!</definedName>
    <definedName name="__pdp1" localSheetId="6">#REF!</definedName>
    <definedName name="__pdp1" localSheetId="27">#REF!</definedName>
    <definedName name="__pdp1" localSheetId="4">#REF!</definedName>
    <definedName name="__pdp1" localSheetId="32">#REF!</definedName>
    <definedName name="__pdp1" localSheetId="24">#REF!</definedName>
    <definedName name="__pdp1">#REF!</definedName>
    <definedName name="__pdp2" localSheetId="6">#REF!</definedName>
    <definedName name="__pdp2" localSheetId="27">#REF!</definedName>
    <definedName name="__pdp2" localSheetId="4">#REF!</definedName>
    <definedName name="__pdp2" localSheetId="32">#REF!</definedName>
    <definedName name="__pdp2" localSheetId="24">#REF!</definedName>
    <definedName name="__pdp2">#REF!</definedName>
    <definedName name="__pdp3" localSheetId="6">#REF!</definedName>
    <definedName name="__pdp3" localSheetId="27">#REF!</definedName>
    <definedName name="__pdp3" localSheetId="4">#REF!</definedName>
    <definedName name="__pdp3" localSheetId="32">#REF!</definedName>
    <definedName name="__pdp3" localSheetId="24">#REF!</definedName>
    <definedName name="__pdp3">#REF!</definedName>
    <definedName name="__pep99">#REF!</definedName>
    <definedName name="__pfi1" localSheetId="12">#REF!</definedName>
    <definedName name="__pfi1">#REF!</definedName>
    <definedName name="__plb1">#REF!</definedName>
    <definedName name="__plb2">#REF!</definedName>
    <definedName name="__plb3">#REF!</definedName>
    <definedName name="__plb4">#REF!</definedName>
    <definedName name="__PLC220" localSheetId="29">#REF!</definedName>
    <definedName name="__PLC220" localSheetId="24">#REF!</definedName>
    <definedName name="__PLC220" localSheetId="26">#REF!</definedName>
    <definedName name="__PLC220">#REF!</definedName>
    <definedName name="__pp1" localSheetId="12">#REF!</definedName>
    <definedName name="__pp1">#REF!</definedName>
    <definedName name="__pp2" localSheetId="12">#REF!</definedName>
    <definedName name="__pp2">#REF!</definedName>
    <definedName name="__Q1">#REF!</definedName>
    <definedName name="__Q1_1">#REF!</definedName>
    <definedName name="__rcu2">#REF!</definedName>
    <definedName name="__Re1">#REF!</definedName>
    <definedName name="__RE220" localSheetId="29">#REF!</definedName>
    <definedName name="__RE220" localSheetId="26">#REF!</definedName>
    <definedName name="__RE220">#REF!</definedName>
    <definedName name="__RE500">#REF!</definedName>
    <definedName name="__Rl1">#REF!</definedName>
    <definedName name="__rm4">#REF!</definedName>
    <definedName name="__ROD6">#REF!</definedName>
    <definedName name="__row1" localSheetId="6">#REF!</definedName>
    <definedName name="__row1" localSheetId="27">#REF!</definedName>
    <definedName name="__row1" localSheetId="4">#REF!</definedName>
    <definedName name="__row1" localSheetId="32">#REF!</definedName>
    <definedName name="__row1" localSheetId="24">#REF!</definedName>
    <definedName name="__row1">#REF!</definedName>
    <definedName name="__rs1" localSheetId="12">#REF!</definedName>
    <definedName name="__rs1" localSheetId="24">#REF!</definedName>
    <definedName name="__rs1">#REF!</definedName>
    <definedName name="__rt1" localSheetId="24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41" localSheetId="12" hidden="1">{"form-D1",#N/A,FALSE,"FORM-D1";"form-D1_amt",#N/A,FALSE,"FORM-D1"}</definedName>
    <definedName name="__s41" hidden="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B2">#REF!</definedName>
    <definedName name="__sch2">#REF!</definedName>
    <definedName name="__sch9">#REF!</definedName>
    <definedName name="__sdf1" localSheetId="12">#REF!</definedName>
    <definedName name="__sdf1">#REF!</definedName>
    <definedName name="__SDF2">#REF!</definedName>
    <definedName name="__sel1" localSheetId="6">#REF!,#REF!,#REF!,#REF!,#REF!,#REF!,#REF!,#REF!,#REF!,#REF!,#REF!,#REF!,#REF!,#REF!,#REF!,#REF!,#REF!,#REF!,#REF!,#REF!</definedName>
    <definedName name="__sel1" localSheetId="27">#REF!,#REF!,#REF!,#REF!,#REF!,#REF!,#REF!,#REF!,#REF!,#REF!,#REF!,#REF!,#REF!,#REF!,#REF!,#REF!,#REF!,#REF!,#REF!,#REF!</definedName>
    <definedName name="__sel1" localSheetId="4">#REF!,#REF!,#REF!,#REF!,#REF!,#REF!,#REF!,#REF!,#REF!,#REF!,#REF!,#REF!,#REF!,#REF!,#REF!,#REF!,#REF!,#REF!,#REF!,#REF!</definedName>
    <definedName name="__sel1" localSheetId="32">#REF!,#REF!,#REF!,#REF!,#REF!,#REF!,#REF!,#REF!,#REF!,#REF!,#REF!,#REF!,#REF!,#REF!,#REF!,#REF!,#REF!,#REF!,#REF!,#REF!</definedName>
    <definedName name="__sel1" localSheetId="24">#REF!,#REF!,#REF!,#REF!,#REF!,#REF!,#REF!,#REF!,#REF!,#REF!,#REF!,#REF!,#REF!,#REF!,#REF!,#REF!,#REF!,#REF!,#REF!,#REF!</definedName>
    <definedName name="__sel1">#REF!,#REF!,#REF!,#REF!,#REF!,#REF!,#REF!,#REF!,#REF!,#REF!,#REF!,#REF!,#REF!,#REF!,#REF!,#REF!,#REF!,#REF!,#REF!,#REF!</definedName>
    <definedName name="__sh1">90</definedName>
    <definedName name="__sh2">120</definedName>
    <definedName name="__sh3">150</definedName>
    <definedName name="__sh4">180</definedName>
    <definedName name="__sig1" localSheetId="12">#REF!</definedName>
    <definedName name="__sig1">#REF!</definedName>
    <definedName name="__sig2" localSheetId="12">#REF!</definedName>
    <definedName name="__sig2">#REF!</definedName>
    <definedName name="__sig3" localSheetId="12">#REF!</definedName>
    <definedName name="__sig3">#REF!</definedName>
    <definedName name="__sig4" localSheetId="12">#REF!</definedName>
    <definedName name="__sig4">#REF!</definedName>
    <definedName name="__sig5" localSheetId="12">#REF!</definedName>
    <definedName name="__sig5">#REF!</definedName>
    <definedName name="__sig6">#REF!</definedName>
    <definedName name="__sit75">#REF!</definedName>
    <definedName name="__SS402">#REF!</definedName>
    <definedName name="__SS403">#REF!</definedName>
    <definedName name="__SS404">#REF!</definedName>
    <definedName name="__SS405">#REF!</definedName>
    <definedName name="__SS406">#REF!</definedName>
    <definedName name="__SS407">#REF!</definedName>
    <definedName name="__SS408">#REF!</definedName>
    <definedName name="__SS409">#REF!</definedName>
    <definedName name="__SS423">#REF!</definedName>
    <definedName name="__SS424">#REF!</definedName>
    <definedName name="__t1">#REF!</definedName>
    <definedName name="__tab1" localSheetId="27">#REF!</definedName>
    <definedName name="__tab1" localSheetId="4">#REF!</definedName>
    <definedName name="__tab1" localSheetId="32">#REF!</definedName>
    <definedName name="__tab1" localSheetId="24">#REF!</definedName>
    <definedName name="__tab1">#REF!</definedName>
    <definedName name="__tab2" localSheetId="27">#REF!</definedName>
    <definedName name="__tab2">#REF!</definedName>
    <definedName name="__TB2" localSheetId="6">#REF!</definedName>
    <definedName name="__TB2" localSheetId="27">#REF!</definedName>
    <definedName name="__TB2" localSheetId="4">#REF!</definedName>
    <definedName name="__TB2" localSheetId="32">#REF!</definedName>
    <definedName name="__TB2" localSheetId="24">#REF!</definedName>
    <definedName name="__TB2">#REF!</definedName>
    <definedName name="__te1">#REF!</definedName>
    <definedName name="__TER1">#REF!</definedName>
    <definedName name="__tf1" localSheetId="6">#REF!</definedName>
    <definedName name="__tf1" localSheetId="27">#REF!</definedName>
    <definedName name="__tf1" localSheetId="4">#REF!</definedName>
    <definedName name="__tf1" localSheetId="32">#REF!</definedName>
    <definedName name="__tf1" localSheetId="24">#REF!</definedName>
    <definedName name="__tf1">#REF!</definedName>
    <definedName name="__tf2" localSheetId="6">#REF!</definedName>
    <definedName name="__tf2" localSheetId="27">#REF!</definedName>
    <definedName name="__tf2" localSheetId="4">#REF!</definedName>
    <definedName name="__tf2" localSheetId="32">#REF!</definedName>
    <definedName name="__tf2" localSheetId="24">#REF!</definedName>
    <definedName name="__tf2">#REF!</definedName>
    <definedName name="__tf3" localSheetId="6">#REF!</definedName>
    <definedName name="__tf3" localSheetId="27">#REF!</definedName>
    <definedName name="__tf3" localSheetId="4">#REF!</definedName>
    <definedName name="__tf3" localSheetId="32">#REF!</definedName>
    <definedName name="__tf3" localSheetId="24">#REF!</definedName>
    <definedName name="__tf3">#REF!</definedName>
    <definedName name="__tf4" localSheetId="6">#REF!</definedName>
    <definedName name="__tf4" localSheetId="27">#REF!</definedName>
    <definedName name="__tf4" localSheetId="4">#REF!</definedName>
    <definedName name="__tf4" localSheetId="32">#REF!</definedName>
    <definedName name="__tf4" localSheetId="24">#REF!</definedName>
    <definedName name="__tf4">#REF!</definedName>
    <definedName name="__tfd1" localSheetId="6">#REF!</definedName>
    <definedName name="__tfd1" localSheetId="27">#REF!</definedName>
    <definedName name="__tfd1" localSheetId="4">#REF!</definedName>
    <definedName name="__tfd1" localSheetId="32">#REF!</definedName>
    <definedName name="__tfd1" localSheetId="24">#REF!</definedName>
    <definedName name="__tfd1">#REF!</definedName>
    <definedName name="__tfd2" localSheetId="6">#REF!</definedName>
    <definedName name="__tfd2" localSheetId="27">#REF!</definedName>
    <definedName name="__tfd2" localSheetId="4">#REF!</definedName>
    <definedName name="__tfd2" localSheetId="32">#REF!</definedName>
    <definedName name="__tfd2" localSheetId="24">#REF!</definedName>
    <definedName name="__tfd2">#REF!</definedName>
    <definedName name="__tfd3" localSheetId="6">#REF!</definedName>
    <definedName name="__tfd3" localSheetId="27">#REF!</definedName>
    <definedName name="__tfd3" localSheetId="4">#REF!</definedName>
    <definedName name="__tfd3" localSheetId="32">#REF!</definedName>
    <definedName name="__tfd3" localSheetId="24">#REF!</definedName>
    <definedName name="__tfd3">#REF!</definedName>
    <definedName name="__tfd4" localSheetId="6">#REF!</definedName>
    <definedName name="__tfd4" localSheetId="27">#REF!</definedName>
    <definedName name="__tfd4" localSheetId="4">#REF!</definedName>
    <definedName name="__tfd4" localSheetId="32">#REF!</definedName>
    <definedName name="__tfd4" localSheetId="24">#REF!</definedName>
    <definedName name="__tfd4">#REF!</definedName>
    <definedName name="__Tk1" localSheetId="24">#REF!</definedName>
    <definedName name="__Tk1">#REF!</definedName>
    <definedName name="__Tk11" localSheetId="24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1" localSheetId="6">#REF!</definedName>
    <definedName name="__tr1" localSheetId="27">#REF!</definedName>
    <definedName name="__tr1" localSheetId="4">#REF!</definedName>
    <definedName name="__tr1" localSheetId="32">#REF!</definedName>
    <definedName name="__tr1" localSheetId="24">#REF!</definedName>
    <definedName name="__tr1">#REF!</definedName>
    <definedName name="__tr2" localSheetId="6">#REF!</definedName>
    <definedName name="__tr2" localSheetId="27">#REF!</definedName>
    <definedName name="__tr2" localSheetId="4">#REF!</definedName>
    <definedName name="__tr2" localSheetId="32">#REF!</definedName>
    <definedName name="__tr2" localSheetId="24">#REF!</definedName>
    <definedName name="__tr2">#REF!</definedName>
    <definedName name="__TR220" localSheetId="29">#REF!</definedName>
    <definedName name="__TR220" localSheetId="24">#REF!</definedName>
    <definedName name="__TR220" localSheetId="26">#REF!</definedName>
    <definedName name="__TR220">#REF!</definedName>
    <definedName name="__tr3" localSheetId="6">#REF!</definedName>
    <definedName name="__tr3" localSheetId="27">#REF!</definedName>
    <definedName name="__tr3" localSheetId="4">#REF!</definedName>
    <definedName name="__tr3" localSheetId="32">#REF!</definedName>
    <definedName name="__tr3" localSheetId="24">#REF!</definedName>
    <definedName name="__tr3">#REF!</definedName>
    <definedName name="__TR500" localSheetId="29">#REF!</definedName>
    <definedName name="__TR500" localSheetId="24">#REF!</definedName>
    <definedName name="__TR500" localSheetId="26">#REF!</definedName>
    <definedName name="__TR500">#REF!</definedName>
    <definedName name="__tr75">#REF!</definedName>
    <definedName name="__trd1" localSheetId="6">#REF!</definedName>
    <definedName name="__trd1" localSheetId="27">#REF!</definedName>
    <definedName name="__trd1" localSheetId="4">#REF!</definedName>
    <definedName name="__trd1" localSheetId="32">#REF!</definedName>
    <definedName name="__trd1" localSheetId="24">#REF!</definedName>
    <definedName name="__trd1">#REF!</definedName>
    <definedName name="__trd2" localSheetId="6">#REF!</definedName>
    <definedName name="__trd2" localSheetId="27">#REF!</definedName>
    <definedName name="__trd2" localSheetId="4">#REF!</definedName>
    <definedName name="__trd2" localSheetId="32">#REF!</definedName>
    <definedName name="__trd2" localSheetId="24">#REF!</definedName>
    <definedName name="__trd2">#REF!</definedName>
    <definedName name="__trd3" localSheetId="6">#REF!</definedName>
    <definedName name="__trd3" localSheetId="27">#REF!</definedName>
    <definedName name="__trd3" localSheetId="4">#REF!</definedName>
    <definedName name="__trd3" localSheetId="32">#REF!</definedName>
    <definedName name="__trd3" localSheetId="24">#REF!</definedName>
    <definedName name="__trd3">#REF!</definedName>
    <definedName name="__trt75">#REF!</definedName>
    <definedName name="__try1" localSheetId="6">#REF!</definedName>
    <definedName name="__try1" localSheetId="27">#REF!</definedName>
    <definedName name="__try1" localSheetId="4">#REF!</definedName>
    <definedName name="__try1" localSheetId="32">#REF!</definedName>
    <definedName name="__try1" localSheetId="24">#REF!</definedName>
    <definedName name="__try1">#REF!</definedName>
    <definedName name="__tt75">#REF!</definedName>
    <definedName name="__Vf1" localSheetId="24">#REF!</definedName>
    <definedName name="__Vf1">#REF!</definedName>
    <definedName name="__Vf2" localSheetId="24">#REF!</definedName>
    <definedName name="__Vf2">#REF!</definedName>
    <definedName name="__vr1">#REF!</definedName>
    <definedName name="__VS2004" localSheetId="29" hidden="1">#REF!</definedName>
    <definedName name="__VS2004" localSheetId="26" hidden="1">#REF!</definedName>
    <definedName name="__VS2004" hidden="1">#REF!</definedName>
    <definedName name="__Wc1">#REF!</definedName>
    <definedName name="__WC3">#REF!</definedName>
    <definedName name="__WD2" localSheetId="6">#REF!</definedName>
    <definedName name="__WD2" localSheetId="27">#REF!</definedName>
    <definedName name="__WD2" localSheetId="4">#REF!</definedName>
    <definedName name="__WD2" localSheetId="32">#REF!</definedName>
    <definedName name="__WD2" localSheetId="24">#REF!</definedName>
    <definedName name="__WD2">#REF!</definedName>
    <definedName name="__wp1" localSheetId="24">#REF!</definedName>
    <definedName name="__wp1">#REF!</definedName>
    <definedName name="__Wr1" localSheetId="24">#REF!</definedName>
    <definedName name="__Wr1">#REF!</definedName>
    <definedName name="__Wr3">#REF!</definedName>
    <definedName name="__wrn1" localSheetId="1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>#REF!</definedName>
    <definedName name="__xlcn.WorksheetConnection_InfoEntryA2D32" localSheetId="6" hidden="1">#REF!</definedName>
    <definedName name="__xlcn.WorksheetConnection_InfoEntryA2D32" localSheetId="27" hidden="1">#REF!</definedName>
    <definedName name="__xlcn.WorksheetConnection_InfoEntryA2D32" localSheetId="4" hidden="1">#REF!</definedName>
    <definedName name="__xlcn.WorksheetConnection_InfoEntryA2D32" localSheetId="32" hidden="1">#REF!</definedName>
    <definedName name="__xlcn.WorksheetConnection_InfoEntryA2D32" localSheetId="24" hidden="1">#REF!</definedName>
    <definedName name="__xlcn.WorksheetConnection_InfoEntryA2D32" hidden="1">#REF!</definedName>
    <definedName name="__xlfn_COUNTIFS">#N/A</definedName>
    <definedName name="__xlfn_SUMIFS">#N/A</definedName>
    <definedName name="__xlnm._FilterDatabase" localSheetId="4">#N/A</definedName>
    <definedName name="__xlnm._FilterDatabase" localSheetId="32">#N/A</definedName>
    <definedName name="__xlnm._FilterDatabase">#N/A</definedName>
    <definedName name="__xlnm._FilterDatabase_1" localSheetId="6">#REF!</definedName>
    <definedName name="__xlnm._FilterDatabase_1" localSheetId="29">#REF!</definedName>
    <definedName name="__xlnm._FilterDatabase_1" localSheetId="24">#REF!</definedName>
    <definedName name="__xlnm._FilterDatabase_1" localSheetId="26">#REF!</definedName>
    <definedName name="__xlnm._FilterDatabase_1">#REF!</definedName>
    <definedName name="__xlnm._FilterDatabase_1_1">"#REF!"</definedName>
    <definedName name="__xlnm._FilterDatabase_2" localSheetId="6">#REF!</definedName>
    <definedName name="__xlnm._FilterDatabase_2" localSheetId="29">#REF!</definedName>
    <definedName name="__xlnm._FilterDatabase_2" localSheetId="24">#REF!</definedName>
    <definedName name="__xlnm._FilterDatabase_2" localSheetId="26">#REF!</definedName>
    <definedName name="__xlnm._FilterDatabase_2">#REF!</definedName>
    <definedName name="__xlnm._FilterDatabase_2_1">"#REF!"</definedName>
    <definedName name="__xlnm._FilterDatabase_3" localSheetId="6">#REF!</definedName>
    <definedName name="__xlnm._FilterDatabase_3" localSheetId="29">#REF!</definedName>
    <definedName name="__xlnm._FilterDatabase_3" localSheetId="24">#REF!</definedName>
    <definedName name="__xlnm._FilterDatabase_3" localSheetId="26">#REF!</definedName>
    <definedName name="__xlnm._FilterDatabase_3">#REF!</definedName>
    <definedName name="__xlnm._FilterDatabase_3_1">"#REF!"</definedName>
    <definedName name="__xlnm._FilterDatabase_4" localSheetId="6">#REF!</definedName>
    <definedName name="__xlnm._FilterDatabase_4" localSheetId="29">#REF!</definedName>
    <definedName name="__xlnm._FilterDatabase_4" localSheetId="24">#REF!</definedName>
    <definedName name="__xlnm._FilterDatabase_4" localSheetId="26">#REF!</definedName>
    <definedName name="__xlnm._FilterDatabase_4">#REF!</definedName>
    <definedName name="__xlnm._FilterDatabase_5">#N/A</definedName>
    <definedName name="__xlnm.Database">"#REF!"</definedName>
    <definedName name="__xlnm.Database_1">"#REF!"</definedName>
    <definedName name="__xlnm.Print_Area" localSheetId="12">#REF!</definedName>
    <definedName name="__xlnm.Print_Area" localSheetId="6">#REF!</definedName>
    <definedName name="__xlnm.Print_Area" localSheetId="29">#REF!</definedName>
    <definedName name="__xlnm.Print_Area" localSheetId="4">#REF!</definedName>
    <definedName name="__xlnm.Print_Area" localSheetId="32">#REF!</definedName>
    <definedName name="__xlnm.Print_Area" localSheetId="24">#REF!</definedName>
    <definedName name="__xlnm.Print_Area" localSheetId="7">#REF!</definedName>
    <definedName name="__xlnm.Print_Area" localSheetId="26">#REF!</definedName>
    <definedName name="__xlnm.Print_Area">"$#REF!.$A$1:$D$37"</definedName>
    <definedName name="__xlnm.Print_Area_1" localSheetId="12">#REF!</definedName>
    <definedName name="__xlnm.Print_Area_1" localSheetId="6">#REF!</definedName>
    <definedName name="__xlnm.Print_Area_1" localSheetId="29">#REF!</definedName>
    <definedName name="__xlnm.Print_Area_1" localSheetId="4">#REF!</definedName>
    <definedName name="__xlnm.Print_Area_1" localSheetId="32">#REF!</definedName>
    <definedName name="__xlnm.Print_Area_1" localSheetId="24">#REF!</definedName>
    <definedName name="__xlnm.Print_Area_1" localSheetId="7">#REF!</definedName>
    <definedName name="__xlnm.Print_Area_1" localSheetId="26">#REF!</definedName>
    <definedName name="__xlnm.Print_Area_1">"$#REF!.$A$1:$D$37"</definedName>
    <definedName name="__xlnm.Print_Area_1_1" localSheetId="12">"#REF!"</definedName>
    <definedName name="__xlnm.Print_Area_1_1" localSheetId="6">"#REF!"</definedName>
    <definedName name="__xlnm.Print_Area_1_1" localSheetId="29">"#REF!"</definedName>
    <definedName name="__xlnm.Print_Area_1_1" localSheetId="4">"#REF!"</definedName>
    <definedName name="__xlnm.Print_Area_1_1" localSheetId="32">"#REF!"</definedName>
    <definedName name="__xlnm.Print_Area_1_1" localSheetId="24">"#REF!"</definedName>
    <definedName name="__xlnm.Print_Area_1_1" localSheetId="26">"#REF!"</definedName>
    <definedName name="__xlnm.Print_Area_1_1">#REF!</definedName>
    <definedName name="__xlnm.Print_Area_1_2">"#REF!"</definedName>
    <definedName name="__xlnm.Print_Area_1_3">"#REF!"</definedName>
    <definedName name="__xlnm.Print_Area_10" localSheetId="6">#REF!</definedName>
    <definedName name="__xlnm.Print_Area_10" localSheetId="29">#REF!</definedName>
    <definedName name="__xlnm.Print_Area_10" localSheetId="24">#REF!</definedName>
    <definedName name="__xlnm.Print_Area_10" localSheetId="26">#REF!</definedName>
    <definedName name="__xlnm.Print_Area_10">#REF!</definedName>
    <definedName name="__xlnm.Print_Area_10_1">"#REF!"</definedName>
    <definedName name="__xlnm.Print_Area_11" localSheetId="6">#REF!</definedName>
    <definedName name="__xlnm.Print_Area_11" localSheetId="29">#REF!</definedName>
    <definedName name="__xlnm.Print_Area_11" localSheetId="24">#REF!</definedName>
    <definedName name="__xlnm.Print_Area_11" localSheetId="26">#REF!</definedName>
    <definedName name="__xlnm.Print_Area_11">#REF!</definedName>
    <definedName name="__xlnm.Print_Area_13" localSheetId="6">#REF!</definedName>
    <definedName name="__xlnm.Print_Area_13">#REF!</definedName>
    <definedName name="__xlnm.Print_Area_2" localSheetId="12">#REF!</definedName>
    <definedName name="__xlnm.Print_Area_2" localSheetId="6">#REF!</definedName>
    <definedName name="__xlnm.Print_Area_2" localSheetId="29">#REF!</definedName>
    <definedName name="__xlnm.Print_Area_2" localSheetId="4">#REF!</definedName>
    <definedName name="__xlnm.Print_Area_2" localSheetId="32">#REF!</definedName>
    <definedName name="__xlnm.Print_Area_2" localSheetId="24">#REF!</definedName>
    <definedName name="__xlnm.Print_Area_2" localSheetId="7">#REF!</definedName>
    <definedName name="__xlnm.Print_Area_2" localSheetId="26">#REF!</definedName>
    <definedName name="__xlnm.Print_Area_2">"$#REF!.$A$1:$Z$38"</definedName>
    <definedName name="__xlnm.Print_Area_3" localSheetId="12">#REF!</definedName>
    <definedName name="__xlnm.Print_Area_3" localSheetId="6">#REF!</definedName>
    <definedName name="__xlnm.Print_Area_3" localSheetId="29">#REF!</definedName>
    <definedName name="__xlnm.Print_Area_3" localSheetId="4">#REF!</definedName>
    <definedName name="__xlnm.Print_Area_3" localSheetId="32">#REF!</definedName>
    <definedName name="__xlnm.Print_Area_3" localSheetId="24">#REF!</definedName>
    <definedName name="__xlnm.Print_Area_3" localSheetId="7">#REF!</definedName>
    <definedName name="__xlnm.Print_Area_3" localSheetId="26">#REF!</definedName>
    <definedName name="__xlnm.Print_Area_3">"$#REF!.$A$1:$E$42"</definedName>
    <definedName name="__xlnm.Print_Area_3_1" localSheetId="6">#REF!</definedName>
    <definedName name="__xlnm.Print_Area_3_1" localSheetId="29">#REF!</definedName>
    <definedName name="__xlnm.Print_Area_3_1" localSheetId="24">#REF!</definedName>
    <definedName name="__xlnm.Print_Area_3_1" localSheetId="26">#REF!</definedName>
    <definedName name="__xlnm.Print_Area_3_1">#REF!</definedName>
    <definedName name="__xlnm.Print_Area_3_2">"#REF!"</definedName>
    <definedName name="__xlnm.Print_Area_3_3">"#REF!"</definedName>
    <definedName name="__xlnm.Print_Area_4" localSheetId="12">#REF!</definedName>
    <definedName name="__xlnm.Print_Area_4" localSheetId="6">#REF!</definedName>
    <definedName name="__xlnm.Print_Area_4" localSheetId="29">#REF!</definedName>
    <definedName name="__xlnm.Print_Area_4" localSheetId="4">#REF!</definedName>
    <definedName name="__xlnm.Print_Area_4" localSheetId="32">#REF!</definedName>
    <definedName name="__xlnm.Print_Area_4" localSheetId="24">#REF!</definedName>
    <definedName name="__xlnm.Print_Area_4" localSheetId="7">#REF!</definedName>
    <definedName name="__xlnm.Print_Area_4" localSheetId="26">#REF!</definedName>
    <definedName name="__xlnm.Print_Area_4">"$#REF!.$A$1:$D$37"</definedName>
    <definedName name="__xlnm.Print_Area_5" localSheetId="12">#REF!</definedName>
    <definedName name="__xlnm.Print_Area_5" localSheetId="6">#REF!</definedName>
    <definedName name="__xlnm.Print_Area_5" localSheetId="29">#REF!</definedName>
    <definedName name="__xlnm.Print_Area_5" localSheetId="4">#REF!</definedName>
    <definedName name="__xlnm.Print_Area_5" localSheetId="32">#REF!</definedName>
    <definedName name="__xlnm.Print_Area_5" localSheetId="24">#REF!</definedName>
    <definedName name="__xlnm.Print_Area_5" localSheetId="7">#REF!</definedName>
    <definedName name="__xlnm.Print_Area_5" localSheetId="26">#REF!</definedName>
    <definedName name="__xlnm.Print_Area_5">"$#REF!.$A$1:$D$37"</definedName>
    <definedName name="__xlnm.Print_Area_6" localSheetId="12">#REF!</definedName>
    <definedName name="__xlnm.Print_Area_6" localSheetId="6">#REF!</definedName>
    <definedName name="__xlnm.Print_Area_6" localSheetId="29">#REF!</definedName>
    <definedName name="__xlnm.Print_Area_6" localSheetId="4">#REF!</definedName>
    <definedName name="__xlnm.Print_Area_6" localSheetId="32">#REF!</definedName>
    <definedName name="__xlnm.Print_Area_6" localSheetId="24">#REF!</definedName>
    <definedName name="__xlnm.Print_Area_6" localSheetId="7">#REF!</definedName>
    <definedName name="__xlnm.Print_Area_6" localSheetId="26">#REF!</definedName>
    <definedName name="__xlnm.Print_Area_6">"$#REF!.$A$1:$O$46"</definedName>
    <definedName name="__xlnm.Print_Area_7" localSheetId="12">#REF!</definedName>
    <definedName name="__xlnm.Print_Area_7" localSheetId="6">#REF!</definedName>
    <definedName name="__xlnm.Print_Area_7" localSheetId="29">#REF!</definedName>
    <definedName name="__xlnm.Print_Area_7" localSheetId="4">#REF!</definedName>
    <definedName name="__xlnm.Print_Area_7" localSheetId="32">#REF!</definedName>
    <definedName name="__xlnm.Print_Area_7" localSheetId="24">#REF!</definedName>
    <definedName name="__xlnm.Print_Area_7" localSheetId="7">#REF!</definedName>
    <definedName name="__xlnm.Print_Area_7" localSheetId="26">#REF!</definedName>
    <definedName name="__xlnm.Print_Area_7">"$#REF!.$A$1:$O$42"</definedName>
    <definedName name="__xlnm.Print_Area_8" localSheetId="6">#REF!</definedName>
    <definedName name="__xlnm.Print_Area_8" localSheetId="29">#REF!</definedName>
    <definedName name="__xlnm.Print_Area_8" localSheetId="24">#REF!</definedName>
    <definedName name="__xlnm.Print_Area_8" localSheetId="26">#REF!</definedName>
    <definedName name="__xlnm.Print_Area_8">#REF!</definedName>
    <definedName name="__xlnm.Print_Area_9" localSheetId="6">#REF!</definedName>
    <definedName name="__xlnm.Print_Area_9">#REF!</definedName>
    <definedName name="__xlnm.Print_Titles" localSheetId="6">#REF!</definedName>
    <definedName name="__xlnm.Print_Titles" localSheetId="4">#REF!</definedName>
    <definedName name="__xlnm.Print_Titles" localSheetId="32">#REF!</definedName>
    <definedName name="__xlnm.Print_Titles">#REF!</definedName>
    <definedName name="__xlnm.Print_Titles_1" localSheetId="29">#REF!</definedName>
    <definedName name="__xlnm.Print_Titles_1" localSheetId="4">#REF!</definedName>
    <definedName name="__xlnm.Print_Titles_1" localSheetId="32">#REF!</definedName>
    <definedName name="__xlnm.Print_Titles_1" localSheetId="26">#REF!</definedName>
    <definedName name="__xlnm.Print_Titles_1">#REF!</definedName>
    <definedName name="__xlnm.Print_Titles_1_1">#REF!</definedName>
    <definedName name="__xlnm.Print_Titles_1_2">"#REF!"</definedName>
    <definedName name="__xlnm.Print_Titles_1_3">"#REF!"</definedName>
    <definedName name="__xlnm.Print_Titles_2" localSheetId="6">#REF!</definedName>
    <definedName name="__xlnm.Print_Titles_2" localSheetId="29">#REF!</definedName>
    <definedName name="__xlnm.Print_Titles_2" localSheetId="24">#REF!</definedName>
    <definedName name="__xlnm.Print_Titles_2" localSheetId="26">#REF!</definedName>
    <definedName name="__xlnm.Print_Titles_2">#REF!</definedName>
    <definedName name="__xlnm.Print_Titles_3" localSheetId="6">#REF!</definedName>
    <definedName name="__xlnm.Print_Titles_3" localSheetId="29">#REF!</definedName>
    <definedName name="__xlnm.Print_Titles_3" localSheetId="26">#REF!</definedName>
    <definedName name="__xlnm.Print_Titles_3">#REF!</definedName>
    <definedName name="__xlnm.Print_Titles_3_1" localSheetId="6">#REF!</definedName>
    <definedName name="__xlnm.Print_Titles_3_1" localSheetId="29">#REF!</definedName>
    <definedName name="__xlnm.Print_Titles_3_1" localSheetId="26">#REF!</definedName>
    <definedName name="__xlnm.Print_Titles_3_1">#REF!</definedName>
    <definedName name="__xlnm.Print_Titles_3_2">"#REF!"</definedName>
    <definedName name="__xlnm.Print_Titles_3_3">"#REF!"</definedName>
    <definedName name="__xlnm.Print_Titles_4" localSheetId="6">#REF!</definedName>
    <definedName name="__xlnm.Print_Titles_4" localSheetId="29">#REF!</definedName>
    <definedName name="__xlnm.Print_Titles_4" localSheetId="24">#REF!</definedName>
    <definedName name="__xlnm.Print_Titles_4" localSheetId="26">#REF!</definedName>
    <definedName name="__xlnm.Print_Titles_4">#REF!</definedName>
    <definedName name="__xlnm.Print_Titles_7" localSheetId="6">#REF!</definedName>
    <definedName name="__xlnm.Print_Titles_7">#REF!</definedName>
    <definedName name="__xlnm.Recorder">"#REF!"</definedName>
    <definedName name="__xlnm.Recorder_1">"#REF!"</definedName>
    <definedName name="__ZS1" localSheetId="27">#REF!</definedName>
    <definedName name="__ZS1">#REF!</definedName>
    <definedName name="__ZS2" localSheetId="27">#REF!</definedName>
    <definedName name="__ZS2">#REF!</definedName>
    <definedName name="_0" localSheetId="27">#REF!</definedName>
    <definedName name="_0">#REF!</definedName>
    <definedName name="_0___0">#REF!</definedName>
    <definedName name="_033" localSheetId="12">#REF!</definedName>
    <definedName name="_033">#REF!</definedName>
    <definedName name="_066" localSheetId="12">#REF!</definedName>
    <definedName name="_066">#REF!</definedName>
    <definedName name="_0790" localSheetId="29">#REF!</definedName>
    <definedName name="_0790" localSheetId="26">#REF!</definedName>
    <definedName name="_0790">#REF!</definedName>
    <definedName name="_1" localSheetId="12" hidden="1">{"'TP-SUMMARY'!$I$11:$K$11"}</definedName>
    <definedName name="_1" hidden="1">#REF!</definedName>
    <definedName name="_1____________123Graph_ACHART_1" hidden="1">#REF!</definedName>
    <definedName name="_1_______123Graph_ACHART_1" hidden="1">#REF!</definedName>
    <definedName name="_1____123Graph_ACHART_1" hidden="1">#REF!</definedName>
    <definedName name="_1___123Graph_ACHART_1" hidden="1">#REF!</definedName>
    <definedName name="_1__123Graph_ACHART_1" hidden="1">#REF!</definedName>
    <definedName name="_1__Excavation_completed_of_pit_B">#REF!</definedName>
    <definedName name="_1__Productivity_Reference">#REF!</definedName>
    <definedName name="_1_3_1_1">#REF!</definedName>
    <definedName name="_1_Excel_BuiltIn_Print_Area_2_1_1">#REF!</definedName>
    <definedName name="_1_Jan17">#REF!</definedName>
    <definedName name="_10.0mm" localSheetId="6">#REF!</definedName>
    <definedName name="_10.0mm" localSheetId="27">#REF!</definedName>
    <definedName name="_10.0mm" localSheetId="4">#REF!</definedName>
    <definedName name="_10.0mm" localSheetId="32">#REF!</definedName>
    <definedName name="_10.0mm" localSheetId="24">#REF!</definedName>
    <definedName name="_10.0mm">#REF!</definedName>
    <definedName name="_10________123Graph_ACHART_1" localSheetId="29" hidden="1">#REF!</definedName>
    <definedName name="_10________123Graph_ACHART_1" localSheetId="24" hidden="1">#REF!</definedName>
    <definedName name="_10________123Graph_ACHART_1" localSheetId="26" hidden="1">#REF!</definedName>
    <definedName name="_10________123Graph_ACHART_1" hidden="1">#REF!</definedName>
    <definedName name="_10____123Graph_ACHART_1" localSheetId="29" hidden="1">#REF!</definedName>
    <definedName name="_10____123Graph_ACHART_1" localSheetId="26" hidden="1">#REF!</definedName>
    <definedName name="_10____123Graph_ACHART_1" hidden="1">#REF!</definedName>
    <definedName name="_10__123Graph_BCHART_1" hidden="1">#REF!</definedName>
    <definedName name="_10__Excel_BuiltIn_Print_Titles_6_1_1">#REF!</definedName>
    <definedName name="_10_a1_1_1_1">#REF!</definedName>
    <definedName name="_10_s_1_1">#REF!</definedName>
    <definedName name="_1000A01">#N/A</definedName>
    <definedName name="_10Excel_BuiltIn_Print_Area_18_1" localSheetId="24">#REF!</definedName>
    <definedName name="_10Excel_BuiltIn_Print_Area_18_1">#REF!</definedName>
    <definedName name="_10Excel_BuiltIn_Print_Area_3_1" localSheetId="24">#REF!</definedName>
    <definedName name="_10Excel_BuiltIn_Print_Area_3_1">#REF!</definedName>
    <definedName name="_10Excel_BuiltIn_Print_Area_4_1_1_1_1" localSheetId="6">#REF!</definedName>
    <definedName name="_10Excel_BuiltIn_Print_Area_4_1_1_1_1" localSheetId="29">#REF!</definedName>
    <definedName name="_10Excel_BuiltIn_Print_Area_4_1_1_1_1" localSheetId="7">#REF!</definedName>
    <definedName name="_10Excel_BuiltIn_Print_Area_4_1_1_1_1" localSheetId="26">#REF!</definedName>
    <definedName name="_10Excel_BuiltIn_Print_Area_4_1_1_1_1">#REF!</definedName>
    <definedName name="_10Excel_BuiltIn_Print_Area_4_1_1_1_1_1_1">#REF!</definedName>
    <definedName name="_10Excel_BuiltIn_Print_Area_7">"$#REF!.$A$1:$Z$43"</definedName>
    <definedName name="_10Excel_BuiltIn_Print_Titles_6_1_1">#REF!</definedName>
    <definedName name="_10MACRO_SOMMAIRE_.Bouton5_QuandClic">#N/A</definedName>
    <definedName name="_11">#N/A</definedName>
    <definedName name="_11________123Graph_BCHART_1" localSheetId="6" hidden="1">#REF!</definedName>
    <definedName name="_11________123Graph_BCHART_1" localSheetId="29" hidden="1">#REF!</definedName>
    <definedName name="_11________123Graph_BCHART_1" localSheetId="24" hidden="1">#REF!</definedName>
    <definedName name="_11________123Graph_BCHART_1" localSheetId="26" hidden="1">#REF!</definedName>
    <definedName name="_11________123Graph_BCHART_1" hidden="1">#REF!</definedName>
    <definedName name="_11____123Graph_BCHART_1" localSheetId="6" hidden="1">#REF!</definedName>
    <definedName name="_11____123Graph_BCHART_1" localSheetId="29" hidden="1">#REF!</definedName>
    <definedName name="_11____123Graph_BCHART_1" localSheetId="26" hidden="1">#REF!</definedName>
    <definedName name="_11____123Graph_BCHART_1" hidden="1">#REF!</definedName>
    <definedName name="_11_3_0Crite" localSheetId="6">#REF!</definedName>
    <definedName name="_11_3_0Crite" localSheetId="29">#REF!</definedName>
    <definedName name="_11_3_0Crite" localSheetId="26">#REF!</definedName>
    <definedName name="_11_3_0Crite">#REF!</definedName>
    <definedName name="_11_Z_1_1">#REF!</definedName>
    <definedName name="_11BS">#REF!</definedName>
    <definedName name="_11Excel_BuiltIn_Print_Area_18_1">#REF!</definedName>
    <definedName name="_11Excel_BuiltIn_Print_Area_2_1">#REF!</definedName>
    <definedName name="_11Excel_BuiltIn_Print_Area_3_1_1">#REF!</definedName>
    <definedName name="_11Excel_BuiltIn_Print_Area_4_1_1_1_1_1" localSheetId="29">#REF!</definedName>
    <definedName name="_11Excel_BuiltIn_Print_Area_4_1_1_1_1_1" localSheetId="7">#REF!</definedName>
    <definedName name="_11Excel_BuiltIn_Print_Area_4_1_1_1_1_1" localSheetId="26">#REF!</definedName>
    <definedName name="_11Excel_BuiltIn_Print_Area_4_1_1_1_1_1">#REF!</definedName>
    <definedName name="_11Excel_BuiltIn_Print_Area_4_1_1_1_1_1_1_1_1_1_1">#REF!</definedName>
    <definedName name="_11Excel_BuiltIn_Print_Area_8">"$#REF!.$A$1:$Z$41"</definedName>
    <definedName name="_11MACRO_SOMMAIRE_.Bouton6_QuandClic">#N/A</definedName>
    <definedName name="_12________123Graph_CCHART_1" localSheetId="6" hidden="1">#REF!</definedName>
    <definedName name="_12________123Graph_CCHART_1" localSheetId="29" hidden="1">#REF!</definedName>
    <definedName name="_12________123Graph_CCHART_1" localSheetId="24" hidden="1">#REF!</definedName>
    <definedName name="_12________123Graph_CCHART_1" localSheetId="26" hidden="1">#REF!</definedName>
    <definedName name="_12________123Graph_CCHART_1" hidden="1">#REF!</definedName>
    <definedName name="_12____123Graph_CCHART_1" localSheetId="6" hidden="1">#REF!</definedName>
    <definedName name="_12____123Graph_CCHART_1" localSheetId="29" hidden="1">#REF!</definedName>
    <definedName name="_12____123Graph_CCHART_1" localSheetId="26" hidden="1">#REF!</definedName>
    <definedName name="_12____123Graph_CCHART_1" hidden="1">#REF!</definedName>
    <definedName name="_12__123Graph_BCHART_1" localSheetId="6" hidden="1">#REF!</definedName>
    <definedName name="_12__123Graph_BCHART_1" localSheetId="29" hidden="1">#REF!</definedName>
    <definedName name="_12__123Graph_BCHART_1" localSheetId="26" hidden="1">#REF!</definedName>
    <definedName name="_12__123Graph_BCHART_1" hidden="1">#REF!</definedName>
    <definedName name="_12__123Graph_CCHART_1" hidden="1">#REF!</definedName>
    <definedName name="_12_C_1_1">#REF!</definedName>
    <definedName name="_123">#REF!</definedName>
    <definedName name="_12BS">#REF!</definedName>
    <definedName name="_12Excel_BuiltIn_Print_Area_1_1">#REF!</definedName>
    <definedName name="_12Excel_BuiltIn_Print_Area_2_1_1_1">#REF!</definedName>
    <definedName name="_12Excel_BuiltIn_Print_Area_3_1_1_1">#REF!</definedName>
    <definedName name="_12Excel_BuiltIn_Print_Area_4_1_1_1_1_1_1" localSheetId="29">#REF!</definedName>
    <definedName name="_12Excel_BuiltIn_Print_Area_4_1_1_1_1_1_1" localSheetId="7">#REF!</definedName>
    <definedName name="_12Excel_BuiltIn_Print_Area_4_1_1_1_1_1_1" localSheetId="26">#REF!</definedName>
    <definedName name="_12Excel_BuiltIn_Print_Area_4_1_1_1_1_1_1">#REF!</definedName>
    <definedName name="_12Excel_BuiltIn_Print_Area_4_1_1_1_1_1_1_1_1_1_1_1">#REF!</definedName>
    <definedName name="_12Excel_BuiltIn_Print_Area_9">"$#REF!.$A$1:$S$38"</definedName>
    <definedName name="_12Excel_BuiltIn_Print_Titles_6_1_1">#REF!</definedName>
    <definedName name="_12MACRO_SOMMAIRE_.Bouton7_QuandClic">#N/A</definedName>
    <definedName name="_13.2mm" localSheetId="6">#REF!</definedName>
    <definedName name="_13.2mm" localSheetId="27">#REF!</definedName>
    <definedName name="_13.2mm" localSheetId="4">#REF!</definedName>
    <definedName name="_13.2mm" localSheetId="32">#REF!</definedName>
    <definedName name="_13.2mm" localSheetId="24">#REF!</definedName>
    <definedName name="_13.2mm">#REF!</definedName>
    <definedName name="_13____123Graph_ACHART_1" localSheetId="6" hidden="1">#REF!</definedName>
    <definedName name="_13____123Graph_ACHART_1" localSheetId="29" hidden="1">#REF!</definedName>
    <definedName name="_13____123Graph_ACHART_1" localSheetId="24" hidden="1">#REF!</definedName>
    <definedName name="_13____123Graph_ACHART_1" localSheetId="26" hidden="1">#REF!</definedName>
    <definedName name="_13____123Graph_ACHART_1" hidden="1">#REF!</definedName>
    <definedName name="_13___123Graph_ACHART_1" localSheetId="6" hidden="1">#REF!</definedName>
    <definedName name="_13___123Graph_ACHART_1" localSheetId="29" hidden="1">#REF!</definedName>
    <definedName name="_13___123Graph_ACHART_1" localSheetId="26" hidden="1">#REF!</definedName>
    <definedName name="_13___123Graph_ACHART_1" hidden="1">#REF!</definedName>
    <definedName name="_13_3_0Criteria" localSheetId="29">#REF!</definedName>
    <definedName name="_13_3_0Criteria" localSheetId="26">#REF!</definedName>
    <definedName name="_13_3_0Criteria">#REF!</definedName>
    <definedName name="_13_ページング_電話関係">#REF!</definedName>
    <definedName name="_132" localSheetId="12">#REF!</definedName>
    <definedName name="_132">#REF!</definedName>
    <definedName name="_13BS">#REF!</definedName>
    <definedName name="_13Excel_BuiltIn_Print_Area_1_1">"$#REF!.$A$1:$E$42"</definedName>
    <definedName name="_13Excel_BuiltIn_Print_Area_1_2">#REF!</definedName>
    <definedName name="_13Excel_BuiltIn_Print_Area_2_1" localSheetId="24">#REF!</definedName>
    <definedName name="_13Excel_BuiltIn_Print_Area_2_1">#REF!</definedName>
    <definedName name="_13Excel_BuiltIn_Print_Area_2_1_1_1_1" localSheetId="24">#REF!</definedName>
    <definedName name="_13Excel_BuiltIn_Print_Area_2_1_1_1_1">#REF!</definedName>
    <definedName name="_13Excel_BuiltIn_Print_Area_3_1_1_1_1" localSheetId="24">#REF!</definedName>
    <definedName name="_13Excel_BuiltIn_Print_Area_3_1_1_1_1">#REF!</definedName>
    <definedName name="_13Excel_BuiltIn_Print_Area_4_1_1_1_1_1_1_1_1_1_1" localSheetId="6">#REF!</definedName>
    <definedName name="_13Excel_BuiltIn_Print_Area_4_1_1_1_1_1_1_1_1_1_1" localSheetId="29">#REF!</definedName>
    <definedName name="_13Excel_BuiltIn_Print_Area_4_1_1_1_1_1_1_1_1_1_1" localSheetId="7">#REF!</definedName>
    <definedName name="_13Excel_BuiltIn_Print_Area_4_1_1_1_1_1_1_1_1_1_1" localSheetId="26">#REF!</definedName>
    <definedName name="_13Excel_BuiltIn_Print_Area_4_1_1_1_1_1_1_1_1_1_1">#REF!</definedName>
    <definedName name="_13Excel_BuiltIn_Print_Area_4_1_1_1_1_1_1_1_1_1_1_1_1">#REF!</definedName>
    <definedName name="_13MACRO_SOMMAIRE_.Bouton8_QuandClic">#N/A</definedName>
    <definedName name="_14____123Graph_BCHART_1" localSheetId="6" hidden="1">#REF!</definedName>
    <definedName name="_14____123Graph_BCHART_1" localSheetId="29" hidden="1">#REF!</definedName>
    <definedName name="_14____123Graph_BCHART_1" localSheetId="24" hidden="1">#REF!</definedName>
    <definedName name="_14____123Graph_BCHART_1" localSheetId="26" hidden="1">#REF!</definedName>
    <definedName name="_14____123Graph_BCHART_1" hidden="1">#REF!</definedName>
    <definedName name="_14___123Graph_BCHART_1" localSheetId="6" hidden="1">#REF!</definedName>
    <definedName name="_14___123Graph_BCHART_1" localSheetId="24" hidden="1">#REF!</definedName>
    <definedName name="_14___123Graph_BCHART_1" hidden="1">#REF!</definedName>
    <definedName name="_14_E_1_1">#REF!</definedName>
    <definedName name="_14BS">#REF!</definedName>
    <definedName name="_14Excel_BuiltIn_Print_Area_2_1_1_1_1_1">#REF!</definedName>
    <definedName name="_14Excel_BuiltIn_Print_Area_4_1_1_1_1">#REF!</definedName>
    <definedName name="_14Excel_BuiltIn_Print_Area_4_1_1_1_1_1_1_1_1_1_1_1" localSheetId="29">#REF!</definedName>
    <definedName name="_14Excel_BuiltIn_Print_Area_4_1_1_1_1_1_1_1_1_1_1_1" localSheetId="7">#REF!</definedName>
    <definedName name="_14Excel_BuiltIn_Print_Area_4_1_1_1_1_1_1_1_1_1_1_1" localSheetId="26">#REF!</definedName>
    <definedName name="_14Excel_BuiltIn_Print_Area_4_1_1_1_1_1_1_1_1_1_1_1">#REF!</definedName>
    <definedName name="_14Excel_BuiltIn_Print_Area_5_1_1_1_1">#REF!</definedName>
    <definedName name="_14Excel_BuiltIn_Print_Titles_6_1_1">#REF!</definedName>
    <definedName name="_14MACRO_SOMMAIRE_.Bouton9_QuandClic">#N/A</definedName>
    <definedName name="_15____123Graph_CCHART_1" localSheetId="6" hidden="1">#REF!</definedName>
    <definedName name="_15____123Graph_CCHART_1" localSheetId="29" hidden="1">#REF!</definedName>
    <definedName name="_15____123Graph_CCHART_1" localSheetId="24" hidden="1">#REF!</definedName>
    <definedName name="_15____123Graph_CCHART_1" localSheetId="26" hidden="1">#REF!</definedName>
    <definedName name="_15____123Graph_CCHART_1" hidden="1">#REF!</definedName>
    <definedName name="_15___123Graph_CCHART_1" localSheetId="6" hidden="1">#REF!</definedName>
    <definedName name="_15___123Graph_CCHART_1" localSheetId="24" hidden="1">#REF!</definedName>
    <definedName name="_15___123Graph_CCHART_1" hidden="1">#REF!</definedName>
    <definedName name="_15__123Graph_CCHART_1" localSheetId="6" hidden="1">#REF!</definedName>
    <definedName name="_15__123Graph_CCHART_1" hidden="1">#REF!</definedName>
    <definedName name="_15_3__Crite">#REF!</definedName>
    <definedName name="_15_Excel_BuiltIn_Print_Titles_5_1_1">#REF!</definedName>
    <definedName name="_15BS">#REF!</definedName>
    <definedName name="_15Excel_BuiltIn_Print_Area_2_1_1_1">#REF!</definedName>
    <definedName name="_15Excel_BuiltIn_Print_Area_3_1">#REF!</definedName>
    <definedName name="_15Excel_BuiltIn_Print_Area_4_1_1_1_1_1_1_1_1_1_1_1_1" localSheetId="29">#REF!</definedName>
    <definedName name="_15Excel_BuiltIn_Print_Area_4_1_1_1_1_1_1_1_1_1_1_1_1" localSheetId="7">#REF!</definedName>
    <definedName name="_15Excel_BuiltIn_Print_Area_4_1_1_1_1_1_1_1_1_1_1_1_1" localSheetId="26">#REF!</definedName>
    <definedName name="_15Excel_BuiltIn_Print_Area_4_1_1_1_1_1_1_1_1_1_1_1_1">#REF!</definedName>
    <definedName name="_15Excel_BuiltIn_Print_Area_5_1_1_1">#REF!</definedName>
    <definedName name="_15Excel_BuiltIn_Print_Area_5_1_1_1_1_1_1">#REF!</definedName>
    <definedName name="_15MACROS_IMPRESSION_.Choix">#N/A</definedName>
    <definedName name="_16__123Graph_ACHART_1" localSheetId="6" hidden="1">#REF!</definedName>
    <definedName name="_16__123Graph_ACHART_1" localSheetId="29" hidden="1">#REF!</definedName>
    <definedName name="_16__123Graph_ACHART_1" localSheetId="24" hidden="1">#REF!</definedName>
    <definedName name="_16__123Graph_ACHART_1" localSheetId="26" hidden="1">#REF!</definedName>
    <definedName name="_16__123Graph_ACHART_1" hidden="1">#REF!</definedName>
    <definedName name="_16_F_1_1">#REF!</definedName>
    <definedName name="_16BS">#REF!</definedName>
    <definedName name="_16Excel_BuiltIn_Print_Area_3_1_1" localSheetId="24">#REF!</definedName>
    <definedName name="_16Excel_BuiltIn_Print_Area_3_1_1">#REF!</definedName>
    <definedName name="_16Excel_BuiltIn_Print_Area_5_1_1_1_1">#REF!</definedName>
    <definedName name="_16Excel_BuiltIn_Print_Titles_1_1_1" localSheetId="12">(#REF!,#REF!)</definedName>
    <definedName name="_16Excel_BuiltIn_Print_Titles_1_1_1" localSheetId="24">(#REF!,#REF!)</definedName>
    <definedName name="_16Excel_BuiltIn_Print_Titles_1_1_1">(#REF!,#REF!)</definedName>
    <definedName name="_16Excel_BuiltIn_Print_Titles_4_1" localSheetId="6">#REF!</definedName>
    <definedName name="_16Excel_BuiltIn_Print_Titles_4_1" localSheetId="24">#REF!</definedName>
    <definedName name="_16Excel_BuiltIn_Print_Titles_4_1">#REF!</definedName>
    <definedName name="_16Excel_BuiltIn_Print_Titles_6_1_1">#REF!</definedName>
    <definedName name="_16MACROS_IMPRESSION_.Démare">#N/A</definedName>
    <definedName name="_17__123Graph_BCHART_1" localSheetId="6" hidden="1">#REF!</definedName>
    <definedName name="_17__123Graph_BCHART_1" localSheetId="29" hidden="1">#REF!</definedName>
    <definedName name="_17__123Graph_BCHART_1" localSheetId="27" hidden="1">#REF!</definedName>
    <definedName name="_17__123Graph_BCHART_1" localSheetId="26" hidden="1">#REF!</definedName>
    <definedName name="_17__123Graph_BCHART_1" hidden="1">#REF!</definedName>
    <definedName name="_17_3__Criteria" localSheetId="6">#REF!</definedName>
    <definedName name="_17_3__Criteria">#REF!</definedName>
    <definedName name="_17Excel_BuiltIn_Print_Area_2_1_1_1_1">#REF!</definedName>
    <definedName name="_17Excel_BuiltIn_Print_Area_3_1_1_1">#REF!</definedName>
    <definedName name="_17Excel_BuiltIn_Print_Area_7_1_1_1_1">#REF!</definedName>
    <definedName name="_17Excel_BuiltIn_Print_Titles_4_1">#REF!</definedName>
    <definedName name="_18__123Graph_CCHART_1" localSheetId="6" hidden="1">#REF!</definedName>
    <definedName name="_18__123Graph_CCHART_1" hidden="1">#REF!</definedName>
    <definedName name="_18_Q_1_1">#REF!</definedName>
    <definedName name="_18Excel_BuiltIn_Print_Area_3_1_1_1_1">#REF!</definedName>
    <definedName name="_18Excel_BuiltIn_Print_Area_8_1_1_1_1">#REF!</definedName>
    <definedName name="_18Excel_BuiltIn_Print_Titles_5_1_1">#REF!</definedName>
    <definedName name="_19Excel_BuiltIn_Print_Area_2_1_1_1_1_1">#REF!</definedName>
    <definedName name="_19Excel_BuiltIn_Print_Area_4_1_1_1_1">#REF!</definedName>
    <definedName name="_19Excel_BuiltIn_Print_Area_9_1">#REF!</definedName>
    <definedName name="_19G_0Extr">#REF!</definedName>
    <definedName name="_1Excel_BuiltIn_Print_Area_1">"$#REF!.$A$1:$U$39"</definedName>
    <definedName name="_1Excel_BuiltIn_Print_Area_1_1" localSheetId="24">#REF!</definedName>
    <definedName name="_1Excel_BuiltIn_Print_Area_1_1">#REF!</definedName>
    <definedName name="_1Excel_BuiltIn_Print_Area_10_1" localSheetId="12">#REF!</definedName>
    <definedName name="_1Excel_BuiltIn_Print_Area_10_1" localSheetId="24">#REF!</definedName>
    <definedName name="_1Excel_BuiltIn_Print_Area_10_1">#REF!</definedName>
    <definedName name="_1Excel_BuiltIn_Print_Area_3_1">#REF!</definedName>
    <definedName name="_1Excel_BuiltIn_Print_Area_4_1" localSheetId="24">#REF!</definedName>
    <definedName name="_1Excel_BuiltIn_Print_Area_4_1">#REF!</definedName>
    <definedName name="_1Excel_BuiltIn_Print_Titles_1_1_1">"$#REF!.$A$1:$AMJ$6"</definedName>
    <definedName name="_1Excel_BuiltIn_Print_Titles_5_1_1">#REF!</definedName>
    <definedName name="_1F" localSheetId="6" hidden="1">#REF!</definedName>
    <definedName name="_1F" localSheetId="27" hidden="1">#REF!</definedName>
    <definedName name="_1F" localSheetId="4" hidden="1">#REF!</definedName>
    <definedName name="_1F" localSheetId="32" hidden="1">#REF!</definedName>
    <definedName name="_1F" localSheetId="24" hidden="1">#REF!</definedName>
    <definedName name="_1F" hidden="1">#REF!</definedName>
    <definedName name="_1MACRO_3___Roof_Plate_.resolution">#N/A</definedName>
    <definedName name="_2" localSheetId="6">#REF!</definedName>
    <definedName name="_2" localSheetId="27">#REF!</definedName>
    <definedName name="_2" localSheetId="24">#REF!</definedName>
    <definedName name="_2">#REF!</definedName>
    <definedName name="_2____________123Graph_BCHART_1" localSheetId="6" hidden="1">#REF!</definedName>
    <definedName name="_2____________123Graph_BCHART_1" localSheetId="24" hidden="1">#REF!</definedName>
    <definedName name="_2____________123Graph_BCHART_1" hidden="1">#REF!</definedName>
    <definedName name="_2_______123Graph_BCHART_1" localSheetId="6" hidden="1">#REF!</definedName>
    <definedName name="_2_______123Graph_BCHART_1" localSheetId="24" hidden="1">#REF!</definedName>
    <definedName name="_2_______123Graph_BCHART_1" hidden="1">#REF!</definedName>
    <definedName name="_2____123Graph_BCHART_1" hidden="1">#REF!</definedName>
    <definedName name="_2___123Graph_BCHART_1" hidden="1">#REF!</definedName>
    <definedName name="_2___c">#REF!</definedName>
    <definedName name="_2__123Graph_ACHART_1" hidden="1">#REF!</definedName>
    <definedName name="_2__123Graph_BCHART_1" hidden="1">#REF!</definedName>
    <definedName name="_2__a____i">#REF!</definedName>
    <definedName name="_2__a____ii">#REF!</definedName>
    <definedName name="_2__a____iii">#REF!</definedName>
    <definedName name="_2__b">#REF!</definedName>
    <definedName name="_2__c">#REF!</definedName>
    <definedName name="_2_0_0_F" localSheetId="6" hidden="1">#REF!</definedName>
    <definedName name="_2_0_0_F" localSheetId="27" hidden="1">#REF!</definedName>
    <definedName name="_2_0_0_F" localSheetId="4" hidden="1">#REF!</definedName>
    <definedName name="_2_0_0_F" localSheetId="32" hidden="1">#REF!</definedName>
    <definedName name="_2_0_0_F" localSheetId="24" hidden="1">#REF!</definedName>
    <definedName name="_2_0_0_F" hidden="1">#REF!</definedName>
    <definedName name="_2_3_1_1">#REF!</definedName>
    <definedName name="_2_4_1_1">#REF!</definedName>
    <definedName name="_20_Excel_BuiltIn_Print_Titles_6_1_1">#REF!</definedName>
    <definedName name="_20_s_1_1">#REF!</definedName>
    <definedName name="_20Excel_BuiltIn_Print_Area_5_1_1_1" localSheetId="24">#REF!</definedName>
    <definedName name="_20Excel_BuiltIn_Print_Area_5_1_1_1">#REF!</definedName>
    <definedName name="_20F" localSheetId="6" hidden="1">#REF!</definedName>
    <definedName name="_20F" localSheetId="27" hidden="1">#REF!</definedName>
    <definedName name="_20F" localSheetId="4" hidden="1">#REF!</definedName>
    <definedName name="_20F" localSheetId="32" hidden="1">#REF!</definedName>
    <definedName name="_20F" localSheetId="24" hidden="1">#REF!</definedName>
    <definedName name="_20F" hidden="1">#REF!</definedName>
    <definedName name="_21_0_0_F" localSheetId="6" hidden="1">#REF!</definedName>
    <definedName name="_21_0_0_F" localSheetId="27" hidden="1">#REF!</definedName>
    <definedName name="_21_0_0_F" localSheetId="4" hidden="1">#REF!</definedName>
    <definedName name="_21_0_0_F" localSheetId="32" hidden="1">#REF!</definedName>
    <definedName name="_21_0_0_F" localSheetId="24" hidden="1">#REF!</definedName>
    <definedName name="_21_0_0_F" hidden="1">#REF!</definedName>
    <definedName name="_21Excel_BuiltIn_Print_Area_3_1" localSheetId="24">#REF!</definedName>
    <definedName name="_21Excel_BuiltIn_Print_Area_3_1">#REF!</definedName>
    <definedName name="_21Excel_BuiltIn_Print_Area_5_1_1_1_1" localSheetId="24">#REF!</definedName>
    <definedName name="_21Excel_BuiltIn_Print_Area_5_1_1_1_1">#REF!</definedName>
    <definedName name="_21G_0Extract" localSheetId="29">#REF!</definedName>
    <definedName name="_21G_0Extract" localSheetId="26">#REF!</definedName>
    <definedName name="_21G_0Extract">#REF!</definedName>
    <definedName name="_22" localSheetId="29" hidden="1">#REF!</definedName>
    <definedName name="_22" localSheetId="26" hidden="1">#REF!</definedName>
    <definedName name="_22" hidden="1">#REF!</definedName>
    <definedName name="_22_Z_1_1">#REF!</definedName>
    <definedName name="_22Excel_BuiltIn_Print_Area_7_1_1_1_1">#REF!</definedName>
    <definedName name="_23_0_0_F" localSheetId="6" hidden="1">#REF!</definedName>
    <definedName name="_23_0_0_F" localSheetId="27" hidden="1">#REF!</definedName>
    <definedName name="_23_0_0_F" localSheetId="4" hidden="1">#REF!</definedName>
    <definedName name="_23_0_0_F" localSheetId="32" hidden="1">#REF!</definedName>
    <definedName name="_23_0_0_F" localSheetId="24" hidden="1">#REF!</definedName>
    <definedName name="_23_0_0_F" hidden="1">#REF!</definedName>
    <definedName name="_23Excel_BuiltIn_Print_Area_3_1_1" localSheetId="24">#REF!</definedName>
    <definedName name="_23Excel_BuiltIn_Print_Area_3_1_1">#REF!</definedName>
    <definedName name="_23Excel_BuiltIn_Print_Area_8_1_1_1_1" localSheetId="24">#REF!</definedName>
    <definedName name="_23Excel_BuiltIn_Print_Area_8_1_1_1_1">#REF!</definedName>
    <definedName name="_23G__Extr" localSheetId="29">#REF!</definedName>
    <definedName name="_23G__Extr" localSheetId="26">#REF!</definedName>
    <definedName name="_23G__Extr">#REF!</definedName>
    <definedName name="_24_0_0_F" localSheetId="6" hidden="1">#REF!</definedName>
    <definedName name="_24_0_0_F" localSheetId="27" hidden="1">#REF!</definedName>
    <definedName name="_24_0_0_F" localSheetId="4" hidden="1">#REF!</definedName>
    <definedName name="_24_0_0_F" localSheetId="32" hidden="1">#REF!</definedName>
    <definedName name="_24_0_0_F" localSheetId="24" hidden="1">#REF!</definedName>
    <definedName name="_24_0_0_F" hidden="1">#REF!</definedName>
    <definedName name="_24Excel_BuiltIn_Print_Area_1_1">#REF!</definedName>
    <definedName name="_24Excel_BuiltIn_Print_Area_9_1" localSheetId="24">#REF!</definedName>
    <definedName name="_24Excel_BuiltIn_Print_Area_9_1">#REF!</definedName>
    <definedName name="_25Excel_BuiltIn_Print_Area_1_2">#REF!</definedName>
    <definedName name="_25Excel_BuiltIn_Print_Area_3_1_1_1" localSheetId="24">#REF!</definedName>
    <definedName name="_25Excel_BuiltIn_Print_Area_3_1_1_1">#REF!</definedName>
    <definedName name="_25G__Extract" localSheetId="29">#REF!</definedName>
    <definedName name="_25G__Extract" localSheetId="26">#REF!</definedName>
    <definedName name="_25G__Extract">#REF!</definedName>
    <definedName name="_27Excel_BuiltIn_Print_Area_3_1_1_1_1">#REF!</definedName>
    <definedName name="_27Excel_BuiltIn_Print_Titles_5_1_1">#REF!</definedName>
    <definedName name="_29Excel_BuiltIn_Print_Area_4_1_1_1_1">#REF!</definedName>
    <definedName name="_2A2" localSheetId="6">#REF!</definedName>
    <definedName name="_2A2" localSheetId="27">#REF!</definedName>
    <definedName name="_2A2" localSheetId="4">#REF!</definedName>
    <definedName name="_2A2" localSheetId="32">#REF!</definedName>
    <definedName name="_2A2" localSheetId="24">#REF!</definedName>
    <definedName name="_2A2">#REF!</definedName>
    <definedName name="_2Excel_BuiltIn_Print_Area_10">"$#REF!.$A$1:$V$42"</definedName>
    <definedName name="_2Excel_BuiltIn_Print_Area_12_1_1_1_1" localSheetId="24">#REF!</definedName>
    <definedName name="_2Excel_BuiltIn_Print_Area_12_1_1_1_1">#REF!</definedName>
    <definedName name="_2Excel_BuiltIn_Print_Area_2_1_1_1" localSheetId="24">#REF!</definedName>
    <definedName name="_2Excel_BuiltIn_Print_Area_2_1_1_1">#REF!</definedName>
    <definedName name="_2Excel_BuiltIn_Print_Area_3_1" localSheetId="24">#REF!</definedName>
    <definedName name="_2Excel_BuiltIn_Print_Area_3_1">#REF!</definedName>
    <definedName name="_2Excel_BuiltIn_Print_Area_4_1">#REF!</definedName>
    <definedName name="_2Excel_BuiltIn_Print_Area_4_1_1">#REF!</definedName>
    <definedName name="_2Excel_BuiltIn_Print_Titles_6_1_1">#REF!</definedName>
    <definedName name="_2m_100">#REF!</definedName>
    <definedName name="_2m_150">#REF!</definedName>
    <definedName name="_2m_200">#REF!</definedName>
    <definedName name="_2m_25">#REF!</definedName>
    <definedName name="_2m_250">#REF!</definedName>
    <definedName name="_2m_300">#REF!</definedName>
    <definedName name="_2m_32">#REF!</definedName>
    <definedName name="_2m_40">#REF!</definedName>
    <definedName name="_2m_50">#REF!</definedName>
    <definedName name="_2m_65">#REF!</definedName>
    <definedName name="_2m_80">#REF!</definedName>
    <definedName name="_2MACRO_SOMMAIRE_.Bouton1_QuandClic">#N/A</definedName>
    <definedName name="_3" localSheetId="6">#REF!</definedName>
    <definedName name="_3" localSheetId="29">#REF!</definedName>
    <definedName name="_3" localSheetId="24">#REF!</definedName>
    <definedName name="_3" localSheetId="26">#REF!</definedName>
    <definedName name="_3">#REF!</definedName>
    <definedName name="_3_______________aq" localSheetId="6">#REF!</definedName>
    <definedName name="_3_______________aq" localSheetId="24">#REF!</definedName>
    <definedName name="_3_______________aq">#REF!</definedName>
    <definedName name="_3______________b" localSheetId="6">#REF!</definedName>
    <definedName name="_3______________b">#REF!</definedName>
    <definedName name="_3____________123Graph_CCHART_1" hidden="1">#REF!</definedName>
    <definedName name="_3___________e">#REF!</definedName>
    <definedName name="_3________e">#REF!</definedName>
    <definedName name="_3_______123Graph_CCHART_1" hidden="1">#REF!</definedName>
    <definedName name="_3____123Graph_CCHART_1" hidden="1">#REF!</definedName>
    <definedName name="_3____c">#REF!</definedName>
    <definedName name="_3___123Graph_CCHART_1" hidden="1">#REF!</definedName>
    <definedName name="_3___f">#REF!</definedName>
    <definedName name="_3__123Graph_ACHART_1" hidden="1">#REF!</definedName>
    <definedName name="_3__123Graph_CCHART_1" hidden="1">#REF!</definedName>
    <definedName name="_3__a">#REF!</definedName>
    <definedName name="_3__b">#REF!</definedName>
    <definedName name="_3__e">#REF!</definedName>
    <definedName name="_3_1">#REF!</definedName>
    <definedName name="_3_1_1">#REF!</definedName>
    <definedName name="_3_3a">#REF!</definedName>
    <definedName name="_3_a">#REF!</definedName>
    <definedName name="_3_A_1_1">#REF!</definedName>
    <definedName name="_31_Mar_02">#REF!</definedName>
    <definedName name="_31Excel_BuiltIn_Print_Area_5_1_1_1">#REF!</definedName>
    <definedName name="_33Excel_BuiltIn_Print_Area_5_1_1_1_1">#REF!</definedName>
    <definedName name="_34Excel_BuiltIn_Print_Titles_6_1_1">#REF!</definedName>
    <definedName name="_35Excel_BuiltIn_Print_Area_7_1_1_1_1">#REF!</definedName>
    <definedName name="_37Excel_BuiltIn_Print_Area_8_1_1_1_1">#REF!</definedName>
    <definedName name="_39Excel_BuiltIn_Print_Area_9_1">#REF!</definedName>
    <definedName name="_3B3" localSheetId="6">#REF!</definedName>
    <definedName name="_3B3" localSheetId="27">#REF!</definedName>
    <definedName name="_3B3" localSheetId="4">#REF!</definedName>
    <definedName name="_3B3" localSheetId="32">#REF!</definedName>
    <definedName name="_3B3" localSheetId="24">#REF!</definedName>
    <definedName name="_3B3">#REF!</definedName>
    <definedName name="_3Excel_BuiltIn_Print_Area_10_1" localSheetId="12">#REF!</definedName>
    <definedName name="_3Excel_BuiltIn_Print_Area_10_1" localSheetId="24">#REF!</definedName>
    <definedName name="_3Excel_BuiltIn_Print_Area_10_1">#REF!</definedName>
    <definedName name="_3Excel_BuiltIn_Print_Area_11">"$#REF!.$A$1:$V$46"</definedName>
    <definedName name="_3Excel_BuiltIn_Print_Area_16_1_1_1_1" localSheetId="24">#REF!</definedName>
    <definedName name="_3Excel_BuiltIn_Print_Area_16_1_1_1_1">#REF!</definedName>
    <definedName name="_3Excel_BuiltIn_Print_Area_2_1_1_1_1_1_1_1_1_1_1_1" localSheetId="24">#REF!</definedName>
    <definedName name="_3Excel_BuiltIn_Print_Area_2_1_1_1_1_1_1_1_1_1_1_1">#REF!</definedName>
    <definedName name="_3Excel_BuiltIn_Print_Area_4_1_1">#REF!</definedName>
    <definedName name="_3Excel_BuiltIn_Print_Area_4_1_1_1">#REF!</definedName>
    <definedName name="_3Excel_BuiltIn_Print_Titles_3_1" localSheetId="24">#REF!</definedName>
    <definedName name="_3Excel_BuiltIn_Print_Titles_3_1">#REF!</definedName>
    <definedName name="_3Excel_BuiltIn_Print_Titles_5_1_1">#REF!</definedName>
    <definedName name="_3m_100">#REF!</definedName>
    <definedName name="_3m_150">#REF!</definedName>
    <definedName name="_3m_200">#REF!</definedName>
    <definedName name="_3m_25">#REF!</definedName>
    <definedName name="_3m_250">#REF!</definedName>
    <definedName name="_3m_300">#REF!</definedName>
    <definedName name="_3m_32">#REF!</definedName>
    <definedName name="_3m_40">#REF!</definedName>
    <definedName name="_3m_50">#REF!</definedName>
    <definedName name="_3m_65">#REF!</definedName>
    <definedName name="_3m_80">#REF!</definedName>
    <definedName name="_3MACRO_SOMMAIRE_.Bouton10_QuandClic">#N/A</definedName>
    <definedName name="_4" localSheetId="6">#REF!</definedName>
    <definedName name="_4" localSheetId="29">#REF!</definedName>
    <definedName name="_4" localSheetId="24">#REF!</definedName>
    <definedName name="_4" localSheetId="26">#REF!</definedName>
    <definedName name="_4">#REF!</definedName>
    <definedName name="_4_" localSheetId="6">#REF!</definedName>
    <definedName name="_4_" localSheetId="24">#REF!</definedName>
    <definedName name="_4_">#REF!</definedName>
    <definedName name="_4_____________" localSheetId="6">#REF!</definedName>
    <definedName name="_4_____________">#REF!</definedName>
    <definedName name="_4___________123Graph_ACHART_1" hidden="1">#REF!</definedName>
    <definedName name="_4______123Graph_ACHART_1" hidden="1">#REF!</definedName>
    <definedName name="_4______a______ii">#REF!</definedName>
    <definedName name="_4______a_____ii">#REF!</definedName>
    <definedName name="_4______i____">#REF!</definedName>
    <definedName name="_4____b________i">#REF!</definedName>
    <definedName name="_4___123Graph_ACHART_1" hidden="1">#REF!</definedName>
    <definedName name="_4___b">#REF!</definedName>
    <definedName name="_4__123Graph_ACHART_1" hidden="1">#REF!</definedName>
    <definedName name="_4__123Graph_BCHART_1" hidden="1">#REF!</definedName>
    <definedName name="_4__a____i">#REF!</definedName>
    <definedName name="_4__a____ii">#REF!</definedName>
    <definedName name="_4__a____iii">#REF!</definedName>
    <definedName name="_4__b___iv">#REF!</definedName>
    <definedName name="_4_1">#REF!</definedName>
    <definedName name="_4_1_1">#REF!</definedName>
    <definedName name="_4_4_1_1">#REF!</definedName>
    <definedName name="_4_a______________iii">#REF!</definedName>
    <definedName name="_4_a___iv">#REF!</definedName>
    <definedName name="_4_a___v">#REF!</definedName>
    <definedName name="_4_a1_1_1">#REF!</definedName>
    <definedName name="_4_b_________iiiiiii">#REF!</definedName>
    <definedName name="_4_b___i">#REF!</definedName>
    <definedName name="_4_b___ii">#REF!</definedName>
    <definedName name="_4_b___iii">#REF!</definedName>
    <definedName name="_4_b_iv_______">#REF!</definedName>
    <definedName name="_40mm" localSheetId="6">#REF!</definedName>
    <definedName name="_40mm" localSheetId="27">#REF!</definedName>
    <definedName name="_40mm" localSheetId="4">#REF!</definedName>
    <definedName name="_40mm" localSheetId="32">#REF!</definedName>
    <definedName name="_40mm" localSheetId="24">#REF!</definedName>
    <definedName name="_40mm">#REF!</definedName>
    <definedName name="_41aa1_" localSheetId="12" hidden="1">{#N/A,#N/A,FALSE,"CCTV"}</definedName>
    <definedName name="_41aa1_" localSheetId="6" hidden="1">{#N/A,#N/A,FALSE,"CCTV"}</definedName>
    <definedName name="_41aa1_" localSheetId="29" hidden="1">{#N/A,#N/A,FALSE,"CCTV"}</definedName>
    <definedName name="_41aa1_" localSheetId="27" hidden="1">{#N/A,#N/A,FALSE,"CCTV"}</definedName>
    <definedName name="_41aa1_" localSheetId="4" hidden="1">{#N/A,#N/A,FALSE,"CCTV"}</definedName>
    <definedName name="_41aa1_" localSheetId="32" hidden="1">{#N/A,#N/A,FALSE,"CCTV"}</definedName>
    <definedName name="_41aa1_" localSheetId="24" hidden="1">{#N/A,#N/A,FALSE,"CCTV"}</definedName>
    <definedName name="_41aa1_" localSheetId="26" hidden="1">{#N/A,#N/A,FALSE,"CCTV"}</definedName>
    <definedName name="_41aa1_" hidden="1">{#N/A,#N/A,FALSE,"CCTV"}</definedName>
    <definedName name="_4321">#REF!</definedName>
    <definedName name="_4aa1_" localSheetId="12" hidden="1">{#N/A,#N/A,FALSE,"CCTV"}</definedName>
    <definedName name="_4aa1_" localSheetId="6" hidden="1">{#N/A,#N/A,FALSE,"CCTV"}</definedName>
    <definedName name="_4aa1_" localSheetId="29" hidden="1">{#N/A,#N/A,FALSE,"CCTV"}</definedName>
    <definedName name="_4aa1_" localSheetId="27" hidden="1">{#N/A,#N/A,FALSE,"CCTV"}</definedName>
    <definedName name="_4aa1_" localSheetId="4" hidden="1">{#N/A,#N/A,FALSE,"CCTV"}</definedName>
    <definedName name="_4aa1_" localSheetId="32" hidden="1">{#N/A,#N/A,FALSE,"CCTV"}</definedName>
    <definedName name="_4aa1_" localSheetId="24" hidden="1">{#N/A,#N/A,FALSE,"CCTV"}</definedName>
    <definedName name="_4aa1_" localSheetId="26" hidden="1">{#N/A,#N/A,FALSE,"CCTV"}</definedName>
    <definedName name="_4aa1_" hidden="1">{#N/A,#N/A,FALSE,"CCTV"}</definedName>
    <definedName name="_4C_x" localSheetId="6">#REF!</definedName>
    <definedName name="_4C_x" localSheetId="29">#REF!</definedName>
    <definedName name="_4C_x" localSheetId="24">#REF!</definedName>
    <definedName name="_4C_x" localSheetId="26">#REF!</definedName>
    <definedName name="_4C_x">#REF!</definedName>
    <definedName name="_4Excel_BuiltIn_Print_Area_12">"$#REF!.$A$1:$P$83"</definedName>
    <definedName name="_4Excel_BuiltIn_Print_Area_17_1_1_1_1" localSheetId="24">#REF!</definedName>
    <definedName name="_4Excel_BuiltIn_Print_Area_17_1_1_1_1">#REF!</definedName>
    <definedName name="_4Excel_BuiltIn_Print_Area_3_1_1_1_1_1_1_1_1_1" localSheetId="24">#REF!</definedName>
    <definedName name="_4Excel_BuiltIn_Print_Area_3_1_1_1_1_1_1_1_1_1">#REF!</definedName>
    <definedName name="_4Excel_BuiltIn_Print_Area_4_1_1_1">#REF!</definedName>
    <definedName name="_4Excel_BuiltIn_Print_Area_4_1_1_1_1">#REF!</definedName>
    <definedName name="_4Excel_BuiltIn_Print_Titles_5_1_1">#REF!</definedName>
    <definedName name="_4MACRO_SOMMAIRE_.Bouton11_QuandClic">#N/A</definedName>
    <definedName name="_5.0_Hire_and_running_charges_of_winch___grab" localSheetId="12">#REF!</definedName>
    <definedName name="_5.0_Hire_and_running_charges_of_winch___grab" localSheetId="24">#REF!</definedName>
    <definedName name="_5.0_Hire_and_running_charges_of_winch___grab">#REF!</definedName>
    <definedName name="_5.6mm" localSheetId="6">#REF!</definedName>
    <definedName name="_5.6mm" localSheetId="27">#REF!</definedName>
    <definedName name="_5.6mm" localSheetId="4">#REF!</definedName>
    <definedName name="_5.6mm" localSheetId="32">#REF!</definedName>
    <definedName name="_5.6mm" localSheetId="24">#REF!</definedName>
    <definedName name="_5.6mm">#REF!</definedName>
    <definedName name="_5___________123Graph_BCHART_1" localSheetId="6" hidden="1">#REF!</definedName>
    <definedName name="_5___________123Graph_BCHART_1" localSheetId="29" hidden="1">#REF!</definedName>
    <definedName name="_5___________123Graph_BCHART_1" localSheetId="26" hidden="1">#REF!</definedName>
    <definedName name="_5___________123Graph_BCHART_1" hidden="1">#REF!</definedName>
    <definedName name="_5______123Graph_BCHART_1" localSheetId="6" hidden="1">#REF!</definedName>
    <definedName name="_5______123Graph_BCHART_1" hidden="1">#REF!</definedName>
    <definedName name="_5___123Graph_BCHART_1" hidden="1">#REF!</definedName>
    <definedName name="_5___c">#REF!</definedName>
    <definedName name="_5___ci">#REF!</definedName>
    <definedName name="_5__123Graph_ACHART_1" hidden="1">#REF!</definedName>
    <definedName name="_5__123Graph_BCHART_1" hidden="1">#REF!</definedName>
    <definedName name="_5__a____i">#REF!</definedName>
    <definedName name="_5__a___ii">#REF!</definedName>
    <definedName name="_5__b">#REF!</definedName>
    <definedName name="_5__Excel_BuiltIn_Print_Titles_5_1_1">#REF!</definedName>
    <definedName name="_5_a1_1_1_1">#REF!</definedName>
    <definedName name="_5Excel_BuiltIn_Print_Area_12_1_1_1_1">#REF!</definedName>
    <definedName name="_5Excel_BuiltIn_Print_Area_18_1">#REF!</definedName>
    <definedName name="_5Excel_BuiltIn_Print_Area_2">"$#REF!.$A$1:$U$38"</definedName>
    <definedName name="_5Excel_BuiltIn_Print_Area_4_1" localSheetId="24">#REF!</definedName>
    <definedName name="_5Excel_BuiltIn_Print_Area_4_1">#REF!</definedName>
    <definedName name="_5Excel_BuiltIn_Print_Area_4_1_1_1_1">#REF!</definedName>
    <definedName name="_5Excel_BuiltIn_Print_Area_4_1_1_1_1_1">#REF!</definedName>
    <definedName name="_5Excel_BuiltIn_Print_Titles_5_1_1">#REF!</definedName>
    <definedName name="_5MACRO_SOMMAIRE_.Bouton12_QuandClic">#N/A</definedName>
    <definedName name="_6___________123Graph_CCHART_1" localSheetId="6" hidden="1">#REF!</definedName>
    <definedName name="_6___________123Graph_CCHART_1" localSheetId="29" hidden="1">#REF!</definedName>
    <definedName name="_6___________123Graph_CCHART_1" localSheetId="27" hidden="1">#REF!</definedName>
    <definedName name="_6___________123Graph_CCHART_1" localSheetId="26" hidden="1">#REF!</definedName>
    <definedName name="_6___________123Graph_CCHART_1" hidden="1">#REF!</definedName>
    <definedName name="_6______123Graph_CCHART_1" localSheetId="6" hidden="1">#REF!</definedName>
    <definedName name="_6______123Graph_CCHART_1" hidden="1">#REF!</definedName>
    <definedName name="_6___123Graph_CCHART_1" localSheetId="6" hidden="1">#REF!</definedName>
    <definedName name="_6___123Graph_CCHART_1" hidden="1">#REF!</definedName>
    <definedName name="_6___c">#REF!</definedName>
    <definedName name="_6__123Graph_ACHART_1" hidden="1">#REF!</definedName>
    <definedName name="_6__123Graph_BCHART_1" hidden="1">#REF!</definedName>
    <definedName name="_6__123Graph_CCHART_1" hidden="1">#REF!</definedName>
    <definedName name="_6__a">#REF!</definedName>
    <definedName name="_6__b">#REF!</definedName>
    <definedName name="_6__d">#REF!</definedName>
    <definedName name="_6_A_1_1">#REF!</definedName>
    <definedName name="_6_C_1_1">#REF!</definedName>
    <definedName name="_6382">#REF!</definedName>
    <definedName name="_6Excel_BuiltIn_Print_Area_1_1" localSheetId="12">#REF!</definedName>
    <definedName name="_6Excel_BuiltIn_Print_Area_1_1" localSheetId="29">#REF!</definedName>
    <definedName name="_6Excel_BuiltIn_Print_Area_1_1" localSheetId="7">#REF!</definedName>
    <definedName name="_6Excel_BuiltIn_Print_Area_1_1" localSheetId="26">#REF!</definedName>
    <definedName name="_6Excel_BuiltIn_Print_Area_1_1">#REF!</definedName>
    <definedName name="_6Excel_BuiltIn_Print_Area_10_1" localSheetId="12">#REF!</definedName>
    <definedName name="_6Excel_BuiltIn_Print_Area_10_1">#REF!</definedName>
    <definedName name="_6Excel_BuiltIn_Print_Area_2_1">#REF!</definedName>
    <definedName name="_6Excel_BuiltIn_Print_Area_3">"$#REF!.$A$1:$R$38"</definedName>
    <definedName name="_6Excel_BuiltIn_Print_Area_4_1_1" localSheetId="24">#REF!</definedName>
    <definedName name="_6Excel_BuiltIn_Print_Area_4_1_1">#REF!</definedName>
    <definedName name="_6Excel_BuiltIn_Print_Area_4_1_1_1_1_1">#REF!</definedName>
    <definedName name="_6Excel_BuiltIn_Print_Titles_4_1">#REF!</definedName>
    <definedName name="_6Excel_BuiltIn_Print_Titles_5_1_1">#REF!</definedName>
    <definedName name="_6Excel_BuiltIn_Print_Titles_6_1_1">#REF!</definedName>
    <definedName name="_6MACRO_SOMMAIRE_.Bouton13_QuandClic">#N/A</definedName>
    <definedName name="_7__________123Graph_ACHART_1" localSheetId="6" hidden="1">#REF!</definedName>
    <definedName name="_7__________123Graph_ACHART_1" localSheetId="29" hidden="1">#REF!</definedName>
    <definedName name="_7__________123Graph_ACHART_1" localSheetId="27" hidden="1">#REF!</definedName>
    <definedName name="_7__________123Graph_ACHART_1" localSheetId="26" hidden="1">#REF!</definedName>
    <definedName name="_7__________123Graph_ACHART_1" hidden="1">#REF!</definedName>
    <definedName name="_7_____123Graph_ACHART_1" localSheetId="6" hidden="1">#REF!</definedName>
    <definedName name="_7_____123Graph_ACHART_1" hidden="1">#REF!</definedName>
    <definedName name="_7__123Graph_ACHART_1" localSheetId="6" hidden="1">#REF!</definedName>
    <definedName name="_7__123Graph_ACHART_1" hidden="1">#REF!</definedName>
    <definedName name="_7_a">#REF!</definedName>
    <definedName name="_7_E_1_1">#REF!</definedName>
    <definedName name="_7Excel_BuiltIn_Print_Area_12_1_1_1_1">#REF!</definedName>
    <definedName name="_7Excel_BuiltIn_Print_Area_16_1_1_1_1">#REF!</definedName>
    <definedName name="_7Excel_BuiltIn_Print_Area_2_1_1_1">#REF!</definedName>
    <definedName name="_7Excel_BuiltIn_Print_Area_4_1" localSheetId="29">#REF!</definedName>
    <definedName name="_7Excel_BuiltIn_Print_Area_4_1" localSheetId="7">#REF!</definedName>
    <definedName name="_7Excel_BuiltIn_Print_Area_4_1" localSheetId="26">#REF!</definedName>
    <definedName name="_7Excel_BuiltIn_Print_Area_4_1">#REF!</definedName>
    <definedName name="_7Excel_BuiltIn_Print_Area_4_1_1_1">#REF!</definedName>
    <definedName name="_7Excel_BuiltIn_Print_Titles_4_1">#REF!</definedName>
    <definedName name="_7Excel_BuiltIn_Print_Titles_5_1_1">#REF!</definedName>
    <definedName name="_7MACRO_SOMMAIRE_.Bouton2_QuandClic">#N/A</definedName>
    <definedName name="_8__________123Graph_BCHART_1" localSheetId="6" hidden="1">#REF!</definedName>
    <definedName name="_8__________123Graph_BCHART_1" localSheetId="29" hidden="1">#REF!</definedName>
    <definedName name="_8__________123Graph_BCHART_1" localSheetId="24" hidden="1">#REF!</definedName>
    <definedName name="_8__________123Graph_BCHART_1" localSheetId="26" hidden="1">#REF!</definedName>
    <definedName name="_8__________123Graph_BCHART_1" hidden="1">#REF!</definedName>
    <definedName name="_8_____123Graph_BCHART_1" localSheetId="6" hidden="1">#REF!</definedName>
    <definedName name="_8_____123Graph_BCHART_1" localSheetId="24" hidden="1">#REF!</definedName>
    <definedName name="_8_____123Graph_BCHART_1" hidden="1">#REF!</definedName>
    <definedName name="_8__123Graph_BCHART_1" localSheetId="6" hidden="1">#REF!</definedName>
    <definedName name="_8__123Graph_BCHART_1" hidden="1">#REF!</definedName>
    <definedName name="_8__a___x">#REF!</definedName>
    <definedName name="_8_a1_1_1">#REF!</definedName>
    <definedName name="_8_F_1_1">#REF!</definedName>
    <definedName name="_8Excel_BuiltIn_Print_Area_16_1_1_1_1">#REF!</definedName>
    <definedName name="_8Excel_BuiltIn_Print_Area_2_1_1_1_1">#REF!</definedName>
    <definedName name="_8Excel_BuiltIn_Print_Area_4_1_1" localSheetId="29">#REF!</definedName>
    <definedName name="_8Excel_BuiltIn_Print_Area_4_1_1" localSheetId="7">#REF!</definedName>
    <definedName name="_8Excel_BuiltIn_Print_Area_4_1_1" localSheetId="26">#REF!</definedName>
    <definedName name="_8Excel_BuiltIn_Print_Area_4_1_1">#REF!</definedName>
    <definedName name="_8Excel_BuiltIn_Print_Area_4_1_1_1_1">#REF!</definedName>
    <definedName name="_8Excel_BuiltIn_Print_Titles_5_1_1">#REF!</definedName>
    <definedName name="_8Excel_BuiltIn_Print_Titles_6_1_1">#REF!</definedName>
    <definedName name="_8MACRO_SOMMAIRE_.Bouton3_QuandClic">#N/A</definedName>
    <definedName name="_9__________123Graph_CCHART_1" localSheetId="6" hidden="1">#REF!</definedName>
    <definedName name="_9__________123Graph_CCHART_1" localSheetId="29" hidden="1">#REF!</definedName>
    <definedName name="_9__________123Graph_CCHART_1" localSheetId="24" hidden="1">#REF!</definedName>
    <definedName name="_9__________123Graph_CCHART_1" localSheetId="26" hidden="1">#REF!</definedName>
    <definedName name="_9__________123Graph_CCHART_1" hidden="1">#REF!</definedName>
    <definedName name="_9_____123Graph_CCHART_1" localSheetId="6" hidden="1">#REF!</definedName>
    <definedName name="_9_____123Graph_CCHART_1" localSheetId="24" hidden="1">#REF!</definedName>
    <definedName name="_9_____123Graph_CCHART_1" hidden="1">#REF!</definedName>
    <definedName name="_9__123Graph_CCHART_1" localSheetId="6" hidden="1">#REF!</definedName>
    <definedName name="_9__123Graph_CCHART_1" hidden="1">#REF!</definedName>
    <definedName name="_9_Q_1_1">#REF!</definedName>
    <definedName name="_9Excel_BuiltIn_Print_Area_17_1_1_1_1">#REF!</definedName>
    <definedName name="_9Excel_BuiltIn_Print_Area_2_1_1_1_1_1">#REF!</definedName>
    <definedName name="_9Excel_BuiltIn_Print_Area_4_1_1_1" localSheetId="29">#REF!</definedName>
    <definedName name="_9Excel_BuiltIn_Print_Area_4_1_1_1" localSheetId="7">#REF!</definedName>
    <definedName name="_9Excel_BuiltIn_Print_Area_4_1_1_1" localSheetId="26">#REF!</definedName>
    <definedName name="_9Excel_BuiltIn_Print_Area_4_1_1_1">#REF!</definedName>
    <definedName name="_9Excel_BuiltIn_Print_Area_4_1_1_1_1_1">#REF!</definedName>
    <definedName name="_9Excel_BuiltIn_Print_Area_6">"$#REF!.$A$1:$K$50"</definedName>
    <definedName name="_9MACRO_SOMMAIRE_.Bouton4_QuandClic">#N/A</definedName>
    <definedName name="_A" localSheetId="12">#REF!</definedName>
    <definedName name="_a" localSheetId="29">"#REF!"</definedName>
    <definedName name="_a" localSheetId="4">"#REF!"</definedName>
    <definedName name="_a" localSheetId="32">"#REF!"</definedName>
    <definedName name="_A" localSheetId="24">#REF!</definedName>
    <definedName name="_a" localSheetId="26">"#REF!"</definedName>
    <definedName name="_a">"#REF!"</definedName>
    <definedName name="_A___0">#REF!</definedName>
    <definedName name="_A___0___0">#REF!</definedName>
    <definedName name="_A___0___0___0">#REF!</definedName>
    <definedName name="_A___0___0___0___0">#REF!</definedName>
    <definedName name="_A___0___0___0___0___0">#REF!</definedName>
    <definedName name="_A___0___0___0___0___0___0">#REF!</definedName>
    <definedName name="_A_1">#REF!</definedName>
    <definedName name="_A1">#REF!</definedName>
    <definedName name="_a1_1">#REF!</definedName>
    <definedName name="_a1_1_1">#REF!</definedName>
    <definedName name="_a1_1_2">#REF!</definedName>
    <definedName name="_A10">#REF!</definedName>
    <definedName name="_A13">#REF!</definedName>
    <definedName name="_A2">#REF!</definedName>
    <definedName name="_A20000" localSheetId="6">#REF!</definedName>
    <definedName name="_A20000" localSheetId="29">#REF!</definedName>
    <definedName name="_A20000" localSheetId="24">#REF!</definedName>
    <definedName name="_A20000" localSheetId="26">#REF!</definedName>
    <definedName name="_A20000">#REF!</definedName>
    <definedName name="_A3">#REF!</definedName>
    <definedName name="_A31">#REF!</definedName>
    <definedName name="_A321">#REF!</definedName>
    <definedName name="_A4">#REF!</definedName>
    <definedName name="_A5">#REF!</definedName>
    <definedName name="_A6">#REF!</definedName>
    <definedName name="_A65537" localSheetId="6">#REF!</definedName>
    <definedName name="_A65537">#REF!</definedName>
    <definedName name="_A655600" localSheetId="6">#REF!</definedName>
    <definedName name="_A655600">#REF!</definedName>
    <definedName name="_a655601">#REF!</definedName>
    <definedName name="_A7">#REF!</definedName>
    <definedName name="_A71614">#REF!</definedName>
    <definedName name="_A8">#REF!</definedName>
    <definedName name="_A80000">#REF!</definedName>
    <definedName name="_A81613">#REF!</definedName>
    <definedName name="_A81614">#REF!</definedName>
    <definedName name="_A9">#REF!</definedName>
    <definedName name="_A91614">#REF!</definedName>
    <definedName name="_a999999">#REF!</definedName>
    <definedName name="_aa1" localSheetId="12" hidden="1">{"'PROFITABILITY'!$A$1:$F$45"}</definedName>
    <definedName name="_aa1" localSheetId="6" hidden="1">{"'PROFITABILITY'!$A$1:$F$45"}</definedName>
    <definedName name="_aa1" localSheetId="29" hidden="1">{"'PROFITABILITY'!$A$1:$F$45"}</definedName>
    <definedName name="_aa1" localSheetId="27" hidden="1">{"'PROFITABILITY'!$A$1:$F$45"}</definedName>
    <definedName name="_aa1" localSheetId="4" hidden="1">{"'PROFITABILITY'!$A$1:$F$45"}</definedName>
    <definedName name="_aa1" localSheetId="32" hidden="1">{"'PROFITABILITY'!$A$1:$F$45"}</definedName>
    <definedName name="_aa1" localSheetId="24" hidden="1">{"'PROFITABILITY'!$A$1:$F$45"}</definedName>
    <definedName name="_aa1" localSheetId="26" hidden="1">{"'PROFITABILITY'!$A$1:$F$45"}</definedName>
    <definedName name="_aa1" hidden="1">{"'PROFITABILITY'!$A$1:$F$45"}</definedName>
    <definedName name="_aaa5">#REF!</definedName>
    <definedName name="_aba2" localSheetId="29">#REF!</definedName>
    <definedName name="_aba2" localSheetId="7">#REF!</definedName>
    <definedName name="_aba2" localSheetId="26">#REF!</definedName>
    <definedName name="_aba2">#REF!</definedName>
    <definedName name="_acs1">#REF!</definedName>
    <definedName name="_acs2">#REF!</definedName>
    <definedName name="_adj1" localSheetId="29">#REF!</definedName>
    <definedName name="_adj1" localSheetId="7">#REF!</definedName>
    <definedName name="_adj1" localSheetId="26">#REF!</definedName>
    <definedName name="_adj1">#REF!</definedName>
    <definedName name="_AHP1">#N/A</definedName>
    <definedName name="_ahu1" localSheetId="12">#REF!</definedName>
    <definedName name="_ahu1" localSheetId="29">#REF!</definedName>
    <definedName name="_ahu1" localSheetId="7">#REF!</definedName>
    <definedName name="_ahu1" localSheetId="26">#REF!</definedName>
    <definedName name="_ahu1">#REF!</definedName>
    <definedName name="_ahu2" localSheetId="12">#REF!</definedName>
    <definedName name="_ahu2" localSheetId="29">#REF!</definedName>
    <definedName name="_ahu2" localSheetId="26">#REF!</definedName>
    <definedName name="_ahu2">#REF!</definedName>
    <definedName name="_am1">#N/A</definedName>
    <definedName name="_am2">#N/A</definedName>
    <definedName name="_Ann1">#REF!</definedName>
    <definedName name="_aoc1" localSheetId="12">#REF!</definedName>
    <definedName name="_aoc1" localSheetId="6">#REF!</definedName>
    <definedName name="_aoc1" localSheetId="29">#REF!</definedName>
    <definedName name="_aoc1" localSheetId="27">#REF!</definedName>
    <definedName name="_aoc1" localSheetId="4">#REF!</definedName>
    <definedName name="_aoc1" localSheetId="32">#REF!</definedName>
    <definedName name="_aoc1" localSheetId="24">#REF!</definedName>
    <definedName name="_aoc1" localSheetId="26">#REF!</definedName>
    <definedName name="_aoc1">#REF!</definedName>
    <definedName name="_aoc2" localSheetId="12">#REF!</definedName>
    <definedName name="_AOC2" localSheetId="6">#REF!</definedName>
    <definedName name="_AOC2" localSheetId="29">#REF!</definedName>
    <definedName name="_AOC2" localSheetId="26">#REF!</definedName>
    <definedName name="_AOC2">#REF!</definedName>
    <definedName name="_aoc3" localSheetId="12">#REF!</definedName>
    <definedName name="_aoc3" localSheetId="6">#REF!</definedName>
    <definedName name="_aoc3" localSheetId="29">#REF!</definedName>
    <definedName name="_aoc3" localSheetId="27">#REF!</definedName>
    <definedName name="_aoc3" localSheetId="4">#REF!</definedName>
    <definedName name="_aoc3" localSheetId="32">#REF!</definedName>
    <definedName name="_aoc3" localSheetId="24">#REF!</definedName>
    <definedName name="_aoc3" localSheetId="26">#REF!</definedName>
    <definedName name="_aoc3">#REF!</definedName>
    <definedName name="_aoc4" localSheetId="12">#REF!</definedName>
    <definedName name="_aoc4" localSheetId="6">#REF!</definedName>
    <definedName name="_aoc4" localSheetId="29">#REF!</definedName>
    <definedName name="_aoc4" localSheetId="27">#REF!</definedName>
    <definedName name="_aoc4" localSheetId="4">#REF!</definedName>
    <definedName name="_aoc4" localSheetId="32">#REF!</definedName>
    <definedName name="_aoc4" localSheetId="24">#REF!</definedName>
    <definedName name="_aoc4" localSheetId="26">#REF!</definedName>
    <definedName name="_aoc4">#REF!</definedName>
    <definedName name="_AtRisk_SimSetting_AutomaticallyGenerateReports" hidden="1">FALSE</definedName>
    <definedName name="_AtRisk_SimSetting_AutomaticResultsDisplayMode" localSheetId="12" hidden="1">2</definedName>
    <definedName name="_AtRisk_SimSetting_AutomaticResultsDisplayMode" localSheetId="6" hidden="1">2</definedName>
    <definedName name="_AtRisk_SimSetting_AutomaticResultsDisplayMode" localSheetId="29" hidden="1">0</definedName>
    <definedName name="_AtRisk_SimSetting_AutomaticResultsDisplayMode" localSheetId="4" hidden="1">2</definedName>
    <definedName name="_AtRisk_SimSetting_AutomaticResultsDisplayMode" localSheetId="32" hidden="1">2</definedName>
    <definedName name="_AtRisk_SimSetting_AutomaticResultsDisplayMode" localSheetId="24" hidden="1">2</definedName>
    <definedName name="_AtRisk_SimSetting_AutomaticResultsDisplayMode" localSheetId="26" hidden="1">0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localSheetId="12" hidden="1">FALSE</definedName>
    <definedName name="_AtRisk_SimSetting_SmartSensitivityAnalysisEnabled" localSheetId="6" hidden="1">FALSE</definedName>
    <definedName name="_AtRisk_SimSetting_SmartSensitivityAnalysisEnabled" localSheetId="29" hidden="1">TRUE</definedName>
    <definedName name="_AtRisk_SimSetting_SmartSensitivityAnalysisEnabled" localSheetId="4" hidden="1">FALSE</definedName>
    <definedName name="_AtRisk_SimSetting_SmartSensitivityAnalysisEnabled" localSheetId="32" hidden="1">FALSE</definedName>
    <definedName name="_AtRisk_SimSetting_SmartSensitivityAnalysisEnabled" localSheetId="24" hidden="1">FALSE</definedName>
    <definedName name="_AtRisk_SimSetting_SmartSensitivityAnalysisEnabled" localSheetId="26" hidden="1">TRUE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UX3">#REF!</definedName>
    <definedName name="_AXX1" localSheetId="4">#REF!</definedName>
    <definedName name="_AXX1" localSheetId="32">#REF!</definedName>
    <definedName name="_AXX1">#REF!</definedName>
    <definedName name="_axx2" localSheetId="4">#REF!</definedName>
    <definedName name="_axx2" localSheetId="32">#REF!</definedName>
    <definedName name="_axx2">#REF!</definedName>
    <definedName name="_axx3" localSheetId="12">#REF!</definedName>
    <definedName name="_axx3">#REF!</definedName>
    <definedName name="_AXX4" localSheetId="12">#REF!</definedName>
    <definedName name="_AXX4">#REF!</definedName>
    <definedName name="_axx41111">#REF!</definedName>
    <definedName name="_axx5" localSheetId="12">#REF!</definedName>
    <definedName name="_axx5">#REF!</definedName>
    <definedName name="_axx6" localSheetId="12">#REF!</definedName>
    <definedName name="_axx6">#REF!</definedName>
    <definedName name="_AXX7" localSheetId="12">#REF!</definedName>
    <definedName name="_AXX7">#REF!</definedName>
    <definedName name="_axx8" localSheetId="12">#REF!</definedName>
    <definedName name="_axx8">#REF!</definedName>
    <definedName name="_AZ65550">#REF!</definedName>
    <definedName name="_B">#REF!</definedName>
    <definedName name="_B1">#REF!</definedName>
    <definedName name="_b1_1">#REF!</definedName>
    <definedName name="_b111121" localSheetId="12">#REF!</definedName>
    <definedName name="_b111121" localSheetId="4">#REF!</definedName>
    <definedName name="_b111121" localSheetId="32">#REF!</definedName>
    <definedName name="_b111121">#REF!</definedName>
    <definedName name="_B18000">#REF!</definedName>
    <definedName name="_B30000">#REF!</definedName>
    <definedName name="_B32000">#REF!</definedName>
    <definedName name="_BAA1">#REF!</definedName>
    <definedName name="_BAS1">#REF!</definedName>
    <definedName name="_bct75">#REF!</definedName>
    <definedName name="_bhh2">#REF!</definedName>
    <definedName name="_bitumen6070" localSheetId="6">#REF!</definedName>
    <definedName name="_bitumen6070" localSheetId="27">#REF!</definedName>
    <definedName name="_bitumen6070" localSheetId="4">#REF!</definedName>
    <definedName name="_bitumen6070" localSheetId="32">#REF!</definedName>
    <definedName name="_bitumen6070" localSheetId="24">#REF!</definedName>
    <definedName name="_bitumen6070">#REF!</definedName>
    <definedName name="_BLK2" localSheetId="6">#REF!</definedName>
    <definedName name="_BLK2" localSheetId="27">#REF!</definedName>
    <definedName name="_BLK2" localSheetId="4">#REF!</definedName>
    <definedName name="_BLK2" localSheetId="32">#REF!</definedName>
    <definedName name="_BLK2" localSheetId="24">#REF!</definedName>
    <definedName name="_BLK2">#REF!</definedName>
    <definedName name="_BLK3" localSheetId="6">#REF!</definedName>
    <definedName name="_BLK3" localSheetId="27">#REF!</definedName>
    <definedName name="_BLK3" localSheetId="4">#REF!</definedName>
    <definedName name="_BLK3" localSheetId="32">#REF!</definedName>
    <definedName name="_BLK3" localSheetId="24">#REF!</definedName>
    <definedName name="_BLK3">#REF!</definedName>
    <definedName name="_bol1">#REF!</definedName>
    <definedName name="_bom1" localSheetId="29">#REF!</definedName>
    <definedName name="_bom1" localSheetId="24">#REF!</definedName>
    <definedName name="_bom1" localSheetId="26">#REF!</definedName>
    <definedName name="_bom1">#REF!</definedName>
    <definedName name="_BoQ3">#REF!</definedName>
    <definedName name="_BOQ35">#REF!</definedName>
    <definedName name="_BoQ4">#REF!</definedName>
    <definedName name="_BoQ5">#REF!</definedName>
    <definedName name="_BOQ6">#REF!</definedName>
    <definedName name="_BoQ7">#REF!</definedName>
    <definedName name="_BoQ9">#REF!</definedName>
    <definedName name="_BUB1">#REF!</definedName>
    <definedName name="_BUB2">#REF!</definedName>
    <definedName name="_buh11">#REF!</definedName>
    <definedName name="_C">#REF!</definedName>
    <definedName name="_C___0">#REF!</definedName>
    <definedName name="_C___13">#REF!</definedName>
    <definedName name="_C_1">#REF!</definedName>
    <definedName name="_C_1_1">#REF!</definedName>
    <definedName name="_CAN112">13.42</definedName>
    <definedName name="_CAN113">12.98</definedName>
    <definedName name="_CAN117">12.7</definedName>
    <definedName name="_CAN118">13.27</definedName>
    <definedName name="_CAN120">11.72</definedName>
    <definedName name="_CAN2">#N/A</definedName>
    <definedName name="_CAN210">10.38</definedName>
    <definedName name="_CAN211">10.58</definedName>
    <definedName name="_CAN213">10.56</definedName>
    <definedName name="_CAN215">10.22</definedName>
    <definedName name="_CAN216">9.61</definedName>
    <definedName name="_CAN217">10.47</definedName>
    <definedName name="_CAN219">10.91</definedName>
    <definedName name="_CAN220">11.09</definedName>
    <definedName name="_CAN221">11.25</definedName>
    <definedName name="_CAN222">10.17</definedName>
    <definedName name="_CAN223">9.89</definedName>
    <definedName name="_CAN230">10.79</definedName>
    <definedName name="_can421">40.2</definedName>
    <definedName name="_can422">41.57</definedName>
    <definedName name="_can423">43.9</definedName>
    <definedName name="_can424">41.19</definedName>
    <definedName name="_can425">42.81</definedName>
    <definedName name="_can426">40.77</definedName>
    <definedName name="_can427">40.92</definedName>
    <definedName name="_can428">39.29</definedName>
    <definedName name="_can429">45.19</definedName>
    <definedName name="_can430">40.73</definedName>
    <definedName name="_can431">42.52</definedName>
    <definedName name="_can432">42.53</definedName>
    <definedName name="_can433">43.69</definedName>
    <definedName name="_can434">40.43</definedName>
    <definedName name="_can435">43.3</definedName>
    <definedName name="_CAN458" localSheetId="6">#REF!</definedName>
    <definedName name="_CAN458" localSheetId="27">#REF!</definedName>
    <definedName name="_CAN458" localSheetId="4">#REF!</definedName>
    <definedName name="_CAN458" localSheetId="32">#REF!</definedName>
    <definedName name="_CAN458" localSheetId="24">#REF!</definedName>
    <definedName name="_CAN458">#REF!</definedName>
    <definedName name="_CAN486" localSheetId="6">#REF!</definedName>
    <definedName name="_CAN486" localSheetId="27">#REF!</definedName>
    <definedName name="_CAN486" localSheetId="4">#REF!</definedName>
    <definedName name="_CAN486" localSheetId="32">#REF!</definedName>
    <definedName name="_CAN486" localSheetId="24">#REF!</definedName>
    <definedName name="_CAN486">#REF!</definedName>
    <definedName name="_CAN487" localSheetId="6">#REF!</definedName>
    <definedName name="_CAN487" localSheetId="27">#REF!</definedName>
    <definedName name="_CAN487" localSheetId="4">#REF!</definedName>
    <definedName name="_CAN487" localSheetId="32">#REF!</definedName>
    <definedName name="_CAN487" localSheetId="24">#REF!</definedName>
    <definedName name="_CAN487">#REF!</definedName>
    <definedName name="_CAN488" localSheetId="6">#REF!</definedName>
    <definedName name="_CAN488" localSheetId="27">#REF!</definedName>
    <definedName name="_CAN488" localSheetId="4">#REF!</definedName>
    <definedName name="_CAN488" localSheetId="32">#REF!</definedName>
    <definedName name="_CAN488" localSheetId="24">#REF!</definedName>
    <definedName name="_CAN488">#REF!</definedName>
    <definedName name="_CAN489" localSheetId="6">#REF!</definedName>
    <definedName name="_CAN489" localSheetId="27">#REF!</definedName>
    <definedName name="_CAN489" localSheetId="4">#REF!</definedName>
    <definedName name="_CAN489" localSheetId="32">#REF!</definedName>
    <definedName name="_CAN489" localSheetId="24">#REF!</definedName>
    <definedName name="_CAN489">#REF!</definedName>
    <definedName name="_CAN490" localSheetId="6">#REF!</definedName>
    <definedName name="_CAN490" localSheetId="27">#REF!</definedName>
    <definedName name="_CAN490" localSheetId="4">#REF!</definedName>
    <definedName name="_CAN490" localSheetId="32">#REF!</definedName>
    <definedName name="_CAN490" localSheetId="24">#REF!</definedName>
    <definedName name="_CAN490">#REF!</definedName>
    <definedName name="_CAN491" localSheetId="6">#REF!</definedName>
    <definedName name="_CAN491" localSheetId="27">#REF!</definedName>
    <definedName name="_CAN491" localSheetId="4">#REF!</definedName>
    <definedName name="_CAN491" localSheetId="32">#REF!</definedName>
    <definedName name="_CAN491" localSheetId="24">#REF!</definedName>
    <definedName name="_CAN491">#REF!</definedName>
    <definedName name="_CAN492" localSheetId="6">#REF!</definedName>
    <definedName name="_CAN492" localSheetId="27">#REF!</definedName>
    <definedName name="_CAN492" localSheetId="4">#REF!</definedName>
    <definedName name="_CAN492" localSheetId="32">#REF!</definedName>
    <definedName name="_CAN492" localSheetId="24">#REF!</definedName>
    <definedName name="_CAN492">#REF!</definedName>
    <definedName name="_CAN493" localSheetId="6">#REF!</definedName>
    <definedName name="_CAN493" localSheetId="27">#REF!</definedName>
    <definedName name="_CAN493" localSheetId="4">#REF!</definedName>
    <definedName name="_CAN493" localSheetId="32">#REF!</definedName>
    <definedName name="_CAN493" localSheetId="24">#REF!</definedName>
    <definedName name="_CAN493">#REF!</definedName>
    <definedName name="_CAN494" localSheetId="6">#REF!</definedName>
    <definedName name="_CAN494" localSheetId="27">#REF!</definedName>
    <definedName name="_CAN494" localSheetId="4">#REF!</definedName>
    <definedName name="_CAN494" localSheetId="32">#REF!</definedName>
    <definedName name="_CAN494" localSheetId="24">#REF!</definedName>
    <definedName name="_CAN494">#REF!</definedName>
    <definedName name="_CAN495" localSheetId="6">#REF!</definedName>
    <definedName name="_CAN495" localSheetId="27">#REF!</definedName>
    <definedName name="_CAN495" localSheetId="4">#REF!</definedName>
    <definedName name="_CAN495" localSheetId="32">#REF!</definedName>
    <definedName name="_CAN495" localSheetId="24">#REF!</definedName>
    <definedName name="_CAN495">#REF!</definedName>
    <definedName name="_CAN496" localSheetId="6">#REF!</definedName>
    <definedName name="_CAN496" localSheetId="27">#REF!</definedName>
    <definedName name="_CAN496" localSheetId="4">#REF!</definedName>
    <definedName name="_CAN496" localSheetId="32">#REF!</definedName>
    <definedName name="_CAN496" localSheetId="24">#REF!</definedName>
    <definedName name="_CAN496">#REF!</definedName>
    <definedName name="_CAN497" localSheetId="6">#REF!</definedName>
    <definedName name="_CAN497" localSheetId="27">#REF!</definedName>
    <definedName name="_CAN497" localSheetId="4">#REF!</definedName>
    <definedName name="_CAN497" localSheetId="32">#REF!</definedName>
    <definedName name="_CAN497" localSheetId="24">#REF!</definedName>
    <definedName name="_CAN497">#REF!</definedName>
    <definedName name="_CAN498" localSheetId="6">#REF!</definedName>
    <definedName name="_CAN498" localSheetId="27">#REF!</definedName>
    <definedName name="_CAN498" localSheetId="4">#REF!</definedName>
    <definedName name="_CAN498" localSheetId="32">#REF!</definedName>
    <definedName name="_CAN498" localSheetId="24">#REF!</definedName>
    <definedName name="_CAN498">#REF!</definedName>
    <definedName name="_CAN499" localSheetId="6">#REF!</definedName>
    <definedName name="_CAN499" localSheetId="27">#REF!</definedName>
    <definedName name="_CAN499" localSheetId="4">#REF!</definedName>
    <definedName name="_CAN499" localSheetId="32">#REF!</definedName>
    <definedName name="_CAN499" localSheetId="24">#REF!</definedName>
    <definedName name="_CAN499">#REF!</definedName>
    <definedName name="_CAN500" localSheetId="6">#REF!</definedName>
    <definedName name="_CAN500" localSheetId="27">#REF!</definedName>
    <definedName name="_CAN500" localSheetId="4">#REF!</definedName>
    <definedName name="_CAN500" localSheetId="32">#REF!</definedName>
    <definedName name="_CAN500" localSheetId="24">#REF!</definedName>
    <definedName name="_CAN500">#REF!</definedName>
    <definedName name="_CAN9">#N/A</definedName>
    <definedName name="_CBR220" localSheetId="29">#REF!</definedName>
    <definedName name="_CBR220" localSheetId="24">#REF!</definedName>
    <definedName name="_CBR220" localSheetId="26">#REF!</definedName>
    <definedName name="_CBR220">#REF!</definedName>
    <definedName name="_CBR500" localSheetId="29">#REF!</definedName>
    <definedName name="_CBR500" localSheetId="26">#REF!</definedName>
    <definedName name="_CBR500">#REF!</definedName>
    <definedName name="_CCT220">#REF!</definedName>
    <definedName name="_cdd2">#REF!</definedName>
    <definedName name="_CDT1">#REF!</definedName>
    <definedName name="_cem124" localSheetId="6">#REF!</definedName>
    <definedName name="_cem124" localSheetId="27">#REF!</definedName>
    <definedName name="_cem124" localSheetId="4">#REF!</definedName>
    <definedName name="_cem124" localSheetId="32">#REF!</definedName>
    <definedName name="_cem124" localSheetId="24">#REF!</definedName>
    <definedName name="_cem124">#REF!</definedName>
    <definedName name="_cf2" localSheetId="12" hidden="1">{#N/A,#N/A,FALSE,"Variables";#N/A,#N/A,FALSE,"NPV Cashflows NZ$";#N/A,#N/A,FALSE,"Cashflows NZ$"}</definedName>
    <definedName name="_cf2" localSheetId="6" hidden="1">{#N/A,#N/A,FALSE,"Variables";#N/A,#N/A,FALSE,"NPV Cashflows NZ$";#N/A,#N/A,FALSE,"Cashflows NZ$"}</definedName>
    <definedName name="_cf2" localSheetId="29" hidden="1">{#N/A,#N/A,FALSE,"Variables";#N/A,#N/A,FALSE,"NPV Cashflows NZ$";#N/A,#N/A,FALSE,"Cashflows NZ$"}</definedName>
    <definedName name="_cf2" localSheetId="27" hidden="1">{#N/A,#N/A,FALSE,"Variables";#N/A,#N/A,FALSE,"NPV Cashflows NZ$";#N/A,#N/A,FALSE,"Cashflows NZ$"}</definedName>
    <definedName name="_cf2" localSheetId="4" hidden="1">{#N/A,#N/A,FALSE,"Variables";#N/A,#N/A,FALSE,"NPV Cashflows NZ$";#N/A,#N/A,FALSE,"Cashflows NZ$"}</definedName>
    <definedName name="_cf2" localSheetId="32" hidden="1">{#N/A,#N/A,FALSE,"Variables";#N/A,#N/A,FALSE,"NPV Cashflows NZ$";#N/A,#N/A,FALSE,"Cashflows NZ$"}</definedName>
    <definedName name="_cf2" localSheetId="24" hidden="1">{#N/A,#N/A,FALSE,"Variables";#N/A,#N/A,FALSE,"NPV Cashflows NZ$";#N/A,#N/A,FALSE,"Cashflows NZ$"}</definedName>
    <definedName name="_cf2" localSheetId="26" hidden="1">{#N/A,#N/A,FALSE,"Variables";#N/A,#N/A,FALSE,"NPV Cashflows NZ$";#N/A,#N/A,FALSE,"Cashflows NZ$"}</definedName>
    <definedName name="_cf2" hidden="1">{#N/A,#N/A,FALSE,"Variables";#N/A,#N/A,FALSE,"NPV Cashflows NZ$";#N/A,#N/A,FALSE,"Cashflows NZ$"}</definedName>
    <definedName name="_CFB1" localSheetId="6">#REF!</definedName>
    <definedName name="_CFB1" localSheetId="29">#REF!</definedName>
    <definedName name="_CFB1" localSheetId="27">#REF!</definedName>
    <definedName name="_CFB1" localSheetId="26">#REF!</definedName>
    <definedName name="_CFB1">#REF!</definedName>
    <definedName name="_CFB2" localSheetId="6">#REF!</definedName>
    <definedName name="_CFB2">#REF!</definedName>
    <definedName name="_CFB3">#REF!</definedName>
    <definedName name="_cff2">#REF!</definedName>
    <definedName name="_cli1" localSheetId="12">#REF!</definedName>
    <definedName name="_cli1">#REF!</definedName>
    <definedName name="_cli2" localSheetId="12">#REF!</definedName>
    <definedName name="_cli2">#REF!</definedName>
    <definedName name="_cli3" localSheetId="12">#REF!</definedName>
    <definedName name="_cli3">#REF!</definedName>
    <definedName name="_cli4" localSheetId="12">#REF!</definedName>
    <definedName name="_cli4">#REF!</definedName>
    <definedName name="_cli5">#REF!</definedName>
    <definedName name="_COL1">#REF!</definedName>
    <definedName name="_col33" localSheetId="12">#REF!</definedName>
    <definedName name="_col33">#REF!</definedName>
    <definedName name="_CRMB" localSheetId="6">#REF!</definedName>
    <definedName name="_CRMB" localSheetId="27">#REF!</definedName>
    <definedName name="_CRMB" localSheetId="4">#REF!</definedName>
    <definedName name="_CRMB" localSheetId="32">#REF!</definedName>
    <definedName name="_CRMB" localSheetId="24">#REF!</definedName>
    <definedName name="_CRMB">#REF!</definedName>
    <definedName name="_cth2" localSheetId="24">#REF!</definedName>
    <definedName name="_cth2">#REF!</definedName>
    <definedName name="_CTR220" localSheetId="29">#REF!</definedName>
    <definedName name="_CTR220" localSheetId="26">#REF!</definedName>
    <definedName name="_CTR220">#REF!</definedName>
    <definedName name="_CTR500" localSheetId="29">#REF!</definedName>
    <definedName name="_CTR500" localSheetId="26">#REF!</definedName>
    <definedName name="_CTR500">#REF!</definedName>
    <definedName name="_CVT220">#REF!</definedName>
    <definedName name="_CVT500">#REF!</definedName>
    <definedName name="_d" localSheetId="12">#REF!</definedName>
    <definedName name="_d">"#REF!"</definedName>
    <definedName name="_d5">#N/A</definedName>
    <definedName name="_DAT1" localSheetId="6">#REF!</definedName>
    <definedName name="_DAT1" localSheetId="29">#REF!</definedName>
    <definedName name="_DAT1" localSheetId="24">#REF!</definedName>
    <definedName name="_DAT1" localSheetId="26">#REF!</definedName>
    <definedName name="_DAT1">#REF!</definedName>
    <definedName name="_DAT10" localSheetId="6">#REF!</definedName>
    <definedName name="_DAT10" localSheetId="24">#REF!</definedName>
    <definedName name="_DAT10">#REF!</definedName>
    <definedName name="_DAT11" localSheetId="6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 localSheetId="12">#REF!</definedName>
    <definedName name="_DAT17" localSheetId="29">#REF!</definedName>
    <definedName name="_DAT17" localSheetId="26">#REF!</definedName>
    <definedName name="_DAT17">#REF!</definedName>
    <definedName name="_DAT18" localSheetId="12">#REF!</definedName>
    <definedName name="_DAT18" localSheetId="29">#REF!</definedName>
    <definedName name="_DAT18" localSheetId="26">#REF!</definedName>
    <definedName name="_DAT18">#REF!</definedName>
    <definedName name="_DAT2" localSheetId="29">#REF!</definedName>
    <definedName name="_DAT2" localSheetId="26">#REF!</definedName>
    <definedName name="_DAT2">#REF!</definedName>
    <definedName name="_DAT3" localSheetId="29">#REF!</definedName>
    <definedName name="_DAT3" localSheetId="26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05" localSheetId="12" hidden="1">{"'Sheet1'!$A$4386:$N$4591"}</definedName>
    <definedName name="_dec05" localSheetId="29" hidden="1">{"'Sheet1'!$A$4386:$N$4591"}</definedName>
    <definedName name="_dec05" localSheetId="27" hidden="1">{"'Sheet1'!$A$4386:$N$4591"}</definedName>
    <definedName name="_dec05" localSheetId="4" hidden="1">{"'Sheet1'!$A$4386:$N$4591"}</definedName>
    <definedName name="_dec05" localSheetId="32" hidden="1">{"'Sheet1'!$A$4386:$N$4591"}</definedName>
    <definedName name="_dec05" localSheetId="24" hidden="1">{"'Sheet1'!$A$4386:$N$4591"}</definedName>
    <definedName name="_dec05" localSheetId="26" hidden="1">{"'Sheet1'!$A$4386:$N$4591"}</definedName>
    <definedName name="_dec05" hidden="1">{"'Sheet1'!$A$4386:$N$4591"}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ev9947">#REF!</definedName>
    <definedName name="_dim4">#REF!</definedName>
    <definedName name="_DIS1" localSheetId="12">#REF!</definedName>
    <definedName name="_DIS1">#REF!</definedName>
    <definedName name="_Dist_Bin" hidden="1">#REF!</definedName>
    <definedName name="_Dist_Values" hidden="1">#REF!</definedName>
    <definedName name="_DKT75">#REF!</definedName>
    <definedName name="_doc1">#REF!</definedName>
    <definedName name="_dol11" localSheetId="12">#REF!</definedName>
    <definedName name="_dol11" localSheetId="29">#REF!</definedName>
    <definedName name="_dol11" localSheetId="26">#REF!</definedName>
    <definedName name="_dol11">#REF!</definedName>
    <definedName name="_dol12">#REF!</definedName>
    <definedName name="_dol13">#REF!</definedName>
    <definedName name="_dol6">#REF!</definedName>
    <definedName name="_drg1" localSheetId="29">#REF!</definedName>
    <definedName name="_drg1" localSheetId="26">#REF!</definedName>
    <definedName name="_drg1">#REF!</definedName>
    <definedName name="_drg2" localSheetId="29">#REF!</definedName>
    <definedName name="_drg2" localSheetId="26">#REF!</definedName>
    <definedName name="_drg2">#REF!</definedName>
    <definedName name="_E">#REF!</definedName>
    <definedName name="_E_1">#REF!</definedName>
    <definedName name="_E_1_1">#REF!</definedName>
    <definedName name="_E4" hidden="1">#REF!</definedName>
    <definedName name="_ELL45">#REF!</definedName>
    <definedName name="_ELL90">#REF!</definedName>
    <definedName name="_eth2">#REF!</definedName>
    <definedName name="_exc1">#REF!</definedName>
    <definedName name="_exc11">#REF!</definedName>
    <definedName name="_exc2">#REF!</definedName>
    <definedName name="_EXC3">#REF!</definedName>
    <definedName name="_EXC4">#REF!</definedName>
    <definedName name="_F" localSheetId="12">#REF!</definedName>
    <definedName name="_f">"#REF!"</definedName>
    <definedName name="_F_1">#REF!</definedName>
    <definedName name="_F_1_1">#REF!</definedName>
    <definedName name="_F1" localSheetId="6">#REF!</definedName>
    <definedName name="_F1" localSheetId="29">#REF!</definedName>
    <definedName name="_f1" localSheetId="24">#REF!</definedName>
    <definedName name="_F1" localSheetId="26">#REF!</definedName>
    <definedName name="_F1">#REF!</definedName>
    <definedName name="_F3" localSheetId="6">#REF!</definedName>
    <definedName name="_F3" localSheetId="24">#REF!</definedName>
    <definedName name="_F3">#REF!</definedName>
    <definedName name="_fac1" localSheetId="6">#REF!</definedName>
    <definedName name="_fac1">#REF!</definedName>
    <definedName name="_fac2">#REF!</definedName>
    <definedName name="_fac3">#REF!</definedName>
    <definedName name="_FEL1" localSheetId="6">#REF!</definedName>
    <definedName name="_FEL1" localSheetId="27">#REF!</definedName>
    <definedName name="_FEL1" localSheetId="4">#REF!</definedName>
    <definedName name="_FEL1" localSheetId="32">#REF!</definedName>
    <definedName name="_FEL1" localSheetId="24">#REF!</definedName>
    <definedName name="_FEL1">#REF!</definedName>
    <definedName name="_FF3" localSheetId="29">#REF!</definedName>
    <definedName name="_FF3" localSheetId="24">#REF!</definedName>
    <definedName name="_FF3" localSheetId="26">#REF!</definedName>
    <definedName name="_FF3">#REF!</definedName>
    <definedName name="_Fill" localSheetId="29" hidden="1">#REF!</definedName>
    <definedName name="_Fill" localSheetId="26" hidden="1">#REF!</definedName>
    <definedName name="_Fill" hidden="1">#REF!</definedName>
    <definedName name="_Fill_1" localSheetId="12">"#REF!"</definedName>
    <definedName name="_Fill_1" localSheetId="6">"#REF!"</definedName>
    <definedName name="_Fill_1" localSheetId="29">"#REF!"</definedName>
    <definedName name="_Fill_1" localSheetId="4">"#REF!"</definedName>
    <definedName name="_Fill_1" localSheetId="32">"#REF!"</definedName>
    <definedName name="_Fill_1" localSheetId="24">"#REF!"</definedName>
    <definedName name="_Fill_1" localSheetId="26">"#REF!"</definedName>
    <definedName name="_Fill_1">#REF!</definedName>
    <definedName name="_Fill1" localSheetId="6" hidden="1">#REF!</definedName>
    <definedName name="_Fill1" localSheetId="27" hidden="1">#REF!</definedName>
    <definedName name="_Fill1" localSheetId="4" hidden="1">#REF!</definedName>
    <definedName name="_Fill1" localSheetId="32" hidden="1">#REF!</definedName>
    <definedName name="_Fill1" localSheetId="24" hidden="1">#REF!</definedName>
    <definedName name="_Fill1" hidden="1">#REF!</definedName>
    <definedName name="_xlnm._FilterDatabase" localSheetId="12" hidden="1">' Final checking'!$A$5:$L$311</definedName>
    <definedName name="_xlnm._FilterDatabase" localSheetId="15" hidden="1">Accessories!$A$4:$M$251</definedName>
    <definedName name="_xlnm._FilterDatabase" localSheetId="14" hidden="1">'Aviation Paint'!$A$4:$I$104</definedName>
    <definedName name="_xlnm._FilterDatabase" localSheetId="13" hidden="1">'Bird Guard '!$A$4:$I$137</definedName>
    <definedName name="_xlnm._FilterDatabase" localSheetId="9" hidden="1">'Check Survey '!$A$4:$G$57</definedName>
    <definedName name="_xlnm._FilterDatabase" localSheetId="8" hidden="1">'Detailed Survey '!$A$4:$J$52</definedName>
    <definedName name="_xlnm._FilterDatabase" localSheetId="10" hidden="1">Earthing!$A$4:$J$296</definedName>
    <definedName name="_xlnm._FilterDatabase" localSheetId="5" hidden="1">Erection!$A$4:$L$311</definedName>
    <definedName name="_xlnm._FilterDatabase" localSheetId="17" hidden="1">Foundation!$A$4:$Q$362</definedName>
    <definedName name="_xlnm._FilterDatabase" localSheetId="30" hidden="1">'Foundation Daily Progress'!$B$3:$R$1318</definedName>
    <definedName name="_xlnm._FilterDatabase" localSheetId="18" hidden="1">'JUMPER Details'!$A$3:$H$65</definedName>
    <definedName name="_xlnm._FilterDatabase" localSheetId="6">#REF!</definedName>
    <definedName name="_xlnm._FilterDatabase" localSheetId="29" hidden="1">'Location Summary'!$A$3:$P$615</definedName>
    <definedName name="_xlnm._FilterDatabase" localSheetId="20" hidden="1">'ROW Tracker'!$A$4:$O$210</definedName>
    <definedName name="_xlnm._FilterDatabase" localSheetId="27" hidden="1">#REF!</definedName>
    <definedName name="_xlnm._FilterDatabase" localSheetId="4" hidden="1">'Stretch readiness '!$A$10:$L$77</definedName>
    <definedName name="_xlnm._FilterDatabase" localSheetId="32" hidden="1">'Stretch readiness  (2)'!$A$11:$S$75</definedName>
    <definedName name="_xlnm._FilterDatabase" localSheetId="3" hidden="1">Stringing!$A$5:$Y$46</definedName>
    <definedName name="_xlnm._FilterDatabase" localSheetId="24">#REF!</definedName>
    <definedName name="_xlnm._FilterDatabase" localSheetId="7" hidden="1">'Survey summary'!$A$2:$N$31</definedName>
    <definedName name="_xlnm._FilterDatabase" localSheetId="11" hidden="1">'Tack Welding'!$B$4:$K$255</definedName>
    <definedName name="_xlnm._FilterDatabase" localSheetId="28" hidden="1">'Tower Abstarct '!$A$4:$G$302</definedName>
    <definedName name="_xlnm._FilterDatabase" localSheetId="26" hidden="1">'Tower Abstract sheet'!$I$3:$K$309</definedName>
    <definedName name="_xlnm._FilterDatabase" hidden="1">#REF!</definedName>
    <definedName name="_FilterDatabase_0" localSheetId="6">#REF!</definedName>
    <definedName name="_FilterDatabase_0" localSheetId="24">#REF!</definedName>
    <definedName name="_FilterDatabase_0">#REF!</definedName>
    <definedName name="_FilterDatabase_0_0">NA()</definedName>
    <definedName name="_FilterDatabase_0_0_1">NA()</definedName>
    <definedName name="_FilterDatabase_0_1">NA()</definedName>
    <definedName name="_FilterDatabase_0_2">NA()</definedName>
    <definedName name="_FLK1" localSheetId="6">#REF!</definedName>
    <definedName name="_FLK1" localSheetId="29">#REF!</definedName>
    <definedName name="_FLK1" localSheetId="27">#REF!</definedName>
    <definedName name="_FLK1" localSheetId="26">#REF!</definedName>
    <definedName name="_FLK1">#REF!</definedName>
    <definedName name="_flx200">#REF!</definedName>
    <definedName name="_flx250">#REF!</definedName>
    <definedName name="_flx300">#REF!</definedName>
    <definedName name="_FND1">#REF!</definedName>
    <definedName name="_FND2">#REF!</definedName>
    <definedName name="_foo1">#REF!</definedName>
    <definedName name="_foo2">#REF!</definedName>
    <definedName name="_foo3">#REF!</definedName>
    <definedName name="_FOO4">#REF!</definedName>
    <definedName name="_fos1" localSheetId="6">#REF!</definedName>
    <definedName name="_fos1">#REF!</definedName>
    <definedName name="_Fpi1">#REF!</definedName>
    <definedName name="_g1" localSheetId="12">#REF!</definedName>
    <definedName name="_g1">#REF!</definedName>
    <definedName name="_g2">#REF!</definedName>
    <definedName name="_g2_1">#REF!</definedName>
    <definedName name="_g66666">#REF!</definedName>
    <definedName name="_GEN1" localSheetId="6">#REF!</definedName>
    <definedName name="_GEN1">#REF!</definedName>
    <definedName name="_GPg1">#REF!</definedName>
    <definedName name="_GPg2">#REF!</definedName>
    <definedName name="_h">#REF!</definedName>
    <definedName name="_hai1">#REF!</definedName>
    <definedName name="_hai2">#REF!</definedName>
    <definedName name="_HBG10" localSheetId="6">#REF!</definedName>
    <definedName name="_HBG10" localSheetId="27">#REF!</definedName>
    <definedName name="_HBG10" localSheetId="4">#REF!</definedName>
    <definedName name="_HBG10" localSheetId="32">#REF!</definedName>
    <definedName name="_HBG10" localSheetId="24">#REF!</definedName>
    <definedName name="_HBG10">#REF!</definedName>
    <definedName name="_HBG12" localSheetId="6">#REF!</definedName>
    <definedName name="_HBG12" localSheetId="27">#REF!</definedName>
    <definedName name="_HBG12" localSheetId="4">#REF!</definedName>
    <definedName name="_HBG12" localSheetId="32">#REF!</definedName>
    <definedName name="_HBG12" localSheetId="24">#REF!</definedName>
    <definedName name="_HBG12">#REF!</definedName>
    <definedName name="_HBG25" localSheetId="6">#REF!</definedName>
    <definedName name="_HBG25" localSheetId="27">#REF!</definedName>
    <definedName name="_HBG25" localSheetId="4">#REF!</definedName>
    <definedName name="_HBG25" localSheetId="32">#REF!</definedName>
    <definedName name="_HBG25" localSheetId="24">#REF!</definedName>
    <definedName name="_HBG25">#REF!</definedName>
    <definedName name="_HBG40" localSheetId="6">#REF!</definedName>
    <definedName name="_HBG40" localSheetId="27">#REF!</definedName>
    <definedName name="_HBG40" localSheetId="4">#REF!</definedName>
    <definedName name="_HBG40" localSheetId="32">#REF!</definedName>
    <definedName name="_HBG40" localSheetId="24">#REF!</definedName>
    <definedName name="_HBG40">#REF!</definedName>
    <definedName name="_HBG50" localSheetId="6">#REF!</definedName>
    <definedName name="_HBG50" localSheetId="27">#REF!</definedName>
    <definedName name="_HBG50" localSheetId="4">#REF!</definedName>
    <definedName name="_HBG50" localSheetId="32">#REF!</definedName>
    <definedName name="_HBG50" localSheetId="24">#REF!</definedName>
    <definedName name="_HBG50">#REF!</definedName>
    <definedName name="_HBG6" localSheetId="6">#REF!</definedName>
    <definedName name="_HBG6" localSheetId="27">#REF!</definedName>
    <definedName name="_HBG6" localSheetId="4">#REF!</definedName>
    <definedName name="_HBG6" localSheetId="32">#REF!</definedName>
    <definedName name="_HBG6" localSheetId="24">#REF!</definedName>
    <definedName name="_HBG6">#REF!</definedName>
    <definedName name="_hcjksd">#REF!</definedName>
    <definedName name="_HCO2">#REF!</definedName>
    <definedName name="_HDD1">#REF!</definedName>
    <definedName name="_HDD1111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HDD11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HE02" localSheetId="29">#REF!</definedName>
    <definedName name="_HE02" localSheetId="24">#REF!</definedName>
    <definedName name="_HE02" localSheetId="26">#REF!</definedName>
    <definedName name="_HE02">#REF!</definedName>
    <definedName name="_HE06" localSheetId="29">#REF!</definedName>
    <definedName name="_HE06" localSheetId="26">#REF!</definedName>
    <definedName name="_HE06">#REF!</definedName>
    <definedName name="_HE07">#REF!</definedName>
    <definedName name="_HE08">#REF!</definedName>
    <definedName name="_HE09">#REF!</definedName>
    <definedName name="_HE1">#REF!</definedName>
    <definedName name="_HE11">#REF!</definedName>
    <definedName name="_HE2">#REF!</definedName>
    <definedName name="_HE21">#REF!</definedName>
    <definedName name="_HE3">#REF!</definedName>
    <definedName name="_HE4">#REF!</definedName>
    <definedName name="_HE5">#REF!</definedName>
    <definedName name="_HE61">#REF!</definedName>
    <definedName name="_HE71">#REF!</definedName>
    <definedName name="_HE81">#REF!</definedName>
    <definedName name="_HE91">#REF!</definedName>
    <definedName name="_hfi04">#REF!</definedName>
    <definedName name="_hfi1" localSheetId="12">#REF!</definedName>
    <definedName name="_hfi1">#REF!</definedName>
    <definedName name="_hfi2" localSheetId="12">#REF!</definedName>
    <definedName name="_hfi2">#REF!</definedName>
    <definedName name="_hfi3" localSheetId="12">#REF!</definedName>
    <definedName name="_hfi3">#REF!</definedName>
    <definedName name="_hfi4" localSheetId="12">#REF!</definedName>
    <definedName name="_hfi4">#REF!</definedName>
    <definedName name="_hfi5" localSheetId="12">#REF!</definedName>
    <definedName name="_hfi5">#REF!</definedName>
    <definedName name="_hfi6" localSheetId="12">#REF!</definedName>
    <definedName name="_hfi6">#REF!</definedName>
    <definedName name="_HFI7" localSheetId="12">#REF!</definedName>
    <definedName name="_HFI7" localSheetId="4">#REF!</definedName>
    <definedName name="_HFI7" localSheetId="32">#REF!</definedName>
    <definedName name="_HFI7">#REF!</definedName>
    <definedName name="_hfi8" localSheetId="12">#REF!</definedName>
    <definedName name="_hfi8">#REF!</definedName>
    <definedName name="_hfi88">#REF!</definedName>
    <definedName name="_HM1">#REF!</definedName>
    <definedName name="_HM10">#REF!</definedName>
    <definedName name="_HM11">#REF!</definedName>
    <definedName name="_HM12">#REF!</definedName>
    <definedName name="_HM2">#REF!</definedName>
    <definedName name="_HM3">#REF!</definedName>
    <definedName name="_HM4">#REF!</definedName>
    <definedName name="_HM5">#REF!</definedName>
    <definedName name="_HM6">#REF!</definedName>
    <definedName name="_HM7">#REF!</definedName>
    <definedName name="_HM8">#REF!</definedName>
    <definedName name="_HM9">#REF!</definedName>
    <definedName name="_Hra2">#REF!</definedName>
    <definedName name="_Hso2">#REF!</definedName>
    <definedName name="_Hso3">#REF!</definedName>
    <definedName name="_HV1">#REF!</definedName>
    <definedName name="_hxa1">#REF!</definedName>
    <definedName name="_hxa11">#REF!</definedName>
    <definedName name="_hxa2">#REF!</definedName>
    <definedName name="_hxb1">#REF!</definedName>
    <definedName name="_hxb2">#REF!</definedName>
    <definedName name="_hxc1">#REF!</definedName>
    <definedName name="_hxc2">#REF!</definedName>
    <definedName name="_hxd1" localSheetId="12">#REF!</definedName>
    <definedName name="_hxd1">#REF!</definedName>
    <definedName name="_hxf1" localSheetId="12">#REF!</definedName>
    <definedName name="_hxf1">#REF!</definedName>
    <definedName name="_i">"#REF!"</definedName>
    <definedName name="_Icc01" localSheetId="27">#REF!</definedName>
    <definedName name="_Icc01">#REF!</definedName>
    <definedName name="_IDA1" localSheetId="12">#REF!</definedName>
    <definedName name="_IDA1" localSheetId="6">#REF!</definedName>
    <definedName name="_IDA1" localSheetId="29">#REF!</definedName>
    <definedName name="_IDA1" localSheetId="24">#REF!</definedName>
    <definedName name="_IDA1" localSheetId="26">#REF!</definedName>
    <definedName name="_IDA1">#REF!</definedName>
    <definedName name="_ifa1">#REF!</definedName>
    <definedName name="_ifa2">#REF!</definedName>
    <definedName name="_III7">"$C4.$#REF!$#REF!"</definedName>
    <definedName name="_in18900" localSheetId="6">#REF!</definedName>
    <definedName name="_in18900" localSheetId="29">#REF!</definedName>
    <definedName name="_in18900" localSheetId="27">#REF!</definedName>
    <definedName name="_in18900" localSheetId="24">#REF!</definedName>
    <definedName name="_in18900" localSheetId="26">#REF!</definedName>
    <definedName name="_in18900">#REF!</definedName>
    <definedName name="_INT1">#REF!</definedName>
    <definedName name="_IPB1" localSheetId="6">#REF!</definedName>
    <definedName name="_IPB1" localSheetId="29">#REF!</definedName>
    <definedName name="_IPB1" localSheetId="26">#REF!</definedName>
    <definedName name="_IPB1">#REF!</definedName>
    <definedName name="_Ism3">#REF!</definedName>
    <definedName name="_ISO220">#REF!</definedName>
    <definedName name="_iv19000" localSheetId="29">#REF!</definedName>
    <definedName name="_iv19000" localSheetId="26">#REF!</definedName>
    <definedName name="_iv19000">#REF!</definedName>
    <definedName name="_j">"#REF!"</definedName>
    <definedName name="_k">"#REF!"</definedName>
    <definedName name="_kd1">#REF!</definedName>
    <definedName name="_kd2">#REF!</definedName>
    <definedName name="_kd3">#REF!</definedName>
    <definedName name="_Key1" localSheetId="6" hidden="1">#REF!</definedName>
    <definedName name="_Key1" localSheetId="29" hidden="1">#REF!</definedName>
    <definedName name="_Key1" localSheetId="27" hidden="1">#REF!</definedName>
    <definedName name="_Key1" localSheetId="26" hidden="1">#REF!</definedName>
    <definedName name="_Key1" hidden="1">#REF!</definedName>
    <definedName name="_Key2" localSheetId="6" hidden="1">#REF!</definedName>
    <definedName name="_Key2" hidden="1">#REF!</definedName>
    <definedName name="_key3" localSheetId="6" hidden="1">#REF!</definedName>
    <definedName name="_key3" localSheetId="4" hidden="1">#REF!</definedName>
    <definedName name="_key3" localSheetId="32" hidden="1">#REF!</definedName>
    <definedName name="_key3" hidden="1">#REF!</definedName>
    <definedName name="_Ki1">#REF!</definedName>
    <definedName name="_Ki2">#REF!</definedName>
    <definedName name="_klkjlo">#REF!</definedName>
    <definedName name="_KWEY" hidden="1">#REF!</definedName>
    <definedName name="_KWS1">#N/A</definedName>
    <definedName name="_KWS2">#N/A</definedName>
    <definedName name="_KWS3">#N/A</definedName>
    <definedName name="_l" localSheetId="27">#REF!</definedName>
    <definedName name="_l">#REF!</definedName>
    <definedName name="_LAR220" localSheetId="29">#REF!</definedName>
    <definedName name="_LAR220" localSheetId="27">#REF!</definedName>
    <definedName name="_LAR220" localSheetId="26">#REF!</definedName>
    <definedName name="_LAR220">#REF!</definedName>
    <definedName name="_LAR500" localSheetId="6">#REF!</definedName>
    <definedName name="_LAR500" localSheetId="29">#REF!</definedName>
    <definedName name="_LAR500" localSheetId="26">#REF!</definedName>
    <definedName name="_LAR500">#REF!</definedName>
    <definedName name="_lb1">#REF!</definedName>
    <definedName name="_lb2">#REF!</definedName>
    <definedName name="_LE1">#REF!</definedName>
    <definedName name="_LE2">#REF!</definedName>
    <definedName name="_LEX1">#REF!</definedName>
    <definedName name="_LEX2">#REF!</definedName>
    <definedName name="_LG1">NA()</definedName>
    <definedName name="_LM12">#REF!</definedName>
    <definedName name="_LM13">#REF!</definedName>
    <definedName name="_LM24">#REF!</definedName>
    <definedName name="_LM34">#REF!</definedName>
    <definedName name="_LM35">#REF!</definedName>
    <definedName name="_LM46">#REF!</definedName>
    <definedName name="_LM56">#REF!</definedName>
    <definedName name="_LMH1">#REF!</definedName>
    <definedName name="_LMH2">#REF!</definedName>
    <definedName name="_ls1">#REF!</definedName>
    <definedName name="_ls2">#REF!</definedName>
    <definedName name="_ls3">#REF!</definedName>
    <definedName name="_ls4">#REF!</definedName>
    <definedName name="_LTR220">#REF!</definedName>
    <definedName name="_LTR500">#REF!</definedName>
    <definedName name="_LV1">#REF!</definedName>
    <definedName name="_lvl1">#REF!</definedName>
    <definedName name="_Lx1">#REF!</definedName>
    <definedName name="_M" localSheetId="12">#REF!</definedName>
    <definedName name="_m" localSheetId="29">"#REF!"</definedName>
    <definedName name="_m" localSheetId="4">"#REF!"</definedName>
    <definedName name="_m" localSheetId="32">"#REF!"</definedName>
    <definedName name="_M" localSheetId="24">#REF!</definedName>
    <definedName name="_m" localSheetId="26">"#REF!"</definedName>
    <definedName name="_m">"#REF!"</definedName>
    <definedName name="_m20" localSheetId="24">#REF!</definedName>
    <definedName name="_m20">#REF!</definedName>
    <definedName name="_m234" localSheetId="12">#REF!</definedName>
    <definedName name="_m234" localSheetId="24">#REF!</definedName>
    <definedName name="_m234">#REF!</definedName>
    <definedName name="_m35" localSheetId="24">#REF!</definedName>
    <definedName name="_m35">#REF!</definedName>
    <definedName name="_mac2">200</definedName>
    <definedName name="_MAN1">#REF!</definedName>
    <definedName name="_MatInverse_In" localSheetId="27" hidden="1">#REF!</definedName>
    <definedName name="_MatInverse_In" hidden="1">#REF!</definedName>
    <definedName name="_MatInverse_Out" localSheetId="12" hidden="1">#REF!</definedName>
    <definedName name="_MatInverse_Out" hidden="1">#REF!</definedName>
    <definedName name="_mcc1" localSheetId="12">#REF!</definedName>
    <definedName name="_mcc1" localSheetId="29">#REF!</definedName>
    <definedName name="_mcc1" localSheetId="7">#REF!</definedName>
    <definedName name="_mcc1" localSheetId="26">#REF!</definedName>
    <definedName name="_mcc1">#REF!</definedName>
    <definedName name="_mcc2" localSheetId="12">#REF!</definedName>
    <definedName name="_mcc2" localSheetId="29">#REF!</definedName>
    <definedName name="_mcc2" localSheetId="7">#REF!</definedName>
    <definedName name="_mcc2" localSheetId="26">#REF!</definedName>
    <definedName name="_mcc2">#REF!</definedName>
    <definedName name="_mcl132" localSheetId="12">#REF!</definedName>
    <definedName name="_mcl132">#REF!</definedName>
    <definedName name="_MG1" localSheetId="6">#REF!</definedName>
    <definedName name="_MG1" localSheetId="27">#REF!</definedName>
    <definedName name="_MG1" localSheetId="4">#REF!</definedName>
    <definedName name="_MG1" localSheetId="32">#REF!</definedName>
    <definedName name="_MG1" localSheetId="24">#REF!</definedName>
    <definedName name="_MG1">#REF!</definedName>
    <definedName name="_mhr1" localSheetId="29">#REF!</definedName>
    <definedName name="_mhr1" localSheetId="24">#REF!</definedName>
    <definedName name="_mhr1" localSheetId="26">#REF!</definedName>
    <definedName name="_mhr1">#REF!</definedName>
    <definedName name="_mhr2" localSheetId="29">#REF!</definedName>
    <definedName name="_mhr2" localSheetId="26">#REF!</definedName>
    <definedName name="_mhr2">#REF!</definedName>
    <definedName name="_mhr3">#REF!</definedName>
    <definedName name="_mhr4">#REF!</definedName>
    <definedName name="_mix10">4.5</definedName>
    <definedName name="_mix15">264/50</definedName>
    <definedName name="_MIX1540" localSheetId="6">#REF!</definedName>
    <definedName name="_MIX1540" localSheetId="27">#REF!</definedName>
    <definedName name="_MIX1540" localSheetId="4">#REF!</definedName>
    <definedName name="_MIX1540" localSheetId="32">#REF!</definedName>
    <definedName name="_MIX1540" localSheetId="24">#REF!</definedName>
    <definedName name="_MIX1540">#REF!</definedName>
    <definedName name="_MIX2" localSheetId="6">#REF!</definedName>
    <definedName name="_MIX2" localSheetId="27">#REF!</definedName>
    <definedName name="_MIX2" localSheetId="4">#REF!</definedName>
    <definedName name="_MIX2" localSheetId="32">#REF!</definedName>
    <definedName name="_MIX2" localSheetId="24">#REF!</definedName>
    <definedName name="_MIX2">#REF!</definedName>
    <definedName name="_mix20">330/50</definedName>
    <definedName name="_MIX2020" localSheetId="6">#REF!</definedName>
    <definedName name="_MIX2020" localSheetId="27">#REF!</definedName>
    <definedName name="_MIX2020" localSheetId="4">#REF!</definedName>
    <definedName name="_MIX2020" localSheetId="32">#REF!</definedName>
    <definedName name="_MIX2020" localSheetId="24">#REF!</definedName>
    <definedName name="_MIX2020">#REF!</definedName>
    <definedName name="_MIX2040" localSheetId="6">#REF!</definedName>
    <definedName name="_MIX2040" localSheetId="27">#REF!</definedName>
    <definedName name="_MIX2040" localSheetId="4">#REF!</definedName>
    <definedName name="_MIX2040" localSheetId="32">#REF!</definedName>
    <definedName name="_MIX2040" localSheetId="24">#REF!</definedName>
    <definedName name="_MIX2040">#REF!</definedName>
    <definedName name="_MIX2540" localSheetId="6">#REF!</definedName>
    <definedName name="_MIX2540" localSheetId="27">#REF!</definedName>
    <definedName name="_MIX2540" localSheetId="4">#REF!</definedName>
    <definedName name="_MIX2540" localSheetId="32">#REF!</definedName>
    <definedName name="_MIX2540" localSheetId="24">#REF!</definedName>
    <definedName name="_MIX2540">#REF!</definedName>
    <definedName name="_Mix255" localSheetId="6">#REF!</definedName>
    <definedName name="_Mix255" localSheetId="27">#REF!</definedName>
    <definedName name="_Mix255" localSheetId="4">#REF!</definedName>
    <definedName name="_Mix255" localSheetId="32">#REF!</definedName>
    <definedName name="_Mix255" localSheetId="24">#REF!</definedName>
    <definedName name="_Mix255">#REF!</definedName>
    <definedName name="_mix30" localSheetId="4">360/50</definedName>
    <definedName name="_mix30" localSheetId="32">360/50</definedName>
    <definedName name="_mix30">360/50</definedName>
    <definedName name="_mix40" localSheetId="4">450/50</definedName>
    <definedName name="_mix40" localSheetId="32">450/50</definedName>
    <definedName name="_mix40">450/50</definedName>
    <definedName name="_ml3" localSheetId="12">#REF!</definedName>
    <definedName name="_ml3">#REF!</definedName>
    <definedName name="_ml33" localSheetId="12">#REF!</definedName>
    <definedName name="_ml33">#REF!</definedName>
    <definedName name="_mlc33" localSheetId="12">#REF!</definedName>
    <definedName name="_mlc33">#REF!</definedName>
    <definedName name="_mm1" localSheetId="27">#REF!</definedName>
    <definedName name="_mm1">#REF!</definedName>
    <definedName name="_mm2" localSheetId="27">#REF!</definedName>
    <definedName name="_mm2">#REF!</definedName>
    <definedName name="_mm3" localSheetId="27">#REF!</definedName>
    <definedName name="_mm3">#REF!</definedName>
    <definedName name="_MMB220">#REF!</definedName>
    <definedName name="_mnk1">#REF!</definedName>
    <definedName name="_mp1" localSheetId="12">#REF!</definedName>
    <definedName name="_mp1" localSheetId="29">#REF!</definedName>
    <definedName name="_mp1" localSheetId="26">#REF!</definedName>
    <definedName name="_mp1">#REF!</definedName>
    <definedName name="_Mzd1" localSheetId="6">#REF!</definedName>
    <definedName name="_Mzd1" localSheetId="27">#REF!</definedName>
    <definedName name="_Mzd1" localSheetId="4">#REF!</definedName>
    <definedName name="_Mzd1" localSheetId="32">#REF!</definedName>
    <definedName name="_Mzd1" localSheetId="24">#REF!</definedName>
    <definedName name="_Mzd1">#REF!</definedName>
    <definedName name="_N" localSheetId="24">#REF!</definedName>
    <definedName name="_N">#REF!</definedName>
    <definedName name="_new1">#REF!</definedName>
    <definedName name="_ngl3" localSheetId="29">#REF!</definedName>
    <definedName name="_ngl3" localSheetId="26">#REF!</definedName>
    <definedName name="_ngl3">#REF!</definedName>
    <definedName name="_ngl4" localSheetId="29">#REF!</definedName>
    <definedName name="_ngl4" localSheetId="26">#REF!</definedName>
    <definedName name="_ngl4">#REF!</definedName>
    <definedName name="_Nov2007" localSheetId="12" hidden="1">{"'PROFITABILITY'!$A$1:$F$45"}</definedName>
    <definedName name="_Nov2007" localSheetId="6" hidden="1">{"'PROFITABILITY'!$A$1:$F$45"}</definedName>
    <definedName name="_Nov2007" localSheetId="29" hidden="1">{"'PROFITABILITY'!$A$1:$F$45"}</definedName>
    <definedName name="_Nov2007" localSheetId="27" hidden="1">{"'PROFITABILITY'!$A$1:$F$45"}</definedName>
    <definedName name="_Nov2007" localSheetId="4" hidden="1">{"'PROFITABILITY'!$A$1:$F$45"}</definedName>
    <definedName name="_Nov2007" localSheetId="32" hidden="1">{"'PROFITABILITY'!$A$1:$F$45"}</definedName>
    <definedName name="_Nov2007" localSheetId="24" hidden="1">{"'PROFITABILITY'!$A$1:$F$45"}</definedName>
    <definedName name="_Nov2007" localSheetId="26" hidden="1">{"'PROFITABILITY'!$A$1:$F$45"}</definedName>
    <definedName name="_Nov2007" hidden="1">{"'PROFITABILITY'!$A$1:$F$45"}</definedName>
    <definedName name="_np3" localSheetId="6">#REF!</definedName>
    <definedName name="_np3" localSheetId="27">#REF!</definedName>
    <definedName name="_np3" localSheetId="4">#REF!</definedName>
    <definedName name="_np3" localSheetId="32">#REF!</definedName>
    <definedName name="_np3" localSheetId="24">#REF!</definedName>
    <definedName name="_np3">#REF!</definedName>
    <definedName name="_nt75">#REF!</definedName>
    <definedName name="_Ob1">#REF!</definedName>
    <definedName name="_Ob2">#REF!</definedName>
    <definedName name="_Ob3">#REF!</definedName>
    <definedName name="_Ob4">#REF!</definedName>
    <definedName name="_Ob5">#REF!</definedName>
    <definedName name="_OH1">#REF!</definedName>
    <definedName name="_OH2">#REF!</definedName>
    <definedName name="_OH3">#REF!</definedName>
    <definedName name="_OH4">#REF!</definedName>
    <definedName name="_OH5">#REF!</definedName>
    <definedName name="_OP2" localSheetId="6">#REF!</definedName>
    <definedName name="_OP2" localSheetId="27">#REF!</definedName>
    <definedName name="_OP2" localSheetId="4">#REF!</definedName>
    <definedName name="_OP2" localSheetId="32">#REF!</definedName>
    <definedName name="_OP2" localSheetId="24">#REF!</definedName>
    <definedName name="_OP2">#REF!</definedName>
    <definedName name="_OPT8">#N/A</definedName>
    <definedName name="_OPT9">#N/A</definedName>
    <definedName name="_Order1" hidden="1">255</definedName>
    <definedName name="_Order2" localSheetId="12" hidden="1">0</definedName>
    <definedName name="_Order2" localSheetId="29" hidden="1">255</definedName>
    <definedName name="_Order2" localSheetId="24" hidden="1">0</definedName>
    <definedName name="_Order2" localSheetId="26" hidden="1">255</definedName>
    <definedName name="_Order2" hidden="1">255</definedName>
    <definedName name="_out2" localSheetId="29">#REF!</definedName>
    <definedName name="_out2" localSheetId="26">#REF!</definedName>
    <definedName name="_out2" localSheetId="2">#REF!</definedName>
    <definedName name="_out2">#REF!</definedName>
    <definedName name="_P" localSheetId="12">#REF!</definedName>
    <definedName name="_p" localSheetId="29">"#REF!"</definedName>
    <definedName name="_p" localSheetId="4">"#REF!"</definedName>
    <definedName name="_p" localSheetId="32">"#REF!"</definedName>
    <definedName name="_P" localSheetId="24">#REF!</definedName>
    <definedName name="_p" localSheetId="26">"#REF!"</definedName>
    <definedName name="_p">"#REF!"</definedName>
    <definedName name="_P1" localSheetId="6">#REF!</definedName>
    <definedName name="_P1" localSheetId="29">#REF!</definedName>
    <definedName name="_P1" localSheetId="27">#REF!</definedName>
    <definedName name="_P1" localSheetId="26">#REF!</definedName>
    <definedName name="_P1">#REF!</definedName>
    <definedName name="_P2" localSheetId="6">#REF!</definedName>
    <definedName name="_P2">#REF!</definedName>
    <definedName name="_P3" localSheetId="6">#REF!</definedName>
    <definedName name="_P3">#REF!</definedName>
    <definedName name="_P4">#REF!</definedName>
    <definedName name="_P5">#REF!</definedName>
    <definedName name="_pan1">#REF!</definedName>
    <definedName name="_PAN2">#REF!</definedName>
    <definedName name="_Parse_In" hidden="1">#REF!</definedName>
    <definedName name="_Parse_Out" hidden="1">#REF!</definedName>
    <definedName name="_PB1">#REF!</definedName>
    <definedName name="_pcc1">#REF!</definedName>
    <definedName name="_pcc2">#REF!</definedName>
    <definedName name="_pcc3">#REF!</definedName>
    <definedName name="_PCC4">#REF!</definedName>
    <definedName name="_pd10" localSheetId="12" hidden="1">{"'Summary'!$A$1:$J$46"}</definedName>
    <definedName name="_pd10" hidden="1">{"'Summary'!$A$1:$J$46"}</definedName>
    <definedName name="_PD11" localSheetId="12" hidden="1">{"'Summary'!$A$1:$J$46"}</definedName>
    <definedName name="_PD11" hidden="1">{"'Summary'!$A$1:$J$46"}</definedName>
    <definedName name="_pdp1" localSheetId="12">#REF!</definedName>
    <definedName name="_pdp1" localSheetId="29">#REF!</definedName>
    <definedName name="_pdp1" localSheetId="26">#REF!</definedName>
    <definedName name="_pdp1" localSheetId="2">#REF!</definedName>
    <definedName name="_pdp1">#REF!</definedName>
    <definedName name="_pdp2" localSheetId="12">#REF!</definedName>
    <definedName name="_pdp2" localSheetId="29">#REF!</definedName>
    <definedName name="_pdp2" localSheetId="26">#REF!</definedName>
    <definedName name="_pdp2" localSheetId="2">#REF!</definedName>
    <definedName name="_pdp2">#REF!</definedName>
    <definedName name="_pdp3" localSheetId="12">#REF!</definedName>
    <definedName name="_pdp3" localSheetId="29">#REF!</definedName>
    <definedName name="_pdp3" localSheetId="26">#REF!</definedName>
    <definedName name="_pdp3" localSheetId="2">#REF!</definedName>
    <definedName name="_pdp3">#REF!</definedName>
    <definedName name="_pep99" localSheetId="29">#REF!</definedName>
    <definedName name="_pep99" localSheetId="26">#REF!</definedName>
    <definedName name="_pep99" localSheetId="2">#REF!</definedName>
    <definedName name="_pep99">#REF!</definedName>
    <definedName name="_pfi1" localSheetId="12">#REF!</definedName>
    <definedName name="_pfi1">#REF!</definedName>
    <definedName name="_PIN1">#REF!</definedName>
    <definedName name="_plb1">#REF!</definedName>
    <definedName name="_plb2">#REF!</definedName>
    <definedName name="_plb3">#REF!</definedName>
    <definedName name="_plb4">#REF!</definedName>
    <definedName name="_PLC220">#REF!</definedName>
    <definedName name="_PM123" localSheetId="12" hidden="1">{"'Sheet1'!$A$4386:$N$4591"}</definedName>
    <definedName name="_PM123" localSheetId="29" hidden="1">{"'Sheet1'!$A$4386:$N$4591"}</definedName>
    <definedName name="_PM123" localSheetId="27" hidden="1">{"'Sheet1'!$A$4386:$N$4591"}</definedName>
    <definedName name="_PM123" localSheetId="4" hidden="1">{"'Sheet1'!$A$4386:$N$4591"}</definedName>
    <definedName name="_PM123" localSheetId="32" hidden="1">{"'Sheet1'!$A$4386:$N$4591"}</definedName>
    <definedName name="_PM123" localSheetId="24" hidden="1">{"'Sheet1'!$A$4386:$N$4591"}</definedName>
    <definedName name="_PM123" localSheetId="26" hidden="1">{"'Sheet1'!$A$4386:$N$4591"}</definedName>
    <definedName name="_PM123" hidden="1">{"'Sheet1'!$A$4386:$N$4591"}</definedName>
    <definedName name="_PO2" localSheetId="6">#REF!</definedName>
    <definedName name="_PO2" localSheetId="27">#REF!</definedName>
    <definedName name="_PO2" localSheetId="4">#REF!</definedName>
    <definedName name="_PO2" localSheetId="32">#REF!</definedName>
    <definedName name="_PO2" localSheetId="24">#REF!</definedName>
    <definedName name="_PO2">#REF!</definedName>
    <definedName name="_pp" localSheetId="12" hidden="1">{"'PROFITABILITY'!$A$1:$F$45"}</definedName>
    <definedName name="_pp" localSheetId="6" hidden="1">{"'PROFITABILITY'!$A$1:$F$45"}</definedName>
    <definedName name="_pp" localSheetId="29" hidden="1">{"'PROFITABILITY'!$A$1:$F$45"}</definedName>
    <definedName name="_pp" localSheetId="27" hidden="1">{"'PROFITABILITY'!$A$1:$F$45"}</definedName>
    <definedName name="_pp" localSheetId="4" hidden="1">{"'PROFITABILITY'!$A$1:$F$45"}</definedName>
    <definedName name="_pp" localSheetId="32" hidden="1">{"'PROFITABILITY'!$A$1:$F$45"}</definedName>
    <definedName name="_pp" localSheetId="24" hidden="1">{"'PROFITABILITY'!$A$1:$F$45"}</definedName>
    <definedName name="_pp" localSheetId="26" hidden="1">{"'PROFITABILITY'!$A$1:$F$45"}</definedName>
    <definedName name="_pp" hidden="1">{"'PROFITABILITY'!$A$1:$F$45"}</definedName>
    <definedName name="_pp1" localSheetId="12">#REF!</definedName>
    <definedName name="_pp1">#REF!</definedName>
    <definedName name="_pp2" localSheetId="12">#REF!</definedName>
    <definedName name="_pp2">#REF!</definedName>
    <definedName name="_ps1" localSheetId="2">#REF!</definedName>
    <definedName name="_ps1">#REF!</definedName>
    <definedName name="_Q">#REF!</definedName>
    <definedName name="_Q___0">#REF!</definedName>
    <definedName name="_Q___0___0">#REF!</definedName>
    <definedName name="_Q___0___0___0">#REF!</definedName>
    <definedName name="_Q___0___0___0___0">#REF!</definedName>
    <definedName name="_Q___0___0___0___0___0">#REF!</definedName>
    <definedName name="_Q___0___0___0___0___0___0">#REF!</definedName>
    <definedName name="_Q_1">#REF!</definedName>
    <definedName name="_Q1">#REF!</definedName>
    <definedName name="_Q1_1">#REF!</definedName>
    <definedName name="_QAW3">#REF!</definedName>
    <definedName name="_QDTYPETOWERPART">#REF!</definedName>
    <definedName name="_qqq1">#N/A</definedName>
    <definedName name="_QTY1" localSheetId="6">#REF!</definedName>
    <definedName name="_QTY1" localSheetId="29">#REF!</definedName>
    <definedName name="_QTY1" localSheetId="24">#REF!</definedName>
    <definedName name="_QTY1" localSheetId="26">#REF!</definedName>
    <definedName name="_QTY1">#REF!</definedName>
    <definedName name="_qty2" localSheetId="6">#REF!</definedName>
    <definedName name="_qty2" localSheetId="29">#REF!</definedName>
    <definedName name="_qty2" localSheetId="26">#REF!</definedName>
    <definedName name="_qty2">#REF!</definedName>
    <definedName name="_qty3" localSheetId="6">#REF!</definedName>
    <definedName name="_qty3" localSheetId="29">#REF!</definedName>
    <definedName name="_qty3" localSheetId="26">#REF!</definedName>
    <definedName name="_qty3">#REF!</definedName>
    <definedName name="_qty4">#REF!</definedName>
    <definedName name="_R" localSheetId="12">#REF!</definedName>
    <definedName name="_r" localSheetId="29">"#REF!"</definedName>
    <definedName name="_r" localSheetId="4">"#REF!"</definedName>
    <definedName name="_r" localSheetId="32">"#REF!"</definedName>
    <definedName name="_R" localSheetId="24">#REF!</definedName>
    <definedName name="_r" localSheetId="26">"#REF!"</definedName>
    <definedName name="_r">"#REF!"</definedName>
    <definedName name="_R1">#REF!</definedName>
    <definedName name="_RAC1" localSheetId="24">#REF!</definedName>
    <definedName name="_RAC1">#REF!</definedName>
    <definedName name="_RBS1" localSheetId="6">#REF!</definedName>
    <definedName name="_RBS1" localSheetId="29">#REF!</definedName>
    <definedName name="_RBS1" localSheetId="26">#REF!</definedName>
    <definedName name="_RBS1">#REF!</definedName>
    <definedName name="_rc">#REF!</definedName>
    <definedName name="_rcu2">#REF!</definedName>
    <definedName name="_Re1">#REF!</definedName>
    <definedName name="_RE100" localSheetId="6">#REF!</definedName>
    <definedName name="_RE100">#REF!</definedName>
    <definedName name="_RE104" localSheetId="6">#REF!</definedName>
    <definedName name="_RE104">#REF!</definedName>
    <definedName name="_RE112">#REF!</definedName>
    <definedName name="_RE220">#REF!</definedName>
    <definedName name="_RE26">#REF!</definedName>
    <definedName name="_RE28">#REF!</definedName>
    <definedName name="_RE30">#REF!</definedName>
    <definedName name="_RE32">#REF!</definedName>
    <definedName name="_RE34">#REF!</definedName>
    <definedName name="_RE36">#REF!</definedName>
    <definedName name="_RE38">#REF!</definedName>
    <definedName name="_RE40">#REF!</definedName>
    <definedName name="_RE42">#REF!</definedName>
    <definedName name="_RE44">#REF!</definedName>
    <definedName name="_RE48">#REF!</definedName>
    <definedName name="_RE500">#REF!</definedName>
    <definedName name="_RE52">#REF!</definedName>
    <definedName name="_RE56">#REF!</definedName>
    <definedName name="_RE60">#REF!</definedName>
    <definedName name="_RE64">#REF!</definedName>
    <definedName name="_RE68">#REF!</definedName>
    <definedName name="_RE72">#REF!</definedName>
    <definedName name="_RE76">#REF!</definedName>
    <definedName name="_RE80">#REF!</definedName>
    <definedName name="_RE88">#REF!</definedName>
    <definedName name="_RE92">#REF!</definedName>
    <definedName name="_RE96">#REF!</definedName>
    <definedName name="_Regression_Int">1</definedName>
    <definedName name="_Regression_Out" localSheetId="6" hidden="1">#REF!</definedName>
    <definedName name="_Regression_Out" localSheetId="29" hidden="1">#REF!</definedName>
    <definedName name="_Regression_Out" localSheetId="24" hidden="1">#REF!</definedName>
    <definedName name="_Regression_Out" localSheetId="26" hidden="1">#REF!</definedName>
    <definedName name="_Regression_Out" hidden="1">#REF!</definedName>
    <definedName name="_Regression_X" localSheetId="6" hidden="1">#REF!</definedName>
    <definedName name="_Regression_X" localSheetId="29" hidden="1">#REF!</definedName>
    <definedName name="_Regression_X" localSheetId="26" hidden="1">#REF!</definedName>
    <definedName name="_Regression_X" hidden="1">#REF!</definedName>
    <definedName name="_Regression_Y" localSheetId="6" hidden="1">#REF!</definedName>
    <definedName name="_Regression_Y" localSheetId="29" hidden="1">#REF!</definedName>
    <definedName name="_Regression_Y" localSheetId="26" hidden="1">#REF!</definedName>
    <definedName name="_Regression_Y" hidden="1">#REF!</definedName>
    <definedName name="_rim4">#REF!</definedName>
    <definedName name="_Rl1">#REF!</definedName>
    <definedName name="_rm4">#REF!</definedName>
    <definedName name="_RNG150">#REF!</definedName>
    <definedName name="_RNG1500">#REF!</definedName>
    <definedName name="_RNG2500">#REF!</definedName>
    <definedName name="_RNG300">#REF!</definedName>
    <definedName name="_RNG400">#REF!</definedName>
    <definedName name="_RNG4500">#REF!</definedName>
    <definedName name="_RNG600">#REF!</definedName>
    <definedName name="_RNG900">#REF!</definedName>
    <definedName name="_ROD6">#REF!</definedName>
    <definedName name="_row1" localSheetId="12">#REF!</definedName>
    <definedName name="_row1" localSheetId="29">#REF!</definedName>
    <definedName name="_row1" localSheetId="26">#REF!</definedName>
    <definedName name="_row1" localSheetId="2">#REF!</definedName>
    <definedName name="_row1">#REF!</definedName>
    <definedName name="_Rpo2">#REF!</definedName>
    <definedName name="_rs1" localSheetId="12">#REF!</definedName>
    <definedName name="_rs1">#REF!</definedName>
    <definedName name="_rt1">#REF!</definedName>
    <definedName name="_rt2">#REF!</definedName>
    <definedName name="_rt3">#REF!</definedName>
    <definedName name="_run1">#REF!</definedName>
    <definedName name="_run2">#REF!</definedName>
    <definedName name="_run3">#REF!</definedName>
    <definedName name="_S">#REF!</definedName>
    <definedName name="_S___0">#REF!</definedName>
    <definedName name="_S___0___0">#REF!</definedName>
    <definedName name="_S___0___0___0">#REF!</definedName>
    <definedName name="_S___0___0___0___0">#REF!</definedName>
    <definedName name="_S___0___0___0___0___0">#REF!</definedName>
    <definedName name="_S___0___0___0___0___0___0">#REF!</definedName>
    <definedName name="_S___0___0___0___0___0___0_1">#REF!</definedName>
    <definedName name="_s_1">#REF!</definedName>
    <definedName name="_s_1_1">#REF!</definedName>
    <definedName name="_s41" localSheetId="12" hidden="1">{"form-D1",#N/A,FALSE,"FORM-D1";"form-D1_amt",#N/A,FALSE,"FORM-D1"}</definedName>
    <definedName name="_s41" hidden="1">{"form-D1",#N/A,FALSE,"FORM-D1";"form-D1_amt",#N/A,FALSE,"FORM-D1"}</definedName>
    <definedName name="_SAP1" localSheetId="29">#REF!</definedName>
    <definedName name="_SAP1" localSheetId="26">#REF!</definedName>
    <definedName name="_SAP1" localSheetId="2">#REF!</definedName>
    <definedName name="_SAP1">#REF!</definedName>
    <definedName name="_SAP10" localSheetId="2">#REF!</definedName>
    <definedName name="_SAP10">#REF!</definedName>
    <definedName name="_SAP11" localSheetId="2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01" localSheetId="12">#REF!</definedName>
    <definedName name="_SC01">#REF!</definedName>
    <definedName name="_SC02" localSheetId="12">#REF!</definedName>
    <definedName name="_SC02">#REF!</definedName>
    <definedName name="_SC03" localSheetId="12">#REF!</definedName>
    <definedName name="_SC03">#REF!</definedName>
    <definedName name="_SC04" localSheetId="12">#REF!</definedName>
    <definedName name="_SC04">#REF!</definedName>
    <definedName name="_SC05" localSheetId="12">#REF!</definedName>
    <definedName name="_SC05">#REF!</definedName>
    <definedName name="_SC06" localSheetId="12">#REF!</definedName>
    <definedName name="_SC06">#REF!</definedName>
    <definedName name="_SC11" localSheetId="12">#REF!</definedName>
    <definedName name="_SC11">#REF!</definedName>
    <definedName name="_SC12" localSheetId="12">#REF!</definedName>
    <definedName name="_SC12">#REF!</definedName>
    <definedName name="_SC13" localSheetId="12">#REF!</definedName>
    <definedName name="_SC13">#REF!</definedName>
    <definedName name="_SC21" localSheetId="12">#REF!</definedName>
    <definedName name="_SC21">#REF!</definedName>
    <definedName name="_SC22" localSheetId="12">#REF!</definedName>
    <definedName name="_SC22">#REF!</definedName>
    <definedName name="_SC23" localSheetId="12">#REF!</definedName>
    <definedName name="_SC23">#REF!</definedName>
    <definedName name="_SC24" localSheetId="12">#REF!</definedName>
    <definedName name="_SC24">#REF!</definedName>
    <definedName name="_SC25" localSheetId="12">#REF!</definedName>
    <definedName name="_SC25">#REF!</definedName>
    <definedName name="_SC26" localSheetId="12">#REF!</definedName>
    <definedName name="_SC26">#REF!</definedName>
    <definedName name="_SC7025">#REF!</definedName>
    <definedName name="_SC7042">#REF!</definedName>
    <definedName name="_SC7043">#REF!</definedName>
    <definedName name="_SC7045">#REF!</definedName>
    <definedName name="_SC7048">#REF!</definedName>
    <definedName name="_SCB2">#REF!</definedName>
    <definedName name="_SCH11">#N/A</definedName>
    <definedName name="_sch2" localSheetId="6">#REF!</definedName>
    <definedName name="_sch2" localSheetId="29">#REF!</definedName>
    <definedName name="_sch2" localSheetId="24">#REF!</definedName>
    <definedName name="_sch2" localSheetId="7">#REF!</definedName>
    <definedName name="_sch2" localSheetId="26">#REF!</definedName>
    <definedName name="_sch2">#REF!</definedName>
    <definedName name="_sch9" localSheetId="29">#REF!</definedName>
    <definedName name="_sch9" localSheetId="26">#REF!</definedName>
    <definedName name="_sch9">#REF!</definedName>
    <definedName name="_SD30" localSheetId="12" hidden="1">{"'Summary'!$A$1:$J$46"}</definedName>
    <definedName name="_SD30" hidden="1">{"'Summary'!$A$1:$J$46"}</definedName>
    <definedName name="_sdf1" localSheetId="12">#REF!</definedName>
    <definedName name="_sdf1">#REF!</definedName>
    <definedName name="_SDF2">#REF!</definedName>
    <definedName name="_SG1">#REF!</definedName>
    <definedName name="_SG2">#REF!</definedName>
    <definedName name="_sh1">90</definedName>
    <definedName name="_sh2">120</definedName>
    <definedName name="_sh3">150</definedName>
    <definedName name="_sh4">180</definedName>
    <definedName name="_sig1" localSheetId="12">#REF!</definedName>
    <definedName name="_sig1">#REF!</definedName>
    <definedName name="_sig2" localSheetId="12">#REF!</definedName>
    <definedName name="_sig2">#REF!</definedName>
    <definedName name="_sig3" localSheetId="12">#REF!</definedName>
    <definedName name="_sig3">#REF!</definedName>
    <definedName name="_sig4" localSheetId="12">#REF!</definedName>
    <definedName name="_sig4">#REF!</definedName>
    <definedName name="_sig5" localSheetId="12">#REF!</definedName>
    <definedName name="_sig5">#REF!</definedName>
    <definedName name="_sig6">#REF!</definedName>
    <definedName name="_sit75">#REF!</definedName>
    <definedName name="_Sort" localSheetId="24" hidden="1">#REF!</definedName>
    <definedName name="_Sort" hidden="1">#REF!</definedName>
    <definedName name="_srk1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3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6">#REF!</definedName>
    <definedName name="_SS402" localSheetId="29">#REF!</definedName>
    <definedName name="_SS402" localSheetId="7">#REF!</definedName>
    <definedName name="_SS402" localSheetId="26">#REF!</definedName>
    <definedName name="_SS402">#REF!</definedName>
    <definedName name="_SS403" localSheetId="29">#REF!</definedName>
    <definedName name="_SS403" localSheetId="7">#REF!</definedName>
    <definedName name="_SS403" localSheetId="26">#REF!</definedName>
    <definedName name="_SS403">#REF!</definedName>
    <definedName name="_SS404" localSheetId="29">#REF!</definedName>
    <definedName name="_SS404" localSheetId="7">#REF!</definedName>
    <definedName name="_SS404" localSheetId="26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SSF1">#REF!</definedName>
    <definedName name="_SSF2">#REF!</definedName>
    <definedName name="_SSF3">#REF!</definedName>
    <definedName name="_SUN1">#N/A</definedName>
    <definedName name="_SUN2">#N/A</definedName>
    <definedName name="_SV7025" localSheetId="6">#REF!</definedName>
    <definedName name="_SV7025" localSheetId="29">#REF!</definedName>
    <definedName name="_SV7025" localSheetId="24">#REF!</definedName>
    <definedName name="_SV7025" localSheetId="26">#REF!</definedName>
    <definedName name="_SV7025">#REF!</definedName>
    <definedName name="_SV7042" localSheetId="6">#REF!</definedName>
    <definedName name="_SV7042" localSheetId="29">#REF!</definedName>
    <definedName name="_SV7042" localSheetId="26">#REF!</definedName>
    <definedName name="_SV7042">#REF!</definedName>
    <definedName name="_SV7043" localSheetId="6">#REF!</definedName>
    <definedName name="_SV7043" localSheetId="29">#REF!</definedName>
    <definedName name="_SV7043" localSheetId="26">#REF!</definedName>
    <definedName name="_SV7043">#REF!</definedName>
    <definedName name="_SV7045">#REF!</definedName>
    <definedName name="_SV7048">#REF!</definedName>
    <definedName name="_t">"#REF!"</definedName>
    <definedName name="_t1">#REF!</definedName>
    <definedName name="_T141000" localSheetId="6">#REF!</definedName>
    <definedName name="_T141000" localSheetId="29">#REF!</definedName>
    <definedName name="_T141000" localSheetId="24">#REF!</definedName>
    <definedName name="_T141000" localSheetId="26">#REF!</definedName>
    <definedName name="_T141000">#REF!</definedName>
    <definedName name="_T142000" localSheetId="6">#REF!</definedName>
    <definedName name="_T142000" localSheetId="24">#REF!</definedName>
    <definedName name="_T142000">#REF!</definedName>
    <definedName name="_T143100" localSheetId="6">#REF!</definedName>
    <definedName name="_T143100">#REF!</definedName>
    <definedName name="_T143300">#REF!</definedName>
    <definedName name="_T143400">#REF!</definedName>
    <definedName name="_T143600">#REF!</definedName>
    <definedName name="_T143800">#REF!</definedName>
    <definedName name="_T143820">#REF!</definedName>
    <definedName name="_T144100">#REF!</definedName>
    <definedName name="_T144300">#REF!</definedName>
    <definedName name="_T144400">#REF!</definedName>
    <definedName name="_T144500">#REF!</definedName>
    <definedName name="_T144600">#REF!</definedName>
    <definedName name="_T144700">#REF!</definedName>
    <definedName name="_T144800">#REF!</definedName>
    <definedName name="_T145000">#REF!</definedName>
    <definedName name="_T146000">#REF!</definedName>
    <definedName name="_T147000">#REF!</definedName>
    <definedName name="_T147100">#REF!</definedName>
    <definedName name="_T147200">#REF!</definedName>
    <definedName name="_TAB1" localSheetId="4">#REF!</definedName>
    <definedName name="_TAB1" localSheetId="32">#REF!</definedName>
    <definedName name="_TAB1">#REF!</definedName>
    <definedName name="_TAB2">#REF!</definedName>
    <definedName name="_Table1_In1" hidden="1">#REF!</definedName>
    <definedName name="_Table1_Out" hidden="1">#REF!</definedName>
    <definedName name="_TB2" localSheetId="6">#REF!</definedName>
    <definedName name="_TB2" localSheetId="27">#REF!</definedName>
    <definedName name="_TB2" localSheetId="4">#REF!</definedName>
    <definedName name="_TB2" localSheetId="32">#REF!</definedName>
    <definedName name="_TB2" localSheetId="24">#REF!</definedName>
    <definedName name="_TB2">#REF!</definedName>
    <definedName name="_te1">#REF!</definedName>
    <definedName name="_TER1">#REF!</definedName>
    <definedName name="_tf2" localSheetId="6">#REF!</definedName>
    <definedName name="_tf2" localSheetId="27">#REF!</definedName>
    <definedName name="_tf2" localSheetId="4">#REF!</definedName>
    <definedName name="_tf2" localSheetId="32">#REF!</definedName>
    <definedName name="_tf2" localSheetId="24">#REF!</definedName>
    <definedName name="_tf2">#REF!</definedName>
    <definedName name="_tf3" localSheetId="6">#REF!</definedName>
    <definedName name="_tf3" localSheetId="27">#REF!</definedName>
    <definedName name="_tf3" localSheetId="4">#REF!</definedName>
    <definedName name="_tf3" localSheetId="32">#REF!</definedName>
    <definedName name="_tf3" localSheetId="24">#REF!</definedName>
    <definedName name="_tf3">#REF!</definedName>
    <definedName name="_tf4" localSheetId="6">#REF!</definedName>
    <definedName name="_tf4" localSheetId="27">#REF!</definedName>
    <definedName name="_tf4" localSheetId="4">#REF!</definedName>
    <definedName name="_tf4" localSheetId="32">#REF!</definedName>
    <definedName name="_tf4" localSheetId="24">#REF!</definedName>
    <definedName name="_tf4">#REF!</definedName>
    <definedName name="_tfd1" localSheetId="6">#REF!</definedName>
    <definedName name="_tfd1" localSheetId="27">#REF!</definedName>
    <definedName name="_tfd1" localSheetId="4">#REF!</definedName>
    <definedName name="_tfd1" localSheetId="32">#REF!</definedName>
    <definedName name="_tfd1" localSheetId="24">#REF!</definedName>
    <definedName name="_tfd1">#REF!</definedName>
    <definedName name="_tfd2" localSheetId="6">#REF!</definedName>
    <definedName name="_tfd2" localSheetId="27">#REF!</definedName>
    <definedName name="_tfd2" localSheetId="4">#REF!</definedName>
    <definedName name="_tfd2" localSheetId="32">#REF!</definedName>
    <definedName name="_tfd2" localSheetId="24">#REF!</definedName>
    <definedName name="_tfd2">#REF!</definedName>
    <definedName name="_tfd3" localSheetId="6">#REF!</definedName>
    <definedName name="_tfd3" localSheetId="27">#REF!</definedName>
    <definedName name="_tfd3" localSheetId="4">#REF!</definedName>
    <definedName name="_tfd3" localSheetId="32">#REF!</definedName>
    <definedName name="_tfd3" localSheetId="24">#REF!</definedName>
    <definedName name="_tfd3">#REF!</definedName>
    <definedName name="_tfd4" localSheetId="6">#REF!</definedName>
    <definedName name="_tfd4" localSheetId="27">#REF!</definedName>
    <definedName name="_tfd4" localSheetId="4">#REF!</definedName>
    <definedName name="_tfd4" localSheetId="32">#REF!</definedName>
    <definedName name="_tfd4" localSheetId="24">#REF!</definedName>
    <definedName name="_tfd4">#REF!</definedName>
    <definedName name="_Tk1" localSheetId="24">#REF!</definedName>
    <definedName name="_Tk1">#REF!</definedName>
    <definedName name="_Tk11" localSheetId="24">#REF!</definedName>
    <definedName name="_Tk11">#REF!</definedName>
    <definedName name="_Tk2">#REF!</definedName>
    <definedName name="_Tkl1">#REF!</definedName>
    <definedName name="_tl1">#REF!</definedName>
    <definedName name="_tl2">#REF!</definedName>
    <definedName name="_Tm2">#REF!</definedName>
    <definedName name="_tr1" localSheetId="6">#REF!</definedName>
    <definedName name="_tr1" localSheetId="27">#REF!</definedName>
    <definedName name="_tr1" localSheetId="4">#REF!</definedName>
    <definedName name="_tr1" localSheetId="32">#REF!</definedName>
    <definedName name="_tr1" localSheetId="24">#REF!</definedName>
    <definedName name="_tr1">#REF!</definedName>
    <definedName name="_TR100">#REF!</definedName>
    <definedName name="_tr2" localSheetId="6">#REF!</definedName>
    <definedName name="_tr2" localSheetId="27">#REF!</definedName>
    <definedName name="_tr2" localSheetId="4">#REF!</definedName>
    <definedName name="_tr2" localSheetId="32">#REF!</definedName>
    <definedName name="_tr2" localSheetId="24">#REF!</definedName>
    <definedName name="_tr2">#REF!</definedName>
    <definedName name="_TR220" localSheetId="29">#REF!</definedName>
    <definedName name="_TR220" localSheetId="24">#REF!</definedName>
    <definedName name="_TR220" localSheetId="26">#REF!</definedName>
    <definedName name="_TR220">#REF!</definedName>
    <definedName name="_tr3" localSheetId="6">#REF!</definedName>
    <definedName name="_tr3" localSheetId="27">#REF!</definedName>
    <definedName name="_tr3" localSheetId="4">#REF!</definedName>
    <definedName name="_tr3" localSheetId="32">#REF!</definedName>
    <definedName name="_tr3" localSheetId="24">#REF!</definedName>
    <definedName name="_tr3">#REF!</definedName>
    <definedName name="_TR315">#REF!</definedName>
    <definedName name="_TR33">#REF!</definedName>
    <definedName name="_TR500" localSheetId="29">#REF!</definedName>
    <definedName name="_TR500" localSheetId="24">#REF!</definedName>
    <definedName name="_TR500" localSheetId="26">#REF!</definedName>
    <definedName name="_TR500">#REF!</definedName>
    <definedName name="_tr75">#REF!</definedName>
    <definedName name="_trd1" localSheetId="6">#REF!</definedName>
    <definedName name="_trd1" localSheetId="27">#REF!</definedName>
    <definedName name="_trd1" localSheetId="4">#REF!</definedName>
    <definedName name="_trd1" localSheetId="32">#REF!</definedName>
    <definedName name="_trd1" localSheetId="24">#REF!</definedName>
    <definedName name="_trd1">#REF!</definedName>
    <definedName name="_trd2" localSheetId="6">#REF!</definedName>
    <definedName name="_trd2" localSheetId="27">#REF!</definedName>
    <definedName name="_trd2" localSheetId="4">#REF!</definedName>
    <definedName name="_trd2" localSheetId="32">#REF!</definedName>
    <definedName name="_trd2" localSheetId="24">#REF!</definedName>
    <definedName name="_trd2">#REF!</definedName>
    <definedName name="_trd3" localSheetId="6">#REF!</definedName>
    <definedName name="_trd3" localSheetId="27">#REF!</definedName>
    <definedName name="_trd3" localSheetId="4">#REF!</definedName>
    <definedName name="_trd3" localSheetId="32">#REF!</definedName>
    <definedName name="_trd3" localSheetId="24">#REF!</definedName>
    <definedName name="_trd3">#REF!</definedName>
    <definedName name="_trt75">#REF!</definedName>
    <definedName name="_try1" localSheetId="12">#REF!</definedName>
    <definedName name="_try1" localSheetId="29">#REF!</definedName>
    <definedName name="_try1" localSheetId="24">#REF!</definedName>
    <definedName name="_try1" localSheetId="26">#REF!</definedName>
    <definedName name="_try1">#REF!</definedName>
    <definedName name="_tt75">#REF!</definedName>
    <definedName name="_U">#REF!</definedName>
    <definedName name="_V">#REF!</definedName>
    <definedName name="_V1" localSheetId="12">#REF!</definedName>
    <definedName name="_V1">#REF!</definedName>
    <definedName name="_V2" localSheetId="12">#REF!</definedName>
    <definedName name="_V2">#REF!</definedName>
    <definedName name="_VC12">#REF!</definedName>
    <definedName name="_Vf1">#REF!</definedName>
    <definedName name="_Vf2">#REF!</definedName>
    <definedName name="_VisualChart" hidden="1">#REF!</definedName>
    <definedName name="_vr1">#REF!</definedName>
    <definedName name="_VS2004" hidden="1">#REF!</definedName>
    <definedName name="_Wc1">#REF!</definedName>
    <definedName name="_WC3">#REF!</definedName>
    <definedName name="_WD2" localSheetId="6">#REF!</definedName>
    <definedName name="_WD2" localSheetId="27">#REF!</definedName>
    <definedName name="_WD2" localSheetId="4">#REF!</definedName>
    <definedName name="_WD2" localSheetId="32">#REF!</definedName>
    <definedName name="_WD2" localSheetId="24">#REF!</definedName>
    <definedName name="_WD2">#REF!</definedName>
    <definedName name="_WE2">#REF!</definedName>
    <definedName name="_WN7" localSheetId="12" hidden="1">{#N/A,#N/A,FALSE,"MODULE3"}</definedName>
    <definedName name="_WN7" hidden="1">{#N/A,#N/A,FALSE,"MODULE3"}</definedName>
    <definedName name="_WP1" localSheetId="29">#REF!</definedName>
    <definedName name="_WP1" localSheetId="24">#REF!</definedName>
    <definedName name="_WP1" localSheetId="26">#REF!</definedName>
    <definedName name="_WP1">#REF!</definedName>
    <definedName name="_Wr1">#REF!</definedName>
    <definedName name="_Wr3">#REF!</definedName>
    <definedName name="_Xl1">#REF!</definedName>
    <definedName name="_xlcn.WorksheetConnection_InfoEntryA2D32" localSheetId="6" hidden="1">#REF!</definedName>
    <definedName name="_xlcn.WorksheetConnection_InfoEntryA2D32" localSheetId="27" hidden="1">#REF!</definedName>
    <definedName name="_xlcn.WorksheetConnection_InfoEntryA2D32" localSheetId="4" hidden="1">#REF!</definedName>
    <definedName name="_xlcn.WorksheetConnection_InfoEntryA2D32" localSheetId="32" hidden="1">#REF!</definedName>
    <definedName name="_xlcn.WorksheetConnection_InfoEntryA2D32" localSheetId="24" hidden="1">#REF!</definedName>
    <definedName name="_xlcn.WorksheetConnection_InfoEntryA2D32" hidden="1">#REF!</definedName>
    <definedName name="_Z">#REF!</definedName>
    <definedName name="_Z_1">#REF!</definedName>
    <definedName name="_Z_1_1">#REF!</definedName>
    <definedName name="_ZS1" localSheetId="24">#REF!</definedName>
    <definedName name="_ZS1">#REF!</definedName>
    <definedName name="_ZS2" localSheetId="24">#REF!</definedName>
    <definedName name="_ZS2">#REF!</definedName>
    <definedName name="¿uº°¿μ¾÷" localSheetId="29">#REF!</definedName>
    <definedName name="¿uº°¿μ¾÷" localSheetId="26">#REF!</definedName>
    <definedName name="¿uº°¿μ¾÷">#REF!</definedName>
    <definedName name="√">"SQRT"</definedName>
    <definedName name="a" localSheetId="29">#REF!</definedName>
    <definedName name="a" localSheetId="26">#REF!</definedName>
    <definedName name="a" localSheetId="2">#REF!</definedName>
    <definedName name="a">#REF!</definedName>
    <definedName name="a._Trimmer" localSheetId="12">#REF!</definedName>
    <definedName name="a._Trimmer">#REF!</definedName>
    <definedName name="A.T.RAJAN">#REF!</definedName>
    <definedName name="a____________">#REF!</definedName>
    <definedName name="a___0">#REF!</definedName>
    <definedName name="a___13">#REF!</definedName>
    <definedName name="a__Labour_charges_for_cutting_bending__welding_including_materials." localSheetId="12">#REF!</definedName>
    <definedName name="a__Labour_charges_for_cutting_bending__welding_including_materials.">#REF!</definedName>
    <definedName name="A_1">"#REF!"</definedName>
    <definedName name="A_A">#REF!</definedName>
    <definedName name="A_B">#REF!</definedName>
    <definedName name="A_D" localSheetId="12">INDEX(#REF!,MATCH(#REF!,#REF!,0))</definedName>
    <definedName name="A_D" localSheetId="27">INDEX(#REF!,MATCH(#REF!,#REF!,0))</definedName>
    <definedName name="A_D" localSheetId="24">INDEX(#REF!,MATCH(#REF!,#REF!,0))</definedName>
    <definedName name="A_D">INDEX(#REF!,MATCH(#REF!,#REF!,0))</definedName>
    <definedName name="a_dash" localSheetId="6">#REF!</definedName>
    <definedName name="a_dash" localSheetId="29">#REF!</definedName>
    <definedName name="a_dash" localSheetId="24">#REF!</definedName>
    <definedName name="a_dash" localSheetId="26">#REF!</definedName>
    <definedName name="a_dash">#REF!</definedName>
    <definedName name="A_sp">#REF!</definedName>
    <definedName name="a0" localSheetId="12">#REF!</definedName>
    <definedName name="a0" localSheetId="6">#REF!</definedName>
    <definedName name="a0" localSheetId="29">#REF!</definedName>
    <definedName name="a0" localSheetId="26">#REF!</definedName>
    <definedName name="a0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" localSheetId="29">#REF!</definedName>
    <definedName name="A1_" localSheetId="26">#REF!</definedName>
    <definedName name="A1_" localSheetId="2">#REF!</definedName>
    <definedName name="A1_">#REF!</definedName>
    <definedName name="A1____0">#REF!</definedName>
    <definedName name="A1____13">#REF!</definedName>
    <definedName name="a10..">#REF!</definedName>
    <definedName name="A10_" localSheetId="2">#REF!</definedName>
    <definedName name="A10_">#REF!</definedName>
    <definedName name="A10____0">#REF!</definedName>
    <definedName name="A10____13">#REF!</definedName>
    <definedName name="A13_" localSheetId="2">#REF!</definedName>
    <definedName name="A13_">#REF!</definedName>
    <definedName name="A13____0">#REF!</definedName>
    <definedName name="A13____13">#REF!</definedName>
    <definedName name="a1a" localSheetId="12">#REF!</definedName>
    <definedName name="a1a" localSheetId="4">#REF!</definedName>
    <definedName name="a1a" localSheetId="32">#REF!</definedName>
    <definedName name="a1a">#REF!</definedName>
    <definedName name="A1HELLO">#REF!</definedName>
    <definedName name="A2_">#REF!</definedName>
    <definedName name="A2____0">#REF!</definedName>
    <definedName name="A2____13">#REF!</definedName>
    <definedName name="a2a" localSheetId="12">#REF!</definedName>
    <definedName name="a2a" localSheetId="4">#REF!</definedName>
    <definedName name="a2a" localSheetId="32">#REF!</definedName>
    <definedName name="a2a">#REF!</definedName>
    <definedName name="A3_">#REF!</definedName>
    <definedName name="A3____0">#REF!</definedName>
    <definedName name="A3____13">#REF!</definedName>
    <definedName name="A4_">#REF!</definedName>
    <definedName name="A4____0">#REF!</definedName>
    <definedName name="A4____13">#REF!</definedName>
    <definedName name="a45b45">#REF!</definedName>
    <definedName name="A5_">#REF!</definedName>
    <definedName name="A5____0">#REF!</definedName>
    <definedName name="A5____13">#REF!</definedName>
    <definedName name="A560I92">#REF!</definedName>
    <definedName name="A6_">#REF!</definedName>
    <definedName name="A6____0">#REF!</definedName>
    <definedName name="A6____13">#REF!</definedName>
    <definedName name="A65379A10">#REF!</definedName>
    <definedName name="A7_">#REF!</definedName>
    <definedName name="A7____0">#REF!</definedName>
    <definedName name="A7____13">#REF!</definedName>
    <definedName name="A8_">#REF!</definedName>
    <definedName name="A8____0">#REF!</definedName>
    <definedName name="A8____13">#REF!</definedName>
    <definedName name="A9_">#REF!</definedName>
    <definedName name="A9____0">#REF!</definedName>
    <definedName name="A9____13">#REF!</definedName>
    <definedName name="AA" localSheetId="12">INDEX(#REF!,MATCH(#REF!,#REF!,0))</definedName>
    <definedName name="aa" localSheetId="29">#REF!</definedName>
    <definedName name="aa" localSheetId="26">#REF!</definedName>
    <definedName name="aa">#REF!</definedName>
    <definedName name="aa_1">#REF!</definedName>
    <definedName name="AA_A">INDEX(#REF!,MATCH(#REF!,#REF!,0))</definedName>
    <definedName name="AAA" localSheetId="12" hidden="1">{#N/A,#N/A,FALSE,"COVER1.XLS ";#N/A,#N/A,FALSE,"RACT1.XLS";#N/A,#N/A,FALSE,"RACT2.XLS";#N/A,#N/A,FALSE,"ECCMP";#N/A,#N/A,FALSE,"WELDER.XLS"}</definedName>
    <definedName name="aaa" localSheetId="6">#REF!</definedName>
    <definedName name="AAA" localSheetId="29" hidden="1">{#N/A,#N/A,FALSE,"COVER1.XLS ";#N/A,#N/A,FALSE,"RACT1.XLS";#N/A,#N/A,FALSE,"RACT2.XLS";#N/A,#N/A,FALSE,"ECCMP";#N/A,#N/A,FALSE,"WELDER.XLS"}</definedName>
    <definedName name="AAA" localSheetId="27" hidden="1">{#N/A,#N/A,FALSE,"COVER1.XLS ";#N/A,#N/A,FALSE,"RACT1.XLS";#N/A,#N/A,FALSE,"RACT2.XLS";#N/A,#N/A,FALSE,"ECCMP";#N/A,#N/A,FALSE,"WELDER.XLS"}</definedName>
    <definedName name="aaa" localSheetId="4">#REF!</definedName>
    <definedName name="aaa" localSheetId="32">#REF!</definedName>
    <definedName name="AAA" localSheetId="24" hidden="1">{#N/A,#N/A,FALSE,"COVER1.XLS ";#N/A,#N/A,FALSE,"RACT1.XLS";#N/A,#N/A,FALSE,"RACT2.XLS";#N/A,#N/A,FALSE,"ECCMP";#N/A,#N/A,FALSE,"WELDER.XLS"}</definedName>
    <definedName name="AAA" localSheetId="7" hidden="1">{#N/A,#N/A,FALSE,"COVER1.XLS ";#N/A,#N/A,FALSE,"RACT1.XLS";#N/A,#N/A,FALSE,"RACT2.XLS";#N/A,#N/A,FALSE,"ECCMP";#N/A,#N/A,FALSE,"WELDER.XLS"}</definedName>
    <definedName name="AAA" localSheetId="26" hidden="1">{#N/A,#N/A,FALSE,"COVER1.XLS ";#N/A,#N/A,FALSE,"RACT1.XLS";#N/A,#N/A,FALSE,"RACT2.XLS";#N/A,#N/A,FALSE,"ECCMP";#N/A,#N/A,FALSE,"WELDER.XLS"}</definedName>
    <definedName name="AAA" localSheetId="2" hidden="1">{#N/A,#N/A,FALSE,"COVER1.XLS ";#N/A,#N/A,FALSE,"RACT1.XLS";#N/A,#N/A,FALSE,"RACT2.XLS";#N/A,#N/A,FALSE,"ECCMP";#N/A,#N/A,FALSE,"WELDER.XLS"}</definedName>
    <definedName name="AAA" hidden="1">{#N/A,#N/A,FALSE,"COVER1.XLS ";#N/A,#N/A,FALSE,"RACT1.XLS";#N/A,#N/A,FALSE,"RACT2.XLS";#N/A,#N/A,FALSE,"ECCMP";#N/A,#N/A,FALSE,"WELDER.XLS"}</definedName>
    <definedName name="aaaa" localSheetId="6">#REF!</definedName>
    <definedName name="aaaa" localSheetId="29">#REF!</definedName>
    <definedName name="aaaa" localSheetId="7">#REF!</definedName>
    <definedName name="aaaa" localSheetId="26">#REF!</definedName>
    <definedName name="aaaa">#REF!</definedName>
    <definedName name="AAAA_1">NA()</definedName>
    <definedName name="aaaaa" localSheetId="27">#REF!</definedName>
    <definedName name="aaaaa">#REF!</definedName>
    <definedName name="AAAAAA" localSheetId="29" hidden="1">#REF!</definedName>
    <definedName name="AAAAAA" localSheetId="24" hidden="1">#REF!</definedName>
    <definedName name="AAAAAA" localSheetId="26" hidden="1">#REF!</definedName>
    <definedName name="AAAAAA" hidden="1">#REF!</definedName>
    <definedName name="AAAAAAA">#REF!</definedName>
    <definedName name="AAAAAAAAA" localSheetId="29">#REF!</definedName>
    <definedName name="AAAAAAAAA" localSheetId="26">#REF!</definedName>
    <definedName name="AAAAAAAAA">#REF!</definedName>
    <definedName name="AAAAAAAAAA">#REF!</definedName>
    <definedName name="aaaaaaaaaaa">#REF!</definedName>
    <definedName name="aaaaaaaaaaaa">#REF!</definedName>
    <definedName name="AAAAAAAAAAAAA" hidden="1">#REF!</definedName>
    <definedName name="aaaaaaaaaaaaaaa" hidden="1">#REF!</definedName>
    <definedName name="AAAAAAAAAAAAAAAAAAAAAAAAAAAAAAAAAAAAAAAAA">#REF!</definedName>
    <definedName name="AAAS">INDEX(#REF!,MATCH(#REF!,#REF!,0))</definedName>
    <definedName name="aaassd">#REF!</definedName>
    <definedName name="AAB" localSheetId="12">INDEX(#REF!,MATCH(#REF!,#REF!,0))</definedName>
    <definedName name="aab" localSheetId="6" hidden="1">{"form-D1",#N/A,FALSE,"FORM-D1";"form-D1_amt",#N/A,FALSE,"FORM-D1"}</definedName>
    <definedName name="aab" localSheetId="29" hidden="1">{"form-D1",#N/A,FALSE,"FORM-D1";"form-D1_amt",#N/A,FALSE,"FORM-D1"}</definedName>
    <definedName name="aab" localSheetId="27" hidden="1">{"form-D1",#N/A,FALSE,"FORM-D1";"form-D1_amt",#N/A,FALSE,"FORM-D1"}</definedName>
    <definedName name="aab" localSheetId="4" hidden="1">{"form-D1",#N/A,FALSE,"FORM-D1";"form-D1_amt",#N/A,FALSE,"FORM-D1"}</definedName>
    <definedName name="aab" localSheetId="32" hidden="1">{"form-D1",#N/A,FALSE,"FORM-D1";"form-D1_amt",#N/A,FALSE,"FORM-D1"}</definedName>
    <definedName name="aab" localSheetId="24" hidden="1">{"form-D1",#N/A,FALSE,"FORM-D1";"form-D1_amt",#N/A,FALSE,"FORM-D1"}</definedName>
    <definedName name="aab" localSheetId="26" hidden="1">{"form-D1",#N/A,FALSE,"FORM-D1";"form-D1_amt",#N/A,FALSE,"FORM-D1"}</definedName>
    <definedName name="aab" hidden="1">{"form-D1",#N/A,FALSE,"FORM-D1";"form-D1_amt",#N/A,FALSE,"FORM-D1"}</definedName>
    <definedName name="aab_1">NA()</definedName>
    <definedName name="AABS">INDEX(#REF!,MATCH(#REF!,#REF!,0))</definedName>
    <definedName name="AAC" localSheetId="12">INDEX(#REF!,MATCH(#REF!,#REF!,0))</definedName>
    <definedName name="aac" localSheetId="6" hidden="1">{"'PROFITABILITY'!$A$1:$F$45"}</definedName>
    <definedName name="aac" localSheetId="29" hidden="1">{"'PROFITABILITY'!$A$1:$F$45"}</definedName>
    <definedName name="aac" localSheetId="27" hidden="1">{"'PROFITABILITY'!$A$1:$F$45"}</definedName>
    <definedName name="aac" localSheetId="4" hidden="1">{"'PROFITABILITY'!$A$1:$F$45"}</definedName>
    <definedName name="aac" localSheetId="32" hidden="1">{"'PROFITABILITY'!$A$1:$F$45"}</definedName>
    <definedName name="aac" localSheetId="24" hidden="1">{"'PROFITABILITY'!$A$1:$F$45"}</definedName>
    <definedName name="aac" localSheetId="26" hidden="1">{"'PROFITABILITY'!$A$1:$F$45"}</definedName>
    <definedName name="aac" hidden="1">{"'PROFITABILITY'!$A$1:$F$45"}</definedName>
    <definedName name="AACS">INDEX(#REF!,MATCH(#REF!,#REF!,0))</definedName>
    <definedName name="AAD">INDEX(#REF!,MATCH(#REF!,#REF!,0))</definedName>
    <definedName name="aadf" hidden="1">#REF!</definedName>
    <definedName name="AADS">INDEX(#REF!,MATCH(#REF!,#REF!,0))</definedName>
    <definedName name="AAE">INDEX(#REF!,MATCH(#REF!,#REF!,0))</definedName>
    <definedName name="AAES">INDEX(#REF!,MATCH(#REF!,#REF!,0))</definedName>
    <definedName name="AAF">INDEX(#REF!,MATCH(#REF!,#REF!,0))</definedName>
    <definedName name="aaffa" localSheetId="12" hidden="1">{#N/A,#N/A,FALSE,"COVER.XLS";#N/A,#N/A,FALSE,"RACT1.XLS";#N/A,#N/A,FALSE,"RACT2.XLS";#N/A,#N/A,FALSE,"ECCMP";#N/A,#N/A,FALSE,"WELDER.XLS"}</definedName>
    <definedName name="aaffa" hidden="1">{#N/A,#N/A,FALSE,"COVER.XLS";#N/A,#N/A,FALSE,"RACT1.XLS";#N/A,#N/A,FALSE,"RACT2.XLS";#N/A,#N/A,FALSE,"ECCMP";#N/A,#N/A,FALSE,"WELDER.XLS"}</definedName>
    <definedName name="AAFS">INDEX(#REF!,MATCH(#REF!,#REF!,0))</definedName>
    <definedName name="AAG">INDEX(#REF!,MATCH(#REF!,#REF!,0))</definedName>
    <definedName name="AAGS">INDEX(#REF!,MATCH(#REF!,#REF!,0))</definedName>
    <definedName name="AAH">INDEX(#REF!,MATCH(#REF!,#REF!,0))</definedName>
    <definedName name="AAHS">INDEX(#REF!,MATCH(#REF!,#REF!,0))</definedName>
    <definedName name="AAI">INDEX(#REF!,MATCH(#REF!,#REF!,0))</definedName>
    <definedName name="aamin">#REF!</definedName>
    <definedName name="AAS" localSheetId="12">INDEX(#REF!,MATCH(#REF!,#REF!,0))</definedName>
    <definedName name="aas">#REF!</definedName>
    <definedName name="aasdad" localSheetId="12">#REF!</definedName>
    <definedName name="aasdad">#REF!</definedName>
    <definedName name="AASDF" localSheetId="12">#REF!</definedName>
    <definedName name="AASDF">#REF!</definedName>
    <definedName name="aav" localSheetId="12" hidden="1">{"'PROFITABILITY'!$A$1:$F$45"}</definedName>
    <definedName name="aav" localSheetId="6" hidden="1">{"'PROFITABILITY'!$A$1:$F$45"}</definedName>
    <definedName name="aav" localSheetId="29" hidden="1">{"'PROFITABILITY'!$A$1:$F$45"}</definedName>
    <definedName name="aav" localSheetId="27" hidden="1">{"'PROFITABILITY'!$A$1:$F$45"}</definedName>
    <definedName name="aav" localSheetId="4" hidden="1">{"'PROFITABILITY'!$A$1:$F$45"}</definedName>
    <definedName name="aav" localSheetId="32" hidden="1">{"'PROFITABILITY'!$A$1:$F$45"}</definedName>
    <definedName name="aav" localSheetId="24" hidden="1">{"'PROFITABILITY'!$A$1:$F$45"}</definedName>
    <definedName name="aav" localSheetId="26" hidden="1">{"'PROFITABILITY'!$A$1:$F$45"}</definedName>
    <definedName name="aav" hidden="1">{"'PROFITABILITY'!$A$1:$F$45"}</definedName>
    <definedName name="aAXX1">#REF!</definedName>
    <definedName name="AB" localSheetId="12">INDEX(#REF!,MATCH(#REF!,#REF!,0))</definedName>
    <definedName name="ab" localSheetId="29">#REF!</definedName>
    <definedName name="ab" localSheetId="7">#REF!</definedName>
    <definedName name="ab" localSheetId="26">#REF!</definedName>
    <definedName name="ab">#REF!</definedName>
    <definedName name="aba" localSheetId="12" hidden="1">{#N/A,#N/A,FALSE,"COVER1.XLS ";#N/A,#N/A,FALSE,"RACT1.XLS";#N/A,#N/A,FALSE,"RACT2.XLS";#N/A,#N/A,FALSE,"ECCMP";#N/A,#N/A,FALSE,"WELDER.XLS"}</definedName>
    <definedName name="aba" hidden="1">{#N/A,#N/A,FALSE,"COVER1.XLS ";#N/A,#N/A,FALSE,"RACT1.XLS";#N/A,#N/A,FALSE,"RACT2.XLS";#N/A,#N/A,FALSE,"ECCMP";#N/A,#N/A,FALSE,"WELDER.XLS"}</definedName>
    <definedName name="abab">#REF!</definedName>
    <definedName name="ABACUS" localSheetId="29">#REF!</definedName>
    <definedName name="ABACUS" localSheetId="7">#REF!</definedName>
    <definedName name="ABACUS" localSheetId="26">#REF!</definedName>
    <definedName name="ABACUS">#REF!</definedName>
    <definedName name="abb">#REF!</definedName>
    <definedName name="abc" localSheetId="12">#REF!</definedName>
    <definedName name="abc" localSheetId="6" hidden="1">{"'PROFITABILITY'!$A$1:$F$45"}</definedName>
    <definedName name="abc" localSheetId="29" hidden="1">{"'PROFITABILITY'!$A$1:$F$45"}</definedName>
    <definedName name="abc" localSheetId="27" hidden="1">{"'PROFITABILITY'!$A$1:$F$45"}</definedName>
    <definedName name="abc" localSheetId="4" hidden="1">{"'PROFITABILITY'!$A$1:$F$45"}</definedName>
    <definedName name="abc" localSheetId="32" hidden="1">{"'PROFITABILITY'!$A$1:$F$45"}</definedName>
    <definedName name="abc" localSheetId="24">#REF!</definedName>
    <definedName name="abc" localSheetId="26" hidden="1">{"'PROFITABILITY'!$A$1:$F$45"}</definedName>
    <definedName name="abc" hidden="1">{"'PROFITABILITY'!$A$1:$F$45"}</definedName>
    <definedName name="aBC_1">#REF!</definedName>
    <definedName name="ABCD">#REF!</definedName>
    <definedName name="abcde">#REF!</definedName>
    <definedName name="abcdefg" localSheetId="12" hidden="1">{"'PROFITABILITY'!$A$1:$F$45"}</definedName>
    <definedName name="abcdefg" localSheetId="6" hidden="1">{"'PROFITABILITY'!$A$1:$F$45"}</definedName>
    <definedName name="abcdefg" localSheetId="29" hidden="1">{"'PROFITABILITY'!$A$1:$F$45"}</definedName>
    <definedName name="abcdefg" localSheetId="27" hidden="1">{"'PROFITABILITY'!$A$1:$F$45"}</definedName>
    <definedName name="abcdefg" localSheetId="4" hidden="1">{"'PROFITABILITY'!$A$1:$F$45"}</definedName>
    <definedName name="abcdefg" localSheetId="32" hidden="1">{"'PROFITABILITY'!$A$1:$F$45"}</definedName>
    <definedName name="abcdefg" localSheetId="24" hidden="1">{"'PROFITABILITY'!$A$1:$F$45"}</definedName>
    <definedName name="abcdefg" localSheetId="26" hidden="1">{"'PROFITABILITY'!$A$1:$F$45"}</definedName>
    <definedName name="abcdefg" hidden="1">{"'PROFITABILITY'!$A$1:$F$45"}</definedName>
    <definedName name="abg" localSheetId="4">#REF!</definedName>
    <definedName name="abg" localSheetId="32">#REF!</definedName>
    <definedName name="abg">#REF!</definedName>
    <definedName name="ABoltDia" localSheetId="12">#REF!</definedName>
    <definedName name="ABoltDia">#REF!</definedName>
    <definedName name="ABoltLength" localSheetId="12">#REF!</definedName>
    <definedName name="ABoltLength">#REF!</definedName>
    <definedName name="ABoltProjection" localSheetId="12">#REF!</definedName>
    <definedName name="ABoltProjection">#REF!</definedName>
    <definedName name="AboveGL">#REF!</definedName>
    <definedName name="ABROAD">#REF!</definedName>
    <definedName name="Abroad_u">#REF!</definedName>
    <definedName name="abroadu">#REF!</definedName>
    <definedName name="ABS" localSheetId="12">INDEX(#REF!,MATCH(#REF!,#REF!,0))</definedName>
    <definedName name="ABS">#REF!</definedName>
    <definedName name="abstract" localSheetId="6">#REF!</definedName>
    <definedName name="abstract" localSheetId="27">#REF!</definedName>
    <definedName name="abstract" localSheetId="4">#REF!</definedName>
    <definedName name="abstract" localSheetId="32">#REF!</definedName>
    <definedName name="abstract" localSheetId="24">#REF!</definedName>
    <definedName name="abstract">#REF!</definedName>
    <definedName name="abstract1">#REF!</definedName>
    <definedName name="ABTemplateOD" localSheetId="12">#REF!</definedName>
    <definedName name="ABTemplateOD" localSheetId="29">#REF!</definedName>
    <definedName name="ABTemplateOD" localSheetId="24">#REF!</definedName>
    <definedName name="ABTemplateOD" localSheetId="26">#REF!</definedName>
    <definedName name="ABTemplateOD">#REF!</definedName>
    <definedName name="AC" localSheetId="12">INDEX(#REF!,MATCH(#REF!,#REF!,0))</definedName>
    <definedName name="AC" localSheetId="29">#REF!</definedName>
    <definedName name="AC" localSheetId="26">#REF!</definedName>
    <definedName name="AC">#REF!</definedName>
    <definedName name="AC_DESIGN">#REF!</definedName>
    <definedName name="AC_disc">#REF!</definedName>
    <definedName name="AC170CM" localSheetId="6">#REF!</definedName>
    <definedName name="AC170CM" localSheetId="27">#REF!</definedName>
    <definedName name="AC170CM" localSheetId="4">#REF!</definedName>
    <definedName name="AC170CM" localSheetId="32">#REF!</definedName>
    <definedName name="AC170CM" localSheetId="24">#REF!</definedName>
    <definedName name="AC170CM">#REF!</definedName>
    <definedName name="ACARRAY" localSheetId="12">#REF!</definedName>
    <definedName name="ACARRAY" localSheetId="24">#REF!</definedName>
    <definedName name="ACARRAY">#REF!</definedName>
    <definedName name="acb">#REF!</definedName>
    <definedName name="ACCESS" localSheetId="29">#REF!</definedName>
    <definedName name="ACCESS" localSheetId="26">#REF!</definedName>
    <definedName name="ACCESS">#REF!</definedName>
    <definedName name="ACCESS220" localSheetId="29">#REF!</definedName>
    <definedName name="ACCESS220" localSheetId="26">#REF!</definedName>
    <definedName name="ACCESS220">#REF!</definedName>
    <definedName name="AccessDatabase" localSheetId="12" hidden="1">"C:\My Documents\db3.mdb"</definedName>
    <definedName name="AccessDatabase" hidden="1">"C:\WIN95\Desktop\Ramesh\AIC\Aic.mdb"</definedName>
    <definedName name="Accessories">#REF!</definedName>
    <definedName name="accp" localSheetId="12">#REF!</definedName>
    <definedName name="accp" localSheetId="6">#REF!</definedName>
    <definedName name="accp" localSheetId="29">#REF!</definedName>
    <definedName name="accp" localSheetId="24">#REF!</definedName>
    <definedName name="accp" localSheetId="26">#REF!</definedName>
    <definedName name="accp">#REF!</definedName>
    <definedName name="ACDC" localSheetId="6">#REF!</definedName>
    <definedName name="ACDC">#REF!</definedName>
    <definedName name="ACDC220" localSheetId="6">#REF!</definedName>
    <definedName name="ACDC220">#REF!</definedName>
    <definedName name="ACER" comment="Self loader 03">#REF!</definedName>
    <definedName name="ACK" localSheetId="12">#REF!</definedName>
    <definedName name="ACK">#REF!</definedName>
    <definedName name="acr">#REF!</definedName>
    <definedName name="ACS">INDEX(#REF!,MATCH(#REF!,#REF!,0))</definedName>
    <definedName name="ACSR">#REF!</definedName>
    <definedName name="ACT">#REF!</definedName>
    <definedName name="ACTIVITY_5">#REF!</definedName>
    <definedName name="ACTIVITY_6">#REF!</definedName>
    <definedName name="ACTN">#REF!</definedName>
    <definedName name="ACTN2">#REF!</definedName>
    <definedName name="actp" localSheetId="1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29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27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3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2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2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ual" localSheetId="12">(PeriodInActual*(#REF!&gt;0))*PeriodInPlan</definedName>
    <definedName name="Actual">(PeriodInActual*(#REF!&gt;0))*PeriodInPlan</definedName>
    <definedName name="ActualBeyond" localSheetId="12">PeriodInActual*(#REF!&gt;0)</definedName>
    <definedName name="ActualBeyond">PeriodInActual*(#REF!&gt;0)</definedName>
    <definedName name="AD" localSheetId="12" hidden="1">{"'Sheet1'!$A$4386:$N$4591"}</definedName>
    <definedName name="AD" localSheetId="29" hidden="1">{"'Sheet1'!$A$4386:$N$4591"}</definedName>
    <definedName name="AD" localSheetId="27" hidden="1">{"'Sheet1'!$A$4386:$N$4591"}</definedName>
    <definedName name="AD" localSheetId="4" hidden="1">{"'Sheet1'!$A$4386:$N$4591"}</definedName>
    <definedName name="AD" localSheetId="32" hidden="1">{"'Sheet1'!$A$4386:$N$4591"}</definedName>
    <definedName name="AD" localSheetId="24" hidden="1">{"'Sheet1'!$A$4386:$N$4591"}</definedName>
    <definedName name="AD" localSheetId="26" hidden="1">{"'Sheet1'!$A$4386:$N$4591"}</definedName>
    <definedName name="AD" hidden="1">{"'Sheet1'!$A$4386:$N$4591"}</definedName>
    <definedName name="ada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localSheetId="1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ADADAD" localSheetId="6" hidden="1">#REF!</definedName>
    <definedName name="ADADADADAD" hidden="1">#REF!</definedName>
    <definedName name="adadd" localSheetId="12" hidden="1">{#N/A,#N/A,FALSE,"COVER1.XLS ";#N/A,#N/A,FALSE,"RACT1.XLS";#N/A,#N/A,FALSE,"RACT2.XLS";#N/A,#N/A,FALSE,"ECCMP";#N/A,#N/A,FALSE,"WELDER.XLS"}</definedName>
    <definedName name="adadd" hidden="1">{#N/A,#N/A,FALSE,"COVER1.XLS ";#N/A,#N/A,FALSE,"RACT1.XLS";#N/A,#N/A,FALSE,"RACT2.XLS";#N/A,#N/A,FALSE,"ECCMP";#N/A,#N/A,FALSE,"WELDER.XLS"}</definedName>
    <definedName name="adas" localSheetId="12">#REF!</definedName>
    <definedName name="adas">#REF!</definedName>
    <definedName name="adasdas">#REF!</definedName>
    <definedName name="adcbef" localSheetId="12" hidden="1">{"'PROFITABILITY'!$A$1:$F$45"}</definedName>
    <definedName name="adcbef" localSheetId="6" hidden="1">{"'PROFITABILITY'!$A$1:$F$45"}</definedName>
    <definedName name="adcbef" localSheetId="29" hidden="1">{"'PROFITABILITY'!$A$1:$F$45"}</definedName>
    <definedName name="adcbef" localSheetId="27" hidden="1">{"'PROFITABILITY'!$A$1:$F$45"}</definedName>
    <definedName name="adcbef" localSheetId="4" hidden="1">{"'PROFITABILITY'!$A$1:$F$45"}</definedName>
    <definedName name="adcbef" localSheetId="32" hidden="1">{"'PROFITABILITY'!$A$1:$F$45"}</definedName>
    <definedName name="adcbef" localSheetId="24" hidden="1">{"'PROFITABILITY'!$A$1:$F$45"}</definedName>
    <definedName name="adcbef" localSheetId="26" hidden="1">{"'PROFITABILITY'!$A$1:$F$45"}</definedName>
    <definedName name="adcbef" hidden="1">{"'PROFITABILITY'!$A$1:$F$45"}</definedName>
    <definedName name="ADD">#REF!</definedName>
    <definedName name="addf">#REF!</definedName>
    <definedName name="Address">#REF!</definedName>
    <definedName name="adds" localSheetId="12" hidden="1">{#N/A,#N/A,FALSE,"MODULE3"}</definedName>
    <definedName name="adds" hidden="1">{#N/A,#N/A,FALSE,"MODULE3"}</definedName>
    <definedName name="ADF">#REF!</definedName>
    <definedName name="adfa">#REF!</definedName>
    <definedName name="adfad" localSheetId="12">#REF!</definedName>
    <definedName name="adfad">#REF!</definedName>
    <definedName name="ADFFG">#REF!</definedName>
    <definedName name="ADFGFG">#REF!</definedName>
    <definedName name="ADFS">#REF!</definedName>
    <definedName name="adfsgdfv">#REF!</definedName>
    <definedName name="ADG">#REF!</definedName>
    <definedName name="adgh" localSheetId="12">#REF!</definedName>
    <definedName name="adgh">#REF!</definedName>
    <definedName name="ADITION" localSheetId="12" hidden="1">{"'장비'!$A$3:$M$12"}</definedName>
    <definedName name="ADITION" localSheetId="6" hidden="1">{"'장비'!$A$3:$M$12"}</definedName>
    <definedName name="ADITION" localSheetId="29" hidden="1">{"'장비'!$A$3:$M$12"}</definedName>
    <definedName name="ADITION" localSheetId="27" hidden="1">{"'장비'!$A$3:$M$12"}</definedName>
    <definedName name="ADITION" localSheetId="4" hidden="1">{"'장비'!$A$3:$M$12"}</definedName>
    <definedName name="ADITION" localSheetId="32" hidden="1">{"'장비'!$A$3:$M$12"}</definedName>
    <definedName name="ADITION" localSheetId="24" hidden="1">{"'장비'!$A$3:$M$12"}</definedName>
    <definedName name="ADITION" localSheetId="26" hidden="1">{"'장비'!$A$3:$M$12"}</definedName>
    <definedName name="ADITION" hidden="1">{"'장비'!$A$3:$M$12"}</definedName>
    <definedName name="adj" localSheetId="29">#REF!</definedName>
    <definedName name="adj" localSheetId="26">#REF!</definedName>
    <definedName name="adj">#REF!</definedName>
    <definedName name="admixPC" localSheetId="6">#REF!</definedName>
    <definedName name="admixPC" localSheetId="27">#REF!</definedName>
    <definedName name="admixPC" localSheetId="4">#REF!</definedName>
    <definedName name="admixPC" localSheetId="32">#REF!</definedName>
    <definedName name="admixPC" localSheetId="24">#REF!</definedName>
    <definedName name="admixPC">#REF!</definedName>
    <definedName name="admixpolymer" localSheetId="6">#REF!</definedName>
    <definedName name="admixpolymer" localSheetId="27">#REF!</definedName>
    <definedName name="admixpolymer" localSheetId="4">#REF!</definedName>
    <definedName name="admixpolymer" localSheetId="32">#REF!</definedName>
    <definedName name="admixpolymer" localSheetId="24">#REF!</definedName>
    <definedName name="admixpolymer">#REF!</definedName>
    <definedName name="Admixture" localSheetId="24">#REF!</definedName>
    <definedName name="Admixture">#REF!</definedName>
    <definedName name="adrgdrafg">#REF!</definedName>
    <definedName name="ADS" localSheetId="12">INDEX(#REF!,MATCH(#REF!,#REF!,0))</definedName>
    <definedName name="ads" hidden="1">{#N/A,#N/A,FALSE,"COVER1.XLS ";#N/A,#N/A,FALSE,"RACT1.XLS";#N/A,#N/A,FALSE,"RACT2.XLS";#N/A,#N/A,FALSE,"ECCMP";#N/A,#N/A,FALSE,"WELDER.XLS"}</definedName>
    <definedName name="aDSgdsfgds">#REF!</definedName>
    <definedName name="adssss">#REF!</definedName>
    <definedName name="ADUMP" localSheetId="6">#REF!</definedName>
    <definedName name="ADUMP" localSheetId="27">#REF!</definedName>
    <definedName name="ADUMP" localSheetId="4">#REF!</definedName>
    <definedName name="ADUMP" localSheetId="32">#REF!</definedName>
    <definedName name="ADUMP" localSheetId="24">#REF!</definedName>
    <definedName name="ADUMP">#REF!</definedName>
    <definedName name="ADVIK" localSheetId="29">#REF!</definedName>
    <definedName name="ADVIK" localSheetId="24">#REF!</definedName>
    <definedName name="ADVIK" localSheetId="26">#REF!</definedName>
    <definedName name="ADVIK">#REF!</definedName>
    <definedName name="adwea">#REF!</definedName>
    <definedName name="AE" localSheetId="12">INDEX(#REF!,MATCH(#REF!,#REF!,0))</definedName>
    <definedName name="ae" localSheetId="29">#REF!</definedName>
    <definedName name="ae" localSheetId="26">#REF!</definedName>
    <definedName name="ae">#REF!</definedName>
    <definedName name="AEA" localSheetId="6">#REF!</definedName>
    <definedName name="AEA" localSheetId="27">#REF!</definedName>
    <definedName name="AEA" localSheetId="4">#REF!</definedName>
    <definedName name="AEA" localSheetId="32">#REF!</definedName>
    <definedName name="AEA" localSheetId="24">#REF!</definedName>
    <definedName name="AEA">#REF!</definedName>
    <definedName name="AED" localSheetId="29">#REF!</definedName>
    <definedName name="AED" localSheetId="24">#REF!</definedName>
    <definedName name="AED" localSheetId="26">#REF!</definedName>
    <definedName name="AED">#REF!</definedName>
    <definedName name="AEDproEUR" localSheetId="29">1/#REF!</definedName>
    <definedName name="AEDproEUR" localSheetId="24">1/#REF!</definedName>
    <definedName name="AEDproEUR" localSheetId="26">1/#REF!</definedName>
    <definedName name="AEDproEUR">1/#REF!</definedName>
    <definedName name="aerawrwaraaa" localSheetId="12">#REF!</definedName>
    <definedName name="aerawrwaraaa">#REF!</definedName>
    <definedName name="AES">INDEX(#REF!,MATCH(#REF!,#REF!,0))</definedName>
    <definedName name="aesrdgdrg">#REF!</definedName>
    <definedName name="aeyae" localSheetId="6">#REF!</definedName>
    <definedName name="aeyae" localSheetId="27">#REF!</definedName>
    <definedName name="aeyae" localSheetId="4">#REF!</definedName>
    <definedName name="aeyae" localSheetId="32">#REF!</definedName>
    <definedName name="aeyae" localSheetId="24">#REF!</definedName>
    <definedName name="aeyae">#REF!</definedName>
    <definedName name="aeyrq" localSheetId="6">#REF!</definedName>
    <definedName name="aeyrq" localSheetId="27">#REF!</definedName>
    <definedName name="aeyrq" localSheetId="4">#REF!</definedName>
    <definedName name="aeyrq" localSheetId="32">#REF!</definedName>
    <definedName name="aeyrq" localSheetId="24">#REF!</definedName>
    <definedName name="aeyrq">#REF!</definedName>
    <definedName name="aeyt" localSheetId="6">#REF!</definedName>
    <definedName name="aeyt" localSheetId="27">#REF!</definedName>
    <definedName name="aeyt" localSheetId="4">#REF!</definedName>
    <definedName name="aeyt" localSheetId="32">#REF!</definedName>
    <definedName name="aeyt" localSheetId="24">#REF!</definedName>
    <definedName name="aeyt">#REF!</definedName>
    <definedName name="AF" localSheetId="12">INDEX(#REF!,MATCH(#REF!,#REF!,0))</definedName>
    <definedName name="af" localSheetId="29">#REF!</definedName>
    <definedName name="af" localSheetId="24">#REF!</definedName>
    <definedName name="af" localSheetId="26">#REF!</definedName>
    <definedName name="af">#REF!</definedName>
    <definedName name="AF_00" localSheetId="29">#REF!</definedName>
    <definedName name="AF_00" localSheetId="26">#REF!</definedName>
    <definedName name="AF_00">#REF!</definedName>
    <definedName name="AF_01" localSheetId="29">#REF!</definedName>
    <definedName name="AF_01" localSheetId="26">#REF!</definedName>
    <definedName name="AF_01">#REF!</definedName>
    <definedName name="AF_02">#REF!</definedName>
    <definedName name="AF_98">#REF!</definedName>
    <definedName name="AF_99">#REF!</definedName>
    <definedName name="AF_M_98" localSheetId="12">#REF!</definedName>
    <definedName name="AF_M_98" localSheetId="29">#REF!</definedName>
    <definedName name="AF_M_98" localSheetId="26">#REF!</definedName>
    <definedName name="AF_M_98">#REF!</definedName>
    <definedName name="AF_M_99" localSheetId="12">#REF!</definedName>
    <definedName name="AF_M_99" localSheetId="29">#REF!</definedName>
    <definedName name="AF_M_99" localSheetId="26">#REF!</definedName>
    <definedName name="AF_M_99">#REF!</definedName>
    <definedName name="afafa" localSheetId="12" hidden="1">#REF!</definedName>
    <definedName name="afafa" hidden="1">#REF!</definedName>
    <definedName name="afdad" localSheetId="12" hidden="1">{"form-D1",#N/A,FALSE,"FORM-D1";"form-D1_amt",#N/A,FALSE,"FORM-D1"}</definedName>
    <definedName name="afdad" localSheetId="6" hidden="1">{"form-D1",#N/A,FALSE,"FORM-D1";"form-D1_amt",#N/A,FALSE,"FORM-D1"}</definedName>
    <definedName name="afdad" localSheetId="29" hidden="1">{"form-D1",#N/A,FALSE,"FORM-D1";"form-D1_amt",#N/A,FALSE,"FORM-D1"}</definedName>
    <definedName name="afdad" localSheetId="27" hidden="1">{"form-D1",#N/A,FALSE,"FORM-D1";"form-D1_amt",#N/A,FALSE,"FORM-D1"}</definedName>
    <definedName name="afdad" localSheetId="4" hidden="1">{"form-D1",#N/A,FALSE,"FORM-D1";"form-D1_amt",#N/A,FALSE,"FORM-D1"}</definedName>
    <definedName name="afdad" localSheetId="32" hidden="1">{"form-D1",#N/A,FALSE,"FORM-D1";"form-D1_amt",#N/A,FALSE,"FORM-D1"}</definedName>
    <definedName name="afdad" localSheetId="24" hidden="1">{"form-D1",#N/A,FALSE,"FORM-D1";"form-D1_amt",#N/A,FALSE,"FORM-D1"}</definedName>
    <definedName name="afdad" localSheetId="26" hidden="1">{"form-D1",#N/A,FALSE,"FORM-D1";"form-D1_amt",#N/A,FALSE,"FORM-D1"}</definedName>
    <definedName name="afdad" hidden="1">{"form-D1",#N/A,FALSE,"FORM-D1";"form-D1_amt",#N/A,FALSE,"FORM-D1"}</definedName>
    <definedName name="afdad_1">NA()</definedName>
    <definedName name="AFF">#REF!</definedName>
    <definedName name="afit" localSheetId="6">#REF!</definedName>
    <definedName name="afit" localSheetId="29">#REF!</definedName>
    <definedName name="afit" localSheetId="24">#REF!</definedName>
    <definedName name="afit" localSheetId="26">#REF!</definedName>
    <definedName name="afit">#REF!</definedName>
    <definedName name="Afive">#REF!</definedName>
    <definedName name="Afour">#REF!</definedName>
    <definedName name="AFS">INDEX(#REF!,MATCH(#REF!,#REF!,0))</definedName>
    <definedName name="afsgs" localSheetId="12">#REF!</definedName>
    <definedName name="afsgs">#REF!</definedName>
    <definedName name="AG" localSheetId="12">INDEX(#REF!,MATCH(#REF!,#REF!,0))</definedName>
    <definedName name="AG" localSheetId="6">INDEX(#REF!,MATCH(#REF!,#REF!,0))</definedName>
    <definedName name="Ag" localSheetId="29">#REF!</definedName>
    <definedName name="Ag" localSheetId="27">#REF!</definedName>
    <definedName name="AG" localSheetId="4">INDEX(#REF!,MATCH(#REF!,#REF!,0))</definedName>
    <definedName name="AG" localSheetId="32">INDEX(#REF!,MATCH(#REF!,#REF!,0))</definedName>
    <definedName name="Ag" localSheetId="26">#REF!</definedName>
    <definedName name="Ag">#REF!</definedName>
    <definedName name="Ag___0" localSheetId="6">#REF!</definedName>
    <definedName name="Ag___0" localSheetId="27">#REF!</definedName>
    <definedName name="Ag___0">#REF!</definedName>
    <definedName name="Ag___13">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gg">#REF!</definedName>
    <definedName name="Agg40mm" localSheetId="6">#REF!</definedName>
    <definedName name="Agg40mm" localSheetId="27">#REF!</definedName>
    <definedName name="Agg40mm" localSheetId="4">#REF!</definedName>
    <definedName name="Agg40mm" localSheetId="32">#REF!</definedName>
    <definedName name="Agg40mm" localSheetId="24">#REF!</definedName>
    <definedName name="Agg40mm">#REF!</definedName>
    <definedName name="AggMT" localSheetId="6">#REF!</definedName>
    <definedName name="AggMT" localSheetId="27">#REF!</definedName>
    <definedName name="AggMT" localSheetId="4">#REF!</definedName>
    <definedName name="AggMT" localSheetId="32">#REF!</definedName>
    <definedName name="AggMT" localSheetId="24">#REF!</definedName>
    <definedName name="AggMT">#REF!</definedName>
    <definedName name="aggregates20mm" localSheetId="6">#REF!</definedName>
    <definedName name="aggregates20mm" localSheetId="27">#REF!</definedName>
    <definedName name="aggregates20mm" localSheetId="4">#REF!</definedName>
    <definedName name="aggregates20mm" localSheetId="32">#REF!</definedName>
    <definedName name="aggregates20mm" localSheetId="24">#REF!</definedName>
    <definedName name="aggregates20mm">#REF!</definedName>
    <definedName name="Agr12mm" localSheetId="24">#REF!</definedName>
    <definedName name="Agr12mm">#REF!</definedName>
    <definedName name="Agr20mm" localSheetId="24">#REF!</definedName>
    <definedName name="Agr20mm">#REF!</definedName>
    <definedName name="Agr40mm">#REF!</definedName>
    <definedName name="Agr53mm">#REF!</definedName>
    <definedName name="Agr6mm">#REF!</definedName>
    <definedName name="agrP">#REF!</definedName>
    <definedName name="AGRQTY">#REF!</definedName>
    <definedName name="AGS">INDEX(#REF!,MATCH(#REF!,#REF!,0))</definedName>
    <definedName name="agt_qty">INDIRECT("'workbill proforma'!H"&amp;MATCH(#REF!,#REF!,0)+10)</definedName>
    <definedName name="AH" localSheetId="12">INDEX(#REF!,MATCH(#REF!,#REF!,0))</definedName>
    <definedName name="AH" localSheetId="6" hidden="1">{#N/A,#N/A,FALSE,"CCTV"}</definedName>
    <definedName name="AH" localSheetId="29" hidden="1">{#N/A,#N/A,FALSE,"CCTV"}</definedName>
    <definedName name="AH" localSheetId="27" hidden="1">{#N/A,#N/A,FALSE,"CCTV"}</definedName>
    <definedName name="AH" localSheetId="4" hidden="1">{#N/A,#N/A,FALSE,"CCTV"}</definedName>
    <definedName name="AH" localSheetId="32" hidden="1">{#N/A,#N/A,FALSE,"CCTV"}</definedName>
    <definedName name="ah" localSheetId="24">#REF!</definedName>
    <definedName name="AH" localSheetId="26" hidden="1">{#N/A,#N/A,FALSE,"CCTV"}</definedName>
    <definedName name="AH" hidden="1">{#N/A,#N/A,FALSE,"CCTV"}</definedName>
    <definedName name="AHAHAHAHAH" localSheetId="6" hidden="1">#REF!</definedName>
    <definedName name="AHAHAHAHAH" localSheetId="29" hidden="1">#REF!</definedName>
    <definedName name="AHAHAHAHAH" localSheetId="24" hidden="1">#REF!</definedName>
    <definedName name="AHAHAHAHAH" localSheetId="26" hidden="1">#REF!</definedName>
    <definedName name="AHAHAHAHAH" hidden="1">#REF!</definedName>
    <definedName name="ahp_work">#N/A</definedName>
    <definedName name="AHS">INDEX(#REF!,MATCH(#REF!,#REF!,0))</definedName>
    <definedName name="AI" localSheetId="12">INDEX(#REF!,MATCH(#REF!,#REF!,0))</definedName>
    <definedName name="AI" localSheetId="6">#REF!</definedName>
    <definedName name="AI">#REF!</definedName>
    <definedName name="Aic_Instrumentation_List" localSheetId="6">#REF!</definedName>
    <definedName name="Aic_Instrumentation_List">#REF!</definedName>
    <definedName name="AICC_Serv" localSheetId="2">#REF!</definedName>
    <definedName name="AICC_Serv">#REF!</definedName>
    <definedName name="AIR_COOLER_CODES">#REF!</definedName>
    <definedName name="air_trap">#REF!</definedName>
    <definedName name="AirConditioning" localSheetId="2">#REF!</definedName>
    <definedName name="AirConditioning">#REF!</definedName>
    <definedName name="AIS">INDEX(#REF!,MATCH(#REF!,#REF!,0))</definedName>
    <definedName name="aiv" localSheetId="12">#REF!</definedName>
    <definedName name="aiv">#REF!</definedName>
    <definedName name="AJ" localSheetId="12">INDEX(#REF!,MATCH(#REF!,#REF!,0))</definedName>
    <definedName name="AJ" localSheetId="27">INDEX(#REF!,MATCH(#REF!,#REF!,0))</definedName>
    <definedName name="AJ" localSheetId="24">INDEX(#REF!,MATCH(#REF!,#REF!,0))</definedName>
    <definedName name="AJ">INDEX(#REF!,MATCH(#REF!,#REF!,0))</definedName>
    <definedName name="AJS">INDEX(#REF!,MATCH(#REF!,#REF!,0))</definedName>
    <definedName name="ajslk" localSheetId="12" hidden="1">{"form-D1",#N/A,FALSE,"FORM-D1";"form-D1_amt",#N/A,FALSE,"FORM-D1"}</definedName>
    <definedName name="ajslk" hidden="1">{"form-D1",#N/A,FALSE,"FORM-D1";"form-D1_amt",#N/A,FALSE,"FORM-D1"}</definedName>
    <definedName name="AK" localSheetId="12">INDEX(#REF!,MATCH(#REF!,#REF!,0))</definedName>
    <definedName name="AK" localSheetId="27">INDEX(#REF!,MATCH(#REF!,#REF!,0))</definedName>
    <definedName name="AK" localSheetId="4">INDEX(#REF!,MATCH(#REF!,#REF!,0))</definedName>
    <definedName name="AK" localSheetId="32">INDEX(#REF!,MATCH(#REF!,#REF!,0))</definedName>
    <definedName name="AK" localSheetId="24">INDEX(#REF!,MATCH(#REF!,#REF!,0))</definedName>
    <definedName name="AK">INDEX(#REF!,MATCH(#REF!,#REF!,0))</definedName>
    <definedName name="aks">#REF!</definedName>
    <definedName name="aksj" localSheetId="12" hidden="1">{"form-D1",#N/A,FALSE,"FORM-D1";"form-D1_amt",#N/A,FALSE,"FORM-D1"}</definedName>
    <definedName name="aksj" hidden="1">{"form-D1",#N/A,FALSE,"FORM-D1";"form-D1_amt",#N/A,FALSE,"FORM-D1"}</definedName>
    <definedName name="AL" localSheetId="12">INDEX(#REF!,MATCH(#REF!,#REF!,0))</definedName>
    <definedName name="AL" localSheetId="27">INDEX(#REF!,MATCH(#REF!,#REF!,0))</definedName>
    <definedName name="AL" localSheetId="4">INDEX(#REF!,MATCH(#REF!,#REF!,0))</definedName>
    <definedName name="AL" localSheetId="32">INDEX(#REF!,MATCH(#REF!,#REF!,0))</definedName>
    <definedName name="AL" localSheetId="24">INDEX(#REF!,MATCH(#REF!,#REF!,0))</definedName>
    <definedName name="AL">INDEX(#REF!,MATCH(#REF!,#REF!,0))</definedName>
    <definedName name="ALarea">#REF!</definedName>
    <definedName name="alarms" localSheetId="2">#REF!</definedName>
    <definedName name="alarms">#REF!</definedName>
    <definedName name="ALIM" localSheetId="12">#REF!</definedName>
    <definedName name="ALIM">#REF!</definedName>
    <definedName name="all" localSheetId="12">#REF!</definedName>
    <definedName name="all" localSheetId="6">#REF!</definedName>
    <definedName name="all" localSheetId="29">#REF!</definedName>
    <definedName name="all" localSheetId="27">#REF!</definedName>
    <definedName name="all" localSheetId="4">#REF!</definedName>
    <definedName name="all" localSheetId="32">#REF!</definedName>
    <definedName name="all" localSheetId="24">#REF!</definedName>
    <definedName name="all" localSheetId="26">#REF!</definedName>
    <definedName name="all">#REF!</definedName>
    <definedName name="All_Item" localSheetId="29">#REF!</definedName>
    <definedName name="All_Item" localSheetId="26">#REF!</definedName>
    <definedName name="All_Item">#REF!</definedName>
    <definedName name="AllTowers">#REF!</definedName>
    <definedName name="AllTowersNew">#REF!</definedName>
    <definedName name="alpha" localSheetId="6">#REF!</definedName>
    <definedName name="alpha" localSheetId="29">#REF!</definedName>
    <definedName name="alpha" localSheetId="27">#REF!</definedName>
    <definedName name="alpha" localSheetId="4">#REF!</definedName>
    <definedName name="alpha" localSheetId="32">#REF!</definedName>
    <definedName name="alpha" localSheetId="24">#REF!</definedName>
    <definedName name="alpha" localSheetId="26">#REF!</definedName>
    <definedName name="alpha">#REF!</definedName>
    <definedName name="alpha_disc" localSheetId="29">#REF!</definedName>
    <definedName name="alpha_disc" localSheetId="26">#REF!</definedName>
    <definedName name="alpha_disc">#REF!</definedName>
    <definedName name="alpha_ed" localSheetId="29">#REF!</definedName>
    <definedName name="alpha_ed" localSheetId="26">#REF!</definedName>
    <definedName name="alpha_ed">#REF!</definedName>
    <definedName name="alpha1">#REF!</definedName>
    <definedName name="alpha2">#REF!</definedName>
    <definedName name="alphaa">#REF!</definedName>
    <definedName name="alphab">#REF!</definedName>
    <definedName name="ALPIN">#N/A</definedName>
    <definedName name="ALPJYOU">#N/A</definedName>
    <definedName name="ALPTOI">#N/A</definedName>
    <definedName name="Alt" localSheetId="24">#REF!</definedName>
    <definedName name="Alt">#REF!</definedName>
    <definedName name="Aluminium" localSheetId="6">#REF!</definedName>
    <definedName name="Aluminium" localSheetId="27">#REF!</definedName>
    <definedName name="Aluminium" localSheetId="4">#REF!</definedName>
    <definedName name="Aluminium" localSheetId="32">#REF!</definedName>
    <definedName name="Aluminium" localSheetId="24">#REF!</definedName>
    <definedName name="Aluminium">#REF!</definedName>
    <definedName name="Alw" localSheetId="6">#REF!</definedName>
    <definedName name="Alw" localSheetId="29">#REF!</definedName>
    <definedName name="Alw" localSheetId="26">#REF!</definedName>
    <definedName name="Alw">#REF!</definedName>
    <definedName name="alwarsump">#REF!</definedName>
    <definedName name="AM" localSheetId="12">INDEX(#REF!,MATCH(#REF!,#REF!,0))</definedName>
    <definedName name="AM" localSheetId="27">INDEX(#REF!,MATCH(#REF!,#REF!,0))</definedName>
    <definedName name="AM" localSheetId="4">INDEX(#REF!,MATCH(#REF!,#REF!,0))</definedName>
    <definedName name="AM" localSheetId="32">INDEX(#REF!,MATCH(#REF!,#REF!,0))</definedName>
    <definedName name="AM" localSheetId="24">INDEX(#REF!,MATCH(#REF!,#REF!,0))</definedName>
    <definedName name="AM">INDEX(#REF!,MATCH(#REF!,#REF!,0))</definedName>
    <definedName name="ama" localSheetId="12">#REF!</definedName>
    <definedName name="ama">#REF!</definedName>
    <definedName name="amin">#REF!</definedName>
    <definedName name="amin1">#REF!</definedName>
    <definedName name="amin2">#REF!</definedName>
    <definedName name="amol" localSheetId="6">#REF!</definedName>
    <definedName name="amol">#REF!</definedName>
    <definedName name="amritsar" localSheetId="6">#REF!</definedName>
    <definedName name="amritsar" localSheetId="27">#REF!</definedName>
    <definedName name="amritsar" localSheetId="4">#REF!</definedName>
    <definedName name="amritsar" localSheetId="32">#REF!</definedName>
    <definedName name="amritsar" localSheetId="24">#REF!</definedName>
    <definedName name="amritsar">#REF!</definedName>
    <definedName name="Analysis" localSheetId="29">#REF!</definedName>
    <definedName name="Analysis" localSheetId="24">#REF!</definedName>
    <definedName name="Analysis" localSheetId="26">#REF!</definedName>
    <definedName name="Analysis">#REF!</definedName>
    <definedName name="Analysis_1">"#REF!"</definedName>
    <definedName name="anb">#REF!</definedName>
    <definedName name="anchor" localSheetId="6">#REF!</definedName>
    <definedName name="anchor" localSheetId="29">#REF!</definedName>
    <definedName name="anchor" localSheetId="24">#REF!</definedName>
    <definedName name="anchor" localSheetId="26">#REF!</definedName>
    <definedName name="anchor">#REF!</definedName>
    <definedName name="Anfang" localSheetId="6">#REF!</definedName>
    <definedName name="Anfang" localSheetId="24">#REF!</definedName>
    <definedName name="Anfang">#REF!</definedName>
    <definedName name="Angeb">#REF!</definedName>
    <definedName name="angle" localSheetId="6">#REF!</definedName>
    <definedName name="angle">#REF!</definedName>
    <definedName name="Angles">#REF!</definedName>
    <definedName name="Anhpq" localSheetId="12">{"'Sheet1'!$L$16"}</definedName>
    <definedName name="Anhpq">{"'Sheet1'!$L$16"}</definedName>
    <definedName name="ANNEX1">#REF!</definedName>
    <definedName name="ANNEX2">#REF!</definedName>
    <definedName name="ANNEX2A">#REF!</definedName>
    <definedName name="ANNEX4">#REF!</definedName>
    <definedName name="annex4.1">#REF!</definedName>
    <definedName name="annex4.1a">#REF!</definedName>
    <definedName name="ANNEX4A">#REF!</definedName>
    <definedName name="annex6" localSheetId="12">#REF!</definedName>
    <definedName name="annex6" localSheetId="4">#REF!</definedName>
    <definedName name="annex6" localSheetId="32">#REF!</definedName>
    <definedName name="annex6">#REF!</definedName>
    <definedName name="annex6_9" localSheetId="12">#REF!</definedName>
    <definedName name="annex6_9">#REF!</definedName>
    <definedName name="annexure_A">#REF!</definedName>
    <definedName name="ANNEXURE_FOR_BILL_NO.EUS_632_FDN_001">#REF!</definedName>
    <definedName name="ANNEXURE_FOR_BILL_NO.EUS_632_FDN_002">#REF!</definedName>
    <definedName name="ANNEXURE4A">#REF!</definedName>
    <definedName name="anscount" hidden="1">1</definedName>
    <definedName name="anticorrosive" localSheetId="6">#REF!</definedName>
    <definedName name="anticorrosive" localSheetId="27">#REF!</definedName>
    <definedName name="anticorrosive" localSheetId="4">#REF!</definedName>
    <definedName name="anticorrosive" localSheetId="32">#REF!</definedName>
    <definedName name="anticorrosive" localSheetId="24">#REF!</definedName>
    <definedName name="anticorrosive">#REF!</definedName>
    <definedName name="Ao">#REF!</definedName>
    <definedName name="Aone">#REF!</definedName>
    <definedName name="AP">#REF!</definedName>
    <definedName name="app" localSheetId="12">#REF!</definedName>
    <definedName name="app" localSheetId="6">#REF!</definedName>
    <definedName name="app" localSheetId="29">#REF!</definedName>
    <definedName name="app" localSheetId="26">#REF!</definedName>
    <definedName name="app">#REF!</definedName>
    <definedName name="APPR">#REF!</definedName>
    <definedName name="Approach" localSheetId="12">#REF!</definedName>
    <definedName name="Approach" localSheetId="4">#REF!</definedName>
    <definedName name="Approach" localSheetId="32">#REF!</definedName>
    <definedName name="Approach">#REF!</definedName>
    <definedName name="APR" localSheetId="12" hidden="1">{"form-D1",#N/A,FALSE,"FORM-D1";"form-D1_amt",#N/A,FALSE,"FORM-D1"}</definedName>
    <definedName name="APR" localSheetId="6" hidden="1">{"form-D1",#N/A,FALSE,"FORM-D1";"form-D1_amt",#N/A,FALSE,"FORM-D1"}</definedName>
    <definedName name="APR" localSheetId="29" hidden="1">{"form-D1",#N/A,FALSE,"FORM-D1";"form-D1_amt",#N/A,FALSE,"FORM-D1"}</definedName>
    <definedName name="APR" localSheetId="27" hidden="1">{"form-D1",#N/A,FALSE,"FORM-D1";"form-D1_amt",#N/A,FALSE,"FORM-D1"}</definedName>
    <definedName name="APR" localSheetId="4" hidden="1">{"form-D1",#N/A,FALSE,"FORM-D1";"form-D1_amt",#N/A,FALSE,"FORM-D1"}</definedName>
    <definedName name="APR" localSheetId="32" hidden="1">{"form-D1",#N/A,FALSE,"FORM-D1";"form-D1_amt",#N/A,FALSE,"FORM-D1"}</definedName>
    <definedName name="APR" localSheetId="24" hidden="1">{"form-D1",#N/A,FALSE,"FORM-D1";"form-D1_amt",#N/A,FALSE,"FORM-D1"}</definedName>
    <definedName name="APR" localSheetId="26" hidden="1">{"form-D1",#N/A,FALSE,"FORM-D1";"form-D1_amt",#N/A,FALSE,"FORM-D1"}</definedName>
    <definedName name="APR" hidden="1">{"form-D1",#N/A,FALSE,"FORM-D1";"form-D1_amt",#N/A,FALSE,"FORM-D1"}</definedName>
    <definedName name="APR_1">NA()</definedName>
    <definedName name="APRIL">#REF!</definedName>
    <definedName name="april_qty" localSheetId="29">#REF!</definedName>
    <definedName name="april_qty" localSheetId="24">#REF!</definedName>
    <definedName name="april_qty" localSheetId="26">#REF!</definedName>
    <definedName name="april_qty">#REF!</definedName>
    <definedName name="APRIL14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ty" localSheetId="12" hidden="1">{#N/A,#N/A,FALSE,"WRSUMMARY";#N/A,#N/A,FALSE,"ANNEX-1";#N/A,#N/A,FALSE,"ANNEX-2";#N/A,#N/A,FALSE,"ANNEX-3";#N/A,#N/A,FALSE,"WORKING"}</definedName>
    <definedName name="apty" localSheetId="6" hidden="1">{#N/A,#N/A,FALSE,"WRSUMMARY";#N/A,#N/A,FALSE,"ANNEX-1";#N/A,#N/A,FALSE,"ANNEX-2";#N/A,#N/A,FALSE,"ANNEX-3";#N/A,#N/A,FALSE,"WORKING"}</definedName>
    <definedName name="apty" localSheetId="29" hidden="1">{#N/A,#N/A,FALSE,"WRSUMMARY";#N/A,#N/A,FALSE,"ANNEX-1";#N/A,#N/A,FALSE,"ANNEX-2";#N/A,#N/A,FALSE,"ANNEX-3";#N/A,#N/A,FALSE,"WORKING"}</definedName>
    <definedName name="apty" localSheetId="27" hidden="1">{#N/A,#N/A,FALSE,"WRSUMMARY";#N/A,#N/A,FALSE,"ANNEX-1";#N/A,#N/A,FALSE,"ANNEX-2";#N/A,#N/A,FALSE,"ANNEX-3";#N/A,#N/A,FALSE,"WORKING"}</definedName>
    <definedName name="apty" localSheetId="4" hidden="1">{#N/A,#N/A,FALSE,"WRSUMMARY";#N/A,#N/A,FALSE,"ANNEX-1";#N/A,#N/A,FALSE,"ANNEX-2";#N/A,#N/A,FALSE,"ANNEX-3";#N/A,#N/A,FALSE,"WORKING"}</definedName>
    <definedName name="apty" localSheetId="32" hidden="1">{#N/A,#N/A,FALSE,"WRSUMMARY";#N/A,#N/A,FALSE,"ANNEX-1";#N/A,#N/A,FALSE,"ANNEX-2";#N/A,#N/A,FALSE,"ANNEX-3";#N/A,#N/A,FALSE,"WORKING"}</definedName>
    <definedName name="apty" localSheetId="24" hidden="1">{#N/A,#N/A,FALSE,"WRSUMMARY";#N/A,#N/A,FALSE,"ANNEX-1";#N/A,#N/A,FALSE,"ANNEX-2";#N/A,#N/A,FALSE,"ANNEX-3";#N/A,#N/A,FALSE,"WORKING"}</definedName>
    <definedName name="apty" localSheetId="26" hidden="1">{#N/A,#N/A,FALSE,"WRSUMMARY";#N/A,#N/A,FALSE,"ANNEX-1";#N/A,#N/A,FALSE,"ANNEX-2";#N/A,#N/A,FALSE,"ANNEX-3";#N/A,#N/A,FALSE,"WORKING"}</definedName>
    <definedName name="apty" hidden="1">{#N/A,#N/A,FALSE,"WRSUMMARY";#N/A,#N/A,FALSE,"ANNEX-1";#N/A,#N/A,FALSE,"ANNEX-2";#N/A,#N/A,FALSE,"ANNEX-3";#N/A,#N/A,FALSE,"WORKING"}</definedName>
    <definedName name="aq" localSheetId="6">#REF!</definedName>
    <definedName name="aq" localSheetId="29">#REF!</definedName>
    <definedName name="aq" localSheetId="27">#REF!</definedName>
    <definedName name="aq" localSheetId="4">#REF!</definedName>
    <definedName name="aq" localSheetId="32">#REF!</definedName>
    <definedName name="aq" localSheetId="26">#REF!</definedName>
    <definedName name="aq">#REF!</definedName>
    <definedName name="aqaaaaa" localSheetId="12" hidden="1">{#N/A,#N/A,TRUE,"Perm";#N/A,#N/A,TRUE,"Architecture"}</definedName>
    <definedName name="aqaaaaa" hidden="1">{#N/A,#N/A,TRUE,"Perm";#N/A,#N/A,TRUE,"Architecture"}</definedName>
    <definedName name="ar">#REF!</definedName>
    <definedName name="arb" localSheetId="6" hidden="1">#REF!</definedName>
    <definedName name="arb" hidden="1">#REF!</definedName>
    <definedName name="arctanz">#REF!</definedName>
    <definedName name="Area">#REF!</definedName>
    <definedName name="AREA_000" localSheetId="6">#REF!</definedName>
    <definedName name="AREA_000">#REF!</definedName>
    <definedName name="AREA_001">#REF!</definedName>
    <definedName name="Area_Print">#REF!</definedName>
    <definedName name="AreaA1" localSheetId="6">#REF!,#REF!,#REF!</definedName>
    <definedName name="AreaA1" localSheetId="27">#REF!,#REF!,#REF!</definedName>
    <definedName name="AreaA1" localSheetId="24">#REF!,#REF!,#REF!</definedName>
    <definedName name="AreaA1">#REF!,#REF!,#REF!</definedName>
    <definedName name="AreaA3" localSheetId="6">#REF!,#REF!,#REF!</definedName>
    <definedName name="AreaA3" localSheetId="24">#REF!,#REF!,#REF!</definedName>
    <definedName name="AreaA3">#REF!,#REF!,#REF!</definedName>
    <definedName name="Areain">#REF!</definedName>
    <definedName name="aredsgdrgaer">#REF!</definedName>
    <definedName name="arrotonda" localSheetId="6">#REF!</definedName>
    <definedName name="arrotonda" localSheetId="29">#REF!</definedName>
    <definedName name="arrotonda" localSheetId="24">#REF!</definedName>
    <definedName name="arrotonda" localSheetId="26">#REF!</definedName>
    <definedName name="arrotonda">#REF!</definedName>
    <definedName name="arun">#REF!</definedName>
    <definedName name="arunan">#N/A</definedName>
    <definedName name="arwrw">#REF!</definedName>
    <definedName name="as" localSheetId="29">#REF!</definedName>
    <definedName name="as" localSheetId="26">#REF!</definedName>
    <definedName name="as" localSheetId="2">#REF!</definedName>
    <definedName name="as">#REF!</definedName>
    <definedName name="as_1">#REF!</definedName>
    <definedName name="AS_disc" localSheetId="2">#REF!</definedName>
    <definedName name="AS_disc">#REF!</definedName>
    <definedName name="AS2DocOpenMode" hidden="1">"AS2DocumentEdit"</definedName>
    <definedName name="asa">#REF!</definedName>
    <definedName name="asc">#REF!</definedName>
    <definedName name="asd" localSheetId="12">#REF!</definedName>
    <definedName name="asd" localSheetId="6">#REF!</definedName>
    <definedName name="asd" localSheetId="29">#REF!</definedName>
    <definedName name="asd" localSheetId="24">#REF!</definedName>
    <definedName name="asd" localSheetId="26">#REF!</definedName>
    <definedName name="asd">#REF!</definedName>
    <definedName name="asda" localSheetId="6">#REF!</definedName>
    <definedName name="asda" localSheetId="4">#REF!</definedName>
    <definedName name="asda" localSheetId="32">#REF!</definedName>
    <definedName name="asda">#REF!</definedName>
    <definedName name="asdads" localSheetId="12" hidden="1">{#N/A,#N/A,FALSE,"Main"}</definedName>
    <definedName name="asdads" hidden="1">{#N/A,#N/A,FALSE,"Main"}</definedName>
    <definedName name="asdcasd" localSheetId="12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29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27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32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2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2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dfr" localSheetId="12">#REF!</definedName>
    <definedName name="asddfr" localSheetId="24">#REF!</definedName>
    <definedName name="asddfr">#REF!</definedName>
    <definedName name="asdf" localSheetId="12" hidden="1">{#N/A,#N/A,FALSE,"Main"}</definedName>
    <definedName name="asdf" hidden="1">{#N/A,#N/A,FALSE,"Main"}</definedName>
    <definedName name="asdff" localSheetId="24">#REF!</definedName>
    <definedName name="asdff">#REF!</definedName>
    <definedName name="asdfgf" localSheetId="6">#REF!</definedName>
    <definedName name="asdfgf" localSheetId="29">#REF!</definedName>
    <definedName name="asdfgf" localSheetId="26">#REF!</definedName>
    <definedName name="asdfgf">#REF!</definedName>
    <definedName name="ASDFGH" localSheetId="6" hidden="1">#REF!</definedName>
    <definedName name="ASDFGH" hidden="1">#REF!</definedName>
    <definedName name="ASDGSG" localSheetId="12" hidden="1">{"'PROFITABILITY'!$A$1:$F$45"}</definedName>
    <definedName name="ASDGSG" hidden="1">{"'PROFITABILITY'!$A$1:$F$45"}</definedName>
    <definedName name="asdsad" localSheetId="2">#REF!</definedName>
    <definedName name="asdsad">#REF!</definedName>
    <definedName name="asewgfdg">#REF!</definedName>
    <definedName name="ASF">#REF!</definedName>
    <definedName name="asfaff">#REF!</definedName>
    <definedName name="asfdasdf">#REF!</definedName>
    <definedName name="asfdasfas">#N/A</definedName>
    <definedName name="ASFFFF">#REF!</definedName>
    <definedName name="asfgeruu">#REF!</definedName>
    <definedName name="asfsd">#REF!</definedName>
    <definedName name="ASHOKA" localSheetId="27">#REF!</definedName>
    <definedName name="ASHOKA">#REF!</definedName>
    <definedName name="asjk" localSheetId="12" hidden="1">{"form-D1",#N/A,FALSE,"FORM-D1";"form-D1_amt",#N/A,FALSE,"FORM-D1"}</definedName>
    <definedName name="asjk" hidden="1">{"form-D1",#N/A,FALSE,"FORM-D1";"form-D1_amt",#N/A,FALSE,"FORM-D1"}</definedName>
    <definedName name="ass" localSheetId="29" hidden="1">#REF!</definedName>
    <definedName name="ass" localSheetId="24">#REF!</definedName>
    <definedName name="ass" localSheetId="26" hidden="1">#REF!</definedName>
    <definedName name="ass" hidden="1">#REF!</definedName>
    <definedName name="assa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SAASA" localSheetId="29" hidden="1">#REF!</definedName>
    <definedName name="ASSASAASA" localSheetId="26" hidden="1">#REF!</definedName>
    <definedName name="ASSASAASA" hidden="1">#REF!</definedName>
    <definedName name="Assc">#REF!</definedName>
    <definedName name="assets">#REF!</definedName>
    <definedName name="ASSSSSS" hidden="1">#REF!</definedName>
    <definedName name="ASSSSSSSSSSSSSSSSSSSSSSSS">#REF!</definedName>
    <definedName name="Asst">#REF!</definedName>
    <definedName name="Ast">#REF!</definedName>
    <definedName name="Astmin">#REF!</definedName>
    <definedName name="asw">#REF!</definedName>
    <definedName name="At">#REF!</definedName>
    <definedName name="Athree">#REF!</definedName>
    <definedName name="Attachment_C_3">#REF!</definedName>
    <definedName name="Atwo">#REF!</definedName>
    <definedName name="atype3.0" localSheetId="12">#REF!</definedName>
    <definedName name="atype3.0">#REF!</definedName>
    <definedName name="Atype6.0">#REF!</definedName>
    <definedName name="AUD">#REF!</definedName>
    <definedName name="August">#REF!</definedName>
    <definedName name="Auto">#REF!</definedName>
    <definedName name="autofill_data">#REF!</definedName>
    <definedName name="aux">#REF!</definedName>
    <definedName name="Aux.items">#REF!</definedName>
    <definedName name="AuxRelay">#REF!</definedName>
    <definedName name="auxsen">#REF!</definedName>
    <definedName name="av">#REF!</definedName>
    <definedName name="Available_Labour" localSheetId="6">#REF!</definedName>
    <definedName name="Available_Labour" localSheetId="27">#REF!</definedName>
    <definedName name="Available_Labour" localSheetId="4">#REF!</definedName>
    <definedName name="Available_Labour" localSheetId="32">#REF!</definedName>
    <definedName name="Available_Labour" localSheetId="24">#REF!</definedName>
    <definedName name="Available_Labour">#REF!</definedName>
    <definedName name="AVIBRA" localSheetId="6">#REF!</definedName>
    <definedName name="AVIBRA" localSheetId="27">#REF!</definedName>
    <definedName name="AVIBRA" localSheetId="4">#REF!</definedName>
    <definedName name="AVIBRA" localSheetId="32">#REF!</definedName>
    <definedName name="AVIBRA" localSheetId="24">#REF!</definedName>
    <definedName name="AVIBRA">#REF!</definedName>
    <definedName name="aw" localSheetId="29">#REF!</definedName>
    <definedName name="aw" localSheetId="24">#REF!</definedName>
    <definedName name="aw" localSheetId="26">#REF!</definedName>
    <definedName name="aw">#REF!</definedName>
    <definedName name="awsegfSAeFG">#REF!</definedName>
    <definedName name="AWW">#REF!</definedName>
    <definedName name="ax" localSheetId="12">#REF!</definedName>
    <definedName name="ax" localSheetId="4">#REF!</definedName>
    <definedName name="ax" localSheetId="32">#REF!</definedName>
    <definedName name="ax">#REF!</definedName>
    <definedName name="AXXX2" localSheetId="12">#REF!</definedName>
    <definedName name="AXXX2">#REF!</definedName>
    <definedName name="AXXX3" localSheetId="12">#REF!</definedName>
    <definedName name="AXXX3">#REF!</definedName>
    <definedName name="AXXX3d" localSheetId="12">#REF!</definedName>
    <definedName name="AXXX3d">#REF!</definedName>
    <definedName name="AXXX4">#REF!</definedName>
    <definedName name="AXXXX2" localSheetId="12">#REF!</definedName>
    <definedName name="AXXXX2">#REF!</definedName>
    <definedName name="AXXXX3" localSheetId="12">#REF!</definedName>
    <definedName name="AXXXX3">#REF!</definedName>
    <definedName name="ay" localSheetId="12">#REF!</definedName>
    <definedName name="ay" localSheetId="4">#REF!</definedName>
    <definedName name="ay" localSheetId="32">#REF!</definedName>
    <definedName name="ay">#REF!</definedName>
    <definedName name="azdfrgg">#REF!</definedName>
    <definedName name="aziz" localSheetId="6">#REF!</definedName>
    <definedName name="aziz" localSheetId="27">#REF!</definedName>
    <definedName name="aziz" localSheetId="4">#REF!</definedName>
    <definedName name="aziz" localSheetId="32">#REF!</definedName>
    <definedName name="aziz" localSheetId="24">#REF!</definedName>
    <definedName name="aziz">#REF!</definedName>
    <definedName name="azsa" localSheetId="12" hidden="1">{"'PROFITABILITY'!$A$1:$F$45"}</definedName>
    <definedName name="azsa" localSheetId="6" hidden="1">{"'PROFITABILITY'!$A$1:$F$45"}</definedName>
    <definedName name="azsa" localSheetId="29" hidden="1">{"'PROFITABILITY'!$A$1:$F$45"}</definedName>
    <definedName name="azsa" localSheetId="27" hidden="1">{"'PROFITABILITY'!$A$1:$F$45"}</definedName>
    <definedName name="azsa" localSheetId="4" hidden="1">{"'PROFITABILITY'!$A$1:$F$45"}</definedName>
    <definedName name="azsa" localSheetId="32" hidden="1">{"'PROFITABILITY'!$A$1:$F$45"}</definedName>
    <definedName name="azsa" localSheetId="24" hidden="1">{"'PROFITABILITY'!$A$1:$F$45"}</definedName>
    <definedName name="azsa" localSheetId="26" hidden="1">{"'PROFITABILITY'!$A$1:$F$45"}</definedName>
    <definedName name="azsa" hidden="1">{"'PROFITABILITY'!$A$1:$F$45"}</definedName>
    <definedName name="B" localSheetId="4">#REF!</definedName>
    <definedName name="B" localSheetId="32">#REF!</definedName>
    <definedName name="B">#REF!</definedName>
    <definedName name="B___0">#REF!</definedName>
    <definedName name="B___13">#REF!</definedName>
    <definedName name="b_1">#REF!</definedName>
    <definedName name="b_dash">#REF!</definedName>
    <definedName name="B_F">#REF!</definedName>
    <definedName name="B_FLG">#REF!</definedName>
    <definedName name="B11212222">#REF!</definedName>
    <definedName name="b1x">#REF!</definedName>
    <definedName name="b1xx">#REF!</definedName>
    <definedName name="b2x">#REF!</definedName>
    <definedName name="b2xx">#REF!</definedName>
    <definedName name="BA" localSheetId="12">INDEX(#REF!,MATCH(#REF!,#REF!,0))</definedName>
    <definedName name="Ba">#REF!</definedName>
    <definedName name="back_pressure">#REF!</definedName>
    <definedName name="BAL">#REF!</definedName>
    <definedName name="ball">#REF!</definedName>
    <definedName name="ballies" localSheetId="6">#REF!</definedName>
    <definedName name="ballies" localSheetId="27">#REF!</definedName>
    <definedName name="ballies" localSheetId="4">#REF!</definedName>
    <definedName name="ballies" localSheetId="32">#REF!</definedName>
    <definedName name="ballies" localSheetId="24">#REF!</definedName>
    <definedName name="ballies">#REF!</definedName>
    <definedName name="bar">#REF!</definedName>
    <definedName name="BAS" localSheetId="12">INDEX(#REF!,MATCH(#REF!,#REF!,0))</definedName>
    <definedName name="bas" localSheetId="6" hidden="1">{"'PROFITABILITY'!$A$1:$F$45"}</definedName>
    <definedName name="bas" localSheetId="29" hidden="1">{"'PROFITABILITY'!$A$1:$F$45"}</definedName>
    <definedName name="bas" localSheetId="27" hidden="1">{"'PROFITABILITY'!$A$1:$F$45"}</definedName>
    <definedName name="bas" localSheetId="4" hidden="1">{"'PROFITABILITY'!$A$1:$F$45"}</definedName>
    <definedName name="bas" localSheetId="32" hidden="1">{"'PROFITABILITY'!$A$1:$F$45"}</definedName>
    <definedName name="bas" localSheetId="24" hidden="1">{"'PROFITABILITY'!$A$1:$F$45"}</definedName>
    <definedName name="bas" localSheetId="26" hidden="1">{"'PROFITABILITY'!$A$1:$F$45"}</definedName>
    <definedName name="bas" hidden="1">{"'PROFITABILITY'!$A$1:$F$45"}</definedName>
    <definedName name="BASE_PLATE">#REF!</definedName>
    <definedName name="BaseCement" localSheetId="12">#REF!</definedName>
    <definedName name="BaseCement">#REF!</definedName>
    <definedName name="BaseClayProducts" localSheetId="12">#REF!</definedName>
    <definedName name="BaseClayProducts">#REF!</definedName>
    <definedName name="BaseDiesel" localSheetId="12">#REF!</definedName>
    <definedName name="BaseDiesel">#REF!</definedName>
    <definedName name="BaseI1">#REF!</definedName>
    <definedName name="BaseI2">#REF!</definedName>
    <definedName name="BaseI3">#REF!</definedName>
    <definedName name="BaseI4">#REF!</definedName>
    <definedName name="BaseIronSteel" localSheetId="12">#REF!</definedName>
    <definedName name="BaseIronSteel">#REF!</definedName>
    <definedName name="BasekV1">#REF!</definedName>
    <definedName name="BasekV2">#REF!</definedName>
    <definedName name="BasekV3">#REF!</definedName>
    <definedName name="BasekV4">#REF!</definedName>
    <definedName name="BaseLabour" localSheetId="12">#REF!</definedName>
    <definedName name="BaseLabour">#REF!</definedName>
    <definedName name="BaseMVA">#REF!</definedName>
    <definedName name="basetrav">#REF!</definedName>
    <definedName name="BASHA">#REF!</definedName>
    <definedName name="Basic_Material_List" localSheetId="6">#REF!</definedName>
    <definedName name="Basic_Material_List" localSheetId="27">#REF!</definedName>
    <definedName name="Basic_Material_List" localSheetId="4">#REF!</definedName>
    <definedName name="Basic_Material_List" localSheetId="32">#REF!</definedName>
    <definedName name="Basic_Material_List" localSheetId="24">#REF!</definedName>
    <definedName name="Basic_Material_List">#REF!</definedName>
    <definedName name="basic_rtu" localSheetId="29">#REF!</definedName>
    <definedName name="basic_rtu" localSheetId="24">#REF!</definedName>
    <definedName name="basic_rtu" localSheetId="26">#REF!</definedName>
    <definedName name="basic_rtu">#REF!</definedName>
    <definedName name="bat">#REF!</definedName>
    <definedName name="bat_det" localSheetId="12">#REF!</definedName>
    <definedName name="bat_det">#REF!</definedName>
    <definedName name="Batching_hot_mix_plant" localSheetId="12">#REF!</definedName>
    <definedName name="Batching_hot_mix_plant">#REF!</definedName>
    <definedName name="BAUfaktor" localSheetId="29">#REF!</definedName>
    <definedName name="BAUfaktor" localSheetId="26">#REF!</definedName>
    <definedName name="BAUfaktor">#REF!</definedName>
    <definedName name="bawerffg">#REF!</definedName>
    <definedName name="BB" localSheetId="12">INDEX(#REF!,MATCH(#REF!,#REF!,0))</definedName>
    <definedName name="bb" localSheetId="6" hidden="1">{"'PROFITABILITY'!$A$1:$F$45"}</definedName>
    <definedName name="bb" localSheetId="29" hidden="1">{"'PROFITABILITY'!$A$1:$F$45"}</definedName>
    <definedName name="bb" localSheetId="27" hidden="1">{"'PROFITABILITY'!$A$1:$F$45"}</definedName>
    <definedName name="bb" localSheetId="4" hidden="1">{"'PROFITABILITY'!$A$1:$F$45"}</definedName>
    <definedName name="bb" localSheetId="32" hidden="1">{"'PROFITABILITY'!$A$1:$F$45"}</definedName>
    <definedName name="bb" localSheetId="24">#REF!</definedName>
    <definedName name="bb" localSheetId="26" hidden="1">{"'PROFITABILITY'!$A$1:$F$45"}</definedName>
    <definedName name="bb" hidden="1">{"'PROFITABILITY'!$A$1:$F$45"}</definedName>
    <definedName name="BBB" localSheetId="12">#REF!</definedName>
    <definedName name="bbb" localSheetId="6" hidden="1">{"'PROFITABILITY'!$A$1:$F$45"}</definedName>
    <definedName name="bbb" localSheetId="29" hidden="1">{"'PROFITABILITY'!$A$1:$F$45"}</definedName>
    <definedName name="bbb" localSheetId="27" hidden="1">{"'PROFITABILITY'!$A$1:$F$45"}</definedName>
    <definedName name="bbb" localSheetId="4" hidden="1">{"'PROFITABILITY'!$A$1:$F$45"}</definedName>
    <definedName name="bbb" localSheetId="32" hidden="1">{"'PROFITABILITY'!$A$1:$F$45"}</definedName>
    <definedName name="BBB" localSheetId="24">#REF!</definedName>
    <definedName name="bbb" localSheetId="26" hidden="1">{"'PROFITABILITY'!$A$1:$F$45"}</definedName>
    <definedName name="bbb" hidden="1">{"'PROFITABILITY'!$A$1:$F$45"}</definedName>
    <definedName name="bbbb" localSheetId="12">#REF!</definedName>
    <definedName name="bbbb">#REF!</definedName>
    <definedName name="BBH">#REF!</definedName>
    <definedName name="BBS">INDEX(#REF!,MATCH(#REF!,#REF!,0))</definedName>
    <definedName name="BC" localSheetId="12">INDEX(#REF!,MATCH(#REF!,#REF!,0))</definedName>
    <definedName name="bc" localSheetId="4">#REF!</definedName>
    <definedName name="bc" localSheetId="32">#REF!</definedName>
    <definedName name="bc">#REF!</definedName>
    <definedName name="bcd">#REF!</definedName>
    <definedName name="bcgf" localSheetId="12">#REF!</definedName>
    <definedName name="bcgf">#REF!</definedName>
    <definedName name="bcns.kdbnl">#REF!</definedName>
    <definedName name="bcol">#REF!</definedName>
    <definedName name="BCS" localSheetId="12">INDEX(#REF!,MATCH(#REF!,#REF!,0))</definedName>
    <definedName name="bcs">#REF!</definedName>
    <definedName name="bct">#REF!</definedName>
    <definedName name="bcv" localSheetId="12" hidden="1">{"'PROFITABILITY'!$A$1:$F$45"}</definedName>
    <definedName name="bcv" localSheetId="6" hidden="1">{"'PROFITABILITY'!$A$1:$F$45"}</definedName>
    <definedName name="bcv" localSheetId="29" hidden="1">{"'PROFITABILITY'!$A$1:$F$45"}</definedName>
    <definedName name="bcv" localSheetId="27" hidden="1">{"'PROFITABILITY'!$A$1:$F$45"}</definedName>
    <definedName name="bcv" localSheetId="4" hidden="1">{"'PROFITABILITY'!$A$1:$F$45"}</definedName>
    <definedName name="bcv" localSheetId="32" hidden="1">{"'PROFITABILITY'!$A$1:$F$45"}</definedName>
    <definedName name="bcv" localSheetId="24" hidden="1">{"'PROFITABILITY'!$A$1:$F$45"}</definedName>
    <definedName name="bcv" localSheetId="26" hidden="1">{"'PROFITABILITY'!$A$1:$F$45"}</definedName>
    <definedName name="bcv" hidden="1">{"'PROFITABILITY'!$A$1:$F$45"}</definedName>
    <definedName name="BD" localSheetId="12">INDEX(#REF!,MATCH(#REF!,#REF!,0))</definedName>
    <definedName name="BD" localSheetId="27">INDEX(#REF!,MATCH(#REF!,#REF!,0))</definedName>
    <definedName name="BD" localSheetId="24">INDEX(#REF!,MATCH(#REF!,#REF!,0))</definedName>
    <definedName name="BD">INDEX(#REF!,MATCH(#REF!,#REF!,0))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DS">INDEX(#REF!,MATCH(#REF!,#REF!,0))</definedName>
    <definedName name="BE" localSheetId="12">INDEX(#REF!,MATCH(#REF!,#REF!,0))</definedName>
    <definedName name="BE" localSheetId="27">INDEX(#REF!,MATCH(#REF!,#REF!,0))</definedName>
    <definedName name="BE" localSheetId="4">INDEX(#REF!,MATCH(#REF!,#REF!,0))</definedName>
    <definedName name="BE" localSheetId="32">INDEX(#REF!,MATCH(#REF!,#REF!,0))</definedName>
    <definedName name="BE" localSheetId="24">INDEX(#REF!,MATCH(#REF!,#REF!,0))</definedName>
    <definedName name="BE">INDEX(#REF!,MATCH(#REF!,#REF!,0))</definedName>
    <definedName name="bearings" localSheetId="6">#REF!</definedName>
    <definedName name="bearings" localSheetId="27">#REF!</definedName>
    <definedName name="bearings" localSheetId="4">#REF!</definedName>
    <definedName name="bearings" localSheetId="32">#REF!</definedName>
    <definedName name="bearings" localSheetId="24">#REF!</definedName>
    <definedName name="bearings">#REF!</definedName>
    <definedName name="Beg_Bal">#REF!</definedName>
    <definedName name="Beldar" localSheetId="12">#REF!</definedName>
    <definedName name="Beldar" localSheetId="24">#REF!</definedName>
    <definedName name="Beldar">#REF!</definedName>
    <definedName name="BEN" localSheetId="29">#REF!</definedName>
    <definedName name="BEN" localSheetId="26">#REF!</definedName>
    <definedName name="BEN">#REF!</definedName>
    <definedName name="BEND">#REF!</definedName>
    <definedName name="Benefits" localSheetId="29">#REF!</definedName>
    <definedName name="Benefits" localSheetId="26">#REF!</definedName>
    <definedName name="Benefits">#REF!</definedName>
    <definedName name="BENJ">#REF!</definedName>
    <definedName name="Bentonite" localSheetId="6">#REF!</definedName>
    <definedName name="Bentonite" localSheetId="27">#REF!</definedName>
    <definedName name="Bentonite" localSheetId="4">#REF!</definedName>
    <definedName name="Bentonite" localSheetId="32">#REF!</definedName>
    <definedName name="Bentonite" localSheetId="24">#REF!</definedName>
    <definedName name="Bentonite">#REF!</definedName>
    <definedName name="BES">INDEX(#REF!,MATCH(#REF!,#REF!,0))</definedName>
    <definedName name="beta" localSheetId="29">#REF!</definedName>
    <definedName name="beta" localSheetId="24">#REF!</definedName>
    <definedName name="beta" localSheetId="26">#REF!</definedName>
    <definedName name="beta">#REF!</definedName>
    <definedName name="BF" localSheetId="12">INDEX(#REF!,MATCH(#REF!,#REF!,0))</definedName>
    <definedName name="BF" localSheetId="29">INDEX(#REF!,MATCH(#REF!,#REF!,0))</definedName>
    <definedName name="BF" localSheetId="27">INDEX(#REF!,MATCH(#REF!,#REF!,0))</definedName>
    <definedName name="BF" localSheetId="4">INDEX(#REF!,MATCH(#REF!,#REF!,0))</definedName>
    <definedName name="BF" localSheetId="32">INDEX(#REF!,MATCH(#REF!,#REF!,0))</definedName>
    <definedName name="BF" localSheetId="24">#REF!</definedName>
    <definedName name="BF" localSheetId="26">INDEX(#REF!,MATCH(#REF!,#REF!,0))</definedName>
    <definedName name="BF">INDEX(#REF!,MATCH(#REF!,#REF!,0))</definedName>
    <definedName name="bfoot">#REF!</definedName>
    <definedName name="BFS">INDEX(#REF!,MATCH(#REF!,#REF!,0))</definedName>
    <definedName name="BG" localSheetId="12">INDEX(#REF!,MATCH(#REF!,#REF!,0))</definedName>
    <definedName name="BG" localSheetId="29">#REF!</definedName>
    <definedName name="BG" localSheetId="26">#REF!</definedName>
    <definedName name="BG">#REF!</definedName>
    <definedName name="BG_CHGS">#REF!</definedName>
    <definedName name="BG_RATE">#REF!</definedName>
    <definedName name="bg54ex">#REF!</definedName>
    <definedName name="BGH" localSheetId="12" hidden="1">{#N/A,#N/A,FALSE,"MODULE3"}</definedName>
    <definedName name="BGH" hidden="1">{#N/A,#N/A,FALSE,"MODULE3"}</definedName>
    <definedName name="bghf">#REF!</definedName>
    <definedName name="BGrP">#REF!</definedName>
    <definedName name="BGS">INDEX(#REF!,MATCH(#REF!,#REF!,0))</definedName>
    <definedName name="BGT3_WORKING">#REF!</definedName>
    <definedName name="BH" localSheetId="12">INDEX(#REF!,MATCH(#REF!,#REF!,0))</definedName>
    <definedName name="BH" localSheetId="29">INDEX(#REF!,MATCH(#REF!,#REF!,0))</definedName>
    <definedName name="BH" localSheetId="27">INDEX(#REF!,MATCH(#REF!,#REF!,0))</definedName>
    <definedName name="BH" localSheetId="4">INDEX(#REF!,MATCH(#REF!,#REF!,0))</definedName>
    <definedName name="BH" localSheetId="32">INDEX(#REF!,MATCH(#REF!,#REF!,0))</definedName>
    <definedName name="bh" localSheetId="24">#REF!</definedName>
    <definedName name="BH" localSheetId="26">INDEX(#REF!,MATCH(#REF!,#REF!,0))</definedName>
    <definedName name="BH">INDEX(#REF!,MATCH(#REF!,#REF!,0))</definedName>
    <definedName name="bhaska1">#REF!</definedName>
    <definedName name="bhaskar">#REF!</definedName>
    <definedName name="bhg">#REF!</definedName>
    <definedName name="bhgfdsa">#REF!</definedName>
    <definedName name="Bhisti" localSheetId="12">#REF!</definedName>
    <definedName name="Bhisti">#REF!</definedName>
    <definedName name="BHS" localSheetId="12">INDEX(#REF!,MATCH(#REF!,#REF!,0))</definedName>
    <definedName name="bhs">#REF!</definedName>
    <definedName name="BI" localSheetId="12">INDEX(#REF!,MATCH(#REF!,#REF!,0))</definedName>
    <definedName name="BI" localSheetId="29">INDEX(#REF!,MATCH(#REF!,#REF!,0))</definedName>
    <definedName name="BI" localSheetId="27">INDEX(#REF!,MATCH(#REF!,#REF!,0))</definedName>
    <definedName name="BI" localSheetId="24">#REF!</definedName>
    <definedName name="BI" localSheetId="26">INDEX(#REF!,MATCH(#REF!,#REF!,0))</definedName>
    <definedName name="BI">INDEX(#REF!,MATCH(#REF!,#REF!,0))</definedName>
    <definedName name="BID_CURR">#REF!</definedName>
    <definedName name="Bidder_Quote_Ref_No">#REF!</definedName>
    <definedName name="biddername" localSheetId="12">#REF!</definedName>
    <definedName name="biddername">#N/A</definedName>
    <definedName name="bil">#REF!</definedName>
    <definedName name="billable_qty">INDIRECT("'workbill proforma'!w"&amp;MATCH(#REF!,#REF!,0)+10)</definedName>
    <definedName name="BILLNOWISE">#REF!</definedName>
    <definedName name="Bilu">#REF!</definedName>
    <definedName name="Bilu2">#REF!</definedName>
    <definedName name="Bilu3">#REF!</definedName>
    <definedName name="bina">#REF!</definedName>
    <definedName name="Bindingwire">#REF!</definedName>
    <definedName name="BIS">INDEX(#REF!,MATCH(#REF!,#REF!,0))</definedName>
    <definedName name="bitpressuredis" localSheetId="6">#REF!</definedName>
    <definedName name="bitpressuredis" localSheetId="27">#REF!</definedName>
    <definedName name="bitpressuredis" localSheetId="4">#REF!</definedName>
    <definedName name="bitpressuredis" localSheetId="32">#REF!</definedName>
    <definedName name="bitpressuredis" localSheetId="24">#REF!</definedName>
    <definedName name="bitpressuredis">#REF!</definedName>
    <definedName name="BJ" localSheetId="12">INDEX(#REF!,MATCH(#REF!,#REF!,0))</definedName>
    <definedName name="BJ" localSheetId="27">INDEX(#REF!,MATCH(#REF!,#REF!,0))</definedName>
    <definedName name="BJ" localSheetId="24">INDEX(#REF!,MATCH(#REF!,#REF!,0))</definedName>
    <definedName name="BJ">INDEX(#REF!,MATCH(#REF!,#REF!,0))</definedName>
    <definedName name="bjbj">#REF!</definedName>
    <definedName name="bjlc">#REF!</definedName>
    <definedName name="BJS">INDEX(#REF!,MATCH(#REF!,#REF!,0))</definedName>
    <definedName name="BK" localSheetId="12">INDEX(#REF!,MATCH(#REF!,#REF!,0))</definedName>
    <definedName name="BK" localSheetId="27">INDEX(#REF!,MATCH(#REF!,#REF!,0))</definedName>
    <definedName name="BK" localSheetId="24">INDEX(#REF!,MATCH(#REF!,#REF!,0))</definedName>
    <definedName name="BK">INDEX(#REF!,MATCH(#REF!,#REF!,0))</definedName>
    <definedName name="BKS" localSheetId="6">#REF!</definedName>
    <definedName name="BKS" localSheetId="27">#REF!</definedName>
    <definedName name="BKS" localSheetId="4">#REF!</definedName>
    <definedName name="BKS" localSheetId="32">#REF!</definedName>
    <definedName name="BKS" localSheetId="24">#REF!</definedName>
    <definedName name="BKS">#REF!</definedName>
    <definedName name="BL" localSheetId="12">INDEX(#REF!,MATCH(#REF!,#REF!,0))</definedName>
    <definedName name="BL" localSheetId="27">INDEX(#REF!,MATCH(#REF!,#REF!,0))</definedName>
    <definedName name="BL" localSheetId="24">INDEX(#REF!,MATCH(#REF!,#REF!,0))</definedName>
    <definedName name="BL">INDEX(#REF!,MATCH(#REF!,#REF!,0))</definedName>
    <definedName name="BL2A" localSheetId="12">#REF!</definedName>
    <definedName name="BL2A">#N/A</definedName>
    <definedName name="BL2A2" localSheetId="12">#REF!</definedName>
    <definedName name="BL2A2">#N/A</definedName>
    <definedName name="BL2AA" localSheetId="12">#REF!</definedName>
    <definedName name="BL2AA">#N/A</definedName>
    <definedName name="BL2AAA" localSheetId="12">#REF!</definedName>
    <definedName name="BL2AAA">#N/A</definedName>
    <definedName name="BL2B" localSheetId="12">#REF!</definedName>
    <definedName name="BL2B">#N/A</definedName>
    <definedName name="BL2BB" localSheetId="12">#REF!</definedName>
    <definedName name="BL2BB">#N/A</definedName>
    <definedName name="BL2BBB" localSheetId="12">#REF!</definedName>
    <definedName name="BL2BBB">#N/A</definedName>
    <definedName name="BL2C" localSheetId="12">#REF!</definedName>
    <definedName name="BL2C">#N/A</definedName>
    <definedName name="BL2CC" localSheetId="12">#REF!</definedName>
    <definedName name="BL2CC">#N/A</definedName>
    <definedName name="BL2CCC" localSheetId="12">#REF!</definedName>
    <definedName name="BL2CCC">#N/A</definedName>
    <definedName name="BL3A" localSheetId="12">#REF!</definedName>
    <definedName name="BL3A">#N/A</definedName>
    <definedName name="BL3AA" localSheetId="12">#REF!</definedName>
    <definedName name="BL3AA">#N/A</definedName>
    <definedName name="BL3AAA" localSheetId="12">#REF!</definedName>
    <definedName name="BL3AAA">#N/A</definedName>
    <definedName name="BL3B" localSheetId="12">#REF!</definedName>
    <definedName name="BL3B">#N/A</definedName>
    <definedName name="BL3BB" localSheetId="12">#REF!</definedName>
    <definedName name="BL3BB">#N/A</definedName>
    <definedName name="BL3BBB" localSheetId="12">#REF!</definedName>
    <definedName name="BL3BBB">#N/A</definedName>
    <definedName name="BL3C" localSheetId="12">#REF!</definedName>
    <definedName name="BL3C">#N/A</definedName>
    <definedName name="BL3CC" localSheetId="12">#REF!</definedName>
    <definedName name="BL3CC">#N/A</definedName>
    <definedName name="BL3CCC" localSheetId="12">#REF!</definedName>
    <definedName name="BL3CCC">#N/A</definedName>
    <definedName name="BL4A" localSheetId="12">#REF!</definedName>
    <definedName name="BL4A">#N/A</definedName>
    <definedName name="BL4AA" localSheetId="12">#REF!</definedName>
    <definedName name="BL4AA">#N/A</definedName>
    <definedName name="BL4AAA" localSheetId="12">#REF!</definedName>
    <definedName name="BL4AAA">#N/A</definedName>
    <definedName name="BL4B" localSheetId="12">#REF!</definedName>
    <definedName name="BL4B">#N/A</definedName>
    <definedName name="BL4BB" localSheetId="12">#REF!</definedName>
    <definedName name="BL4BB">#N/A</definedName>
    <definedName name="BL4BBB" localSheetId="12">#REF!</definedName>
    <definedName name="BL4BBB">#N/A</definedName>
    <definedName name="BL4C" localSheetId="12">#REF!</definedName>
    <definedName name="BL4C">#N/A</definedName>
    <definedName name="BL4CC" localSheetId="12">#REF!</definedName>
    <definedName name="BL4CC">#N/A</definedName>
    <definedName name="BL4CCC" localSheetId="12">#REF!</definedName>
    <definedName name="BL4CCC">#N/A</definedName>
    <definedName name="BL5A" localSheetId="12">#REF!</definedName>
    <definedName name="BL5A">#N/A</definedName>
    <definedName name="BL5AA" localSheetId="12">#REF!</definedName>
    <definedName name="BL5AA">#N/A</definedName>
    <definedName name="BL5AAA" localSheetId="12">#REF!</definedName>
    <definedName name="BL5AAA">#N/A</definedName>
    <definedName name="BL5B" localSheetId="12">#REF!</definedName>
    <definedName name="BL5B">#N/A</definedName>
    <definedName name="BL5BB" localSheetId="12">#REF!</definedName>
    <definedName name="BL5BB">#N/A</definedName>
    <definedName name="BL5BBB" localSheetId="12">#REF!</definedName>
    <definedName name="BL5BBB">#N/A</definedName>
    <definedName name="BL5C" localSheetId="12">#REF!</definedName>
    <definedName name="BL5C">#N/A</definedName>
    <definedName name="BL5CC" localSheetId="12">#REF!</definedName>
    <definedName name="BL5CC">#N/A</definedName>
    <definedName name="BL5CCC" localSheetId="12">#REF!</definedName>
    <definedName name="BL5CCC">#N/A</definedName>
    <definedName name="blhvhb" hidden="1">#REF!</definedName>
    <definedName name="BlkS" localSheetId="6">#REF!</definedName>
    <definedName name="BlkS" localSheetId="27">#REF!</definedName>
    <definedName name="BlkS" localSheetId="4">#REF!</definedName>
    <definedName name="BlkS" localSheetId="32">#REF!</definedName>
    <definedName name="BlkS" localSheetId="24">#REF!</definedName>
    <definedName name="BlkS">#REF!</definedName>
    <definedName name="blv_100">#REF!</definedName>
    <definedName name="blv_150">#REF!</definedName>
    <definedName name="blv_200">#REF!</definedName>
    <definedName name="blv_25">#REF!</definedName>
    <definedName name="blv_250">#REF!</definedName>
    <definedName name="blv_300">#REF!</definedName>
    <definedName name="blv_32">#REF!</definedName>
    <definedName name="blv_40">#REF!</definedName>
    <definedName name="blv_400">#REF!</definedName>
    <definedName name="blv_50">#REF!</definedName>
    <definedName name="blv_500">#REF!</definedName>
    <definedName name="blv_65">#REF!</definedName>
    <definedName name="blv_80">#REF!</definedName>
    <definedName name="BM" localSheetId="12">INDEX(#REF!,MATCH(#REF!,#REF!,0))</definedName>
    <definedName name="BM" localSheetId="29">#REF!</definedName>
    <definedName name="BM" localSheetId="24">#REF!</definedName>
    <definedName name="BM" localSheetId="26">#REF!</definedName>
    <definedName name="BM">#REF!</definedName>
    <definedName name="BMK">#REF!</definedName>
    <definedName name="BMR">#REF!</definedName>
    <definedName name="BMxxi">#REF!</definedName>
    <definedName name="BMxxii">#REF!</definedName>
    <definedName name="BMxxiii">#REF!</definedName>
    <definedName name="BMyyi">#REF!</definedName>
    <definedName name="Bn" localSheetId="29">#REF!</definedName>
    <definedName name="Bn" localSheetId="26">#REF!</definedName>
    <definedName name="Bn">#REF!</definedName>
    <definedName name="BODY1">#REF!</definedName>
    <definedName name="BODY2">#REF!</definedName>
    <definedName name="boisar" localSheetId="12">#REF!</definedName>
    <definedName name="boisar" localSheetId="29">#REF!</definedName>
    <definedName name="boisar" localSheetId="26">#REF!</definedName>
    <definedName name="boisar">#REF!</definedName>
    <definedName name="BOISAR_BAYWISE">#REF!</definedName>
    <definedName name="bol">#REF!</definedName>
    <definedName name="BOLT">#REF!</definedName>
    <definedName name="BoltCircle" localSheetId="12">#REF!</definedName>
    <definedName name="BoltCircle">#REF!</definedName>
    <definedName name="BoltCircleOrPoleOD" localSheetId="12">#REF!</definedName>
    <definedName name="BoltCircleOrPoleOD">#REF!</definedName>
    <definedName name="bom" localSheetId="29">#REF!</definedName>
    <definedName name="bom" localSheetId="26">#REF!</definedName>
    <definedName name="bom" localSheetId="2">#REF!</definedName>
    <definedName name="bom">#REF!</definedName>
    <definedName name="BOM_PR">#REF!</definedName>
    <definedName name="BOM_PR_TOT">#REF!</definedName>
    <definedName name="boml">#REF!</definedName>
    <definedName name="bondstone" localSheetId="6">#REF!</definedName>
    <definedName name="bondstone" localSheetId="27">#REF!</definedName>
    <definedName name="bondstone" localSheetId="4">#REF!</definedName>
    <definedName name="bondstone" localSheetId="32">#REF!</definedName>
    <definedName name="bondstone" localSheetId="24">#REF!</definedName>
    <definedName name="bondstone">#REF!</definedName>
    <definedName name="BONPSCHE" localSheetId="12">#REF!</definedName>
    <definedName name="BONPSCHE" localSheetId="29">#REF!</definedName>
    <definedName name="BONPSCHE" localSheetId="24">#REF!</definedName>
    <definedName name="BONPSCHE" localSheetId="26">#REF!</definedName>
    <definedName name="BONPSCHE">#REF!</definedName>
    <definedName name="BOQ">#REF!</definedName>
    <definedName name="BOQ_1">"#REF!"</definedName>
    <definedName name="boq_type" localSheetId="27">#REF!</definedName>
    <definedName name="boq_type">#REF!</definedName>
    <definedName name="boq_version" localSheetId="12">#REF!</definedName>
    <definedName name="boq_version" localSheetId="27">#REF!</definedName>
    <definedName name="boq_version">#REF!</definedName>
    <definedName name="BORE_HOLE_DATA">#REF!</definedName>
    <definedName name="BOSS" localSheetId="6">#REF!</definedName>
    <definedName name="BOSS" localSheetId="29">#REF!</definedName>
    <definedName name="BOSS" localSheetId="26">#REF!</definedName>
    <definedName name="BOSS">#REF!</definedName>
    <definedName name="botl">#REF!</definedName>
    <definedName name="botn">#REF!</definedName>
    <definedName name="BOX" localSheetId="6">#REF!</definedName>
    <definedName name="BOX">#REF!</definedName>
    <definedName name="bp" localSheetId="12">#REF!</definedName>
    <definedName name="bp" localSheetId="4">#REF!</definedName>
    <definedName name="bp" localSheetId="32">#REF!</definedName>
    <definedName name="bp">#REF!</definedName>
    <definedName name="bpf">#REF!</definedName>
    <definedName name="Bph">#REF!</definedName>
    <definedName name="bps" localSheetId="29">#REF!</definedName>
    <definedName name="bps" localSheetId="26">#REF!</definedName>
    <definedName name="bps" localSheetId="2">#REF!</definedName>
    <definedName name="bps">#REF!</definedName>
    <definedName name="BQ">#REF!</definedName>
    <definedName name="BR_Resou" localSheetId="12">#REF!</definedName>
    <definedName name="BR_Resou" localSheetId="29">#REF!</definedName>
    <definedName name="BR_Resou" localSheetId="26">#REF!</definedName>
    <definedName name="BR_Resou" localSheetId="2">#REF!</definedName>
    <definedName name="BR_Resou">#REF!</definedName>
    <definedName name="Breadth_of_base_slab">#REF!</definedName>
    <definedName name="Breadth_of_cover_slab">#REF!</definedName>
    <definedName name="Breadth_of_PCC_Layer">#REF!</definedName>
    <definedName name="Breadth_of_the_section">#REF!</definedName>
    <definedName name="Breaks">#REF!</definedName>
    <definedName name="BRICK">#REF!</definedName>
    <definedName name="Bridge" localSheetId="12" hidden="1">{"form-D1",#N/A,FALSE,"FORM-D1";"form-D1_amt",#N/A,FALSE,"FORM-D1"}</definedName>
    <definedName name="Bridge" localSheetId="6" hidden="1">{"form-D1",#N/A,FALSE,"FORM-D1";"form-D1_amt",#N/A,FALSE,"FORM-D1"}</definedName>
    <definedName name="Bridge" localSheetId="29" hidden="1">{"form-D1",#N/A,FALSE,"FORM-D1";"form-D1_amt",#N/A,FALSE,"FORM-D1"}</definedName>
    <definedName name="Bridge" localSheetId="27" hidden="1">{"form-D1",#N/A,FALSE,"FORM-D1";"form-D1_amt",#N/A,FALSE,"FORM-D1"}</definedName>
    <definedName name="Bridge" localSheetId="4" hidden="1">{"form-D1",#N/A,FALSE,"FORM-D1";"form-D1_amt",#N/A,FALSE,"FORM-D1"}</definedName>
    <definedName name="Bridge" localSheetId="32" hidden="1">{"form-D1",#N/A,FALSE,"FORM-D1";"form-D1_amt",#N/A,FALSE,"FORM-D1"}</definedName>
    <definedName name="Bridge" localSheetId="24" hidden="1">{"form-D1",#N/A,FALSE,"FORM-D1";"form-D1_amt",#N/A,FALSE,"FORM-D1"}</definedName>
    <definedName name="Bridge" localSheetId="26" hidden="1">{"form-D1",#N/A,FALSE,"FORM-D1";"form-D1_amt",#N/A,FALSE,"FORM-D1"}</definedName>
    <definedName name="Bridge" hidden="1">{"form-D1",#N/A,FALSE,"FORM-D1";"form-D1_amt",#N/A,FALSE,"FORM-D1"}</definedName>
    <definedName name="brk" localSheetId="24">#REF!</definedName>
    <definedName name="brk">#REF!</definedName>
    <definedName name="brk___0">#REF!</definedName>
    <definedName name="bs" localSheetId="29">#REF!</definedName>
    <definedName name="BS" localSheetId="24">#REF!</definedName>
    <definedName name="bs" localSheetId="26">#REF!</definedName>
    <definedName name="bs">#REF!</definedName>
    <definedName name="BS_9A" localSheetId="29">#REF!</definedName>
    <definedName name="BS_9A" localSheetId="26">#REF!</definedName>
    <definedName name="BS_9A">#REF!</definedName>
    <definedName name="BS_9B" localSheetId="29">#REF!</definedName>
    <definedName name="BS_9B" localSheetId="26">#REF!</definedName>
    <definedName name="BS_9B">#REF!</definedName>
    <definedName name="Bsump">#REF!</definedName>
    <definedName name="bt80.100" localSheetId="6">#REF!</definedName>
    <definedName name="bt80.100" localSheetId="27">#REF!</definedName>
    <definedName name="bt80.100" localSheetId="4">#REF!</definedName>
    <definedName name="bt80.100" localSheetId="32">#REF!</definedName>
    <definedName name="bt80.100" localSheetId="24">#REF!</definedName>
    <definedName name="bt80.100">#REF!</definedName>
    <definedName name="btb_musd" localSheetId="12">#REF!</definedName>
    <definedName name="btb_musd" localSheetId="29">#REF!</definedName>
    <definedName name="btb_musd" localSheetId="4">#REF!</definedName>
    <definedName name="btb_musd" localSheetId="32">#REF!</definedName>
    <definedName name="btb_musd" localSheetId="26">#REF!</definedName>
    <definedName name="btb_musd" localSheetId="2">#REF!</definedName>
    <definedName name="btb_musd">#REF!</definedName>
    <definedName name="bua">#REF!</definedName>
    <definedName name="bUB">#REF!</definedName>
    <definedName name="BUDDHA">#REF!</definedName>
    <definedName name="budgets">#REF!</definedName>
    <definedName name="building" localSheetId="12">#REF!</definedName>
    <definedName name="building" localSheetId="6">#REF!</definedName>
    <definedName name="building" localSheetId="29">#REF!</definedName>
    <definedName name="building" localSheetId="27">#REF!</definedName>
    <definedName name="building" localSheetId="4">#REF!</definedName>
    <definedName name="building" localSheetId="32">#REF!</definedName>
    <definedName name="building" localSheetId="24">#REF!</definedName>
    <definedName name="building" localSheetId="26">#REF!</definedName>
    <definedName name="building">#REF!</definedName>
    <definedName name="building___0" localSheetId="6">#REF!</definedName>
    <definedName name="building___0" localSheetId="27">#REF!</definedName>
    <definedName name="building___0" localSheetId="4">#REF!</definedName>
    <definedName name="building___0" localSheetId="32">#REF!</definedName>
    <definedName name="building___0" localSheetId="24">#REF!</definedName>
    <definedName name="building___0">#REF!</definedName>
    <definedName name="building___11" localSheetId="6">#REF!</definedName>
    <definedName name="building___11" localSheetId="27">#REF!</definedName>
    <definedName name="building___11" localSheetId="4">#REF!</definedName>
    <definedName name="building___11" localSheetId="32">#REF!</definedName>
    <definedName name="building___11" localSheetId="24">#REF!</definedName>
    <definedName name="building___11">#REF!</definedName>
    <definedName name="building___12" localSheetId="6">#REF!</definedName>
    <definedName name="building___12" localSheetId="27">#REF!</definedName>
    <definedName name="building___12" localSheetId="4">#REF!</definedName>
    <definedName name="building___12" localSheetId="32">#REF!</definedName>
    <definedName name="building___12" localSheetId="24">#REF!</definedName>
    <definedName name="building___12">#REF!</definedName>
    <definedName name="BuiltIn_AutoFilter___1" localSheetId="24">#REF!</definedName>
    <definedName name="BuiltIn_AutoFilter___1">#REF!</definedName>
    <definedName name="BuiltIn_AutoFilter___17" localSheetId="24">#REF!</definedName>
    <definedName name="BuiltIn_AutoFilter___17">#REF!</definedName>
    <definedName name="BuiltIn_AutoFilter___19">#REF!</definedName>
    <definedName name="BuiltIn_AutoFilter___6_2">"#REF!"</definedName>
    <definedName name="BuiltIn_AutoFilter___6_3">"#REF!"</definedName>
    <definedName name="BuiltIn_AutoFilter___6_4">"#REF!"</definedName>
    <definedName name="BuiltIn_Consolidate_Area___2">NA()</definedName>
    <definedName name="BuiltIn_Consolidate_Area___3">NA()</definedName>
    <definedName name="BuiltIn_Consolidate_Area___4">NA()</definedName>
    <definedName name="BuiltIn_Consolidate_Area___5">NA()</definedName>
    <definedName name="BuiltIn_Consolidate_Area___6">NA()</definedName>
    <definedName name="BuiltIn_Consolidate_Area___7">NA()</definedName>
    <definedName name="BuiltIn_Consolidate_Area___9">NA()</definedName>
    <definedName name="BuiltIn_Print_Area" localSheetId="6">#REF!</definedName>
    <definedName name="BuiltIn_Print_Area" localSheetId="29">#REF!</definedName>
    <definedName name="BuiltIn_Print_Area" localSheetId="24">#REF!</definedName>
    <definedName name="BuiltIn_Print_Area" localSheetId="26">#REF!</definedName>
    <definedName name="BuiltIn_Print_Area">#REF!</definedName>
    <definedName name="BuiltIn_Print_Area___0" localSheetId="6">#REF!</definedName>
    <definedName name="BuiltIn_Print_Area___0" localSheetId="24">#REF!</definedName>
    <definedName name="BuiltIn_Print_Area___0">#REF!</definedName>
    <definedName name="BuiltIn_Print_Area___0___0" localSheetId="6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 localSheetId="12">#REF!</definedName>
    <definedName name="BuiltIn_Print_Area___0___0___0___0___0">#REF!</definedName>
    <definedName name="BuiltIn_Print_Area___0___0___0___0___0___0">#REF!</definedName>
    <definedName name="BuiltIn_Print_Area___0___0___0___0___0___0___0">#REF!</definedName>
    <definedName name="BuiltIn_Print_Area___0___0___0___0___0___0___0___0">#REF!</definedName>
    <definedName name="BuiltIn_Print_Area___0___0___0___0___0___0___0___0___0">#REF!</definedName>
    <definedName name="BuiltIn_Print_Area___0___0___0___0___0___0___0___0___0___0">#REF!</definedName>
    <definedName name="BuiltIn_Print_Area___0___0___0___0___0___0___0___0___0___0___0">#REF!</definedName>
    <definedName name="BuiltIn_Print_Area___0___0___0___0___0___0___0___0___0___0___0___0">#REF!</definedName>
    <definedName name="BuiltIn_Print_Area___0___0___0___0___0___0___0___0___0___0___0___0___0">#REF!</definedName>
    <definedName name="BuiltIn_Print_Area___0___0___0___0___0___0___0___0___0___0___0___0___0___0">#REF!</definedName>
    <definedName name="BuiltIn_Print_Area___0___0___0___0___0___0___0___0___0_1">#REF!</definedName>
    <definedName name="BuiltIn_Print_Area___0___0___0___0___0___0___0___0_1">#REF!</definedName>
    <definedName name="BuiltIn_Print_Area___0___0___0___0___0___0___0_1">#REF!</definedName>
    <definedName name="BuiltIn_Print_Area___0___0___0___0___0___0_1">#REF!</definedName>
    <definedName name="BuiltIn_Print_Area___0___0___0___0___0_1">#REF!</definedName>
    <definedName name="BuiltIn_Print_Area___0___0___0___0_1">#REF!</definedName>
    <definedName name="BuiltIn_Print_Area___0___0___0_1">#REF!</definedName>
    <definedName name="BuiltIn_Print_Area___0___0_1">#REF!</definedName>
    <definedName name="BuiltIn_Print_Area___0_1">#REF!</definedName>
    <definedName name="BuiltIn_Print_Area_1">#REF!</definedName>
    <definedName name="BuiltIn_Print_Titles">#REF!</definedName>
    <definedName name="BuiltIn_Print_Titles___0" localSheetId="4">#REF!</definedName>
    <definedName name="BuiltIn_Print_Titles___0" localSheetId="32">#REF!</definedName>
    <definedName name="BuiltIn_Print_Titles___0">#REF!</definedName>
    <definedName name="BuiltIn_Print_Titles___0___0">#REF!</definedName>
    <definedName name="BuiltIn_Print_Titles___0___0___0">#REF!</definedName>
    <definedName name="BuiltIn_Print_Titles___0___0___0___0">#REF!</definedName>
    <definedName name="BuiltIn_Print_Titles___0___0___0___0___0">#REF!</definedName>
    <definedName name="BuiltIn_Print_Titles___0___0___0___0___0___0">#REF!</definedName>
    <definedName name="BuiltIn_Print_Titles___0___0___0___0___0___0___0">#REF!</definedName>
    <definedName name="BuiltIn_Print_Titles___0___0___0___0___0___0___0___0">#REF!</definedName>
    <definedName name="BuiltIn_Print_Titles___0___0___0___0___0___0___0___0___0">#REF!</definedName>
    <definedName name="BuiltIn_Print_Titles___0___0___0___0___0___0___0___0___0___0">#REF!</definedName>
    <definedName name="BuiltIn_Print_Titles___0___0___0___0___0___0___0___0___0___0___0">#REF!</definedName>
    <definedName name="BuiltIn_Print_Titles___0___0___0___0___0___0___0___0___0___0___0___0">#REF!</definedName>
    <definedName name="BuiltIn_Print_Titles___0___0___0___0___0___0___0___0___0___0___0___0___0">#REF!</definedName>
    <definedName name="BuiltIn_Print_Titles___0___0___0___0___0___0___0___0___0___0___0___0___0___0">#REF!</definedName>
    <definedName name="BuiltIn_Print_Titles___0___0___0___0___0___0___0___0___0___0___0___0___0___0___0">#REF!</definedName>
    <definedName name="BuiltIn_Print_Titles___0___0___0___0___0___0___0___0___0___0___0___0___0___0___0___0">#REF!</definedName>
    <definedName name="BuiltIn_Print_Titles___0___0___0___0___0___0___0___0___0___0___0___0___0___0___0___0___0">#REF!</definedName>
    <definedName name="BuiltIn_Print_Titles___0___0___0___0___0___0___0___0___0___0___0___0___0___0___0___0___0___0">#REF!</definedName>
    <definedName name="BuiltIn_Print_Titles___0___0___0___0___0___0___0___0___0___0___0___0___0___0___0___0___0___0___0">#REF!</definedName>
    <definedName name="BuiltIn_Print_Titles___0___0___0___0___0___0___0___0___0___0___0___0___0___0___0___0___0___0___0___0">#REF!</definedName>
    <definedName name="BuiltIn_Print_Titles___0___0___0___0___0___0___0___0___0___0___0___0___0___0___0___0___0___0___0___0___0">#REF!</definedName>
    <definedName name="BuiltIn_Print_Titles___0___0___0___0___0___0___0___0___0___0___0___0___0___0___0___0___0___0___0___0___0___0">#REF!</definedName>
    <definedName name="BuiltIn_Print_Titles___0___0___0___0___0___0___0___0___0___0___0___0___0___0___0___0___0___0___0___0___0___0___0">#REF!</definedName>
    <definedName name="BuiltIn_Print_Titles___0___0___0___0___0___0___0___0___0___0___0___0___0___0___0___0___0___0___0___0___0___0___0___0">#REF!</definedName>
    <definedName name="BuiltIn_Print_Titles___0___0___0___0___0___0___0___0___0___0___0___0___0___0___0___0___0___0___0___0___0___0___0___0___0">#REF!</definedName>
    <definedName name="BuiltIn_Print_Titles___0___0___0___0___0___0___0___0___0___0___0___0___0___0___0___0___0___0___0___0___0___0___0___0___0___0">#REF!</definedName>
    <definedName name="BuiltIn_Print_Titles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1">#REF!</definedName>
    <definedName name="BuiltIn_Print_Titles___0___0___0___0___0___0___0___0___0___0___0___0___0___0___0___0___0___0___0___0___0___0___0___0___0_1">#REF!</definedName>
    <definedName name="BuiltIn_Print_Titles___0___0___0___0___0___0___0___0___0___0___0___0___0___0___0___0___0___0___0___0___0___0___0___0_1">#REF!</definedName>
    <definedName name="BuiltIn_Print_Titles___0___0___0___0___0___0___0___0___0___0___0___0___0___0___0___0___0___0___0___0___0___0___0_1">#REF!</definedName>
    <definedName name="BuiltIn_Print_Titles___0___0___0___0___0___0___0___0___0___0___0___0___0___0___0___0___0___0___0___0___0___0_1">#REF!</definedName>
    <definedName name="BuiltIn_Print_Titles___0___0___0___0___0___0___0___0___0___0___0___0___0___0___0___0___0___0___0___0___0_1">#REF!</definedName>
    <definedName name="BuiltIn_Print_Titles___0___0___0___0___0___0___0___0___0___0___0___0___0___0___0___0___0___0___0___0_1">#REF!</definedName>
    <definedName name="BuiltIn_Print_Titles___0___0___0___0___0___0___0___0___0___0___0___0___0___0___0___0___0___0___0_1">#REF!</definedName>
    <definedName name="BuiltIn_Print_Titles___0___0___0___0___0___0___0___0___0___0___0___0___0___0___0___0___0___0_1">#REF!</definedName>
    <definedName name="BuiltIn_Print_Titles___0___0___0___0___0___0___0___0___0___0___0___0___0___0___0___0___0_1">#REF!</definedName>
    <definedName name="BuiltIn_Print_Titles___0___0___0___0___0___0___0___0___0___0___0___0___0___0___0___0_1">#REF!</definedName>
    <definedName name="BuiltIn_Print_Titles___0___0___0___0___0___0___0___0___0___0___0___0___0___0___0_1">#REF!</definedName>
    <definedName name="BuiltIn_Print_Titles___0___0___0___0___0___0___0___0___0___0___0___0___0___0_1">#REF!</definedName>
    <definedName name="BuiltIn_Print_Titles___0___0___0___0___0___0___0___0___0___0___0___0___0_1">#REF!</definedName>
    <definedName name="BuiltIn_Print_Titles___0___0___0___0___0___0___0___0___0___0___0___0_1">#REF!</definedName>
    <definedName name="BuiltIn_Print_Titles___0___0___0___0___0___0___0___0___0___0___0_1">#REF!</definedName>
    <definedName name="BuiltIn_Print_Titles___0___0___0___0___0___0___0___0___0___0_1">#REF!</definedName>
    <definedName name="BuiltIn_Print_Titles___0___0___0___0___0___0___0___0___0_1">#REF!</definedName>
    <definedName name="BuiltIn_Print_Titles___0___0___0___0___0___0___0___0_1">#REF!</definedName>
    <definedName name="BuiltIn_Print_Titles___0___0___0___0___0___0___0_1">#REF!</definedName>
    <definedName name="BuiltIn_Print_Titles___0___0___0___0___0_1">#REF!</definedName>
    <definedName name="BuiltIn_Print_Titles___0___0___0___0_1">#REF!</definedName>
    <definedName name="BuiltIn_Print_Titles___0___0___0_1">#REF!</definedName>
    <definedName name="BuiltIn_Print_Titles___0___0_1">#REF!</definedName>
    <definedName name="BuiltIn_Print_Titles___0_1">#REF!</definedName>
    <definedName name="BuiltIn_Print_Titles_1">#REF!</definedName>
    <definedName name="butterfly">#REF!</definedName>
    <definedName name="Button_5">"AS_PER_TALLY_31_09_04_ONYX_List"</definedName>
    <definedName name="Button_7">"AS_PER_TALLY_31_09_04_ONYX_List1"</definedName>
    <definedName name="Button_8">"AS_PER_TALLY_31_09_04_ONYX_List1"</definedName>
    <definedName name="BVJIOJ8FYEMF8">#REF!</definedName>
    <definedName name="BW" localSheetId="27">#REF!</definedName>
    <definedName name="BW">#REF!</definedName>
    <definedName name="Bx" localSheetId="12">#REF!</definedName>
    <definedName name="Bx" localSheetId="29">#REF!</definedName>
    <definedName name="Bx" localSheetId="27">#REF!</definedName>
    <definedName name="Bx" localSheetId="26">#REF!</definedName>
    <definedName name="Bx">#REF!</definedName>
    <definedName name="Bx___0">#REF!</definedName>
    <definedName name="Bx___13">#REF!</definedName>
    <definedName name="Bxx">#REF!</definedName>
    <definedName name="By">#REF!</definedName>
    <definedName name="by_weld">#REF!</definedName>
    <definedName name="C_">#REF!</definedName>
    <definedName name="c_1" localSheetId="6">#REF!</definedName>
    <definedName name="c_1" localSheetId="27">#REF!</definedName>
    <definedName name="c_1" localSheetId="4">#REF!</definedName>
    <definedName name="c_1" localSheetId="32">#REF!</definedName>
    <definedName name="c_1" localSheetId="24">#REF!</definedName>
    <definedName name="c_1">#REF!</definedName>
    <definedName name="c_10" localSheetId="6">#REF!</definedName>
    <definedName name="c_10" localSheetId="27">#REF!</definedName>
    <definedName name="c_10" localSheetId="4">#REF!</definedName>
    <definedName name="c_10" localSheetId="32">#REF!</definedName>
    <definedName name="c_10" localSheetId="24">#REF!</definedName>
    <definedName name="c_10">#REF!</definedName>
    <definedName name="c_11" localSheetId="6">#REF!</definedName>
    <definedName name="c_11" localSheetId="27">#REF!</definedName>
    <definedName name="c_11" localSheetId="4">#REF!</definedName>
    <definedName name="c_11" localSheetId="32">#REF!</definedName>
    <definedName name="c_11" localSheetId="24">#REF!</definedName>
    <definedName name="c_11">#REF!</definedName>
    <definedName name="c_12" localSheetId="6">#REF!</definedName>
    <definedName name="c_12" localSheetId="27">#REF!</definedName>
    <definedName name="c_12" localSheetId="4">#REF!</definedName>
    <definedName name="c_12" localSheetId="32">#REF!</definedName>
    <definedName name="c_12" localSheetId="24">#REF!</definedName>
    <definedName name="c_12">#REF!</definedName>
    <definedName name="c_2" localSheetId="6">#REF!</definedName>
    <definedName name="c_2" localSheetId="27">#REF!</definedName>
    <definedName name="c_2" localSheetId="4">#REF!</definedName>
    <definedName name="c_2" localSheetId="32">#REF!</definedName>
    <definedName name="c_2" localSheetId="24">#REF!</definedName>
    <definedName name="c_2">#REF!</definedName>
    <definedName name="c_3" localSheetId="6">#REF!</definedName>
    <definedName name="c_3" localSheetId="27">#REF!</definedName>
    <definedName name="c_3" localSheetId="4">#REF!</definedName>
    <definedName name="c_3" localSheetId="32">#REF!</definedName>
    <definedName name="c_3" localSheetId="24">#REF!</definedName>
    <definedName name="c_3">#REF!</definedName>
    <definedName name="c_4" localSheetId="6">#REF!</definedName>
    <definedName name="c_4" localSheetId="27">#REF!</definedName>
    <definedName name="c_4" localSheetId="4">#REF!</definedName>
    <definedName name="c_4" localSheetId="32">#REF!</definedName>
    <definedName name="c_4" localSheetId="24">#REF!</definedName>
    <definedName name="c_4">#REF!</definedName>
    <definedName name="c_5" localSheetId="6">#REF!</definedName>
    <definedName name="c_5" localSheetId="27">#REF!</definedName>
    <definedName name="c_5" localSheetId="4">#REF!</definedName>
    <definedName name="c_5" localSheetId="32">#REF!</definedName>
    <definedName name="c_5" localSheetId="24">#REF!</definedName>
    <definedName name="c_5">#REF!</definedName>
    <definedName name="c_5a" localSheetId="6">#REF!</definedName>
    <definedName name="c_5a" localSheetId="27">#REF!</definedName>
    <definedName name="c_5a" localSheetId="4">#REF!</definedName>
    <definedName name="c_5a" localSheetId="32">#REF!</definedName>
    <definedName name="c_5a" localSheetId="24">#REF!</definedName>
    <definedName name="c_5a">#REF!</definedName>
    <definedName name="c_6" localSheetId="6">#REF!</definedName>
    <definedName name="c_6" localSheetId="27">#REF!</definedName>
    <definedName name="c_6" localSheetId="4">#REF!</definedName>
    <definedName name="c_6" localSheetId="32">#REF!</definedName>
    <definedName name="c_6" localSheetId="24">#REF!</definedName>
    <definedName name="c_6">#REF!</definedName>
    <definedName name="c_6a" localSheetId="6">#REF!</definedName>
    <definedName name="c_6a" localSheetId="27">#REF!</definedName>
    <definedName name="c_6a" localSheetId="4">#REF!</definedName>
    <definedName name="c_6a" localSheetId="32">#REF!</definedName>
    <definedName name="c_6a" localSheetId="24">#REF!</definedName>
    <definedName name="c_6a">#REF!</definedName>
    <definedName name="c_7" localSheetId="6">#REF!</definedName>
    <definedName name="c_7" localSheetId="27">#REF!</definedName>
    <definedName name="c_7" localSheetId="4">#REF!</definedName>
    <definedName name="c_7" localSheetId="32">#REF!</definedName>
    <definedName name="c_7" localSheetId="24">#REF!</definedName>
    <definedName name="c_7">#REF!</definedName>
    <definedName name="c_8" localSheetId="6">#REF!</definedName>
    <definedName name="c_8" localSheetId="27">#REF!</definedName>
    <definedName name="c_8" localSheetId="4">#REF!</definedName>
    <definedName name="c_8" localSheetId="32">#REF!</definedName>
    <definedName name="c_8" localSheetId="24">#REF!</definedName>
    <definedName name="c_8">#REF!</definedName>
    <definedName name="c_9" localSheetId="6">#REF!</definedName>
    <definedName name="c_9" localSheetId="27">#REF!</definedName>
    <definedName name="c_9" localSheetId="4">#REF!</definedName>
    <definedName name="c_9" localSheetId="32">#REF!</definedName>
    <definedName name="c_9" localSheetId="24">#REF!</definedName>
    <definedName name="c_9">#REF!</definedName>
    <definedName name="c_c">#REF!</definedName>
    <definedName name="c_margin" localSheetId="29">#REF!</definedName>
    <definedName name="c_margin" localSheetId="24">#REF!</definedName>
    <definedName name="c_margin" localSheetId="26">#REF!</definedName>
    <definedName name="c_margin">#REF!</definedName>
    <definedName name="C_VALUE" localSheetId="29">#REF!</definedName>
    <definedName name="C_VALUE" localSheetId="26">#REF!</definedName>
    <definedName name="C_VALUE">#REF!</definedName>
    <definedName name="C0">#REF!</definedName>
    <definedName name="C1776532">#REF!</definedName>
    <definedName name="CA" localSheetId="12">INDEX(#REF!,MATCH(#REF!,#REF!,0))</definedName>
    <definedName name="Ca" localSheetId="29">#REF!</definedName>
    <definedName name="ca" localSheetId="24">#REF!*1.507</definedName>
    <definedName name="Ca" localSheetId="26">#REF!</definedName>
    <definedName name="Ca">#REF!</definedName>
    <definedName name="caa" localSheetId="12" hidden="1">{"'PROFITABILITY'!$A$1:$F$45"}</definedName>
    <definedName name="caa" localSheetId="6" hidden="1">{"'PROFITABILITY'!$A$1:$F$45"}</definedName>
    <definedName name="caa" localSheetId="29" hidden="1">{"'PROFITABILITY'!$A$1:$F$45"}</definedName>
    <definedName name="caa" localSheetId="27" hidden="1">{"'PROFITABILITY'!$A$1:$F$45"}</definedName>
    <definedName name="caa" localSheetId="4" hidden="1">{"'PROFITABILITY'!$A$1:$F$45"}</definedName>
    <definedName name="caa" localSheetId="32" hidden="1">{"'PROFITABILITY'!$A$1:$F$45"}</definedName>
    <definedName name="caa" localSheetId="24" hidden="1">{"'PROFITABILITY'!$A$1:$F$45"}</definedName>
    <definedName name="caa" localSheetId="26" hidden="1">{"'PROFITABILITY'!$A$1:$F$45"}</definedName>
    <definedName name="caa" hidden="1">{"'PROFITABILITY'!$A$1:$F$45"}</definedName>
    <definedName name="CABLE" localSheetId="29">#REF!</definedName>
    <definedName name="CABLE" localSheetId="26">#REF!</definedName>
    <definedName name="CABLE" localSheetId="2">#REF!</definedName>
    <definedName name="CABLE">#REF!</definedName>
    <definedName name="CABLE_A" localSheetId="12">#REF!</definedName>
    <definedName name="CABLE_A">#REF!</definedName>
    <definedName name="CABLE_G" localSheetId="12">#REF!</definedName>
    <definedName name="CABLE_G">#REF!</definedName>
    <definedName name="Cable_Size">#REF!</definedName>
    <definedName name="CABLE1">#REF!</definedName>
    <definedName name="Cabledata">#REF!</definedName>
    <definedName name="CableSize">#REF!</definedName>
    <definedName name="cal">#REF!</definedName>
    <definedName name="CalcAgencyPrice">#REF!</definedName>
    <definedName name="can">#REF!</definedName>
    <definedName name="cant" localSheetId="12">#REF!</definedName>
    <definedName name="cant" localSheetId="4">#REF!</definedName>
    <definedName name="cant" localSheetId="32">#REF!</definedName>
    <definedName name="cant">#REF!</definedName>
    <definedName name="cap" localSheetId="12">#REF!</definedName>
    <definedName name="cap" localSheetId="29">#REF!</definedName>
    <definedName name="cap" localSheetId="26">#REF!</definedName>
    <definedName name="cap" localSheetId="2">#REF!</definedName>
    <definedName name="cap">#REF!</definedName>
    <definedName name="CAPA1" localSheetId="12">#REF!</definedName>
    <definedName name="CAPA1">#N/A</definedName>
    <definedName name="CAPA11" localSheetId="12">#REF!</definedName>
    <definedName name="CAPA11">#N/A</definedName>
    <definedName name="CAPA111" localSheetId="12">#REF!</definedName>
    <definedName name="CAPA111">#N/A</definedName>
    <definedName name="CAPA2" localSheetId="12">#REF!</definedName>
    <definedName name="CAPA2">#N/A</definedName>
    <definedName name="CAPA22" localSheetId="12">#REF!</definedName>
    <definedName name="CAPA22">#N/A</definedName>
    <definedName name="CAPA222" localSheetId="12">#REF!</definedName>
    <definedName name="CAPA222">#N/A</definedName>
    <definedName name="CAPA3" localSheetId="12">#REF!</definedName>
    <definedName name="CAPA3">#N/A</definedName>
    <definedName name="CAPA33" localSheetId="12">#REF!</definedName>
    <definedName name="CAPA33">#N/A</definedName>
    <definedName name="CAPA333" localSheetId="12">#REF!</definedName>
    <definedName name="CAPA333">#N/A</definedName>
    <definedName name="CAPA4" localSheetId="12">#REF!</definedName>
    <definedName name="CAPA4">#N/A</definedName>
    <definedName name="CAPA44" localSheetId="12">#REF!</definedName>
    <definedName name="CAPA44">#N/A</definedName>
    <definedName name="CAPA444" localSheetId="12">#REF!</definedName>
    <definedName name="CAPA444">#N/A</definedName>
    <definedName name="CAPA7" localSheetId="12">#REF!</definedName>
    <definedName name="CAPA7">#N/A</definedName>
    <definedName name="CAPA77" localSheetId="12">#REF!</definedName>
    <definedName name="CAPA77">#N/A</definedName>
    <definedName name="CAPA777" localSheetId="12">#REF!</definedName>
    <definedName name="CAPA777">#N/A</definedName>
    <definedName name="CAPAPR">#REF!</definedName>
    <definedName name="CAPAUG">#REF!</definedName>
    <definedName name="CAPDEC">#REF!</definedName>
    <definedName name="CAPFEB">#REF!</definedName>
    <definedName name="CAPITAL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">#REF!</definedName>
    <definedName name="carpet">#REF!</definedName>
    <definedName name="carpet___0">#REF!</definedName>
    <definedName name="carpet___11">#REF!</definedName>
    <definedName name="carpet___12">#REF!</definedName>
    <definedName name="CARPET1">#REF!</definedName>
    <definedName name="CARPI" localSheetId="12">#REF!</definedName>
    <definedName name="CARPI">#REF!</definedName>
    <definedName name="CAS">INDEX(#REF!,MATCH(#REF!,#REF!,0))</definedName>
    <definedName name="Case" localSheetId="12" hidden="1">{"CASH FLOW",#N/A,FALSE,"A"}</definedName>
    <definedName name="Case" hidden="1">{"CASH FLOW",#N/A,FALSE,"A"}</definedName>
    <definedName name="cash" localSheetId="4">#REF!</definedName>
    <definedName name="cash" localSheetId="32">#REF!</definedName>
    <definedName name="cash">#REF!</definedName>
    <definedName name="cashfloaa">#REF!</definedName>
    <definedName name="cashflow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AUSE" localSheetId="6">#REF!</definedName>
    <definedName name="CAUSE" localSheetId="29">#REF!</definedName>
    <definedName name="CAUSE" localSheetId="24">#REF!</definedName>
    <definedName name="CAUSE" localSheetId="26">#REF!</definedName>
    <definedName name="CAUSE">#REF!</definedName>
    <definedName name="CB" localSheetId="12">INDEX(#REF!,MATCH(#REF!,#REF!,0))</definedName>
    <definedName name="CB" localSheetId="27">INDEX(#REF!,MATCH(#REF!,#REF!,0))</definedName>
    <definedName name="CB" localSheetId="4">INDEX(#REF!,MATCH(#REF!,#REF!,0))</definedName>
    <definedName name="CB" localSheetId="32">INDEX(#REF!,MATCH(#REF!,#REF!,0))</definedName>
    <definedName name="CB" localSheetId="24">INDEX(#REF!,MATCH(#REF!,#REF!,0))</definedName>
    <definedName name="CB">INDEX(#REF!,MATCH(#REF!,#REF!,0))</definedName>
    <definedName name="cbgl1">#REF!</definedName>
    <definedName name="cbgl2">#REF!</definedName>
    <definedName name="cbgl3">#REF!</definedName>
    <definedName name="cbgl4">#REF!</definedName>
    <definedName name="CBISO" localSheetId="29">#REF!</definedName>
    <definedName name="CBISO" localSheetId="26">#REF!</definedName>
    <definedName name="CBISO" localSheetId="2">#REF!</definedName>
    <definedName name="CBISO">#REF!</definedName>
    <definedName name="CBISO145" localSheetId="29">#REF!</definedName>
    <definedName name="CBISO145" localSheetId="26">#REF!</definedName>
    <definedName name="CBISO145" localSheetId="2">#REF!</definedName>
    <definedName name="CBISO145">#REF!</definedName>
    <definedName name="CBISO245" localSheetId="2">#REF!</definedName>
    <definedName name="CBISO245">#REF!</definedName>
    <definedName name="CBR220CTL">#REF!</definedName>
    <definedName name="CBR500CTL">#REF!</definedName>
    <definedName name="CBS">INDEX(#REF!,MATCH(#REF!,#REF!,0))</definedName>
    <definedName name="CC" localSheetId="12">INDEX(#REF!,MATCH(#REF!,#REF!,0))</definedName>
    <definedName name="CC" localSheetId="6">INDEX(#REF!,MATCH(#REF!,#REF!,0))</definedName>
    <definedName name="cc" localSheetId="29" hidden="1">{"form-D1",#N/A,FALSE,"FORM-D1";"form-D1_amt",#N/A,FALSE,"FORM-D1"}</definedName>
    <definedName name="cc" localSheetId="27" hidden="1">{"form-D1",#N/A,FALSE,"FORM-D1";"form-D1_amt",#N/A,FALSE,"FORM-D1"}</definedName>
    <definedName name="CC" localSheetId="4">INDEX(#REF!,MATCH(#REF!,#REF!,0))</definedName>
    <definedName name="CC" localSheetId="32">INDEX(#REF!,MATCH(#REF!,#REF!,0))</definedName>
    <definedName name="CC" localSheetId="24">#REF!</definedName>
    <definedName name="cc" localSheetId="26" hidden="1">{"form-D1",#N/A,FALSE,"FORM-D1";"form-D1_amt",#N/A,FALSE,"FORM-D1"}</definedName>
    <definedName name="cc" hidden="1">{"form-D1",#N/A,FALSE,"FORM-D1";"form-D1_amt",#N/A,FALSE,"FORM-D1"}</definedName>
    <definedName name="CCB">#REF!</definedName>
    <definedName name="CCC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9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3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c" localSheetId="12">#REF!</definedName>
    <definedName name="cccc" localSheetId="6">#REF!</definedName>
    <definedName name="cccc" localSheetId="29">#REF!</definedName>
    <definedName name="cccc" localSheetId="24">#REF!</definedName>
    <definedName name="cccc" localSheetId="26">#REF!</definedName>
    <definedName name="cccc">#REF!</definedName>
    <definedName name="ccolagl">#REF!</definedName>
    <definedName name="CCS">INDEX(#REF!,MATCH(#REF!,#REF!,0))</definedName>
    <definedName name="CCT">#REF!</definedName>
    <definedName name="ccvbv">#REF!</definedName>
    <definedName name="CCVT">#REF!</definedName>
    <definedName name="CD" localSheetId="12">INDEX(#REF!,MATCH(#REF!,#REF!,0))</definedName>
    <definedName name="cd" localSheetId="29">#REF!</definedName>
    <definedName name="cd" localSheetId="4">#REF!</definedName>
    <definedName name="cd" localSheetId="32">#REF!</definedName>
    <definedName name="cd" localSheetId="7">#REF!</definedName>
    <definedName name="cd" localSheetId="26">#REF!</definedName>
    <definedName name="cd">#REF!</definedName>
    <definedName name="CD_HW" localSheetId="29">#REF!</definedName>
    <definedName name="CD_HW" localSheetId="7">#REF!</definedName>
    <definedName name="CD_HW" localSheetId="26">#REF!</definedName>
    <definedName name="CD_HW">#REF!</definedName>
    <definedName name="CD_SPLADL" localSheetId="29">#REF!</definedName>
    <definedName name="CD_SPLADL" localSheetId="7">#REF!</definedName>
    <definedName name="CD_SPLADL" localSheetId="26">#REF!</definedName>
    <definedName name="CD_SPLADL">#REF!</definedName>
    <definedName name="CD_SW">#REF!</definedName>
    <definedName name="cdays">#REF!</definedName>
    <definedName name="cddd">#REF!</definedName>
    <definedName name="cdds" localSheetId="4">#REF!</definedName>
    <definedName name="cdds" localSheetId="32">#REF!</definedName>
    <definedName name="cdds">#REF!</definedName>
    <definedName name="cdfgdf">#REF!</definedName>
    <definedName name="cdfre.">#REF!</definedName>
    <definedName name="Cdi" localSheetId="12">#REF!</definedName>
    <definedName name="Cdi">#REF!</definedName>
    <definedName name="CDS">INDEX(#REF!,MATCH(#REF!,#REF!,0))</definedName>
    <definedName name="CDT">#REF!</definedName>
    <definedName name="CDWSSM">#REF!</definedName>
    <definedName name="CDWSSP">#REF!</definedName>
    <definedName name="CE" localSheetId="12">INDEX(#REF!,MATCH(#REF!,#REF!,0))</definedName>
    <definedName name="CE" localSheetId="27">INDEX(#REF!,MATCH(#REF!,#REF!,0))</definedName>
    <definedName name="CE" localSheetId="4">INDEX(#REF!,MATCH(#REF!,#REF!,0))</definedName>
    <definedName name="CE" localSheetId="32">INDEX(#REF!,MATCH(#REF!,#REF!,0))</definedName>
    <definedName name="CE" localSheetId="24">INDEX(#REF!,MATCH(#REF!,#REF!,0))</definedName>
    <definedName name="CE">INDEX(#REF!,MATCH(#REF!,#REF!,0))</definedName>
    <definedName name="ced" localSheetId="12">#REF!</definedName>
    <definedName name="ced" localSheetId="29">#REF!</definedName>
    <definedName name="ced" localSheetId="26">#REF!</definedName>
    <definedName name="ced">#REF!</definedName>
    <definedName name="CED_BOHW" localSheetId="29">#REF!</definedName>
    <definedName name="CED_BOHW" localSheetId="26">#REF!</definedName>
    <definedName name="CED_BOHW" localSheetId="2">#REF!</definedName>
    <definedName name="CED_BOHW">#REF!</definedName>
    <definedName name="CED_BOSW" localSheetId="2">#REF!</definedName>
    <definedName name="CED_BOSW">#REF!</definedName>
    <definedName name="CED_IDTOHW" localSheetId="2">#REF!</definedName>
    <definedName name="CED_IDTOHW">#REF!</definedName>
    <definedName name="CED_IDTOSW">#REF!</definedName>
    <definedName name="ced_own">#REF!</definedName>
    <definedName name="CED_OWNHW">#REF!</definedName>
    <definedName name="CED_OWNSW">#REF!</definedName>
    <definedName name="CED_pc">#REF!</definedName>
    <definedName name="CED_SW">#REF!</definedName>
    <definedName name="ced_tr">#REF!</definedName>
    <definedName name="CED_TRHW">#REF!</definedName>
    <definedName name="CED_TRSW">#REF!</definedName>
    <definedName name="cee">#REF!</definedName>
    <definedName name="cell">#REF!</definedName>
    <definedName name="cem">190</definedName>
    <definedName name="cement" localSheetId="6">#REF!</definedName>
    <definedName name="cement" localSheetId="27">#REF!</definedName>
    <definedName name="cement" localSheetId="4">#REF!</definedName>
    <definedName name="cement" localSheetId="32">#REF!</definedName>
    <definedName name="cement" localSheetId="24">#REF!</definedName>
    <definedName name="cement">#REF!</definedName>
    <definedName name="Cement_124" localSheetId="6">#REF!</definedName>
    <definedName name="Cement_124" localSheetId="29">#REF!</definedName>
    <definedName name="Cement_124" localSheetId="27">#REF!</definedName>
    <definedName name="Cement_124" localSheetId="4">#REF!</definedName>
    <definedName name="Cement_124" localSheetId="32">#REF!</definedName>
    <definedName name="Cement_124" localSheetId="24">#REF!</definedName>
    <definedName name="Cement_124" localSheetId="26">#REF!</definedName>
    <definedName name="Cement_124">#REF!</definedName>
    <definedName name="cent" localSheetId="6">#REF!</definedName>
    <definedName name="cent" localSheetId="27">#REF!</definedName>
    <definedName name="cent" localSheetId="4">#REF!</definedName>
    <definedName name="cent" localSheetId="32">#REF!</definedName>
    <definedName name="cent" localSheetId="24">#REF!</definedName>
    <definedName name="cent">#REF!</definedName>
    <definedName name="CeramicFloorTiles" localSheetId="6">#REF!</definedName>
    <definedName name="CeramicFloorTiles" localSheetId="27">#REF!</definedName>
    <definedName name="CeramicFloorTiles" localSheetId="4">#REF!</definedName>
    <definedName name="CeramicFloorTiles" localSheetId="32">#REF!</definedName>
    <definedName name="CeramicFloorTiles" localSheetId="24">#REF!</definedName>
    <definedName name="CeramicFloorTiles">#REF!</definedName>
    <definedName name="CES">INDEX(#REF!,MATCH(#REF!,#REF!,0))</definedName>
    <definedName name="CF" localSheetId="12">INDEX(#REF!,MATCH(#REF!,#REF!,0))</definedName>
    <definedName name="CF" localSheetId="29">#REF!</definedName>
    <definedName name="Cf" localSheetId="24">#REF!</definedName>
    <definedName name="CF" localSheetId="26">#REF!</definedName>
    <definedName name="CF">#REF!</definedName>
    <definedName name="cf_musd" localSheetId="12">#REF!</definedName>
    <definedName name="cf_musd" localSheetId="29">#REF!</definedName>
    <definedName name="cf_musd" localSheetId="4">#REF!</definedName>
    <definedName name="cf_musd" localSheetId="32">#REF!</definedName>
    <definedName name="cf_musd" localSheetId="26">#REF!</definedName>
    <definedName name="cf_musd">#REF!</definedName>
    <definedName name="cfb">#REF!</definedName>
    <definedName name="cfbeams">#REF!</definedName>
    <definedName name="cfd">#REF!</definedName>
    <definedName name="cflo" localSheetId="12" hidden="1">{"CASH FLOW",#N/A,FALSE,"A"}</definedName>
    <definedName name="cflo" hidden="1">{"CASH FLOW",#N/A,FALSE,"A"}</definedName>
    <definedName name="cflow" localSheetId="12" hidden="1">{"CASH FLOW",#N/A,FALSE,"A"}</definedName>
    <definedName name="cflow" hidden="1">{"CASH FLOW",#N/A,FALSE,"A"}</definedName>
    <definedName name="cfrd">#REF!</definedName>
    <definedName name="cfre">#REF!</definedName>
    <definedName name="CFS">INDEX(#REF!,MATCH(#REF!,#REF!,0))</definedName>
    <definedName name="cfsalb">#REF!</definedName>
    <definedName name="cfslab">#REF!</definedName>
    <definedName name="CG" localSheetId="12">INDEX(#REF!,MATCH(#REF!,#REF!,0))</definedName>
    <definedName name="CG" localSheetId="27">INDEX(#REF!,MATCH(#REF!,#REF!,0))</definedName>
    <definedName name="CG" localSheetId="24">INDEX(#REF!,MATCH(#REF!,#REF!,0))</definedName>
    <definedName name="CG">INDEX(#REF!,MATCH(#REF!,#REF!,0))</definedName>
    <definedName name="CGS">INDEX(#REF!,MATCH(#REF!,#REF!,0))</definedName>
    <definedName name="cgxcf">#REF!</definedName>
    <definedName name="CH" localSheetId="12">INDEX(#REF!,MATCH(#REF!,#REF!,0))</definedName>
    <definedName name="CH" localSheetId="27">INDEX(#REF!,MATCH(#REF!,#REF!,0))</definedName>
    <definedName name="CH" localSheetId="24">INDEX(#REF!,MATCH(#REF!,#REF!,0))</definedName>
    <definedName name="CH">INDEX(#REF!,MATCH(#REF!,#REF!,0))</definedName>
    <definedName name="ch_area1" localSheetId="12">#REF!</definedName>
    <definedName name="ch_area1" localSheetId="29">#REF!</definedName>
    <definedName name="ch_area1" localSheetId="26">#REF!</definedName>
    <definedName name="ch_area1">#REF!</definedName>
    <definedName name="ch_area2" localSheetId="12">#REF!</definedName>
    <definedName name="ch_area2" localSheetId="29">#REF!</definedName>
    <definedName name="ch_area2" localSheetId="26">#REF!</definedName>
    <definedName name="ch_area2">#REF!</definedName>
    <definedName name="ch_area3" localSheetId="12">#REF!</definedName>
    <definedName name="ch_area3" localSheetId="29">#REF!</definedName>
    <definedName name="ch_area3" localSheetId="26">#REF!</definedName>
    <definedName name="ch_area3">#REF!</definedName>
    <definedName name="ch_area4" localSheetId="12">#REF!</definedName>
    <definedName name="ch_area4" localSheetId="29">#REF!</definedName>
    <definedName name="ch_area4" localSheetId="26">#REF!</definedName>
    <definedName name="ch_area4">#REF!</definedName>
    <definedName name="chaclmqsdf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chaclmqsdf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chand" localSheetId="6">#REF!</definedName>
    <definedName name="chand" localSheetId="27">#REF!</definedName>
    <definedName name="chand" localSheetId="4">#REF!</definedName>
    <definedName name="chand" localSheetId="32">#REF!</definedName>
    <definedName name="chand" localSheetId="24">#REF!</definedName>
    <definedName name="chand">#REF!</definedName>
    <definedName name="chandra">#REF!</definedName>
    <definedName name="Charges_of_road_roller" localSheetId="12">#REF!</definedName>
    <definedName name="Charges_of_road_roller" localSheetId="24">#REF!</definedName>
    <definedName name="Charges_of_road_roller">#REF!</definedName>
    <definedName name="CHART" localSheetId="6">#REF!</definedName>
    <definedName name="CHART" localSheetId="27">#REF!</definedName>
    <definedName name="CHART" localSheetId="4">#REF!</definedName>
    <definedName name="CHART" localSheetId="32">#REF!</definedName>
    <definedName name="CHART" localSheetId="24">#REF!</definedName>
    <definedName name="CHART">#REF!</definedName>
    <definedName name="ChartData_Monthly">#REF!</definedName>
    <definedName name="ChartData_Weekly">#REF!</definedName>
    <definedName name="check" localSheetId="29">#REF!</definedName>
    <definedName name="check" localSheetId="24">#REF!</definedName>
    <definedName name="check" localSheetId="26">#REF!</definedName>
    <definedName name="check">#REF!</definedName>
    <definedName name="checked" localSheetId="12">#REF!</definedName>
    <definedName name="checked" localSheetId="4">#REF!</definedName>
    <definedName name="checked" localSheetId="32">#REF!</definedName>
    <definedName name="checked">#REF!</definedName>
    <definedName name="CHF" localSheetId="12">#REF!</definedName>
    <definedName name="CHF" localSheetId="29">#REF!</definedName>
    <definedName name="CHF" localSheetId="26">#REF!</definedName>
    <definedName name="CHF">#REF!</definedName>
    <definedName name="Chi">#REF!</definedName>
    <definedName name="chk" localSheetId="29">#REF!</definedName>
    <definedName name="chk" localSheetId="26">#REF!</definedName>
    <definedName name="chk" localSheetId="2">#REF!</definedName>
    <definedName name="chk">#REF!</definedName>
    <definedName name="chmap1">#N/A</definedName>
    <definedName name="CHS">INDEX(#REF!,MATCH(#REF!,#REF!,0))</definedName>
    <definedName name="CHW">#REF!</definedName>
    <definedName name="CI" localSheetId="12">INDEX(#REF!,MATCH(#REF!,#REF!,0))</definedName>
    <definedName name="CI" localSheetId="27">INDEX(#REF!,MATCH(#REF!,#REF!,0))</definedName>
    <definedName name="CI" localSheetId="24">INDEX(#REF!,MATCH(#REF!,#REF!,0))</definedName>
    <definedName name="CI">INDEX(#REF!,MATCH(#REF!,#REF!,0))</definedName>
    <definedName name="CIF_ABB_Imp" localSheetId="2">#REF!</definedName>
    <definedName name="CIF_ABB_Imp">#REF!</definedName>
    <definedName name="CIF_ABB_local" localSheetId="2">#REF!</definedName>
    <definedName name="CIF_ABB_local">#REF!</definedName>
    <definedName name="CIF_ABB_peenya">#REF!</definedName>
    <definedName name="CIF_AIC_Imp">#REF!</definedName>
    <definedName name="CIF_AIC_local">#REF!</definedName>
    <definedName name="CIF_NonABB_Imp">#REF!</definedName>
    <definedName name="CIF_NonABB_local">#REF!</definedName>
    <definedName name="CIS">INDEX(#REF!,MATCH(#REF!,#REF!,0))</definedName>
    <definedName name="City" localSheetId="12">#REF!</definedName>
    <definedName name="City">#NAME?</definedName>
    <definedName name="civ" localSheetId="27">#REF!</definedName>
    <definedName name="civ">#REF!</definedName>
    <definedName name="civil" localSheetId="6">#REF!</definedName>
    <definedName name="civil" localSheetId="29">#REF!</definedName>
    <definedName name="civil" localSheetId="24">#REF!</definedName>
    <definedName name="civil" localSheetId="26">#REF!</definedName>
    <definedName name="civil">#REF!</definedName>
    <definedName name="Civil_ajust_rate">#REF!</definedName>
    <definedName name="CJ" localSheetId="12">INDEX(#REF!,MATCH(#REF!,#REF!,0))</definedName>
    <definedName name="CJ" localSheetId="27">INDEX(#REF!,MATCH(#REF!,#REF!,0))</definedName>
    <definedName name="CJ" localSheetId="24">INDEX(#REF!,MATCH(#REF!,#REF!,0))</definedName>
    <definedName name="CJ">INDEX(#REF!,MATCH(#REF!,#REF!,0))</definedName>
    <definedName name="CJS">INDEX(#REF!,MATCH(#REF!,#REF!,0))</definedName>
    <definedName name="CK" localSheetId="12">INDEX(#REF!,MATCH(#REF!,#REF!,0))</definedName>
    <definedName name="CK" localSheetId="27">INDEX(#REF!,MATCH(#REF!,#REF!,0))</definedName>
    <definedName name="CK" localSheetId="24">INDEX(#REF!,MATCH(#REF!,#REF!,0))</definedName>
    <definedName name="CK">INDEX(#REF!,MATCH(#REF!,#REF!,0))</definedName>
    <definedName name="CL" localSheetId="12">INDEX(#REF!,MATCH(#REF!,#REF!,0))</definedName>
    <definedName name="Cl" localSheetId="6">#REF!</definedName>
    <definedName name="Cl" localSheetId="29">#REF!</definedName>
    <definedName name="Cl" localSheetId="27">#REF!</definedName>
    <definedName name="cl" localSheetId="24">150</definedName>
    <definedName name="Cl" localSheetId="26">#REF!</definedName>
    <definedName name="Cl">#REF!</definedName>
    <definedName name="Cl.Preforma" localSheetId="12" hidden="1">{"Execavation",#N/A,FALSE,"furniture (employer)"}</definedName>
    <definedName name="Cl.Preforma" localSheetId="6" hidden="1">{"Execavation",#N/A,FALSE,"furniture (employer)"}</definedName>
    <definedName name="Cl.Preforma" localSheetId="29" hidden="1">{"Execavation",#N/A,FALSE,"furniture (employer)"}</definedName>
    <definedName name="Cl.Preforma" localSheetId="27" hidden="1">{"Execavation",#N/A,FALSE,"furniture (employer)"}</definedName>
    <definedName name="Cl.Preforma" localSheetId="4" hidden="1">{"Execavation",#N/A,FALSE,"furniture (employer)"}</definedName>
    <definedName name="Cl.Preforma" localSheetId="32" hidden="1">{"Execavation",#N/A,FALSE,"furniture (employer)"}</definedName>
    <definedName name="Cl.Preforma" localSheetId="24" hidden="1">{"Execavation",#N/A,FALSE,"furniture (employer)"}</definedName>
    <definedName name="Cl.Preforma" localSheetId="26" hidden="1">{"Execavation",#N/A,FALSE,"furniture (employer)"}</definedName>
    <definedName name="Cl.Preforma" hidden="1">{"Execavation",#N/A,FALSE,"furniture (employer)"}</definedName>
    <definedName name="cl33kv" localSheetId="12">#REF!</definedName>
    <definedName name="cl33kv" localSheetId="4">#REF!</definedName>
    <definedName name="cl33kv" localSheetId="32">#REF!</definedName>
    <definedName name="cl33kv" localSheetId="24">#REF!</definedName>
    <definedName name="cl33kv">#REF!</definedName>
    <definedName name="CLAIMB" localSheetId="12" hidden="1">{"Execavation",#N/A,FALSE,"furniture (employer)"}</definedName>
    <definedName name="CLAIMB" localSheetId="6" hidden="1">{"Execavation",#N/A,FALSE,"furniture (employer)"}</definedName>
    <definedName name="CLAIMB" localSheetId="29" hidden="1">{"Execavation",#N/A,FALSE,"furniture (employer)"}</definedName>
    <definedName name="CLAIMB" localSheetId="27" hidden="1">{"Execavation",#N/A,FALSE,"furniture (employer)"}</definedName>
    <definedName name="CLAIMB" localSheetId="4" hidden="1">{"Execavation",#N/A,FALSE,"furniture (employer)"}</definedName>
    <definedName name="CLAIMB" localSheetId="32" hidden="1">{"Execavation",#N/A,FALSE,"furniture (employer)"}</definedName>
    <definedName name="CLAIMB" localSheetId="24" hidden="1">{"Execavation",#N/A,FALSE,"furniture (employer)"}</definedName>
    <definedName name="CLAIMB" localSheetId="26" hidden="1">{"Execavation",#N/A,FALSE,"furniture (employer)"}</definedName>
    <definedName name="CLAIMB" hidden="1">{"Execavation",#N/A,FALSE,"furniture (employer)"}</definedName>
    <definedName name="CLAIMSB" localSheetId="12" hidden="1">{"Execavation",#N/A,FALSE,"furniture (employer)"}</definedName>
    <definedName name="CLAIMSB" localSheetId="6" hidden="1">{"Execavation",#N/A,FALSE,"furniture (employer)"}</definedName>
    <definedName name="CLAIMSB" localSheetId="29" hidden="1">{"Execavation",#N/A,FALSE,"furniture (employer)"}</definedName>
    <definedName name="CLAIMSB" localSheetId="27" hidden="1">{"Execavation",#N/A,FALSE,"furniture (employer)"}</definedName>
    <definedName name="CLAIMSB" localSheetId="4" hidden="1">{"Execavation",#N/A,FALSE,"furniture (employer)"}</definedName>
    <definedName name="CLAIMSB" localSheetId="32" hidden="1">{"Execavation",#N/A,FALSE,"furniture (employer)"}</definedName>
    <definedName name="CLAIMSB" localSheetId="24" hidden="1">{"Execavation",#N/A,FALSE,"furniture (employer)"}</definedName>
    <definedName name="CLAIMSB" localSheetId="26" hidden="1">{"Execavation",#N/A,FALSE,"furniture (employer)"}</definedName>
    <definedName name="CLAIMSB" hidden="1">{"Execavation",#N/A,FALSE,"furniture (employer)"}</definedName>
    <definedName name="CLASS">#REF!</definedName>
    <definedName name="clbs">#REF!</definedName>
    <definedName name="cld">#REF!</definedName>
    <definedName name="Clearance" localSheetId="12">#REF!</definedName>
    <definedName name="Clearance" localSheetId="6">#REF!</definedName>
    <definedName name="Clearance" localSheetId="29">#REF!</definedName>
    <definedName name="Clearance" localSheetId="27">#REF!</definedName>
    <definedName name="Clearance" localSheetId="4">#REF!</definedName>
    <definedName name="Clearance" localSheetId="32">#REF!</definedName>
    <definedName name="Clearance" localSheetId="26">#REF!</definedName>
    <definedName name="Clearance">#REF!</definedName>
    <definedName name="cli" localSheetId="6">#REF!</definedName>
    <definedName name="cli">#REF!</definedName>
    <definedName name="CLIENT" localSheetId="6">#REF!</definedName>
    <definedName name="CLIENT">#REF!</definedName>
    <definedName name="Client_Markup">#REF!</definedName>
    <definedName name="clintels">#REF!</definedName>
    <definedName name="cll" localSheetId="12">#REF!</definedName>
    <definedName name="cll">#REF!</definedName>
    <definedName name="cllf" localSheetId="12">#REF!</definedName>
    <definedName name="cllf" localSheetId="4">#REF!</definedName>
    <definedName name="cllf" localSheetId="32">#REF!</definedName>
    <definedName name="cllf">#REF!</definedName>
    <definedName name="CLM" localSheetId="12" hidden="1">{"Execavation",#N/A,FALSE,"furniture (employer)"}</definedName>
    <definedName name="CLM" localSheetId="6" hidden="1">{"Execavation",#N/A,FALSE,"furniture (employer)"}</definedName>
    <definedName name="CLM" localSheetId="29" hidden="1">{"Execavation",#N/A,FALSE,"furniture (employer)"}</definedName>
    <definedName name="CLM" localSheetId="27" hidden="1">{"Execavation",#N/A,FALSE,"furniture (employer)"}</definedName>
    <definedName name="CLM" localSheetId="4" hidden="1">{"Execavation",#N/A,FALSE,"furniture (employer)"}</definedName>
    <definedName name="CLM" localSheetId="32" hidden="1">{"Execavation",#N/A,FALSE,"furniture (employer)"}</definedName>
    <definedName name="CLM" localSheetId="24" hidden="1">{"Execavation",#N/A,FALSE,"furniture (employer)"}</definedName>
    <definedName name="CLM" localSheetId="26" hidden="1">{"Execavation",#N/A,FALSE,"furniture (employer)"}</definedName>
    <definedName name="CLM" hidden="1">{"Execavation",#N/A,FALSE,"furniture (employer)"}</definedName>
    <definedName name="clobs">#REF!</definedName>
    <definedName name="clod">#REF!</definedName>
    <definedName name="clol">#REF!</definedName>
    <definedName name="clot">#REF!</definedName>
    <definedName name="clt">#REF!</definedName>
    <definedName name="cltf" localSheetId="12">#REF!</definedName>
    <definedName name="cltf" localSheetId="27">#REF!</definedName>
    <definedName name="cltf" localSheetId="4">#REF!</definedName>
    <definedName name="cltf" localSheetId="32">#REF!</definedName>
    <definedName name="cltf">#REF!</definedName>
    <definedName name="CM" localSheetId="12">INDEX(#REF!,MATCH(#REF!,#REF!,0))</definedName>
    <definedName name="CM" localSheetId="27">INDEX(#REF!,MATCH(#REF!,#REF!,0))</definedName>
    <definedName name="CM" localSheetId="24">INDEX(#REF!,MATCH(#REF!,#REF!,0))</definedName>
    <definedName name="CM">INDEX(#REF!,MATCH(#REF!,#REF!,0))</definedName>
    <definedName name="CM_14" localSheetId="6">#REF!</definedName>
    <definedName name="CM_14" localSheetId="29">#REF!</definedName>
    <definedName name="CM_14" localSheetId="27">#REF!</definedName>
    <definedName name="CM_14" localSheetId="4">#REF!</definedName>
    <definedName name="CM_14" localSheetId="32">#REF!</definedName>
    <definedName name="CM_14" localSheetId="24">#REF!</definedName>
    <definedName name="CM_14" localSheetId="26">#REF!</definedName>
    <definedName name="CM_14">#REF!</definedName>
    <definedName name="cM_143" localSheetId="6">#REF!</definedName>
    <definedName name="cM_143" localSheetId="27">#REF!</definedName>
    <definedName name="cM_143" localSheetId="4">#REF!</definedName>
    <definedName name="cM_143" localSheetId="32">#REF!</definedName>
    <definedName name="cM_143" localSheetId="24">#REF!</definedName>
    <definedName name="cM_143">#REF!</definedName>
    <definedName name="cmort3" localSheetId="12">#REF!</definedName>
    <definedName name="cmort3" localSheetId="24">#REF!</definedName>
    <definedName name="cmort3">#REF!</definedName>
    <definedName name="cnvert">#N/A</definedName>
    <definedName name="co" localSheetId="6">#REF!</definedName>
    <definedName name="co" localSheetId="29">#REF!</definedName>
    <definedName name="co" localSheetId="26">#REF!</definedName>
    <definedName name="co">#REF!</definedName>
    <definedName name="Coarsesand">#REF!</definedName>
    <definedName name="coat">#REF!</definedName>
    <definedName name="Code" hidden="1">#REF!</definedName>
    <definedName name="codecode">#REF!</definedName>
    <definedName name="CODES">#REF!</definedName>
    <definedName name="CODES_AND_COSTS">#REF!</definedName>
    <definedName name="COE" localSheetId="12">#REF!</definedName>
    <definedName name="COE" localSheetId="29">#REF!</definedName>
    <definedName name="COE" localSheetId="26">#REF!</definedName>
    <definedName name="COE">#REF!</definedName>
    <definedName name="CoeftMatIDR">#REF!</definedName>
    <definedName name="col">#REF!</definedName>
    <definedName name="col___0">#REF!</definedName>
    <definedName name="col___11">#REF!</definedName>
    <definedName name="col___12">#REF!</definedName>
    <definedName name="col_I">#REF!</definedName>
    <definedName name="Colbgl">#REF!</definedName>
    <definedName name="colbgl2">#REF!</definedName>
    <definedName name="collection" localSheetId="29">#REF!</definedName>
    <definedName name="collection" localSheetId="26">#REF!</definedName>
    <definedName name="collection" localSheetId="2">#REF!</definedName>
    <definedName name="collection">#REF!</definedName>
    <definedName name="Collie" localSheetId="12">#REF!</definedName>
    <definedName name="Collie">#REF!</definedName>
    <definedName name="COLLSTATUS" localSheetId="2">#REF!</definedName>
    <definedName name="COLLSTATUS">#REF!</definedName>
    <definedName name="collstatuspage1" localSheetId="2">#REF!</definedName>
    <definedName name="collstatuspage1">#REF!</definedName>
    <definedName name="collstatuspage2">#REF!</definedName>
    <definedName name="colors">#REF!</definedName>
    <definedName name="colortubets">#REF!</definedName>
    <definedName name="Columns">#REF!</definedName>
    <definedName name="COM">#REF!</definedName>
    <definedName name="Commission">#REF!</definedName>
    <definedName name="commn" localSheetId="12">#REF!</definedName>
    <definedName name="commn" localSheetId="29">#REF!</definedName>
    <definedName name="commn" localSheetId="26">#REF!</definedName>
    <definedName name="commn">#REF!</definedName>
    <definedName name="Common">#REF!</definedName>
    <definedName name="COMP" localSheetId="29">#REF!</definedName>
    <definedName name="COMP" localSheetId="26">#REF!</definedName>
    <definedName name="COMP" localSheetId="2">#REF!</definedName>
    <definedName name="COMP">#REF!</definedName>
    <definedName name="company" localSheetId="2">#REF!</definedName>
    <definedName name="company">#REF!</definedName>
    <definedName name="Company_Name">#REF!</definedName>
    <definedName name="compressor" localSheetId="6">#REF!</definedName>
    <definedName name="compressor" localSheetId="27">#REF!</definedName>
    <definedName name="compressor" localSheetId="4">#REF!</definedName>
    <definedName name="compressor" localSheetId="32">#REF!</definedName>
    <definedName name="compressor" localSheetId="24">#REF!</definedName>
    <definedName name="compressor">#REF!</definedName>
    <definedName name="con" localSheetId="12">#REF!</definedName>
    <definedName name="con" localSheetId="24">#REF!</definedName>
    <definedName name="con">#REF!</definedName>
    <definedName name="Conc">_xlfn.XLOOKUP(#REF!&amp;#REF!,#REF!,#REF!)</definedName>
    <definedName name="CONCABLES" localSheetId="29">#REF!</definedName>
    <definedName name="CONCABLES" localSheetId="26">#REF!</definedName>
    <definedName name="CONCABLES">#REF!</definedName>
    <definedName name="CONCABLES220" localSheetId="29">#REF!</definedName>
    <definedName name="CONCABLES220" localSheetId="26">#REF!</definedName>
    <definedName name="CONCABLES220">#REF!</definedName>
    <definedName name="Concpaver" localSheetId="6">#REF!</definedName>
    <definedName name="Concpaver" localSheetId="27">#REF!</definedName>
    <definedName name="Concpaver" localSheetId="4">#REF!</definedName>
    <definedName name="Concpaver" localSheetId="32">#REF!</definedName>
    <definedName name="Concpaver" localSheetId="24">#REF!</definedName>
    <definedName name="Concpaver">#REF!</definedName>
    <definedName name="cONCRETE" localSheetId="12" hidden="1">{"form-D1",#N/A,FALSE,"FORM-D1";"form-D1_amt",#N/A,FALSE,"FORM-D1"}</definedName>
    <definedName name="cONCRETE" localSheetId="6" hidden="1">{"form-D1",#N/A,FALSE,"FORM-D1";"form-D1_amt",#N/A,FALSE,"FORM-D1"}</definedName>
    <definedName name="cONCRETE" localSheetId="29" hidden="1">{"form-D1",#N/A,FALSE,"FORM-D1";"form-D1_amt",#N/A,FALSE,"FORM-D1"}</definedName>
    <definedName name="cONCRETE" localSheetId="27" hidden="1">{"form-D1",#N/A,FALSE,"FORM-D1";"form-D1_amt",#N/A,FALSE,"FORM-D1"}</definedName>
    <definedName name="cONCRETE" localSheetId="4" hidden="1">{"form-D1",#N/A,FALSE,"FORM-D1";"form-D1_amt",#N/A,FALSE,"FORM-D1"}</definedName>
    <definedName name="cONCRETE" localSheetId="32" hidden="1">{"form-D1",#N/A,FALSE,"FORM-D1";"form-D1_amt",#N/A,FALSE,"FORM-D1"}</definedName>
    <definedName name="cONCRETE" localSheetId="24" hidden="1">{"form-D1",#N/A,FALSE,"FORM-D1";"form-D1_amt",#N/A,FALSE,"FORM-D1"}</definedName>
    <definedName name="cONCRETE" localSheetId="26" hidden="1">{"form-D1",#N/A,FALSE,"FORM-D1";"form-D1_amt",#N/A,FALSE,"FORM-D1"}</definedName>
    <definedName name="cONCRETE" hidden="1">{"form-D1",#N/A,FALSE,"FORM-D1";"form-D1_amt",#N/A,FALSE,"FORM-D1"}</definedName>
    <definedName name="concretegrades">#REF!</definedName>
    <definedName name="COND" localSheetId="6">#REF!</definedName>
    <definedName name="COND" localSheetId="29">#REF!</definedName>
    <definedName name="COND" localSheetId="24">#REF!</definedName>
    <definedName name="COND" localSheetId="26">#REF!</definedName>
    <definedName name="COND">#REF!</definedName>
    <definedName name="cond.span" localSheetId="24">#REF!</definedName>
    <definedName name="cond.span">#REF!</definedName>
    <definedName name="conductor">#REF!</definedName>
    <definedName name="ConductorType" localSheetId="27">OFFSET(#REF!,0,0,COUNTA(#REF!),1)</definedName>
    <definedName name="ConductorType">OFFSET(#REF!,0,0,COUNTA(#REF!),1)</definedName>
    <definedName name="CONDUIT" localSheetId="6">#REF!</definedName>
    <definedName name="CONDUIT" localSheetId="29">#REF!</definedName>
    <definedName name="CONDUIT" localSheetId="27">#REF!</definedName>
    <definedName name="CONDUIT" localSheetId="24">#REF!</definedName>
    <definedName name="CONDUIT" localSheetId="26">#REF!</definedName>
    <definedName name="CONDUIT">#REF!</definedName>
    <definedName name="config" localSheetId="12">#REF!</definedName>
    <definedName name="config">#REF!</definedName>
    <definedName name="CONS">#REF!</definedName>
    <definedName name="cons.smm">#REF!</definedName>
    <definedName name="const" localSheetId="12" hidden="1">{"'PROFITABILITY'!$A$1:$F$45"}</definedName>
    <definedName name="const" localSheetId="6" hidden="1">{"'PROFITABILITY'!$A$1:$F$45"}</definedName>
    <definedName name="const" localSheetId="29" hidden="1">{"'PROFITABILITY'!$A$1:$F$45"}</definedName>
    <definedName name="const" localSheetId="27" hidden="1">{"'PROFITABILITY'!$A$1:$F$45"}</definedName>
    <definedName name="const" localSheetId="4" hidden="1">{"'PROFITABILITY'!$A$1:$F$45"}</definedName>
    <definedName name="const" localSheetId="32" hidden="1">{"'PROFITABILITY'!$A$1:$F$45"}</definedName>
    <definedName name="const" localSheetId="24" hidden="1">{"'PROFITABILITY'!$A$1:$F$45"}</definedName>
    <definedName name="const" localSheetId="26" hidden="1">{"'PROFITABILITY'!$A$1:$F$45"}</definedName>
    <definedName name="const" hidden="1">{"'PROFITABILITY'!$A$1:$F$45"}</definedName>
    <definedName name="ConstEqt_Cost_002FC">#REF!</definedName>
    <definedName name="ConstEqt_Cost_002LC">#REF!</definedName>
    <definedName name="CONSUMABLE">#REF!</definedName>
    <definedName name="CONT">#REF!</definedName>
    <definedName name="Cont.Amt.">#REF!</definedName>
    <definedName name="CONT_BGT4_I_">#REF!</definedName>
    <definedName name="CONT_BGT4_II_">#REF!</definedName>
    <definedName name="CONT_M4">#REF!</definedName>
    <definedName name="CONT1">#REF!</definedName>
    <definedName name="CONTENTS" localSheetId="2">#REF!</definedName>
    <definedName name="CONTENTS">#REF!</definedName>
    <definedName name="CONTRACT_NO">#REF!</definedName>
    <definedName name="Contract_weight">#REF!</definedName>
    <definedName name="control132">#REF!</definedName>
    <definedName name="Convent.">#REF!</definedName>
    <definedName name="conversion_type" localSheetId="12">#REF!</definedName>
    <definedName name="conversion_type">#REF!</definedName>
    <definedName name="COO" localSheetId="12">#REF!</definedName>
    <definedName name="COO">#N/A</definedName>
    <definedName name="cookie">#REF!</definedName>
    <definedName name="cookie1">#REF!</definedName>
    <definedName name="Copyright" hidden="1">"© 1995 Worley Limited"</definedName>
    <definedName name="cord" localSheetId="27">#REF!</definedName>
    <definedName name="cord">#REF!</definedName>
    <definedName name="coros">#REF!</definedName>
    <definedName name="COS" localSheetId="6">#REF!</definedName>
    <definedName name="COS" localSheetId="29">#REF!</definedName>
    <definedName name="COS" localSheetId="24">#REF!</definedName>
    <definedName name="COS" localSheetId="26">#REF!</definedName>
    <definedName name="COS">#REF!</definedName>
    <definedName name="cosq">#REF!</definedName>
    <definedName name="cost">#REF!</definedName>
    <definedName name="Cost__Ex_Works" localSheetId="12">#REF!</definedName>
    <definedName name="Cost__Ex_Works" localSheetId="6">#REF!</definedName>
    <definedName name="Cost__Ex_Works" localSheetId="29">#REF!</definedName>
    <definedName name="Cost__Ex_Works" localSheetId="26">#REF!</definedName>
    <definedName name="Cost__Ex_Works">#REF!</definedName>
    <definedName name="Cost_code">#REF!</definedName>
    <definedName name="Cost_curve">#REF!</definedName>
    <definedName name="Cost_for_10_Hp_Hr." localSheetId="12">#REF!</definedName>
    <definedName name="Cost_for_10_Hp_Hr.">#REF!</definedName>
    <definedName name="Cost_of_water_including_filling_the_tanker" localSheetId="12">#REF!</definedName>
    <definedName name="Cost_of_water_including_filling_the_tanker">#REF!</definedName>
    <definedName name="Cost_Per_Manday">#REF!</definedName>
    <definedName name="COST_PSCH" localSheetId="12">#REF!</definedName>
    <definedName name="COST_PSCH" localSheetId="4">#REF!</definedName>
    <definedName name="COST_PSCH" localSheetId="32">#REF!</definedName>
    <definedName name="COST_PSCH">#REF!</definedName>
    <definedName name="COST_PSCH1" localSheetId="12">#REF!</definedName>
    <definedName name="COST_PSCH1">#REF!</definedName>
    <definedName name="cost2" localSheetId="12" hidden="1">{"CASH FLOW",#N/A,FALSE,"A"}</definedName>
    <definedName name="cost2" hidden="1">{"CASH FLOW",#N/A,FALSE,"A"}</definedName>
    <definedName name="costdata">#REF!</definedName>
    <definedName name="costindex">#REF!</definedName>
    <definedName name="COSTING">#REF!</definedName>
    <definedName name="COU">#REF!</definedName>
    <definedName name="COU___0">#REF!</definedName>
    <definedName name="COU___13">#REF!</definedName>
    <definedName name="Country">#REF!</definedName>
    <definedName name="cover" localSheetId="6">#REF!</definedName>
    <definedName name="cover" localSheetId="27">#REF!</definedName>
    <definedName name="cover" localSheetId="4">#REF!</definedName>
    <definedName name="cover" localSheetId="32">#REF!</definedName>
    <definedName name="cover" localSheetId="24">#REF!</definedName>
    <definedName name="cover">#REF!</definedName>
    <definedName name="Cover_blocks" localSheetId="12">#REF!</definedName>
    <definedName name="Cover_blocks" localSheetId="24">#REF!</definedName>
    <definedName name="Cover_blocks">#REF!</definedName>
    <definedName name="Cover1" localSheetId="1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29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27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3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2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2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VV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9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3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 localSheetId="12">#REF!</definedName>
    <definedName name="cp" localSheetId="6">#REF!</definedName>
    <definedName name="cp" localSheetId="29">#REF!</definedName>
    <definedName name="cp" localSheetId="7">#REF!</definedName>
    <definedName name="cp" localSheetId="26">#REF!</definedName>
    <definedName name="cp">#REF!</definedName>
    <definedName name="CPL">#REF!</definedName>
    <definedName name="CPLG">#REF!</definedName>
    <definedName name="CPM">#REF!</definedName>
    <definedName name="CPRP" localSheetId="29">#REF!</definedName>
    <definedName name="CPRP" localSheetId="7">#REF!</definedName>
    <definedName name="CPRP" localSheetId="26">#REF!</definedName>
    <definedName name="CPRP">#REF!</definedName>
    <definedName name="cprp_lucknow" localSheetId="29">#REF!</definedName>
    <definedName name="cprp_lucknow" localSheetId="7">#REF!</definedName>
    <definedName name="cprp_lucknow" localSheetId="26">#REF!</definedName>
    <definedName name="cprp_lucknow">#REF!</definedName>
    <definedName name="cprp_mandola">#REF!</definedName>
    <definedName name="CP새단가">#REF!</definedName>
    <definedName name="cr" localSheetId="6">#REF!</definedName>
    <definedName name="cr" localSheetId="27">#REF!</definedName>
    <definedName name="cr" localSheetId="4">#REF!</definedName>
    <definedName name="cr" localSheetId="32">#REF!</definedName>
    <definedName name="cr" localSheetId="24">#REF!</definedName>
    <definedName name="cr">#REF!</definedName>
    <definedName name="cr_monthly_interim_application_no__01_revised__payment_certificate" localSheetId="24">#REF!</definedName>
    <definedName name="cr_monthly_interim_application_no__01_revised__payment_certificate">#REF!</definedName>
    <definedName name="CRB">#REF!</definedName>
    <definedName name="_xlnm.Criteria" localSheetId="24">#REF!</definedName>
    <definedName name="_xlnm.Criteria">#REF!</definedName>
    <definedName name="CRMB60">#REF!</definedName>
    <definedName name="CRP_Barelliey">#REF!</definedName>
    <definedName name="CRP_Unnao">#REF!</definedName>
    <definedName name="CRPANEL">#REF!</definedName>
    <definedName name="CRRSEP">#REF!</definedName>
    <definedName name="crush_s">#REF!</definedName>
    <definedName name="CS" localSheetId="6">#REF!</definedName>
    <definedName name="CS" localSheetId="29">#REF!</definedName>
    <definedName name="CS" localSheetId="27">#REF!</definedName>
    <definedName name="CS" localSheetId="4">#REF!</definedName>
    <definedName name="CS" localSheetId="32">#REF!</definedName>
    <definedName name="Cs" localSheetId="24">#REF!</definedName>
    <definedName name="CS" localSheetId="26">#REF!</definedName>
    <definedName name="CS">#REF!</definedName>
    <definedName name="Cs___0" localSheetId="24">#REF!</definedName>
    <definedName name="Cs___0">#REF!</definedName>
    <definedName name="Cs___13">#REF!</definedName>
    <definedName name="csd">#REF!</definedName>
    <definedName name="csshade">#REF!</definedName>
    <definedName name="cst">#REF!</definedName>
    <definedName name="CST_BO">#REF!</definedName>
    <definedName name="CST_IDTO">#REF!</definedName>
    <definedName name="CST_OWN">#REF!</definedName>
    <definedName name="CST_TR">#REF!</definedName>
    <definedName name="cstvat">#REF!</definedName>
    <definedName name="CT">#REF!</definedName>
    <definedName name="ctf">#REF!</definedName>
    <definedName name="Cth">#REF!</definedName>
    <definedName name="CTR">#REF!</definedName>
    <definedName name="Ctype">#REF!</definedName>
    <definedName name="Cum_Int">#REF!</definedName>
    <definedName name="cummeas_may1006">#REF!</definedName>
    <definedName name="cummeas_up_to_mar">#REF!</definedName>
    <definedName name="cur">#REF!</definedName>
    <definedName name="curent1">#REF!</definedName>
    <definedName name="curent3">#REF!</definedName>
    <definedName name="curent5">#REF!</definedName>
    <definedName name="Curr">#REF!</definedName>
    <definedName name="CURR_FCT">#REF!</definedName>
    <definedName name="CURR_LIST">#REF!</definedName>
    <definedName name="Currency">#REF!</definedName>
    <definedName name="currency_lookup">#REF!</definedName>
    <definedName name="currency_name" localSheetId="12">#REF!</definedName>
    <definedName name="currency_name">#REF!</definedName>
    <definedName name="Currency_Rates" localSheetId="6">#REF!</definedName>
    <definedName name="Currency_Rates" localSheetId="27">#REF!</definedName>
    <definedName name="Currency_Rates" localSheetId="4">#REF!</definedName>
    <definedName name="Currency_Rates" localSheetId="32">#REF!</definedName>
    <definedName name="Currency_Rates" localSheetId="24">#REF!</definedName>
    <definedName name="Currency_Rates">#REF!</definedName>
    <definedName name="CurrencyPhrase" localSheetId="24">#REF!</definedName>
    <definedName name="CurrencyPhrase">#REF!</definedName>
    <definedName name="current1" localSheetId="29">#REF!</definedName>
    <definedName name="current1" localSheetId="26">#REF!</definedName>
    <definedName name="current1">#REF!</definedName>
    <definedName name="current2" localSheetId="29">#REF!</definedName>
    <definedName name="current2" localSheetId="26">#REF!</definedName>
    <definedName name="current2">#REF!</definedName>
    <definedName name="current3">#REF!</definedName>
    <definedName name="current4">#REF!</definedName>
    <definedName name="current5">#REF!</definedName>
    <definedName name="CurrentRating">#REF!</definedName>
    <definedName name="cust">#REF!</definedName>
    <definedName name="Customs_clearance" localSheetId="6">#REF!</definedName>
    <definedName name="Customs_clearance" localSheetId="27">#REF!</definedName>
    <definedName name="Customs_clearance" localSheetId="4">#REF!</definedName>
    <definedName name="Customs_clearance" localSheetId="32">#REF!</definedName>
    <definedName name="Customs_clearance" localSheetId="24">#REF!</definedName>
    <definedName name="Customs_clearance">#REF!</definedName>
    <definedName name="cutback" localSheetId="6">#REF!</definedName>
    <definedName name="cutback" localSheetId="27">#REF!</definedName>
    <definedName name="cutback" localSheetId="4">#REF!</definedName>
    <definedName name="cutback" localSheetId="32">#REF!</definedName>
    <definedName name="cutback" localSheetId="24">#REF!</definedName>
    <definedName name="cutback">#REF!</definedName>
    <definedName name="cv" localSheetId="12">#REF!</definedName>
    <definedName name="CV" hidden="1">#NAME?</definedName>
    <definedName name="cv_100">#REF!</definedName>
    <definedName name="cv_150">#REF!</definedName>
    <definedName name="cv_200">#REF!</definedName>
    <definedName name="cv_25">#REF!</definedName>
    <definedName name="cv_250">#REF!</definedName>
    <definedName name="cv_300">#REF!</definedName>
    <definedName name="cv_32">#REF!</definedName>
    <definedName name="cv_40">#REF!</definedName>
    <definedName name="cv_400">#REF!</definedName>
    <definedName name="cv_50">#REF!</definedName>
    <definedName name="cv_500">#REF!</definedName>
    <definedName name="cv_65">#REF!</definedName>
    <definedName name="cv_80">#REF!</definedName>
    <definedName name="cvd" localSheetId="6">#REF!</definedName>
    <definedName name="cvd" localSheetId="29">#REF!</definedName>
    <definedName name="cvd" localSheetId="24">#REF!</definedName>
    <definedName name="cvd" localSheetId="26">#REF!</definedName>
    <definedName name="cvd">#REF!</definedName>
    <definedName name="CVD_HW" localSheetId="6">#REF!</definedName>
    <definedName name="CVD_HW" localSheetId="24">#REF!</definedName>
    <definedName name="CVD_HW">#REF!</definedName>
    <definedName name="CVD_SW" localSheetId="6">#REF!</definedName>
    <definedName name="CVD_SW">#REF!</definedName>
    <definedName name="cvdcess" localSheetId="12">#REF!</definedName>
    <definedName name="cvdcess">#REF!</definedName>
    <definedName name="cvg">#N/A</definedName>
    <definedName name="CVT">#REF!</definedName>
    <definedName name="cw" localSheetId="4">20</definedName>
    <definedName name="cw" localSheetId="32">20</definedName>
    <definedName name="cw">20</definedName>
    <definedName name="cx">#REF!</definedName>
    <definedName name="D" localSheetId="4">#REF!</definedName>
    <definedName name="D" localSheetId="32">#REF!</definedName>
    <definedName name="D" localSheetId="24">#REF!</definedName>
    <definedName name="D">#REF!</definedName>
    <definedName name="d._Staging_to_keep_deflactometer___hire_charges_of_deflectometer" localSheetId="12">#REF!</definedName>
    <definedName name="d._Staging_to_keep_deflactometer___hire_charges_of_deflectometer" localSheetId="24">#REF!</definedName>
    <definedName name="d._Staging_to_keep_deflactometer___hire_charges_of_deflectometer">#REF!</definedName>
    <definedName name="D_" localSheetId="24">#REF!</definedName>
    <definedName name="D_">#REF!</definedName>
    <definedName name="d___0">#REF!</definedName>
    <definedName name="d___13">#REF!</definedName>
    <definedName name="D_D" localSheetId="12">INDEX(#REF!,MATCH(#REF!,#REF!,0))</definedName>
    <definedName name="D_D" localSheetId="27">INDEX(#REF!,MATCH(#REF!,#REF!,0))</definedName>
    <definedName name="D_D" localSheetId="24">INDEX(#REF!,MATCH(#REF!,#REF!,0))</definedName>
    <definedName name="D_D">INDEX(#REF!,MATCH(#REF!,#REF!,0))</definedName>
    <definedName name="d_jp" localSheetId="12" hidden="1">{"'Sheet1'!$A$4386:$N$4591"}</definedName>
    <definedName name="d_jp" localSheetId="29" hidden="1">{"'Sheet1'!$A$4386:$N$4591"}</definedName>
    <definedName name="d_jp" localSheetId="27" hidden="1">{"'Sheet1'!$A$4386:$N$4591"}</definedName>
    <definedName name="d_jp" localSheetId="4" hidden="1">{"'Sheet1'!$A$4386:$N$4591"}</definedName>
    <definedName name="d_jp" localSheetId="32" hidden="1">{"'Sheet1'!$A$4386:$N$4591"}</definedName>
    <definedName name="d_jp" localSheetId="24" hidden="1">{"'Sheet1'!$A$4386:$N$4591"}</definedName>
    <definedName name="d_jp" localSheetId="26" hidden="1">{"'Sheet1'!$A$4386:$N$4591"}</definedName>
    <definedName name="d_jp" hidden="1">{"'Sheet1'!$A$4386:$N$4591"}</definedName>
    <definedName name="D_L_SAVANT">#REF!</definedName>
    <definedName name="D_L_SAVANT___0">#REF!</definedName>
    <definedName name="D_L_SAVANT___0_1">#REF!</definedName>
    <definedName name="D_L_SAVANT_1">#REF!</definedName>
    <definedName name="d3d2d">#REF!</definedName>
    <definedName name="D65536A1">#REF!</definedName>
    <definedName name="D8Data">#REF!</definedName>
    <definedName name="DA" localSheetId="12">INDEX(#REF!,MATCH(#REF!,#REF!,0))</definedName>
    <definedName name="Da">#REF!</definedName>
    <definedName name="Daa">#REF!</definedName>
    <definedName name="Dab">#REF!</definedName>
    <definedName name="DAdsaD" localSheetId="6" hidden="1">#REF!</definedName>
    <definedName name="DAdsaD" localSheetId="27" hidden="1">#REF!</definedName>
    <definedName name="DAdsaD" localSheetId="4" hidden="1">#REF!</definedName>
    <definedName name="DAdsaD" localSheetId="32" hidden="1">#REF!</definedName>
    <definedName name="DAdsaD" localSheetId="24" hidden="1">#REF!</definedName>
    <definedName name="DAdsaD" hidden="1">#REF!</definedName>
    <definedName name="dam">#REF!</definedName>
    <definedName name="Dampers" localSheetId="12" hidden="1">{"'PROFITABILITY'!$A$1:$F$45"}</definedName>
    <definedName name="Dampers" localSheetId="6" hidden="1">{"'PROFITABILITY'!$A$1:$F$45"}</definedName>
    <definedName name="Dampers" localSheetId="29" hidden="1">{"'PROFITABILITY'!$A$1:$F$45"}</definedName>
    <definedName name="Dampers" localSheetId="27" hidden="1">{"'PROFITABILITY'!$A$1:$F$45"}</definedName>
    <definedName name="Dampers" localSheetId="4" hidden="1">{"'PROFITABILITY'!$A$1:$F$45"}</definedName>
    <definedName name="Dampers" localSheetId="32" hidden="1">{"'PROFITABILITY'!$A$1:$F$45"}</definedName>
    <definedName name="Dampers" localSheetId="24" hidden="1">{"'PROFITABILITY'!$A$1:$F$45"}</definedName>
    <definedName name="Dampers" localSheetId="26" hidden="1">{"'PROFITABILITY'!$A$1:$F$45"}</definedName>
    <definedName name="Dampers" hidden="1">{"'PROFITABILITY'!$A$1:$F$45"}</definedName>
    <definedName name="DANGA" localSheetId="6">#REF!,#REF!</definedName>
    <definedName name="DANGA" localSheetId="27">#REF!,#REF!</definedName>
    <definedName name="DANGA">#REF!,#REF!</definedName>
    <definedName name="dara">#REF!</definedName>
    <definedName name="DaRWk1" localSheetId="6">#REF!</definedName>
    <definedName name="DaRWk1" localSheetId="29">#REF!</definedName>
    <definedName name="DaRWk1" localSheetId="24">#REF!</definedName>
    <definedName name="DaRWk1" localSheetId="26">#REF!</definedName>
    <definedName name="DaRWk1">#REF!</definedName>
    <definedName name="DaRWk10" localSheetId="6">#REF!</definedName>
    <definedName name="DaRWk10" localSheetId="29">#REF!</definedName>
    <definedName name="DaRWk10" localSheetId="26">#REF!</definedName>
    <definedName name="DaRWk10">#REF!</definedName>
    <definedName name="DaRWk11" localSheetId="6">#REF!</definedName>
    <definedName name="DaRWk11" localSheetId="29">#REF!</definedName>
    <definedName name="DaRWk11" localSheetId="26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S" localSheetId="12">INDEX(#REF!,MATCH(#REF!,#REF!,0))</definedName>
    <definedName name="DAS">#REF!</definedName>
    <definedName name="DASD">#REF!</definedName>
    <definedName name="dasdfds">#REF!</definedName>
    <definedName name="data">#REF!</definedName>
    <definedName name="DATA_13">#REF!</definedName>
    <definedName name="DATA_14">#REF!</definedName>
    <definedName name="DATA_15">#REF!</definedName>
    <definedName name="DATA_16">#REF!</definedName>
    <definedName name="DATA_17">#REF!</definedName>
    <definedName name="DATA_18">#REF!</definedName>
    <definedName name="DATA_19">#REF!</definedName>
    <definedName name="DATA_20">#REF!</definedName>
    <definedName name="DATA_21">#REF!</definedName>
    <definedName name="DATA_22">#REF!</definedName>
    <definedName name="DATA_23">#REF!</definedName>
    <definedName name="DATA_24">#REF!</definedName>
    <definedName name="DATA_25">#REF!</definedName>
    <definedName name="DATA_SCH">#REF!</definedName>
    <definedName name="data1" hidden="1">#REF!</definedName>
    <definedName name="DATA13">#REF!</definedName>
    <definedName name="DATA15" localSheetId="12">#REF!</definedName>
    <definedName name="DATA15" localSheetId="29">#REF!</definedName>
    <definedName name="DATA15" localSheetId="26">#REF!</definedName>
    <definedName name="DATA15">#REF!</definedName>
    <definedName name="DATA16" localSheetId="12">#REF!</definedName>
    <definedName name="DATA16" localSheetId="29">#REF!</definedName>
    <definedName name="DATA16" localSheetId="26">#REF!</definedName>
    <definedName name="DATA16">#REF!</definedName>
    <definedName name="DATA17" localSheetId="12">#REF!</definedName>
    <definedName name="DATA17" localSheetId="29">#REF!</definedName>
    <definedName name="DATA17" localSheetId="26">#REF!</definedName>
    <definedName name="DATA17">#REF!</definedName>
    <definedName name="DATA18" localSheetId="29">#REF!</definedName>
    <definedName name="DATA18" localSheetId="26">#REF!</definedName>
    <definedName name="DATA18" localSheetId="2">#REF!</definedName>
    <definedName name="DATA18">#REF!</definedName>
    <definedName name="DATA19" localSheetId="2">#REF!</definedName>
    <definedName name="DATA19">#REF!</definedName>
    <definedName name="data2" hidden="1">#REF!</definedName>
    <definedName name="data3" hidden="1">#REF!</definedName>
    <definedName name="DATA4">#REF!</definedName>
    <definedName name="_xlnm.Database" localSheetId="2">#REF!</definedName>
    <definedName name="_xlnm.Database">#REF!</definedName>
    <definedName name="datb">#REF!</definedName>
    <definedName name="datc">#REF!</definedName>
    <definedName name="Date">#REF!</definedName>
    <definedName name="Date_of_Data">#REF!</definedName>
    <definedName name="Date2">#REF!</definedName>
    <definedName name="DATTA">#REF!</definedName>
    <definedName name="DaWk7">#REF!</definedName>
    <definedName name="DAY_ENGR">#REF!</definedName>
    <definedName name="DAY_TCHN">#REF!</definedName>
    <definedName name="DAYS">#REF!</definedName>
    <definedName name="DB" localSheetId="12">INDEX(#REF!,MATCH(#REF!,#REF!,0))</definedName>
    <definedName name="DB" localSheetId="6">INDEX(#REF!,MATCH(#REF!,#REF!,0))</definedName>
    <definedName name="db" localSheetId="27">#REF!</definedName>
    <definedName name="DB" localSheetId="4">INDEX(#REF!,MATCH(#REF!,#REF!,0))</definedName>
    <definedName name="DB" localSheetId="32">INDEX(#REF!,MATCH(#REF!,#REF!,0))</definedName>
    <definedName name="db">#REF!</definedName>
    <definedName name="db___0">#REF!</definedName>
    <definedName name="db___13">#REF!</definedName>
    <definedName name="Dbb">#REF!</definedName>
    <definedName name="Dbc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BS">INDEX(#REF!,MATCH(#REF!,#REF!,0))</definedName>
    <definedName name="DC" localSheetId="12">INDEX(#REF!,MATCH(#REF!,#REF!,0))</definedName>
    <definedName name="dc">#REF!</definedName>
    <definedName name="DCARRAY" localSheetId="12">#REF!</definedName>
    <definedName name="DCARRAY">#REF!</definedName>
    <definedName name="DCARRAY_1">#REF!</definedName>
    <definedName name="Dcc">#REF!</definedName>
    <definedName name="dcdc" localSheetId="12" hidden="1">{"CASH FLOW",#N/A,FALSE,"A"}</definedName>
    <definedName name="dcdc" hidden="1">{"CASH FLOW",#N/A,FALSE,"A"}</definedName>
    <definedName name="dceff">#REF!</definedName>
    <definedName name="DCF" localSheetId="12">#REF!</definedName>
    <definedName name="DCF">#REF!</definedName>
    <definedName name="Dcg">#REF!</definedName>
    <definedName name="DCLAY" localSheetId="6">#REF!</definedName>
    <definedName name="DCLAY" localSheetId="27">#REF!</definedName>
    <definedName name="DCLAY" localSheetId="4">#REF!</definedName>
    <definedName name="DCLAY" localSheetId="32">#REF!</definedName>
    <definedName name="DCLAY" localSheetId="24">#REF!</definedName>
    <definedName name="DCLAY">#REF!</definedName>
    <definedName name="DCmax">#REF!</definedName>
    <definedName name="dcol">#REF!</definedName>
    <definedName name="dcrw" localSheetId="24">#REF!</definedName>
    <definedName name="dcrw">#REF!</definedName>
    <definedName name="dcrwk1" localSheetId="29">#REF!</definedName>
    <definedName name="dcrwk1" localSheetId="26">#REF!</definedName>
    <definedName name="dcrwk1">#REF!</definedName>
    <definedName name="dcrwk10" localSheetId="29">#REF!</definedName>
    <definedName name="dcrwk10" localSheetId="26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CS">INDEX(#REF!,MATCH(#REF!,#REF!,0))</definedName>
    <definedName name="dcvolt">#REF!</definedName>
    <definedName name="dcvrdrv">#REF!</definedName>
    <definedName name="dd" localSheetId="12" hidden="1">{"'PROFITABILITY'!$A$1:$F$45"}</definedName>
    <definedName name="dd" localSheetId="6" hidden="1">{"'PROFITABILITY'!$A$1:$F$45"}</definedName>
    <definedName name="dd" localSheetId="29" hidden="1">{"'PROFITABILITY'!$A$1:$F$45"}</definedName>
    <definedName name="dd" localSheetId="27" hidden="1">{"'PROFITABILITY'!$A$1:$F$45"}</definedName>
    <definedName name="dd" localSheetId="4" hidden="1">{"'PROFITABILITY'!$A$1:$F$45"}</definedName>
    <definedName name="dd" localSheetId="32" hidden="1">{"'PROFITABILITY'!$A$1:$F$45"}</definedName>
    <definedName name="dd" localSheetId="24" hidden="1">{"'PROFITABILITY'!$A$1:$F$45"}</definedName>
    <definedName name="dd" localSheetId="26" hidden="1">{"'PROFITABILITY'!$A$1:$F$45"}</definedName>
    <definedName name="dd" hidden="1">{"'PROFITABILITY'!$A$1:$F$45"}</definedName>
    <definedName name="DD_1">NA()</definedName>
    <definedName name="ddash" localSheetId="27">#REF!</definedName>
    <definedName name="ddash">#REF!</definedName>
    <definedName name="DDD" localSheetId="6">#REF!</definedName>
    <definedName name="DDD" localSheetId="29">#REF!</definedName>
    <definedName name="DDD" localSheetId="24">#REF!</definedName>
    <definedName name="DDD" localSheetId="26">#REF!</definedName>
    <definedName name="DDD">#REF!</definedName>
    <definedName name="dddd" localSheetId="6">#REF!</definedName>
    <definedName name="dddd" localSheetId="4">#REF!</definedName>
    <definedName name="dddd" localSheetId="32">#REF!</definedName>
    <definedName name="dddd">#REF!</definedName>
    <definedName name="DDDD_1">NA()</definedName>
    <definedName name="ddddd" localSheetId="27">#REF!</definedName>
    <definedName name="ddddd">#REF!</definedName>
    <definedName name="ddf" localSheetId="27">#REF!</definedName>
    <definedName name="ddf">#REF!</definedName>
    <definedName name="ddfd">#REF!</definedName>
    <definedName name="DDK" localSheetId="12">#REF!</definedName>
    <definedName name="DDK" localSheetId="6">#REF!</definedName>
    <definedName name="DDK" localSheetId="29">#REF!</definedName>
    <definedName name="DDK" localSheetId="27">#REF!</definedName>
    <definedName name="DDK" localSheetId="4">#REF!</definedName>
    <definedName name="DDK" localSheetId="32">#REF!</definedName>
    <definedName name="DDK" localSheetId="24">#REF!</definedName>
    <definedName name="DDK" localSheetId="26">#REF!</definedName>
    <definedName name="DDK">#REF!</definedName>
    <definedName name="ddlkjdiodj">#REF!</definedName>
    <definedName name="DDS" localSheetId="12">INDEX(#REF!,MATCH(#REF!,#REF!,0))</definedName>
    <definedName name="dds">#REF!</definedName>
    <definedName name="DE" localSheetId="12">INDEX(#REF!,MATCH(#REF!,#REF!,0))</definedName>
    <definedName name="DE" localSheetId="29">INDEX(#REF!,MATCH(#REF!,#REF!,0))</definedName>
    <definedName name="DE" localSheetId="27">INDEX(#REF!,MATCH(#REF!,#REF!,0))</definedName>
    <definedName name="De" localSheetId="24">#REF!</definedName>
    <definedName name="DE" localSheetId="26">INDEX(#REF!,MATCH(#REF!,#REF!,0))</definedName>
    <definedName name="DE">INDEX(#REF!,MATCH(#REF!,#REF!,0))</definedName>
    <definedName name="de_cost" localSheetId="12">#REF!</definedName>
    <definedName name="de_cost" localSheetId="6">#REF!</definedName>
    <definedName name="de_cost" localSheetId="29">#REF!</definedName>
    <definedName name="de_cost" localSheetId="26">#REF!</definedName>
    <definedName name="de_cost">#REF!</definedName>
    <definedName name="DEBTORS" localSheetId="29">#REF!</definedName>
    <definedName name="DEBTORS" localSheetId="26">#REF!</definedName>
    <definedName name="DEBTORS" localSheetId="2">#REF!</definedName>
    <definedName name="DEBTORS">#REF!</definedName>
    <definedName name="DEC.GH">#REF!</definedName>
    <definedName name="DECEMBER">#REF!</definedName>
    <definedName name="DEED" localSheetId="2">#REF!</definedName>
    <definedName name="DEED">#REF!</definedName>
    <definedName name="deep" localSheetId="6">#REF!</definedName>
    <definedName name="deep" localSheetId="27">#REF!</definedName>
    <definedName name="deep" localSheetId="4">#REF!</definedName>
    <definedName name="deep" localSheetId="32">#REF!</definedName>
    <definedName name="deep" localSheetId="24">#REF!</definedName>
    <definedName name="deep">#REF!</definedName>
    <definedName name="DEF">#REF!</definedName>
    <definedName name="DEHRI" localSheetId="29">#REF!</definedName>
    <definedName name="DEHRI" localSheetId="24">#REF!</definedName>
    <definedName name="DEHRI" localSheetId="26">#REF!</definedName>
    <definedName name="DEHRI">#REF!</definedName>
    <definedName name="DelDC" localSheetId="29">#REF!</definedName>
    <definedName name="DelDC" localSheetId="26">#REF!</definedName>
    <definedName name="DelDC">#REF!</definedName>
    <definedName name="DelDm">#REF!</definedName>
    <definedName name="Delivery">#REF!</definedName>
    <definedName name="delk">#REF!</definedName>
    <definedName name="delm">#REF!</definedName>
    <definedName name="delm2">#REF!</definedName>
    <definedName name="delta" localSheetId="12">#REF!</definedName>
    <definedName name="DELTA" localSheetId="6" hidden="1">{"'PROFITABILITY'!$A$1:$F$45"}</definedName>
    <definedName name="DELTA" localSheetId="29" hidden="1">{"'PROFITABILITY'!$A$1:$F$45"}</definedName>
    <definedName name="DELTA" localSheetId="27" hidden="1">{"'PROFITABILITY'!$A$1:$F$45"}</definedName>
    <definedName name="DELTA" localSheetId="4" hidden="1">{"'PROFITABILITY'!$A$1:$F$45"}</definedName>
    <definedName name="DELTA" localSheetId="32" hidden="1">{"'PROFITABILITY'!$A$1:$F$45"}</definedName>
    <definedName name="delta" localSheetId="24">#REF!</definedName>
    <definedName name="DELTA" localSheetId="26" hidden="1">{"'PROFITABILITY'!$A$1:$F$45"}</definedName>
    <definedName name="DELTA" hidden="1">{"'PROFITABILITY'!$A$1:$F$45"}</definedName>
    <definedName name="delta1" localSheetId="12">#REF!</definedName>
    <definedName name="DELTA1" localSheetId="6" hidden="1">{"'PROFITABILITY'!$A$1:$F$45"}</definedName>
    <definedName name="DELTA1" localSheetId="29" hidden="1">{"'PROFITABILITY'!$A$1:$F$45"}</definedName>
    <definedName name="DELTA1" localSheetId="27" hidden="1">{"'PROFITABILITY'!$A$1:$F$45"}</definedName>
    <definedName name="DELTA1" localSheetId="4" hidden="1">{"'PROFITABILITY'!$A$1:$F$45"}</definedName>
    <definedName name="DELTA1" localSheetId="32" hidden="1">{"'PROFITABILITY'!$A$1:$F$45"}</definedName>
    <definedName name="delta1" localSheetId="24">#REF!</definedName>
    <definedName name="DELTA1" localSheetId="26" hidden="1">{"'PROFITABILITY'!$A$1:$F$45"}</definedName>
    <definedName name="DELTA1" hidden="1">{"'PROFITABILITY'!$A$1:$F$45"}</definedName>
    <definedName name="DELTA20">#REF!</definedName>
    <definedName name="DELTA20___0">#REF!</definedName>
    <definedName name="DELTA20___13">#REF!</definedName>
    <definedName name="deltak">#REF!</definedName>
    <definedName name="deltam">#REF!</definedName>
    <definedName name="DelType">#REF!</definedName>
    <definedName name="delyw">#REF!</definedName>
    <definedName name="DEM" localSheetId="2">#REF!</definedName>
    <definedName name="DEM">#REF!</definedName>
    <definedName name="den" localSheetId="4">#REF!</definedName>
    <definedName name="den" localSheetId="32">#REF!</definedName>
    <definedName name="den">#REF!</definedName>
    <definedName name="den.fac">#REF!</definedName>
    <definedName name="Density">#REF!</definedName>
    <definedName name="DepartmentRange">#REF!</definedName>
    <definedName name="DEPTH">#REF!</definedName>
    <definedName name="Depth_above_FGL">#REF!</definedName>
    <definedName name="Depth_below_ground_level">#REF!</definedName>
    <definedName name="Depth_of_the_section">#REF!</definedName>
    <definedName name="deptLookup">#REF!</definedName>
    <definedName name="DES">INDEX(#REF!,MATCH(#REF!,#REF!,0))</definedName>
    <definedName name="Descipline">#REF!</definedName>
    <definedName name="Description">#REF!</definedName>
    <definedName name="design">#REF!</definedName>
    <definedName name="designed" localSheetId="12">#REF!</definedName>
    <definedName name="designed" localSheetId="4">#REF!</definedName>
    <definedName name="designed" localSheetId="32">#REF!</definedName>
    <definedName name="designed">#REF!</definedName>
    <definedName name="DesignYears" localSheetId="12">#REF!</definedName>
    <definedName name="DesignYears">#REF!</definedName>
    <definedName name="DESILTING" localSheetId="12" hidden="1">{#N/A,#N/A,FALSE,"abs";#N/A,#N/A,FALSE,"Annex-I";#N/A,#N/A,FALSE,"Annex-II";#N/A,#N/A,FALSE,"Annex-III";#N/A,#N/A,FALSE,"Annex-IV";#N/A,#N/A,FALSE,"Annex-V";#N/A,#N/A,FALSE,"Annex-VI"}</definedName>
    <definedName name="DESILTING" localSheetId="6" hidden="1">{#N/A,#N/A,FALSE,"abs";#N/A,#N/A,FALSE,"Annex-I";#N/A,#N/A,FALSE,"Annex-II";#N/A,#N/A,FALSE,"Annex-III";#N/A,#N/A,FALSE,"Annex-IV";#N/A,#N/A,FALSE,"Annex-V";#N/A,#N/A,FALSE,"Annex-VI"}</definedName>
    <definedName name="DESILTING" localSheetId="29" hidden="1">{#N/A,#N/A,FALSE,"abs";#N/A,#N/A,FALSE,"Annex-I";#N/A,#N/A,FALSE,"Annex-II";#N/A,#N/A,FALSE,"Annex-III";#N/A,#N/A,FALSE,"Annex-IV";#N/A,#N/A,FALSE,"Annex-V";#N/A,#N/A,FALSE,"Annex-VI"}</definedName>
    <definedName name="DESILTING" localSheetId="27" hidden="1">{#N/A,#N/A,FALSE,"abs";#N/A,#N/A,FALSE,"Annex-I";#N/A,#N/A,FALSE,"Annex-II";#N/A,#N/A,FALSE,"Annex-III";#N/A,#N/A,FALSE,"Annex-IV";#N/A,#N/A,FALSE,"Annex-V";#N/A,#N/A,FALSE,"Annex-VI"}</definedName>
    <definedName name="DESILTING" localSheetId="4" hidden="1">{#N/A,#N/A,FALSE,"abs";#N/A,#N/A,FALSE,"Annex-I";#N/A,#N/A,FALSE,"Annex-II";#N/A,#N/A,FALSE,"Annex-III";#N/A,#N/A,FALSE,"Annex-IV";#N/A,#N/A,FALSE,"Annex-V";#N/A,#N/A,FALSE,"Annex-VI"}</definedName>
    <definedName name="DESILTING" localSheetId="32" hidden="1">{#N/A,#N/A,FALSE,"abs";#N/A,#N/A,FALSE,"Annex-I";#N/A,#N/A,FALSE,"Annex-II";#N/A,#N/A,FALSE,"Annex-III";#N/A,#N/A,FALSE,"Annex-IV";#N/A,#N/A,FALSE,"Annex-V";#N/A,#N/A,FALSE,"Annex-VI"}</definedName>
    <definedName name="DESILTING" localSheetId="24" hidden="1">{#N/A,#N/A,FALSE,"abs";#N/A,#N/A,FALSE,"Annex-I";#N/A,#N/A,FALSE,"Annex-II";#N/A,#N/A,FALSE,"Annex-III";#N/A,#N/A,FALSE,"Annex-IV";#N/A,#N/A,FALSE,"Annex-V";#N/A,#N/A,FALSE,"Annex-VI"}</definedName>
    <definedName name="DESILTING" localSheetId="26" hidden="1">{#N/A,#N/A,FALSE,"abs";#N/A,#N/A,FALSE,"Annex-I";#N/A,#N/A,FALSE,"Annex-II";#N/A,#N/A,FALSE,"Annex-III";#N/A,#N/A,FALSE,"Annex-IV";#N/A,#N/A,FALSE,"Annex-V";#N/A,#N/A,FALSE,"Annex-VI"}</definedName>
    <definedName name="DESILTING" hidden="1">{#N/A,#N/A,FALSE,"abs";#N/A,#N/A,FALSE,"Annex-I";#N/A,#N/A,FALSE,"Annex-II";#N/A,#N/A,FALSE,"Annex-III";#N/A,#N/A,FALSE,"Annex-IV";#N/A,#N/A,FALSE,"Annex-V";#N/A,#N/A,FALSE,"Annex-VI"}</definedName>
    <definedName name="Dest_Price" localSheetId="27">#REF!</definedName>
    <definedName name="Dest_Price">#REF!</definedName>
    <definedName name="det_act_plan" localSheetId="6">#REF!</definedName>
    <definedName name="det_act_plan" localSheetId="29">#REF!</definedName>
    <definedName name="det_act_plan" localSheetId="24">#REF!</definedName>
    <definedName name="det_act_plan" localSheetId="26">#REF!</definedName>
    <definedName name="det_act_plan">#REF!</definedName>
    <definedName name="Detailed" localSheetId="12">#REF!</definedName>
    <definedName name="Detailed" localSheetId="6">#REF!</definedName>
    <definedName name="Detailed" localSheetId="4">#REF!</definedName>
    <definedName name="Detailed" localSheetId="32">#REF!</definedName>
    <definedName name="Detailed">#REF!</definedName>
    <definedName name="Details" localSheetId="6">#REF!</definedName>
    <definedName name="Details">#REF!</definedName>
    <definedName name="dev" localSheetId="6">#REF!</definedName>
    <definedName name="dev" localSheetId="27">#REF!</definedName>
    <definedName name="dev" localSheetId="4">#REF!</definedName>
    <definedName name="dev" localSheetId="32">#REF!</definedName>
    <definedName name="dev" localSheetId="24">#REF!</definedName>
    <definedName name="dev">#REF!</definedName>
    <definedName name="DF" localSheetId="12">INDEX(#REF!,MATCH(#REF!,#REF!,0))</definedName>
    <definedName name="df" localSheetId="29" hidden="1">#REF!</definedName>
    <definedName name="df" localSheetId="24">#REF!</definedName>
    <definedName name="df" localSheetId="26" hidden="1">#REF!</definedName>
    <definedName name="df" hidden="1">#REF!</definedName>
    <definedName name="dfadf" localSheetId="6">(#REF!,#REF!)</definedName>
    <definedName name="dfadf" localSheetId="29">(#REF!,#REF!)</definedName>
    <definedName name="dfadf" localSheetId="24">(#REF!,#REF!)</definedName>
    <definedName name="dfadf" localSheetId="26">(#REF!,#REF!)</definedName>
    <definedName name="dfadf">(#REF!,#REF!)</definedName>
    <definedName name="dfadvdsv" localSheetId="6">#REF!</definedName>
    <definedName name="dfadvdsv" localSheetId="27">#REF!</definedName>
    <definedName name="dfadvdsv" localSheetId="24">#REF!</definedName>
    <definedName name="dfadvdsv">#REF!</definedName>
    <definedName name="dfaf" localSheetId="12">#REF!</definedName>
    <definedName name="dfaf" localSheetId="6" hidden="1">{"'장비'!$A$3:$M$12"}</definedName>
    <definedName name="dfaf" localSheetId="29" hidden="1">{"'장비'!$A$3:$M$12"}</definedName>
    <definedName name="dfaf" localSheetId="27" hidden="1">{"'장비'!$A$3:$M$12"}</definedName>
    <definedName name="dfaf" localSheetId="4" hidden="1">{"'장비'!$A$3:$M$12"}</definedName>
    <definedName name="dfaf" localSheetId="32" hidden="1">{"'장비'!$A$3:$M$12"}</definedName>
    <definedName name="dfaf" localSheetId="24" hidden="1">{"'장비'!$A$3:$M$12"}</definedName>
    <definedName name="dfaf" localSheetId="26" hidden="1">{"'장비'!$A$3:$M$12"}</definedName>
    <definedName name="dfaf" hidden="1">{"'장비'!$A$3:$M$12"}</definedName>
    <definedName name="dfd" localSheetId="12">#REF!</definedName>
    <definedName name="DFD" localSheetId="6" hidden="1">{"'PROFITABILITY'!$A$1:$F$45"}</definedName>
    <definedName name="DFD" localSheetId="29" hidden="1">{"'PROFITABILITY'!$A$1:$F$45"}</definedName>
    <definedName name="DFD" localSheetId="27" hidden="1">{"'PROFITABILITY'!$A$1:$F$45"}</definedName>
    <definedName name="DFD" localSheetId="4" hidden="1">{"'PROFITABILITY'!$A$1:$F$45"}</definedName>
    <definedName name="DFD" localSheetId="32" hidden="1">{"'PROFITABILITY'!$A$1:$F$45"}</definedName>
    <definedName name="DFD" localSheetId="24" hidden="1">{"'PROFITABILITY'!$A$1:$F$45"}</definedName>
    <definedName name="DFD" localSheetId="26" hidden="1">{"'PROFITABILITY'!$A$1:$F$45"}</definedName>
    <definedName name="DFD" hidden="1">{"'PROFITABILITY'!$A$1:$F$45"}</definedName>
    <definedName name="dfd_1">#REF!</definedName>
    <definedName name="dfdf" localSheetId="12">#REF!</definedName>
    <definedName name="dfdf">#REF!</definedName>
    <definedName name="dfdfdfd" localSheetId="12" hidden="1">{"'PROFITABILITY'!$A$1:$F$45"}</definedName>
    <definedName name="dfdfdfd" localSheetId="6" hidden="1">{"'PROFITABILITY'!$A$1:$F$45"}</definedName>
    <definedName name="dfdfdfd" localSheetId="29" hidden="1">{"'PROFITABILITY'!$A$1:$F$45"}</definedName>
    <definedName name="dfdfdfd" localSheetId="27" hidden="1">{"'PROFITABILITY'!$A$1:$F$45"}</definedName>
    <definedName name="dfdfdfd" localSheetId="4" hidden="1">{"'PROFITABILITY'!$A$1:$F$45"}</definedName>
    <definedName name="dfdfdfd" localSheetId="32" hidden="1">{"'PROFITABILITY'!$A$1:$F$45"}</definedName>
    <definedName name="dfdfdfd" localSheetId="24" hidden="1">{"'PROFITABILITY'!$A$1:$F$45"}</definedName>
    <definedName name="dfdfdfd" localSheetId="26" hidden="1">{"'PROFITABILITY'!$A$1:$F$45"}</definedName>
    <definedName name="dfdfdfd" hidden="1">{"'PROFITABILITY'!$A$1:$F$45"}</definedName>
    <definedName name="dfdfs" localSheetId="12" hidden="1">{"'Sheet1'!$A$4386:$N$4591"}</definedName>
    <definedName name="dfdfs" localSheetId="29" hidden="1">{"'Sheet1'!$A$4386:$N$4591"}</definedName>
    <definedName name="dfdfs" localSheetId="27" hidden="1">{"'Sheet1'!$A$4386:$N$4591"}</definedName>
    <definedName name="dfdfs" localSheetId="4" hidden="1">{"'Sheet1'!$A$4386:$N$4591"}</definedName>
    <definedName name="dfdfs" localSheetId="32" hidden="1">{"'Sheet1'!$A$4386:$N$4591"}</definedName>
    <definedName name="dfdfs" localSheetId="24" hidden="1">{"'Sheet1'!$A$4386:$N$4591"}</definedName>
    <definedName name="dfdfs" localSheetId="26" hidden="1">{"'Sheet1'!$A$4386:$N$4591"}</definedName>
    <definedName name="dfdfs" hidden="1">{"'Sheet1'!$A$4386:$N$4591"}</definedName>
    <definedName name="DFDSF" localSheetId="6" hidden="1">#REF!</definedName>
    <definedName name="DFDSF" localSheetId="27" hidden="1">#REF!</definedName>
    <definedName name="DFDSF" localSheetId="4" hidden="1">#REF!</definedName>
    <definedName name="DFDSF" localSheetId="32" hidden="1">#REF!</definedName>
    <definedName name="DFDSF" localSheetId="24" hidden="1">#REF!</definedName>
    <definedName name="DFDSF" hidden="1">#REF!</definedName>
    <definedName name="dfert">#REF!</definedName>
    <definedName name="DFF" localSheetId="29">#REF!</definedName>
    <definedName name="DFF" localSheetId="24">#REF!</definedName>
    <definedName name="DFF" localSheetId="26">#REF!</definedName>
    <definedName name="DFF">#REF!</definedName>
    <definedName name="dfgh">#REF!</definedName>
    <definedName name="DFHGFKLJHG">#N/A</definedName>
    <definedName name="DFINE" localSheetId="6">#REF!</definedName>
    <definedName name="DFINE" localSheetId="27">#REF!</definedName>
    <definedName name="DFINE" localSheetId="4">#REF!</definedName>
    <definedName name="DFINE" localSheetId="32">#REF!</definedName>
    <definedName name="DFINE" localSheetId="24">#REF!</definedName>
    <definedName name="DFINE">#REF!</definedName>
    <definedName name="dflo" localSheetId="12" hidden="1">{"CASH FLOW",#N/A,FALSE,"A"}</definedName>
    <definedName name="dflo" hidden="1">{"CASH FLOW",#N/A,FALSE,"A"}</definedName>
    <definedName name="DFR">#REF!</definedName>
    <definedName name="dfrads">#REF!</definedName>
    <definedName name="DFS">INDEX(#REF!,MATCH(#REF!,#REF!,0))</definedName>
    <definedName name="dfsdf">#REF!</definedName>
    <definedName name="dfsga" localSheetId="24">#REF!</definedName>
    <definedName name="dfsga">#REF!</definedName>
    <definedName name="DG" localSheetId="12">INDEX(#REF!,MATCH(#REF!,#REF!,0))</definedName>
    <definedName name="DG" localSheetId="2">#REF!</definedName>
    <definedName name="DG">#REF!</definedName>
    <definedName name="DG_Total" localSheetId="2">#REF!</definedName>
    <definedName name="DG_Total">#REF!</definedName>
    <definedName name="dg125kva" localSheetId="6">#REF!</definedName>
    <definedName name="dg125kva" localSheetId="27">#REF!</definedName>
    <definedName name="dg125kva" localSheetId="4">#REF!</definedName>
    <definedName name="dg125kva" localSheetId="32">#REF!</definedName>
    <definedName name="dg125kva" localSheetId="24">#REF!</definedName>
    <definedName name="dg125kva">#REF!</definedName>
    <definedName name="dg250KVA" localSheetId="6">#REF!</definedName>
    <definedName name="dg250KVA" localSheetId="27">#REF!</definedName>
    <definedName name="dg250KVA" localSheetId="4">#REF!</definedName>
    <definedName name="dg250KVA" localSheetId="32">#REF!</definedName>
    <definedName name="dg250KVA" localSheetId="24">#REF!</definedName>
    <definedName name="dg250KVA">#REF!</definedName>
    <definedName name="dgfgfd" localSheetId="12" hidden="1">{#N/A,#N/A,FALSE,"COVER.XLS";#N/A,#N/A,FALSE,"RACT1.XLS";#N/A,#N/A,FALSE,"RACT2.XLS";#N/A,#N/A,FALSE,"ECCMP";#N/A,#N/A,FALSE,"WELDER.XLS"}</definedName>
    <definedName name="dgfgfd" hidden="1">{#N/A,#N/A,FALSE,"COVER.XLS";#N/A,#N/A,FALSE,"RACT1.XLS";#N/A,#N/A,FALSE,"RACT2.XLS";#N/A,#N/A,FALSE,"ECCMP";#N/A,#N/A,FALSE,"WELDER.XLS"}</definedName>
    <definedName name="Dgg">#REF!</definedName>
    <definedName name="dgn" localSheetId="29">#REF!</definedName>
    <definedName name="dgn" localSheetId="24">#REF!</definedName>
    <definedName name="dgn" localSheetId="26">#REF!</definedName>
    <definedName name="dgn">#REF!</definedName>
    <definedName name="dgp" localSheetId="12">#REF!</definedName>
    <definedName name="dgp" localSheetId="29">#REF!</definedName>
    <definedName name="dgp" localSheetId="26">#REF!</definedName>
    <definedName name="dgp" localSheetId="2">#REF!</definedName>
    <definedName name="dgp">#REF!</definedName>
    <definedName name="DGS">INDEX(#REF!,MATCH(#REF!,#REF!,0))</definedName>
    <definedName name="dgv">#REF!</definedName>
    <definedName name="DH" localSheetId="12">INDEX(#REF!,MATCH(#REF!,#REF!,0))</definedName>
    <definedName name="DH" localSheetId="27">INDEX(#REF!,MATCH(#REF!,#REF!,0))</definedName>
    <definedName name="DH" localSheetId="4">INDEX(#REF!,MATCH(#REF!,#REF!,0))</definedName>
    <definedName name="DH" localSheetId="32">INDEX(#REF!,MATCH(#REF!,#REF!,0))</definedName>
    <definedName name="DH" localSheetId="24">INDEX(#REF!,MATCH(#REF!,#REF!,0))</definedName>
    <definedName name="DH">INDEX(#REF!,MATCH(#REF!,#REF!,0))</definedName>
    <definedName name="dhgh">#REF!</definedName>
    <definedName name="DHS">INDEX(#REF!,MATCH(#REF!,#REF!,0))</definedName>
    <definedName name="DHTML" localSheetId="12" hidden="1">{"'Sheet1'!$A$4386:$N$4591"}</definedName>
    <definedName name="DHTML" localSheetId="29" hidden="1">{"'Sheet1'!$A$4386:$N$4591"}</definedName>
    <definedName name="DHTML" localSheetId="27" hidden="1">{"'Sheet1'!$A$4386:$N$4591"}</definedName>
    <definedName name="DHTML" localSheetId="4" hidden="1">{"'Sheet1'!$A$4386:$N$4591"}</definedName>
    <definedName name="DHTML" localSheetId="32" hidden="1">{"'Sheet1'!$A$4386:$N$4591"}</definedName>
    <definedName name="DHTML" localSheetId="24" hidden="1">{"'Sheet1'!$A$4386:$N$4591"}</definedName>
    <definedName name="DHTML" localSheetId="26" hidden="1">{"'Sheet1'!$A$4386:$N$4591"}</definedName>
    <definedName name="DHTML" hidden="1">{"'Sheet1'!$A$4386:$N$4591"}</definedName>
    <definedName name="DI" localSheetId="12">INDEX(#REF!,MATCH(#REF!,#REF!,0))</definedName>
    <definedName name="DI" localSheetId="6">INDEX(#REF!,MATCH(#REF!,#REF!,0))</definedName>
    <definedName name="Di" localSheetId="27">#REF!</definedName>
    <definedName name="DI" localSheetId="4">INDEX(#REF!,MATCH(#REF!,#REF!,0))</definedName>
    <definedName name="DI" localSheetId="32">INDEX(#REF!,MATCH(#REF!,#REF!,0))</definedName>
    <definedName name="Di">#REF!</definedName>
    <definedName name="dia">#REF!</definedName>
    <definedName name="diacab">#REF!</definedName>
    <definedName name="Dialog5">#N/A</definedName>
    <definedName name="diameter">#REF!</definedName>
    <definedName name="diaphragm">#REF!</definedName>
    <definedName name="diatubal">#REF!</definedName>
    <definedName name="Diesel" localSheetId="6">#REF!</definedName>
    <definedName name="Diesel" localSheetId="27">#REF!</definedName>
    <definedName name="Diesel" localSheetId="4">#REF!</definedName>
    <definedName name="Diesel" localSheetId="32">#REF!</definedName>
    <definedName name="Diesel" localSheetId="24">#REF!</definedName>
    <definedName name="Diesel">#REF!</definedName>
    <definedName name="diff" localSheetId="12">#REF!</definedName>
    <definedName name="diff" localSheetId="29">#REF!</definedName>
    <definedName name="diff" localSheetId="4">#REF!</definedName>
    <definedName name="diff" localSheetId="32">#REF!</definedName>
    <definedName name="diff" localSheetId="26">#REF!</definedName>
    <definedName name="diff" localSheetId="2">#REF!</definedName>
    <definedName name="diff">#REF!</definedName>
    <definedName name="diff1" localSheetId="12">#REF!</definedName>
    <definedName name="diff1" localSheetId="29">#REF!</definedName>
    <definedName name="diff1" localSheetId="4">#REF!</definedName>
    <definedName name="diff1" localSheetId="32">#REF!</definedName>
    <definedName name="diff1" localSheetId="26">#REF!</definedName>
    <definedName name="diff1" localSheetId="2">#REF!</definedName>
    <definedName name="diff1">#REF!</definedName>
    <definedName name="DIFFQTY">#N/A</definedName>
    <definedName name="din" localSheetId="12" hidden="1">{"CASH FLOW",#N/A,FALSE,"A"}</definedName>
    <definedName name="din" hidden="1">{"CASH FLOW",#N/A,FALSE,"A"}</definedName>
    <definedName name="DIns" localSheetId="6">#REF!</definedName>
    <definedName name="DIns" localSheetId="29">#REF!</definedName>
    <definedName name="DIns" localSheetId="27">#REF!</definedName>
    <definedName name="DIns" localSheetId="4">#REF!</definedName>
    <definedName name="DIns" localSheetId="32">#REF!</definedName>
    <definedName name="DIns" localSheetId="24">#REF!</definedName>
    <definedName name="DIns" localSheetId="26">#REF!</definedName>
    <definedName name="DIns">#REF!</definedName>
    <definedName name="DIS" localSheetId="12">INDEX(#REF!,MATCH(#REF!,#REF!,0))</definedName>
    <definedName name="Dis" localSheetId="6" hidden="1">{"'PROFITABILITY'!$A$1:$F$45"}</definedName>
    <definedName name="Dis" localSheetId="29" hidden="1">{"'PROFITABILITY'!$A$1:$F$45"}</definedName>
    <definedName name="Dis" localSheetId="27" hidden="1">{"'PROFITABILITY'!$A$1:$F$45"}</definedName>
    <definedName name="Dis" localSheetId="4" hidden="1">{"'PROFITABILITY'!$A$1:$F$45"}</definedName>
    <definedName name="Dis" localSheetId="32" hidden="1">{"'PROFITABILITY'!$A$1:$F$45"}</definedName>
    <definedName name="Dis" localSheetId="24" hidden="1">{"'PROFITABILITY'!$A$1:$F$45"}</definedName>
    <definedName name="Dis" localSheetId="26" hidden="1">{"'PROFITABILITY'!$A$1:$F$45"}</definedName>
    <definedName name="Dis" hidden="1">{"'PROFITABILITY'!$A$1:$F$45"}</definedName>
    <definedName name="DIS_UNIT" localSheetId="6">#REF!</definedName>
    <definedName name="DIS_UNIT" localSheetId="27">#REF!</definedName>
    <definedName name="DIS_UNIT" localSheetId="4">#REF!</definedName>
    <definedName name="DIS_UNIT" localSheetId="32">#REF!</definedName>
    <definedName name="DIS_UNIT" localSheetId="24">#REF!</definedName>
    <definedName name="DIS_UNIT">#REF!</definedName>
    <definedName name="disc" localSheetId="29">#REF!</definedName>
    <definedName name="disc" localSheetId="26">#REF!</definedName>
    <definedName name="disc" localSheetId="2">#REF!</definedName>
    <definedName name="disc">#REF!</definedName>
    <definedName name="Discount" hidden="1">#REF!</definedName>
    <definedName name="Discount1" localSheetId="12">#REF!</definedName>
    <definedName name="Discount1" localSheetId="29">#REF!</definedName>
    <definedName name="Discount1" localSheetId="26">#REF!</definedName>
    <definedName name="Discount1">#REF!</definedName>
    <definedName name="disdir">#REF!</definedName>
    <definedName name="display_area_2" localSheetId="6" hidden="1">#REF!</definedName>
    <definedName name="display_area_2" localSheetId="27" hidden="1">#REF!</definedName>
    <definedName name="display_area_2" localSheetId="4" hidden="1">#REF!</definedName>
    <definedName name="display_area_2" localSheetId="32" hidden="1">#REF!</definedName>
    <definedName name="display_area_2" localSheetId="24" hidden="1">#REF!</definedName>
    <definedName name="display_area_2" hidden="1">#REF!</definedName>
    <definedName name="DIST1" localSheetId="12">#REF!</definedName>
    <definedName name="DIST1">#REF!</definedName>
    <definedName name="Distrib" localSheetId="12">#REF!</definedName>
    <definedName name="Distrib" localSheetId="29">#REF!</definedName>
    <definedName name="Distrib" localSheetId="24">#REF!</definedName>
    <definedName name="Distrib" localSheetId="26">#REF!</definedName>
    <definedName name="Distrib">#REF!</definedName>
    <definedName name="DIV">1000000</definedName>
    <definedName name="diz" localSheetId="6">#REF!</definedName>
    <definedName name="diz" localSheetId="27">#REF!</definedName>
    <definedName name="diz" localSheetId="4">#REF!</definedName>
    <definedName name="diz" localSheetId="32">#REF!</definedName>
    <definedName name="diz" localSheetId="24">#REF!</definedName>
    <definedName name="diz">#REF!</definedName>
    <definedName name="DJ" localSheetId="12">INDEX(#REF!,MATCH(#REF!,#REF!,0))</definedName>
    <definedName name="DJ" localSheetId="27">INDEX(#REF!,MATCH(#REF!,#REF!,0))</definedName>
    <definedName name="DJ" localSheetId="24">INDEX(#REF!,MATCH(#REF!,#REF!,0))</definedName>
    <definedName name="DJ">INDEX(#REF!,MATCH(#REF!,#REF!,0))</definedName>
    <definedName name="DJH">#REF!</definedName>
    <definedName name="DJS">INDEX(#REF!,MATCH(#REF!,#REF!,0))</definedName>
    <definedName name="DK" localSheetId="12">INDEX(#REF!,MATCH(#REF!,#REF!,0))</definedName>
    <definedName name="DK" localSheetId="29">INDEX(#REF!,MATCH(#REF!,#REF!,0))</definedName>
    <definedName name="DK" localSheetId="27">INDEX(#REF!,MATCH(#REF!,#REF!,0))</definedName>
    <definedName name="DK" localSheetId="4">INDEX(#REF!,MATCH(#REF!,#REF!,0))</definedName>
    <definedName name="DK" localSheetId="32">INDEX(#REF!,MATCH(#REF!,#REF!,0))</definedName>
    <definedName name="dk" localSheetId="24">#REF!</definedName>
    <definedName name="DK" localSheetId="26">INDEX(#REF!,MATCH(#REF!,#REF!,0))</definedName>
    <definedName name="DK">INDEX(#REF!,MATCH(#REF!,#REF!,0))</definedName>
    <definedName name="dkd" localSheetId="29">#REF!</definedName>
    <definedName name="dkd" localSheetId="26">#REF!</definedName>
    <definedName name="dkd">#REF!</definedName>
    <definedName name="DKG" localSheetId="12" hidden="1">{"'PROFITABILITY'!$A$1:$F$45"}</definedName>
    <definedName name="DKG" localSheetId="6" hidden="1">{"'PROFITABILITY'!$A$1:$F$45"}</definedName>
    <definedName name="DKG" localSheetId="29" hidden="1">{"'PROFITABILITY'!$A$1:$F$45"}</definedName>
    <definedName name="DKG" localSheetId="27" hidden="1">{"'PROFITABILITY'!$A$1:$F$45"}</definedName>
    <definedName name="DKG" localSheetId="4" hidden="1">{"'PROFITABILITY'!$A$1:$F$45"}</definedName>
    <definedName name="DKG" localSheetId="32" hidden="1">{"'PROFITABILITY'!$A$1:$F$45"}</definedName>
    <definedName name="DKG" localSheetId="24" hidden="1">{"'PROFITABILITY'!$A$1:$F$45"}</definedName>
    <definedName name="DKG" localSheetId="26" hidden="1">{"'PROFITABILITY'!$A$1:$F$45"}</definedName>
    <definedName name="DKG" hidden="1">{"'PROFITABILITY'!$A$1:$F$45"}</definedName>
    <definedName name="dklkdf">#REF!</definedName>
    <definedName name="dks">#REF!</definedName>
    <definedName name="dkt">#REF!</definedName>
    <definedName name="DL" localSheetId="12">INDEX(#REF!,MATCH(#REF!,#REF!,0))</definedName>
    <definedName name="DL" localSheetId="6">INDEX(#REF!,MATCH(#REF!,#REF!,0))</definedName>
    <definedName name="dl" localSheetId="27">#REF!</definedName>
    <definedName name="DL" localSheetId="4">INDEX(#REF!,MATCH(#REF!,#REF!,0))</definedName>
    <definedName name="DL" localSheetId="32">INDEX(#REF!,MATCH(#REF!,#REF!,0))</definedName>
    <definedName name="dl">#REF!</definedName>
    <definedName name="dl___0">#REF!</definedName>
    <definedName name="dl___13">#REF!</definedName>
    <definedName name="DL_Ave">#REF!</definedName>
    <definedName name="DL_Mobi_Mth">#REF!</definedName>
    <definedName name="DL_Mth">#REF!</definedName>
    <definedName name="DL_Total_002MHs">#REF!</definedName>
    <definedName name="DL_Total_Cost_002FC">#REF!</definedName>
    <definedName name="DL_Total_Cost_002LC">#REF!</definedName>
    <definedName name="DL_Total_Peak">#REF!</definedName>
    <definedName name="DLF">#N/A</definedName>
    <definedName name="DM" localSheetId="12">INDEX(#REF!,MATCH(#REF!,#REF!,0))</definedName>
    <definedName name="DM" localSheetId="6">#REF!</definedName>
    <definedName name="DM" localSheetId="29">#REF!</definedName>
    <definedName name="DM" localSheetId="24">#REF!</definedName>
    <definedName name="DM" localSheetId="26">#REF!</definedName>
    <definedName name="DM">#REF!</definedName>
    <definedName name="DME_Dirty" hidden="1">"False"</definedName>
    <definedName name="DME_LocalFile" hidden="1">"True"</definedName>
    <definedName name="dms">#REF!</definedName>
    <definedName name="dmt">#REF!</definedName>
    <definedName name="DMUCK" localSheetId="6">#REF!</definedName>
    <definedName name="DMUCK" localSheetId="27">#REF!</definedName>
    <definedName name="DMUCK" localSheetId="4">#REF!</definedName>
    <definedName name="DMUCK" localSheetId="32">#REF!</definedName>
    <definedName name="DMUCK" localSheetId="24">#REF!</definedName>
    <definedName name="DMUCK">#REF!</definedName>
    <definedName name="DMUSD" localSheetId="6">#REF!</definedName>
    <definedName name="DMUSD" localSheetId="29">#REF!</definedName>
    <definedName name="DMUSD" localSheetId="26">#REF!</definedName>
    <definedName name="DMUSD">#REF!</definedName>
    <definedName name="dn" localSheetId="12" hidden="1">{#N/A,#N/A,FALSE,"COVER1.XLS ";#N/A,#N/A,FALSE,"RACT1.XLS";#N/A,#N/A,FALSE,"RACT2.XLS";#N/A,#N/A,FALSE,"ECCMP";#N/A,#N/A,FALSE,"WELDER.XLS"}</definedName>
    <definedName name="dn" hidden="1">{#N/A,#N/A,FALSE,"COVER1.XLS ";#N/A,#N/A,FALSE,"RACT1.XLS";#N/A,#N/A,FALSE,"RACT2.XLS";#N/A,#N/A,FALSE,"ECCMP";#N/A,#N/A,FALSE,"WELDER.XLS"}</definedName>
    <definedName name="Do">#REF!</definedName>
    <definedName name="DOC">#REF!</definedName>
    <definedName name="docu" localSheetId="12">#REF!</definedName>
    <definedName name="docu" localSheetId="4">#REF!</definedName>
    <definedName name="docu" localSheetId="32">#REF!</definedName>
    <definedName name="docu">#REF!</definedName>
    <definedName name="Document_array" localSheetId="12">{"Book1"}</definedName>
    <definedName name="Document_array">{"Book1"}</definedName>
    <definedName name="dol">#REF!</definedName>
    <definedName name="dol7.5" localSheetId="12">#REF!</definedName>
    <definedName name="dol7.5" localSheetId="29">#REF!</definedName>
    <definedName name="dol7.5" localSheetId="7">#REF!</definedName>
    <definedName name="dol7.5" localSheetId="26">#REF!</definedName>
    <definedName name="dol7.5">#REF!</definedName>
    <definedName name="DOLLARS1">#REF!</definedName>
    <definedName name="DOLLARS2">#REF!</definedName>
    <definedName name="Dome1" localSheetId="12">#REF!</definedName>
    <definedName name="Dome1">#REF!</definedName>
    <definedName name="domestic_global">#REF!</definedName>
    <definedName name="Double">#REF!</definedName>
    <definedName name="Doz">#REF!</definedName>
    <definedName name="dper">#REF!</definedName>
    <definedName name="DPN" localSheetId="12" hidden="1">{#N/A,#N/A,FALSE,"WRSUMMARY";#N/A,#N/A,FALSE,"ANNEX-1";#N/A,#N/A,FALSE,"ANNEX-2";#N/A,#N/A,FALSE,"ANNEX-3";#N/A,#N/A,FALSE,"WORKING"}</definedName>
    <definedName name="DPN" localSheetId="6" hidden="1">{#N/A,#N/A,FALSE,"WRSUMMARY";#N/A,#N/A,FALSE,"ANNEX-1";#N/A,#N/A,FALSE,"ANNEX-2";#N/A,#N/A,FALSE,"ANNEX-3";#N/A,#N/A,FALSE,"WORKING"}</definedName>
    <definedName name="DPN" localSheetId="29" hidden="1">{#N/A,#N/A,FALSE,"WRSUMMARY";#N/A,#N/A,FALSE,"ANNEX-1";#N/A,#N/A,FALSE,"ANNEX-2";#N/A,#N/A,FALSE,"ANNEX-3";#N/A,#N/A,FALSE,"WORKING"}</definedName>
    <definedName name="DPN" localSheetId="27" hidden="1">{#N/A,#N/A,FALSE,"WRSUMMARY";#N/A,#N/A,FALSE,"ANNEX-1";#N/A,#N/A,FALSE,"ANNEX-2";#N/A,#N/A,FALSE,"ANNEX-3";#N/A,#N/A,FALSE,"WORKING"}</definedName>
    <definedName name="DPN" localSheetId="4" hidden="1">{#N/A,#N/A,FALSE,"WRSUMMARY";#N/A,#N/A,FALSE,"ANNEX-1";#N/A,#N/A,FALSE,"ANNEX-2";#N/A,#N/A,FALSE,"ANNEX-3";#N/A,#N/A,FALSE,"WORKING"}</definedName>
    <definedName name="DPN" localSheetId="32" hidden="1">{#N/A,#N/A,FALSE,"WRSUMMARY";#N/A,#N/A,FALSE,"ANNEX-1";#N/A,#N/A,FALSE,"ANNEX-2";#N/A,#N/A,FALSE,"ANNEX-3";#N/A,#N/A,FALSE,"WORKING"}</definedName>
    <definedName name="DPN" localSheetId="24" hidden="1">{#N/A,#N/A,FALSE,"WRSUMMARY";#N/A,#N/A,FALSE,"ANNEX-1";#N/A,#N/A,FALSE,"ANNEX-2";#N/A,#N/A,FALSE,"ANNEX-3";#N/A,#N/A,FALSE,"WORKING"}</definedName>
    <definedName name="DPN" localSheetId="26" hidden="1">{#N/A,#N/A,FALSE,"WRSUMMARY";#N/A,#N/A,FALSE,"ANNEX-1";#N/A,#N/A,FALSE,"ANNEX-2";#N/A,#N/A,FALSE,"ANNEX-3";#N/A,#N/A,FALSE,"WORKING"}</definedName>
    <definedName name="DPN" hidden="1">{#N/A,#N/A,FALSE,"WRSUMMARY";#N/A,#N/A,FALSE,"ANNEX-1";#N/A,#N/A,FALSE,"ANNEX-2";#N/A,#N/A,FALSE,"ANNEX-3";#N/A,#N/A,FALSE,"WORKING"}</definedName>
    <definedName name="DPR" localSheetId="12">#REF!&amp;#REF!&amp;#REF!&amp;#REF!&amp;#REF!&amp;#REF!&amp;#REF!&amp;#REF!&amp;#REF!&amp;#REF!&amp;#REF!&amp;#REF!</definedName>
    <definedName name="DPR" localSheetId="27">#REF!&amp;#REF!&amp;#REF!&amp;#REF!&amp;#REF!&amp;#REF!&amp;#REF!&amp;#REF!&amp;#REF!&amp;#REF!</definedName>
    <definedName name="DPR" localSheetId="24">#REF!&amp;#REF!&amp;#REF!&amp;#REF!&amp;#REF!&amp;#REF!&amp;#REF!&amp;#REF!&amp;#REF!&amp;#REF!</definedName>
    <definedName name="DPR">#REF!&amp;#REF!&amp;#REF!&amp;#REF!&amp;#REF!&amp;#REF!&amp;#REF!&amp;#REF!&amp;#REF!&amp;#REF!</definedName>
    <definedName name="dproj">#REF!</definedName>
    <definedName name="dq">#REF!</definedName>
    <definedName name="dqww">#REF!</definedName>
    <definedName name="DR.33" localSheetId="27">#REF!</definedName>
    <definedName name="DR.33">#REF!</definedName>
    <definedName name="DR.46">#REF!</definedName>
    <definedName name="DR.56">#REF!</definedName>
    <definedName name="drain_trap" localSheetId="6">#REF!</definedName>
    <definedName name="drain_trap" localSheetId="29">#REF!</definedName>
    <definedName name="drain_trap" localSheetId="26">#REF!</definedName>
    <definedName name="drain_trap">#REF!</definedName>
    <definedName name="DRAWING" localSheetId="6">#REF!</definedName>
    <definedName name="DRAWING">#REF!</definedName>
    <definedName name="DRBA3O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IP" localSheetId="6">#REF!</definedName>
    <definedName name="DRIP" localSheetId="27">#REF!</definedName>
    <definedName name="DRIP" localSheetId="4">#REF!</definedName>
    <definedName name="DRIP" localSheetId="32">#REF!</definedName>
    <definedName name="DRIP" localSheetId="24">#REF!</definedName>
    <definedName name="DRIP">#REF!</definedName>
    <definedName name="drr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drr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DS" localSheetId="6">#REF!</definedName>
    <definedName name="DS" localSheetId="29">#REF!</definedName>
    <definedName name="ds" localSheetId="24">#REF!</definedName>
    <definedName name="DS" localSheetId="26">#REF!</definedName>
    <definedName name="DS">#REF!</definedName>
    <definedName name="Ds___0" localSheetId="6">#REF!</definedName>
    <definedName name="Ds___0">#REF!</definedName>
    <definedName name="Ds___13">#REF!</definedName>
    <definedName name="Dsa">#REF!</definedName>
    <definedName name="dsad" localSheetId="12" hidden="1">{"form-D1",#N/A,FALSE,"FORM-D1";"form-D1_amt",#N/A,FALSE,"FORM-D1"}</definedName>
    <definedName name="dsad" localSheetId="6" hidden="1">{"form-D1",#N/A,FALSE,"FORM-D1";"form-D1_amt",#N/A,FALSE,"FORM-D1"}</definedName>
    <definedName name="dsad" localSheetId="29" hidden="1">{"form-D1",#N/A,FALSE,"FORM-D1";"form-D1_amt",#N/A,FALSE,"FORM-D1"}</definedName>
    <definedName name="dsad" localSheetId="27" hidden="1">{"form-D1",#N/A,FALSE,"FORM-D1";"form-D1_amt",#N/A,FALSE,"FORM-D1"}</definedName>
    <definedName name="dsad" localSheetId="4" hidden="1">{"form-D1",#N/A,FALSE,"FORM-D1";"form-D1_amt",#N/A,FALSE,"FORM-D1"}</definedName>
    <definedName name="dsad" localSheetId="32" hidden="1">{"form-D1",#N/A,FALSE,"FORM-D1";"form-D1_amt",#N/A,FALSE,"FORM-D1"}</definedName>
    <definedName name="dsad" localSheetId="24" hidden="1">{"form-D1",#N/A,FALSE,"FORM-D1";"form-D1_amt",#N/A,FALSE,"FORM-D1"}</definedName>
    <definedName name="dsad" localSheetId="26" hidden="1">{"form-D1",#N/A,FALSE,"FORM-D1";"form-D1_amt",#N/A,FALSE,"FORM-D1"}</definedName>
    <definedName name="dsad" hidden="1">{"form-D1",#N/A,FALSE,"FORM-D1";"form-D1_amt",#N/A,FALSE,"FORM-D1"}</definedName>
    <definedName name="dsad_1">NA()</definedName>
    <definedName name="dsada" localSheetId="6">#REF!</definedName>
    <definedName name="dsada" localSheetId="29">#REF!</definedName>
    <definedName name="dsada" localSheetId="24">#REF!</definedName>
    <definedName name="dsada" localSheetId="26">#REF!</definedName>
    <definedName name="dsada">#REF!</definedName>
    <definedName name="dsargfdg">#REF!</definedName>
    <definedName name="dsat" localSheetId="6">#REF!</definedName>
    <definedName name="dsat" localSheetId="24">#REF!</definedName>
    <definedName name="dsat">#REF!</definedName>
    <definedName name="Dsb">#REF!</definedName>
    <definedName name="Dsc">#REF!</definedName>
    <definedName name="dsd">#REF!</definedName>
    <definedName name="dsdf" hidden="1">#REF!</definedName>
    <definedName name="dsds" localSheetId="6" hidden="1">#REF!</definedName>
    <definedName name="dsds" hidden="1">#REF!</definedName>
    <definedName name="dsdsdls" localSheetId="29">#REF!</definedName>
    <definedName name="dsdsdls" localSheetId="26">#REF!</definedName>
    <definedName name="dsdsdls">#REF!</definedName>
    <definedName name="dsdsw">#REF!</definedName>
    <definedName name="DSF">#REF!</definedName>
    <definedName name="dsfadsf">#REF!</definedName>
    <definedName name="dsgtgx" localSheetId="2">#REF!</definedName>
    <definedName name="dsgtgx">#REF!</definedName>
    <definedName name="dsp">#REF!</definedName>
    <definedName name="DSSWEE" localSheetId="12" hidden="1">{"form-D1",#N/A,FALSE,"FORM-D1";"form-D1_amt",#N/A,FALSE,"FORM-D1"}</definedName>
    <definedName name="DSSWEE" localSheetId="6" hidden="1">{"form-D1",#N/A,FALSE,"FORM-D1";"form-D1_amt",#N/A,FALSE,"FORM-D1"}</definedName>
    <definedName name="DSSWEE" localSheetId="29" hidden="1">{"form-D1",#N/A,FALSE,"FORM-D1";"form-D1_amt",#N/A,FALSE,"FORM-D1"}</definedName>
    <definedName name="DSSWEE" localSheetId="27" hidden="1">{"form-D1",#N/A,FALSE,"FORM-D1";"form-D1_amt",#N/A,FALSE,"FORM-D1"}</definedName>
    <definedName name="DSSWEE" localSheetId="4" hidden="1">{"form-D1",#N/A,FALSE,"FORM-D1";"form-D1_amt",#N/A,FALSE,"FORM-D1"}</definedName>
    <definedName name="DSSWEE" localSheetId="32" hidden="1">{"form-D1",#N/A,FALSE,"FORM-D1";"form-D1_amt",#N/A,FALSE,"FORM-D1"}</definedName>
    <definedName name="DSSWEE" localSheetId="24" hidden="1">{"form-D1",#N/A,FALSE,"FORM-D1";"form-D1_amt",#N/A,FALSE,"FORM-D1"}</definedName>
    <definedName name="DSSWEE" localSheetId="26" hidden="1">{"form-D1",#N/A,FALSE,"FORM-D1";"form-D1_amt",#N/A,FALSE,"FORM-D1"}</definedName>
    <definedName name="DSSWEE" hidden="1">{"form-D1",#N/A,FALSE,"FORM-D1";"form-D1_amt",#N/A,FALSE,"FORM-D1"}</definedName>
    <definedName name="Dt" localSheetId="12">#REF!</definedName>
    <definedName name="Dt">#REF!</definedName>
    <definedName name="dtnps" localSheetId="6">#REF!</definedName>
    <definedName name="dtnps" localSheetId="29">#REF!</definedName>
    <definedName name="dtnps" localSheetId="24">#REF!</definedName>
    <definedName name="dtnps" localSheetId="26">#REF!</definedName>
    <definedName name="dtnps">#REF!</definedName>
    <definedName name="dtot">#REF!</definedName>
    <definedName name="dtyr" localSheetId="6">#REF!</definedName>
    <definedName name="dtyr" localSheetId="27">#REF!</definedName>
    <definedName name="dtyr" localSheetId="4">#REF!</definedName>
    <definedName name="dtyr" localSheetId="32">#REF!</definedName>
    <definedName name="dtyr" localSheetId="24">#REF!</definedName>
    <definedName name="dtyr">#REF!</definedName>
    <definedName name="dual_plate_check" localSheetId="6">#REF!</definedName>
    <definedName name="dual_plate_check" localSheetId="29">#REF!</definedName>
    <definedName name="dual_plate_check" localSheetId="26">#REF!</definedName>
    <definedName name="dual_plate_check">#REF!</definedName>
    <definedName name="dukhan">#REF!</definedName>
    <definedName name="dumppr">#REF!</definedName>
    <definedName name="duplex_strainer">#REF!</definedName>
    <definedName name="Dust">#REF!</definedName>
    <definedName name="Dv" localSheetId="4">#REF!</definedName>
    <definedName name="Dv" localSheetId="32">#REF!</definedName>
    <definedName name="Dv">#REF!</definedName>
    <definedName name="dvv" localSheetId="4">#REF!</definedName>
    <definedName name="dvv" localSheetId="32">#REF!</definedName>
    <definedName name="dvv">#REF!</definedName>
    <definedName name="dx_shape">#REF!</definedName>
    <definedName name="e" localSheetId="12">#REF!</definedName>
    <definedName name="e" localSheetId="29">#REF!</definedName>
    <definedName name="e" localSheetId="4">#REF!</definedName>
    <definedName name="e" localSheetId="32">#REF!</definedName>
    <definedName name="e" localSheetId="26">#REF!</definedName>
    <definedName name="e" localSheetId="2">#REF!</definedName>
    <definedName name="e">#REF!</definedName>
    <definedName name="e_1">#REF!</definedName>
    <definedName name="E_45E">#REF!</definedName>
    <definedName name="E_90LE">#REF!</definedName>
    <definedName name="E_90SE">#REF!</definedName>
    <definedName name="E_BV">#REF!</definedName>
    <definedName name="E_GV">#REF!</definedName>
    <definedName name="e_margin">#REF!</definedName>
    <definedName name="E_SC">#REF!</definedName>
    <definedName name="E_T">#REF!</definedName>
    <definedName name="EA" localSheetId="12">INDEX(#REF!,MATCH(#REF!,#REF!,0))</definedName>
    <definedName name="EA" localSheetId="27">INDEX(#REF!,MATCH(#REF!,#REF!,0))</definedName>
    <definedName name="EA" localSheetId="24">INDEX(#REF!,MATCH(#REF!,#REF!,0))</definedName>
    <definedName name="EA">INDEX(#REF!,MATCH(#REF!,#REF!,0))</definedName>
    <definedName name="Eair">#REF!</definedName>
    <definedName name="Eallow">#REF!</definedName>
    <definedName name="EARTH" localSheetId="4">#REF!</definedName>
    <definedName name="EARTH" localSheetId="32">#REF!</definedName>
    <definedName name="EARTH">#REF!</definedName>
    <definedName name="EARTH1">#REF!</definedName>
    <definedName name="Earthing" localSheetId="12">#REF!</definedName>
    <definedName name="Earthing">#REF!</definedName>
    <definedName name="Earthwork" localSheetId="6">#REF!</definedName>
    <definedName name="Earthwork" localSheetId="27">#REF!</definedName>
    <definedName name="Earthwork" localSheetId="4">#REF!</definedName>
    <definedName name="Earthwork" localSheetId="32">#REF!</definedName>
    <definedName name="Earthwork" localSheetId="24">#REF!</definedName>
    <definedName name="Earthwork">#REF!</definedName>
    <definedName name="EAS">INDEX(#REF!,MATCH(#REF!,#REF!,0))</definedName>
    <definedName name="eawerawea" localSheetId="12">#REF!</definedName>
    <definedName name="eawerawea">#REF!</definedName>
    <definedName name="EB" localSheetId="12">INDEX(#REF!,MATCH(#REF!,#REF!,0))</definedName>
    <definedName name="EB" localSheetId="27">INDEX(#REF!,MATCH(#REF!,#REF!,0))</definedName>
    <definedName name="EB" localSheetId="24">INDEX(#REF!,MATCH(#REF!,#REF!,0))</definedName>
    <definedName name="EB">INDEX(#REF!,MATCH(#REF!,#REF!,0))</definedName>
    <definedName name="EB_Total" localSheetId="29">#REF!</definedName>
    <definedName name="EB_Total" localSheetId="26">#REF!</definedName>
    <definedName name="EB_Total" localSheetId="2">#REF!</definedName>
    <definedName name="EB_Total">#REF!</definedName>
    <definedName name="EBS">INDEX(#REF!,MATCH(#REF!,#REF!,0))</definedName>
    <definedName name="EC" localSheetId="12">INDEX(#REF!,MATCH(#REF!,#REF!,0))</definedName>
    <definedName name="EC" localSheetId="27">INDEX(#REF!,MATCH(#REF!,#REF!,0))</definedName>
    <definedName name="EC" localSheetId="24">INDEX(#REF!,MATCH(#REF!,#REF!,0))</definedName>
    <definedName name="EC">INDEX(#REF!,MATCH(#REF!,#REF!,0))</definedName>
    <definedName name="ec_charges" localSheetId="2">#REF!</definedName>
    <definedName name="ec_charges">#REF!</definedName>
    <definedName name="ecfact" localSheetId="2">#REF!</definedName>
    <definedName name="ecfact">#REF!</definedName>
    <definedName name="Econd">#REF!</definedName>
    <definedName name="ECS" localSheetId="12">INDEX(#REF!,MATCH(#REF!,#REF!,0))</definedName>
    <definedName name="ecs">#REF!</definedName>
    <definedName name="ED" localSheetId="12">INDEX(#REF!,MATCH(#REF!,#REF!,0))</definedName>
    <definedName name="ED">#REF!</definedName>
    <definedName name="ED_list">#REF!</definedName>
    <definedName name="ED_list1" localSheetId="12">#REF!</definedName>
    <definedName name="ED_list1">#REF!</definedName>
    <definedName name="ED_RTU">#REF!</definedName>
    <definedName name="ED_TRDR">#REF!</definedName>
    <definedName name="edd">#REF!</definedName>
    <definedName name="edd_1">#REF!</definedName>
    <definedName name="EDS">INDEX(#REF!,MATCH(#REF!,#REF!,0))</definedName>
    <definedName name="EE" localSheetId="12">INDEX(#REF!,MATCH(#REF!,#REF!,0))</definedName>
    <definedName name="ee">#REF!</definedName>
    <definedName name="eeds">#REF!</definedName>
    <definedName name="eee" localSheetId="12">#REF!</definedName>
    <definedName name="eee" localSheetId="6" hidden="1">{"'PROFITABILITY'!$A$1:$F$45"}</definedName>
    <definedName name="eee" localSheetId="29" hidden="1">{"'PROFITABILITY'!$A$1:$F$45"}</definedName>
    <definedName name="eee" localSheetId="27" hidden="1">{"'PROFITABILITY'!$A$1:$F$45"}</definedName>
    <definedName name="eee" localSheetId="4" hidden="1">{"'PROFITABILITY'!$A$1:$F$45"}</definedName>
    <definedName name="eee" localSheetId="32" hidden="1">{"'PROFITABILITY'!$A$1:$F$45"}</definedName>
    <definedName name="eee" localSheetId="24">#REF!</definedName>
    <definedName name="eee" localSheetId="26" hidden="1">{"'PROFITABILITY'!$A$1:$F$45"}</definedName>
    <definedName name="eee" hidden="1">{"'PROFITABILITY'!$A$1:$F$45"}</definedName>
    <definedName name="eeee" localSheetId="12">#REF!</definedName>
    <definedName name="EEEE" localSheetId="6" hidden="1">{"form-D1",#N/A,FALSE,"FORM-D1";"form-D1_amt",#N/A,FALSE,"FORM-D1"}</definedName>
    <definedName name="EEEE" localSheetId="29" hidden="1">{"form-D1",#N/A,FALSE,"FORM-D1";"form-D1_amt",#N/A,FALSE,"FORM-D1"}</definedName>
    <definedName name="EEEE" localSheetId="27" hidden="1">{"form-D1",#N/A,FALSE,"FORM-D1";"form-D1_amt",#N/A,FALSE,"FORM-D1"}</definedName>
    <definedName name="EEEE" localSheetId="4" hidden="1">{"form-D1",#N/A,FALSE,"FORM-D1";"form-D1_amt",#N/A,FALSE,"FORM-D1"}</definedName>
    <definedName name="EEEE" localSheetId="32" hidden="1">{"form-D1",#N/A,FALSE,"FORM-D1";"form-D1_amt",#N/A,FALSE,"FORM-D1"}</definedName>
    <definedName name="EEEE" localSheetId="24" hidden="1">{"form-D1",#N/A,FALSE,"FORM-D1";"form-D1_amt",#N/A,FALSE,"FORM-D1"}</definedName>
    <definedName name="EEEE" localSheetId="26" hidden="1">{"form-D1",#N/A,FALSE,"FORM-D1";"form-D1_amt",#N/A,FALSE,"FORM-D1"}</definedName>
    <definedName name="EEEE" hidden="1">{"form-D1",#N/A,FALSE,"FORM-D1";"form-D1_amt",#N/A,FALSE,"FORM-D1"}</definedName>
    <definedName name="EEEE_1">NA()</definedName>
    <definedName name="EEEEEEEEEEEEEEEEE">#REF!</definedName>
    <definedName name="eehr" localSheetId="27">#REF!</definedName>
    <definedName name="eehr">#REF!</definedName>
    <definedName name="eehrw" localSheetId="27">#REF!</definedName>
    <definedName name="eehrw">#REF!</definedName>
    <definedName name="Eela" localSheetId="27">#REF!</definedName>
    <definedName name="Eela">#REF!</definedName>
    <definedName name="eela2">#REF!</definedName>
    <definedName name="eelat" localSheetId="12">#REF!</definedName>
    <definedName name="eelat">#REF!</definedName>
    <definedName name="EEPE" localSheetId="12" hidden="1">{"'Summary'!$A$1:$J$46"}</definedName>
    <definedName name="EEPE" hidden="1">{"'Summary'!$A$1:$J$46"}</definedName>
    <definedName name="EEpi">#REF!</definedName>
    <definedName name="EEQ" localSheetId="12" hidden="1">{"'Summary'!$A$1:$J$46"}</definedName>
    <definedName name="EEQ" hidden="1">{"'Summary'!$A$1:$J$46"}</definedName>
    <definedName name="EES">INDEX(#REF!,MATCH(#REF!,#REF!,0))</definedName>
    <definedName name="EEst">#REF!</definedName>
    <definedName name="EF" localSheetId="12">INDEX(#REF!,MATCH(#REF!,#REF!,0))</definedName>
    <definedName name="EF" localSheetId="27">INDEX(#REF!,MATCH(#REF!,#REF!,0))</definedName>
    <definedName name="EF" localSheetId="24">INDEX(#REF!,MATCH(#REF!,#REF!,0))</definedName>
    <definedName name="EF">INDEX(#REF!,MATCH(#REF!,#REF!,0))</definedName>
    <definedName name="EFFECT" localSheetId="6">#REF!</definedName>
    <definedName name="EFFECT">#REF!</definedName>
    <definedName name="EFFICIENCY" localSheetId="6">#REF!</definedName>
    <definedName name="EFFICIENCY">#REF!</definedName>
    <definedName name="EFINE" localSheetId="6">#REF!</definedName>
    <definedName name="EFINE" localSheetId="27">#REF!</definedName>
    <definedName name="EFINE" localSheetId="4">#REF!</definedName>
    <definedName name="EFINE" localSheetId="32">#REF!</definedName>
    <definedName name="EFINE" localSheetId="24">#REF!</definedName>
    <definedName name="EFINE">#REF!</definedName>
    <definedName name="EFS">INDEX(#REF!,MATCH(#REF!,#REF!,0))</definedName>
    <definedName name="EG" localSheetId="12">INDEX(#REF!,MATCH(#REF!,#REF!,0))</definedName>
    <definedName name="EG" localSheetId="27">INDEX(#REF!,MATCH(#REF!,#REF!,0))</definedName>
    <definedName name="EG" localSheetId="24">INDEX(#REF!,MATCH(#REF!,#REF!,0))</definedName>
    <definedName name="EG">INDEX(#REF!,MATCH(#REF!,#REF!,0))</definedName>
    <definedName name="egekjhqutuiq">#REF!</definedName>
    <definedName name="EGS">INDEX(#REF!,MATCH(#REF!,#REF!,0))</definedName>
    <definedName name="EH" localSheetId="12">INDEX(#REF!,MATCH(#REF!,#REF!,0))</definedName>
    <definedName name="EH" localSheetId="27">INDEX(#REF!,MATCH(#REF!,#REF!,0))</definedName>
    <definedName name="EH" localSheetId="24">INDEX(#REF!,MATCH(#REF!,#REF!,0))</definedName>
    <definedName name="EH">INDEX(#REF!,MATCH(#REF!,#REF!,0))</definedName>
    <definedName name="EH_001_1" localSheetId="29">#REF!</definedName>
    <definedName name="EH_001_1" localSheetId="26">#REF!</definedName>
    <definedName name="EH_001_1">#REF!</definedName>
    <definedName name="EH_001_10">#REF!</definedName>
    <definedName name="EH_001_11">#REF!</definedName>
    <definedName name="EH_001_12">#REF!</definedName>
    <definedName name="EH_001_13">#REF!</definedName>
    <definedName name="EH_001_14">#REF!</definedName>
    <definedName name="EH_001_15">#REF!</definedName>
    <definedName name="EH_001_16">#REF!</definedName>
    <definedName name="EH_001_17">#REF!</definedName>
    <definedName name="EH_001_18">#REF!</definedName>
    <definedName name="EH_001_2">#REF!</definedName>
    <definedName name="EH_001_3">#REF!</definedName>
    <definedName name="EH_001_4">#REF!</definedName>
    <definedName name="EH_001_5">#REF!</definedName>
    <definedName name="EH_001_6">#REF!</definedName>
    <definedName name="EH_001_7">#REF!</definedName>
    <definedName name="EH_001_8">#REF!</definedName>
    <definedName name="EH_001_9">#REF!</definedName>
    <definedName name="EH_002_1">#REF!</definedName>
    <definedName name="EH_002_10">#REF!</definedName>
    <definedName name="EH_002_11">#REF!</definedName>
    <definedName name="EH_002_12">#REF!</definedName>
    <definedName name="EH_002_13">#REF!</definedName>
    <definedName name="EH_002_14">#REF!</definedName>
    <definedName name="EH_002_15">#REF!</definedName>
    <definedName name="EH_002_16">#REF!</definedName>
    <definedName name="EH_002_17">#REF!</definedName>
    <definedName name="EH_002_18">#REF!</definedName>
    <definedName name="EH_002_2">#REF!</definedName>
    <definedName name="EH_002_3">#REF!</definedName>
    <definedName name="EH_002_4">#REF!</definedName>
    <definedName name="EH_002_5">#REF!</definedName>
    <definedName name="EH_002_6">#REF!</definedName>
    <definedName name="EH_002_7">#REF!</definedName>
    <definedName name="EH_002_8">#REF!</definedName>
    <definedName name="EH_002_9">#REF!</definedName>
    <definedName name="EHS">INDEX(#REF!,MATCH(#REF!,#REF!,0))</definedName>
    <definedName name="EI" localSheetId="12">INDEX(#REF!,MATCH(#REF!,#REF!,0))</definedName>
    <definedName name="EI" localSheetId="27">INDEX(#REF!,MATCH(#REF!,#REF!,0))</definedName>
    <definedName name="EI" localSheetId="24">INDEX(#REF!,MATCH(#REF!,#REF!,0))</definedName>
    <definedName name="EI">INDEX(#REF!,MATCH(#REF!,#REF!,0))</definedName>
    <definedName name="eid" localSheetId="6">#REF!</definedName>
    <definedName name="eid" localSheetId="27">#REF!</definedName>
    <definedName name="eid" localSheetId="4">#REF!</definedName>
    <definedName name="eid" localSheetId="32">#REF!</definedName>
    <definedName name="eid" localSheetId="24">#REF!</definedName>
    <definedName name="eid">#REF!</definedName>
    <definedName name="eii">#REF!</definedName>
    <definedName name="eiii">#REF!</definedName>
    <definedName name="EIS">INDEX(#REF!,MATCH(#REF!,#REF!,0))</definedName>
    <definedName name="EJ" localSheetId="12">INDEX(#REF!,MATCH(#REF!,#REF!,0))</definedName>
    <definedName name="EJ" localSheetId="27">INDEX(#REF!,MATCH(#REF!,#REF!,0))</definedName>
    <definedName name="EJ" localSheetId="24">INDEX(#REF!,MATCH(#REF!,#REF!,0))</definedName>
    <definedName name="EJ">INDEX(#REF!,MATCH(#REF!,#REF!,0))</definedName>
    <definedName name="EJS">INDEX(#REF!,MATCH(#REF!,#REF!,0))</definedName>
    <definedName name="EK" localSheetId="12">INDEX(#REF!,MATCH(#REF!,#REF!,0))</definedName>
    <definedName name="EK" localSheetId="27">INDEX(#REF!,MATCH(#REF!,#REF!,0))</definedName>
    <definedName name="EK" localSheetId="24">INDEX(#REF!,MATCH(#REF!,#REF!,0))</definedName>
    <definedName name="EK">INDEX(#REF!,MATCH(#REF!,#REF!,0))</definedName>
    <definedName name="EL" localSheetId="12">INDEX(#REF!,MATCH(#REF!,#REF!,0))</definedName>
    <definedName name="EL" localSheetId="27">INDEX(#REF!,MATCH(#REF!,#REF!,0))</definedName>
    <definedName name="EL" localSheetId="24">INDEX(#REF!,MATCH(#REF!,#REF!,0))</definedName>
    <definedName name="EL">INDEX(#REF!,MATCH(#REF!,#REF!,0))</definedName>
    <definedName name="elb">#REF!</definedName>
    <definedName name="elec" localSheetId="24">#REF!</definedName>
    <definedName name="elec">#REF!</definedName>
    <definedName name="elt">#REF!</definedName>
    <definedName name="EM" localSheetId="12">INDEX(#REF!,MATCH(#REF!,#REF!,0))</definedName>
    <definedName name="EM" localSheetId="6">INDEX(#REF!,MATCH(#REF!,#REF!,0))</definedName>
    <definedName name="Em" localSheetId="27">#REF!</definedName>
    <definedName name="EM" localSheetId="4">INDEX(#REF!,MATCH(#REF!,#REF!,0))</definedName>
    <definedName name="EM" localSheetId="32">INDEX(#REF!,MATCH(#REF!,#REF!,0))</definedName>
    <definedName name="Em">#REF!</definedName>
    <definedName name="Em___0">#REF!</definedName>
    <definedName name="Em___13">#REF!</definedName>
    <definedName name="EM_001_1">#REF!</definedName>
    <definedName name="EM_001_10">#REF!</definedName>
    <definedName name="EM_001_11">#REF!</definedName>
    <definedName name="EM_001_12">#REF!</definedName>
    <definedName name="EM_001_13">#REF!</definedName>
    <definedName name="EM_001_14">#REF!</definedName>
    <definedName name="EM_001_15">#REF!</definedName>
    <definedName name="EM_001_16">#REF!</definedName>
    <definedName name="EM_001_17">#REF!</definedName>
    <definedName name="EM_001_18">#REF!</definedName>
    <definedName name="EM_001_2">#REF!</definedName>
    <definedName name="EM_001_3">#REF!</definedName>
    <definedName name="EM_001_4">#REF!</definedName>
    <definedName name="EM_001_5">#REF!</definedName>
    <definedName name="EM_001_6">#REF!</definedName>
    <definedName name="EM_001_7">#REF!</definedName>
    <definedName name="EM_001_8">#REF!</definedName>
    <definedName name="EM_001_9">#REF!</definedName>
    <definedName name="EM_002_1">#REF!</definedName>
    <definedName name="EM_002_10">#REF!</definedName>
    <definedName name="EM_002_11">#REF!</definedName>
    <definedName name="EM_002_12">#REF!</definedName>
    <definedName name="EM_002_13">#REF!</definedName>
    <definedName name="EM_002_14">#REF!</definedName>
    <definedName name="EM_002_15">#REF!</definedName>
    <definedName name="EM_002_16">#REF!</definedName>
    <definedName name="EM_002_17">#REF!</definedName>
    <definedName name="EM_002_18">#REF!</definedName>
    <definedName name="EM_002_2">#REF!</definedName>
    <definedName name="EM_002_3">#REF!</definedName>
    <definedName name="EM_002_4">#REF!</definedName>
    <definedName name="EM_002_5">#REF!</definedName>
    <definedName name="EM_002_6">#REF!</definedName>
    <definedName name="EM_002_7">#REF!</definedName>
    <definedName name="EM_002_8">#REF!</definedName>
    <definedName name="EM_002_9">#REF!</definedName>
    <definedName name="EM_003_1">#REF!</definedName>
    <definedName name="EM_003_10">#REF!</definedName>
    <definedName name="EM_003_11">#REF!</definedName>
    <definedName name="EM_003_12">#REF!</definedName>
    <definedName name="EM_003_13">#REF!</definedName>
    <definedName name="EM_003_14">#REF!</definedName>
    <definedName name="EM_003_15">#REF!</definedName>
    <definedName name="EM_003_16">#REF!</definedName>
    <definedName name="EM_003_17">#REF!</definedName>
    <definedName name="EM_003_18">#REF!</definedName>
    <definedName name="EM_003_2">#REF!</definedName>
    <definedName name="EM_003_3">#REF!</definedName>
    <definedName name="EM_003_4">#REF!</definedName>
    <definedName name="EM_003_5">#REF!</definedName>
    <definedName name="EM_003_6">#REF!</definedName>
    <definedName name="EM_003_7">#REF!</definedName>
    <definedName name="EM_003_8">#REF!</definedName>
    <definedName name="EM_003_9">#REF!</definedName>
    <definedName name="EM_004_1">#REF!</definedName>
    <definedName name="EM_004_10">#REF!</definedName>
    <definedName name="EM_004_11">#REF!</definedName>
    <definedName name="EM_004_12">#REF!</definedName>
    <definedName name="EM_004_13">#REF!</definedName>
    <definedName name="EM_004_14">#REF!</definedName>
    <definedName name="EM_004_15">#REF!</definedName>
    <definedName name="EM_004_16">#REF!</definedName>
    <definedName name="EM_004_17">#REF!</definedName>
    <definedName name="EM_004_18">#REF!</definedName>
    <definedName name="EM_004_2">#REF!</definedName>
    <definedName name="EM_004_3">#REF!</definedName>
    <definedName name="EM_004_4">#REF!</definedName>
    <definedName name="EM_004_5">#REF!</definedName>
    <definedName name="EM_004_6">#REF!</definedName>
    <definedName name="EM_004_7">#REF!</definedName>
    <definedName name="EM_004_8">#REF!</definedName>
    <definedName name="EM_004_9">#REF!</definedName>
    <definedName name="EM_005_1">#REF!</definedName>
    <definedName name="EM_005_10">#REF!</definedName>
    <definedName name="EM_005_11">#REF!</definedName>
    <definedName name="EM_005_12">#REF!</definedName>
    <definedName name="EM_005_13">#REF!</definedName>
    <definedName name="EM_005_14">#REF!</definedName>
    <definedName name="EM_005_15">#REF!</definedName>
    <definedName name="EM_005_16">#REF!</definedName>
    <definedName name="EM_005_17">#REF!</definedName>
    <definedName name="EM_005_18">#REF!</definedName>
    <definedName name="EM_005_2">#REF!</definedName>
    <definedName name="EM_005_3">#REF!</definedName>
    <definedName name="EM_005_4">#REF!</definedName>
    <definedName name="EM_005_5">#REF!</definedName>
    <definedName name="EM_005_6">#REF!</definedName>
    <definedName name="EM_005_7">#REF!</definedName>
    <definedName name="EM_005_8">#REF!</definedName>
    <definedName name="EM_005_9">#REF!</definedName>
    <definedName name="EM_006_1">#REF!</definedName>
    <definedName name="EM_006_10">#REF!</definedName>
    <definedName name="EM_006_11">#REF!</definedName>
    <definedName name="EM_006_12">#REF!</definedName>
    <definedName name="EM_006_13">#REF!</definedName>
    <definedName name="EM_006_14">#REF!</definedName>
    <definedName name="EM_006_15">#REF!</definedName>
    <definedName name="EM_006_16">#REF!</definedName>
    <definedName name="EM_006_17">#REF!</definedName>
    <definedName name="EM_006_18">#REF!</definedName>
    <definedName name="EM_006_2">#REF!</definedName>
    <definedName name="EM_006_3">#REF!</definedName>
    <definedName name="EM_006_4">#REF!</definedName>
    <definedName name="EM_006_5">#REF!</definedName>
    <definedName name="EM_006_6">#REF!</definedName>
    <definedName name="EM_006_7">#REF!</definedName>
    <definedName name="EM_006_8">#REF!</definedName>
    <definedName name="EM_006_9">#REF!</definedName>
    <definedName name="EM_007_1">#REF!</definedName>
    <definedName name="EM_007_10">#REF!</definedName>
    <definedName name="EM_007_11">#REF!</definedName>
    <definedName name="EM_007_12">#REF!</definedName>
    <definedName name="EM_007_13">#REF!</definedName>
    <definedName name="EM_007_14">#REF!</definedName>
    <definedName name="EM_007_15">#REF!</definedName>
    <definedName name="EM_007_16">#REF!</definedName>
    <definedName name="EM_007_17">#REF!</definedName>
    <definedName name="EM_007_18">#REF!</definedName>
    <definedName name="EM_007_2">#REF!</definedName>
    <definedName name="EM_007_3">#REF!</definedName>
    <definedName name="EM_007_4">#REF!</definedName>
    <definedName name="EM_007_5">#REF!</definedName>
    <definedName name="EM_007_6">#REF!</definedName>
    <definedName name="EM_007_7">#REF!</definedName>
    <definedName name="EM_007_8">#REF!</definedName>
    <definedName name="EM_007_9">#REF!</definedName>
    <definedName name="EM_008_1">#REF!</definedName>
    <definedName name="EM_008_10">#REF!</definedName>
    <definedName name="EM_008_11">#REF!</definedName>
    <definedName name="EM_008_12">#REF!</definedName>
    <definedName name="EM_008_13">#REF!</definedName>
    <definedName name="EM_008_14">#REF!</definedName>
    <definedName name="EM_008_15">#REF!</definedName>
    <definedName name="EM_008_16">#REF!</definedName>
    <definedName name="EM_008_17">#REF!</definedName>
    <definedName name="EM_008_18">#REF!</definedName>
    <definedName name="EM_008_2">#REF!</definedName>
    <definedName name="EM_008_3">#REF!</definedName>
    <definedName name="EM_008_4">#REF!</definedName>
    <definedName name="EM_008_5">#REF!</definedName>
    <definedName name="EM_008_6">#REF!</definedName>
    <definedName name="EM_008_7">#REF!</definedName>
    <definedName name="EM_008_8">#REF!</definedName>
    <definedName name="EM_008_9">#REF!</definedName>
    <definedName name="EM_009_1">#REF!</definedName>
    <definedName name="EM_009_10">#REF!</definedName>
    <definedName name="EM_009_11">#REF!</definedName>
    <definedName name="EM_009_12">#REF!</definedName>
    <definedName name="EM_009_13">#REF!</definedName>
    <definedName name="EM_009_14">#REF!</definedName>
    <definedName name="EM_009_15">#REF!</definedName>
    <definedName name="EM_009_16">#REF!</definedName>
    <definedName name="EM_009_17">#REF!</definedName>
    <definedName name="EM_009_18">#REF!</definedName>
    <definedName name="EM_009_2">#REF!</definedName>
    <definedName name="EM_009_3">#REF!</definedName>
    <definedName name="EM_009_4">#REF!</definedName>
    <definedName name="EM_009_5">#REF!</definedName>
    <definedName name="EM_009_6">#REF!</definedName>
    <definedName name="EM_009_7">#REF!</definedName>
    <definedName name="EM_009_8">#REF!</definedName>
    <definedName name="EM_009_9">#REF!</definedName>
    <definedName name="EM_010_1">#REF!</definedName>
    <definedName name="EM_010_10">#REF!</definedName>
    <definedName name="EM_010_11">#REF!</definedName>
    <definedName name="EM_010_12">#REF!</definedName>
    <definedName name="EM_010_13">#REF!</definedName>
    <definedName name="EM_010_14">#REF!</definedName>
    <definedName name="EM_010_15">#REF!</definedName>
    <definedName name="EM_010_16">#REF!</definedName>
    <definedName name="EM_010_17">#REF!</definedName>
    <definedName name="EM_010_18">#REF!</definedName>
    <definedName name="EM_010_2">#REF!</definedName>
    <definedName name="EM_010_3">#REF!</definedName>
    <definedName name="EM_010_4">#REF!</definedName>
    <definedName name="EM_010_5">#REF!</definedName>
    <definedName name="EM_010_6">#REF!</definedName>
    <definedName name="EM_010_7">#REF!</definedName>
    <definedName name="EM_010_8">#REF!</definedName>
    <definedName name="EM_010_9">#REF!</definedName>
    <definedName name="EM_011_1">#REF!</definedName>
    <definedName name="EM_011_10">#REF!</definedName>
    <definedName name="EM_011_11">#REF!</definedName>
    <definedName name="EM_011_12">#REF!</definedName>
    <definedName name="EM_011_13">#REF!</definedName>
    <definedName name="EM_011_14">#REF!</definedName>
    <definedName name="EM_011_15">#REF!</definedName>
    <definedName name="EM_011_16">#REF!</definedName>
    <definedName name="EM_011_17">#REF!</definedName>
    <definedName name="EM_011_18">#REF!</definedName>
    <definedName name="EM_011_2">#REF!</definedName>
    <definedName name="EM_011_3">#REF!</definedName>
    <definedName name="EM_011_4">#REF!</definedName>
    <definedName name="EM_011_5">#REF!</definedName>
    <definedName name="EM_011_6">#REF!</definedName>
    <definedName name="EM_011_7">#REF!</definedName>
    <definedName name="EM_011_8">#REF!</definedName>
    <definedName name="EM_011_9">#REF!</definedName>
    <definedName name="EM_012_1">#REF!</definedName>
    <definedName name="EM_012_10">#REF!</definedName>
    <definedName name="EM_012_11">#REF!</definedName>
    <definedName name="EM_012_12">#REF!</definedName>
    <definedName name="EM_012_13">#REF!</definedName>
    <definedName name="EM_012_14">#REF!</definedName>
    <definedName name="EM_012_15">#REF!</definedName>
    <definedName name="EM_012_16">#REF!</definedName>
    <definedName name="EM_012_17">#REF!</definedName>
    <definedName name="EM_012_18">#REF!</definedName>
    <definedName name="EM_012_2">#REF!</definedName>
    <definedName name="EM_012_3">#REF!</definedName>
    <definedName name="EM_012_4">#REF!</definedName>
    <definedName name="EM_012_5">#REF!</definedName>
    <definedName name="EM_012_6">#REF!</definedName>
    <definedName name="EM_012_7">#REF!</definedName>
    <definedName name="EM_012_8">#REF!</definedName>
    <definedName name="EM_012_9">#REF!</definedName>
    <definedName name="EM_013_1">#REF!</definedName>
    <definedName name="EM_013_10">#REF!</definedName>
    <definedName name="EM_013_11">#REF!</definedName>
    <definedName name="EM_013_12">#REF!</definedName>
    <definedName name="EM_013_13">#REF!</definedName>
    <definedName name="EM_013_14">#REF!</definedName>
    <definedName name="EM_013_15">#REF!</definedName>
    <definedName name="EM_013_16">#REF!</definedName>
    <definedName name="EM_013_17">#REF!</definedName>
    <definedName name="EM_013_18">#REF!</definedName>
    <definedName name="EM_013_2">#REF!</definedName>
    <definedName name="EM_013_3">#REF!</definedName>
    <definedName name="EM_013_4">#REF!</definedName>
    <definedName name="EM_013_5">#REF!</definedName>
    <definedName name="EM_013_6">#REF!</definedName>
    <definedName name="EM_013_7">#REF!</definedName>
    <definedName name="EM_013_8">#REF!</definedName>
    <definedName name="EM_013_9">#REF!</definedName>
    <definedName name="EM_014_1">#REF!</definedName>
    <definedName name="EM_014_10">#REF!</definedName>
    <definedName name="EM_014_11">#REF!</definedName>
    <definedName name="EM_014_12">#REF!</definedName>
    <definedName name="EM_014_13">#REF!</definedName>
    <definedName name="EM_014_14">#REF!</definedName>
    <definedName name="EM_014_15">#REF!</definedName>
    <definedName name="EM_014_16">#REF!</definedName>
    <definedName name="EM_014_17">#REF!</definedName>
    <definedName name="EM_014_18">#REF!</definedName>
    <definedName name="EM_014_2">#REF!</definedName>
    <definedName name="EM_014_3">#REF!</definedName>
    <definedName name="EM_014_4">#REF!</definedName>
    <definedName name="EM_014_5">#REF!</definedName>
    <definedName name="EM_014_6">#REF!</definedName>
    <definedName name="EM_014_7">#REF!</definedName>
    <definedName name="EM_014_8">#REF!</definedName>
    <definedName name="EM_014_9">#REF!</definedName>
    <definedName name="EM_015_1">#REF!</definedName>
    <definedName name="EM_015_10">#REF!</definedName>
    <definedName name="EM_015_11">#REF!</definedName>
    <definedName name="EM_015_12">#REF!</definedName>
    <definedName name="EM_015_13">#REF!</definedName>
    <definedName name="EM_015_14">#REF!</definedName>
    <definedName name="EM_015_15">#REF!</definedName>
    <definedName name="EM_015_16">#REF!</definedName>
    <definedName name="EM_015_17">#REF!</definedName>
    <definedName name="EM_015_18">#REF!</definedName>
    <definedName name="EM_015_2">#REF!</definedName>
    <definedName name="EM_015_3">#REF!</definedName>
    <definedName name="EM_015_4">#REF!</definedName>
    <definedName name="EM_015_5">#REF!</definedName>
    <definedName name="EM_015_6">#REF!</definedName>
    <definedName name="EM_015_7">#REF!</definedName>
    <definedName name="EM_015_8">#REF!</definedName>
    <definedName name="EM_015_9">#REF!</definedName>
    <definedName name="EM_016_1">#REF!</definedName>
    <definedName name="EM_016_10">#REF!</definedName>
    <definedName name="EM_016_11">#REF!</definedName>
    <definedName name="EM_016_12">#REF!</definedName>
    <definedName name="EM_016_13">#REF!</definedName>
    <definedName name="EM_016_14">#REF!</definedName>
    <definedName name="EM_016_15">#REF!</definedName>
    <definedName name="EM_016_16">#REF!</definedName>
    <definedName name="EM_016_17">#REF!</definedName>
    <definedName name="EM_016_18">#REF!</definedName>
    <definedName name="EM_016_2">#REF!</definedName>
    <definedName name="EM_016_3">#REF!</definedName>
    <definedName name="EM_016_4">#REF!</definedName>
    <definedName name="EM_016_5">#REF!</definedName>
    <definedName name="EM_016_6">#REF!</definedName>
    <definedName name="EM_016_7">#REF!</definedName>
    <definedName name="EM_016_8">#REF!</definedName>
    <definedName name="EM_016_9">#REF!</definedName>
    <definedName name="EM_017_1">#REF!</definedName>
    <definedName name="EM_017_10">#REF!</definedName>
    <definedName name="EM_017_11">#REF!</definedName>
    <definedName name="EM_017_12">#REF!</definedName>
    <definedName name="EM_017_13">#REF!</definedName>
    <definedName name="EM_017_14">#REF!</definedName>
    <definedName name="EM_017_15">#REF!</definedName>
    <definedName name="EM_017_16">#REF!</definedName>
    <definedName name="EM_017_17">#REF!</definedName>
    <definedName name="EM_017_18">#REF!</definedName>
    <definedName name="EM_017_2">#REF!</definedName>
    <definedName name="EM_017_3">#REF!</definedName>
    <definedName name="EM_017_4">#REF!</definedName>
    <definedName name="EM_017_5">#REF!</definedName>
    <definedName name="EM_017_6">#REF!</definedName>
    <definedName name="EM_017_7">#REF!</definedName>
    <definedName name="EM_017_8">#REF!</definedName>
    <definedName name="EM_017_9">#REF!</definedName>
    <definedName name="EM_018_1">#REF!</definedName>
    <definedName name="EM_018_10">#REF!</definedName>
    <definedName name="EM_018_11">#REF!</definedName>
    <definedName name="EM_018_12">#REF!</definedName>
    <definedName name="EM_018_13">#REF!</definedName>
    <definedName name="EM_018_14">#REF!</definedName>
    <definedName name="EM_018_15">#REF!</definedName>
    <definedName name="EM_018_16">#REF!</definedName>
    <definedName name="EM_018_17">#REF!</definedName>
    <definedName name="EM_018_18">#REF!</definedName>
    <definedName name="EM_018_2">#REF!</definedName>
    <definedName name="EM_018_3">#REF!</definedName>
    <definedName name="EM_018_4">#REF!</definedName>
    <definedName name="EM_018_5">#REF!</definedName>
    <definedName name="EM_018_6">#REF!</definedName>
    <definedName name="EM_018_7">#REF!</definedName>
    <definedName name="EM_018_8">#REF!</definedName>
    <definedName name="EM_018_9">#REF!</definedName>
    <definedName name="EM_019_1">#REF!</definedName>
    <definedName name="EM_019_10">#REF!</definedName>
    <definedName name="EM_019_11">#REF!</definedName>
    <definedName name="EM_019_12">#REF!</definedName>
    <definedName name="EM_019_13">#REF!</definedName>
    <definedName name="EM_019_14">#REF!</definedName>
    <definedName name="EM_019_15">#REF!</definedName>
    <definedName name="EM_019_16">#REF!</definedName>
    <definedName name="EM_019_17">#REF!</definedName>
    <definedName name="EM_019_18">#REF!</definedName>
    <definedName name="EM_019_2">#REF!</definedName>
    <definedName name="EM_019_3">#REF!</definedName>
    <definedName name="EM_019_4">#REF!</definedName>
    <definedName name="EM_019_5">#REF!</definedName>
    <definedName name="EM_019_6">#REF!</definedName>
    <definedName name="EM_019_7">#REF!</definedName>
    <definedName name="EM_019_8">#REF!</definedName>
    <definedName name="EM_019_9">#REF!</definedName>
    <definedName name="EM_020_1">#REF!</definedName>
    <definedName name="EM_020_10">#REF!</definedName>
    <definedName name="EM_020_11">#REF!</definedName>
    <definedName name="EM_020_12">#REF!</definedName>
    <definedName name="EM_020_13">#REF!</definedName>
    <definedName name="EM_020_14">#REF!</definedName>
    <definedName name="EM_020_15">#REF!</definedName>
    <definedName name="EM_020_16">#REF!</definedName>
    <definedName name="EM_020_17">#REF!</definedName>
    <definedName name="EM_020_18">#REF!</definedName>
    <definedName name="EM_020_2">#REF!</definedName>
    <definedName name="EM_020_3">#REF!</definedName>
    <definedName name="EM_020_4">#REF!</definedName>
    <definedName name="EM_020_5">#REF!</definedName>
    <definedName name="EM_020_6">#REF!</definedName>
    <definedName name="EM_020_7">#REF!</definedName>
    <definedName name="EM_020_8">#REF!</definedName>
    <definedName name="EM_020_9">#REF!</definedName>
    <definedName name="EM_021_1">#REF!</definedName>
    <definedName name="EM_021_10">#REF!</definedName>
    <definedName name="EM_021_11">#REF!</definedName>
    <definedName name="EM_021_12">#REF!</definedName>
    <definedName name="EM_021_13">#REF!</definedName>
    <definedName name="EM_021_14">#REF!</definedName>
    <definedName name="EM_021_15">#REF!</definedName>
    <definedName name="EM_021_16">#REF!</definedName>
    <definedName name="EM_021_17">#REF!</definedName>
    <definedName name="EM_021_18">#REF!</definedName>
    <definedName name="EM_021_2">#REF!</definedName>
    <definedName name="EM_021_3">#REF!</definedName>
    <definedName name="EM_021_4">#REF!</definedName>
    <definedName name="EM_021_5">#REF!</definedName>
    <definedName name="EM_021_6">#REF!</definedName>
    <definedName name="EM_021_7">#REF!</definedName>
    <definedName name="EM_021_8">#REF!</definedName>
    <definedName name="EM_021_9">#REF!</definedName>
    <definedName name="EM_022_1">#REF!</definedName>
    <definedName name="EM_022_10">#REF!</definedName>
    <definedName name="EM_022_11">#REF!</definedName>
    <definedName name="EM_022_12">#REF!</definedName>
    <definedName name="EM_022_13">#REF!</definedName>
    <definedName name="EM_022_14">#REF!</definedName>
    <definedName name="EM_022_15">#REF!</definedName>
    <definedName name="EM_022_16">#REF!</definedName>
    <definedName name="EM_022_17">#REF!</definedName>
    <definedName name="EM_022_18">#REF!</definedName>
    <definedName name="EM_022_2">#REF!</definedName>
    <definedName name="EM_022_3">#REF!</definedName>
    <definedName name="EM_022_4">#REF!</definedName>
    <definedName name="EM_022_5">#REF!</definedName>
    <definedName name="EM_022_6">#REF!</definedName>
    <definedName name="EM_022_7">#REF!</definedName>
    <definedName name="EM_022_8">#REF!</definedName>
    <definedName name="EM_022_9">#REF!</definedName>
    <definedName name="EM_023_1">#REF!</definedName>
    <definedName name="EM_023_10">#REF!</definedName>
    <definedName name="EM_023_11">#REF!</definedName>
    <definedName name="EM_023_12">#REF!</definedName>
    <definedName name="EM_023_13">#REF!</definedName>
    <definedName name="EM_023_14">#REF!</definedName>
    <definedName name="EM_023_15">#REF!</definedName>
    <definedName name="EM_023_16">#REF!</definedName>
    <definedName name="EM_023_17">#REF!</definedName>
    <definedName name="EM_023_18">#REF!</definedName>
    <definedName name="EM_023_2">#REF!</definedName>
    <definedName name="EM_023_3">#REF!</definedName>
    <definedName name="EM_023_4">#REF!</definedName>
    <definedName name="EM_023_5">#REF!</definedName>
    <definedName name="EM_023_6">#REF!</definedName>
    <definedName name="EM_023_7">#REF!</definedName>
    <definedName name="EM_023_8">#REF!</definedName>
    <definedName name="EM_023_9">#REF!</definedName>
    <definedName name="EM_024_1">#REF!</definedName>
    <definedName name="EM_024_10">#REF!</definedName>
    <definedName name="EM_024_11">#REF!</definedName>
    <definedName name="EM_024_12">#REF!</definedName>
    <definedName name="EM_024_13">#REF!</definedName>
    <definedName name="EM_024_14">#REF!</definedName>
    <definedName name="EM_024_15">#REF!</definedName>
    <definedName name="EM_024_16">#REF!</definedName>
    <definedName name="EM_024_17">#REF!</definedName>
    <definedName name="EM_024_18">#REF!</definedName>
    <definedName name="EM_024_2">#REF!</definedName>
    <definedName name="EM_024_3">#REF!</definedName>
    <definedName name="EM_024_4">#REF!</definedName>
    <definedName name="EM_024_5">#REF!</definedName>
    <definedName name="EM_024_6">#REF!</definedName>
    <definedName name="EM_024_7">#REF!</definedName>
    <definedName name="EM_024_8">#REF!</definedName>
    <definedName name="EM_024_9">#REF!</definedName>
    <definedName name="EM_025_1">#REF!</definedName>
    <definedName name="EM_025_10">#REF!</definedName>
    <definedName name="EM_025_11">#REF!</definedName>
    <definedName name="EM_025_12">#REF!</definedName>
    <definedName name="EM_025_13">#REF!</definedName>
    <definedName name="EM_025_14">#REF!</definedName>
    <definedName name="EM_025_15">#REF!</definedName>
    <definedName name="EM_025_16">#REF!</definedName>
    <definedName name="EM_025_17">#REF!</definedName>
    <definedName name="EM_025_18">#REF!</definedName>
    <definedName name="EM_025_2">#REF!</definedName>
    <definedName name="EM_025_3">#REF!</definedName>
    <definedName name="EM_025_4">#REF!</definedName>
    <definedName name="EM_025_5">#REF!</definedName>
    <definedName name="EM_025_6">#REF!</definedName>
    <definedName name="EM_025_7">#REF!</definedName>
    <definedName name="EM_025_8">#REF!</definedName>
    <definedName name="EM_025_9">#REF!</definedName>
    <definedName name="EM_026_1">#REF!</definedName>
    <definedName name="EM_026_10">#REF!</definedName>
    <definedName name="EM_026_11">#REF!</definedName>
    <definedName name="EM_026_12">#REF!</definedName>
    <definedName name="EM_026_13">#REF!</definedName>
    <definedName name="EM_026_14">#REF!</definedName>
    <definedName name="EM_026_15">#REF!</definedName>
    <definedName name="EM_026_16">#REF!</definedName>
    <definedName name="EM_026_17">#REF!</definedName>
    <definedName name="EM_026_18">#REF!</definedName>
    <definedName name="EM_026_2">#REF!</definedName>
    <definedName name="EM_026_3">#REF!</definedName>
    <definedName name="EM_026_4">#REF!</definedName>
    <definedName name="EM_026_5">#REF!</definedName>
    <definedName name="EM_026_6">#REF!</definedName>
    <definedName name="EM_026_7">#REF!</definedName>
    <definedName name="EM_026_8">#REF!</definedName>
    <definedName name="EM_026_9">#REF!</definedName>
    <definedName name="EM_027_1">#REF!</definedName>
    <definedName name="EM_027_10">#REF!</definedName>
    <definedName name="EM_027_11">#REF!</definedName>
    <definedName name="EM_027_12">#REF!</definedName>
    <definedName name="EM_027_13">#REF!</definedName>
    <definedName name="EM_027_14">#REF!</definedName>
    <definedName name="EM_027_15">#REF!</definedName>
    <definedName name="EM_027_16">#REF!</definedName>
    <definedName name="EM_027_17">#REF!</definedName>
    <definedName name="EM_027_18">#REF!</definedName>
    <definedName name="EM_027_2">#REF!</definedName>
    <definedName name="EM_027_3">#REF!</definedName>
    <definedName name="EM_027_4">#REF!</definedName>
    <definedName name="EM_027_5">#REF!</definedName>
    <definedName name="EM_027_6">#REF!</definedName>
    <definedName name="EM_027_7">#REF!</definedName>
    <definedName name="EM_027_8">#REF!</definedName>
    <definedName name="EM_027_9">#REF!</definedName>
    <definedName name="EM_028_1">#REF!</definedName>
    <definedName name="EM_028_10">#REF!</definedName>
    <definedName name="EM_028_11">#REF!</definedName>
    <definedName name="EM_028_12">#REF!</definedName>
    <definedName name="EM_028_13">#REF!</definedName>
    <definedName name="EM_028_14">#REF!</definedName>
    <definedName name="EM_028_15">#REF!</definedName>
    <definedName name="EM_028_16">#REF!</definedName>
    <definedName name="EM_028_17">#REF!</definedName>
    <definedName name="EM_028_18">#REF!</definedName>
    <definedName name="EM_028_2">#REF!</definedName>
    <definedName name="EM_028_3">#REF!</definedName>
    <definedName name="EM_028_4">#REF!</definedName>
    <definedName name="EM_028_5">#REF!</definedName>
    <definedName name="EM_028_6">#REF!</definedName>
    <definedName name="EM_028_7">#REF!</definedName>
    <definedName name="EM_028_8">#REF!</definedName>
    <definedName name="EM_028_9">#REF!</definedName>
    <definedName name="EM_029_1">#REF!</definedName>
    <definedName name="EM_029_10">#REF!</definedName>
    <definedName name="EM_029_11">#REF!</definedName>
    <definedName name="EM_029_12">#REF!</definedName>
    <definedName name="EM_029_13">#REF!</definedName>
    <definedName name="EM_029_14">#REF!</definedName>
    <definedName name="EM_029_15">#REF!</definedName>
    <definedName name="EM_029_16">#REF!</definedName>
    <definedName name="EM_029_17">#REF!</definedName>
    <definedName name="EM_029_18">#REF!</definedName>
    <definedName name="EM_029_2">#REF!</definedName>
    <definedName name="EM_029_3">#REF!</definedName>
    <definedName name="EM_029_4">#REF!</definedName>
    <definedName name="EM_029_5">#REF!</definedName>
    <definedName name="EM_029_6">#REF!</definedName>
    <definedName name="EM_029_7">#REF!</definedName>
    <definedName name="EM_029_8">#REF!</definedName>
    <definedName name="EM_029_9">#REF!</definedName>
    <definedName name="EM_030_1">#REF!</definedName>
    <definedName name="EM_030_10">#REF!</definedName>
    <definedName name="EM_030_11">#REF!</definedName>
    <definedName name="EM_030_12">#REF!</definedName>
    <definedName name="EM_030_13">#REF!</definedName>
    <definedName name="EM_030_14">#REF!</definedName>
    <definedName name="EM_030_15">#REF!</definedName>
    <definedName name="EM_030_16">#REF!</definedName>
    <definedName name="EM_030_17">#REF!</definedName>
    <definedName name="EM_030_18">#REF!</definedName>
    <definedName name="EM_030_2">#REF!</definedName>
    <definedName name="EM_030_3">#REF!</definedName>
    <definedName name="EM_030_4">#REF!</definedName>
    <definedName name="EM_030_5">#REF!</definedName>
    <definedName name="EM_030_6">#REF!</definedName>
    <definedName name="EM_030_7">#REF!</definedName>
    <definedName name="EM_030_8">#REF!</definedName>
    <definedName name="EM_030_9">#REF!</definedName>
    <definedName name="EM_031_1">#REF!</definedName>
    <definedName name="EM_031_10">#REF!</definedName>
    <definedName name="EM_031_11">#REF!</definedName>
    <definedName name="EM_031_12">#REF!</definedName>
    <definedName name="EM_031_13">#REF!</definedName>
    <definedName name="EM_031_14">#REF!</definedName>
    <definedName name="EM_031_15">#REF!</definedName>
    <definedName name="EM_031_16">#REF!</definedName>
    <definedName name="EM_031_17">#REF!</definedName>
    <definedName name="EM_031_18">#REF!</definedName>
    <definedName name="EM_031_2">#REF!</definedName>
    <definedName name="EM_031_3">#REF!</definedName>
    <definedName name="EM_031_4">#REF!</definedName>
    <definedName name="EM_031_5">#REF!</definedName>
    <definedName name="EM_031_6">#REF!</definedName>
    <definedName name="EM_031_7">#REF!</definedName>
    <definedName name="EM_031_8">#REF!</definedName>
    <definedName name="EM_031_9">#REF!</definedName>
    <definedName name="EM_032_1">#REF!</definedName>
    <definedName name="EM_032_10">#REF!</definedName>
    <definedName name="EM_032_11">#REF!</definedName>
    <definedName name="EM_032_12">#REF!</definedName>
    <definedName name="EM_032_13">#REF!</definedName>
    <definedName name="EM_032_14">#REF!</definedName>
    <definedName name="EM_032_15">#REF!</definedName>
    <definedName name="EM_032_16">#REF!</definedName>
    <definedName name="EM_032_17">#REF!</definedName>
    <definedName name="EM_032_18">#REF!</definedName>
    <definedName name="EM_032_2">#REF!</definedName>
    <definedName name="EM_032_3">#REF!</definedName>
    <definedName name="EM_032_4">#REF!</definedName>
    <definedName name="EM_032_5">#REF!</definedName>
    <definedName name="EM_032_6">#REF!</definedName>
    <definedName name="EM_032_7">#REF!</definedName>
    <definedName name="EM_032_8">#REF!</definedName>
    <definedName name="EM_032_9">#REF!</definedName>
    <definedName name="EM_033_1">#REF!</definedName>
    <definedName name="EM_033_10">#REF!</definedName>
    <definedName name="EM_033_11">#REF!</definedName>
    <definedName name="EM_033_12">#REF!</definedName>
    <definedName name="EM_033_13">#REF!</definedName>
    <definedName name="EM_033_14">#REF!</definedName>
    <definedName name="EM_033_15">#REF!</definedName>
    <definedName name="EM_033_16">#REF!</definedName>
    <definedName name="EM_033_17">#REF!</definedName>
    <definedName name="EM_033_18">#REF!</definedName>
    <definedName name="EM_033_2">#REF!</definedName>
    <definedName name="EM_033_3">#REF!</definedName>
    <definedName name="EM_033_4">#REF!</definedName>
    <definedName name="EM_033_5">#REF!</definedName>
    <definedName name="EM_033_6">#REF!</definedName>
    <definedName name="EM_033_7">#REF!</definedName>
    <definedName name="EM_033_8">#REF!</definedName>
    <definedName name="EM_033_9">#REF!</definedName>
    <definedName name="EM_034_1">#REF!</definedName>
    <definedName name="EM_034_10">#REF!</definedName>
    <definedName name="EM_034_11">#REF!</definedName>
    <definedName name="EM_034_12">#REF!</definedName>
    <definedName name="EM_034_13">#REF!</definedName>
    <definedName name="EM_034_14">#REF!</definedName>
    <definedName name="EM_034_15">#REF!</definedName>
    <definedName name="EM_034_16">#REF!</definedName>
    <definedName name="EM_034_17">#REF!</definedName>
    <definedName name="EM_034_18">#REF!</definedName>
    <definedName name="EM_034_2">#REF!</definedName>
    <definedName name="EM_034_3">#REF!</definedName>
    <definedName name="EM_034_4">#REF!</definedName>
    <definedName name="EM_034_5">#REF!</definedName>
    <definedName name="EM_034_6">#REF!</definedName>
    <definedName name="EM_034_7">#REF!</definedName>
    <definedName name="EM_034_8">#REF!</definedName>
    <definedName name="EM_034_9">#REF!</definedName>
    <definedName name="EM_035_1">#REF!</definedName>
    <definedName name="EM_035_10">#REF!</definedName>
    <definedName name="EM_035_11">#REF!</definedName>
    <definedName name="EM_035_12">#REF!</definedName>
    <definedName name="EM_035_13">#REF!</definedName>
    <definedName name="EM_035_14">#REF!</definedName>
    <definedName name="EM_035_15">#REF!</definedName>
    <definedName name="EM_035_16">#REF!</definedName>
    <definedName name="EM_035_17">#REF!</definedName>
    <definedName name="EM_035_18">#REF!</definedName>
    <definedName name="EM_035_2">#REF!</definedName>
    <definedName name="EM_035_3">#REF!</definedName>
    <definedName name="EM_035_4">#REF!</definedName>
    <definedName name="EM_035_5">#REF!</definedName>
    <definedName name="EM_035_6">#REF!</definedName>
    <definedName name="EM_035_7">#REF!</definedName>
    <definedName name="EM_035_8">#REF!</definedName>
    <definedName name="EM_035_9">#REF!</definedName>
    <definedName name="EM_036_1">#REF!</definedName>
    <definedName name="EM_036_10">#REF!</definedName>
    <definedName name="EM_036_11">#REF!</definedName>
    <definedName name="EM_036_12">#REF!</definedName>
    <definedName name="EM_036_13">#REF!</definedName>
    <definedName name="EM_036_14">#REF!</definedName>
    <definedName name="EM_036_15">#REF!</definedName>
    <definedName name="EM_036_16">#REF!</definedName>
    <definedName name="EM_036_17">#REF!</definedName>
    <definedName name="EM_036_18">#REF!</definedName>
    <definedName name="EM_036_2">#REF!</definedName>
    <definedName name="EM_036_3">#REF!</definedName>
    <definedName name="EM_036_4">#REF!</definedName>
    <definedName name="EM_036_5">#REF!</definedName>
    <definedName name="EM_036_6">#REF!</definedName>
    <definedName name="EM_036_7">#REF!</definedName>
    <definedName name="EM_036_8">#REF!</definedName>
    <definedName name="EM_036_9">#REF!</definedName>
    <definedName name="EM_037_1">#REF!</definedName>
    <definedName name="EM_037_10">#REF!</definedName>
    <definedName name="EM_037_11">#REF!</definedName>
    <definedName name="EM_037_12">#REF!</definedName>
    <definedName name="EM_037_13">#REF!</definedName>
    <definedName name="EM_037_14">#REF!</definedName>
    <definedName name="EM_037_15">#REF!</definedName>
    <definedName name="EM_037_16">#REF!</definedName>
    <definedName name="EM_037_17">#REF!</definedName>
    <definedName name="EM_037_18">#REF!</definedName>
    <definedName name="EM_037_2">#REF!</definedName>
    <definedName name="EM_037_3">#REF!</definedName>
    <definedName name="EM_037_4">#REF!</definedName>
    <definedName name="EM_037_5">#REF!</definedName>
    <definedName name="EM_037_6">#REF!</definedName>
    <definedName name="EM_037_7">#REF!</definedName>
    <definedName name="EM_037_8">#REF!</definedName>
    <definedName name="EM_037_9">#REF!</definedName>
    <definedName name="EM_038_1">#REF!</definedName>
    <definedName name="EM_038_10">#REF!</definedName>
    <definedName name="EM_038_11">#REF!</definedName>
    <definedName name="EM_038_12">#REF!</definedName>
    <definedName name="EM_038_13">#REF!</definedName>
    <definedName name="EM_038_14">#REF!</definedName>
    <definedName name="EM_038_15">#REF!</definedName>
    <definedName name="EM_038_16">#REF!</definedName>
    <definedName name="EM_038_17">#REF!</definedName>
    <definedName name="EM_038_18">#REF!</definedName>
    <definedName name="EM_038_2">#REF!</definedName>
    <definedName name="EM_038_3">#REF!</definedName>
    <definedName name="EM_038_4">#REF!</definedName>
    <definedName name="EM_038_5">#REF!</definedName>
    <definedName name="EM_038_6">#REF!</definedName>
    <definedName name="EM_038_7">#REF!</definedName>
    <definedName name="EM_038_8">#REF!</definedName>
    <definedName name="EM_038_9">#REF!</definedName>
    <definedName name="EM_039_1">#REF!</definedName>
    <definedName name="EM_039_10">#REF!</definedName>
    <definedName name="EM_039_11">#REF!</definedName>
    <definedName name="EM_039_12">#REF!</definedName>
    <definedName name="EM_039_13">#REF!</definedName>
    <definedName name="EM_039_14">#REF!</definedName>
    <definedName name="EM_039_15">#REF!</definedName>
    <definedName name="EM_039_16">#REF!</definedName>
    <definedName name="EM_039_17">#REF!</definedName>
    <definedName name="EM_039_18">#REF!</definedName>
    <definedName name="EM_039_2">#REF!</definedName>
    <definedName name="EM_039_3">#REF!</definedName>
    <definedName name="EM_039_4">#REF!</definedName>
    <definedName name="EM_039_5">#REF!</definedName>
    <definedName name="EM_039_6">#REF!</definedName>
    <definedName name="EM_039_7">#REF!</definedName>
    <definedName name="EM_039_8">#REF!</definedName>
    <definedName name="EM_039_9">#REF!</definedName>
    <definedName name="EM_051_14">#REF!</definedName>
    <definedName name="EM_051_15">#REF!</definedName>
    <definedName name="EM_051_16">#REF!</definedName>
    <definedName name="EM_051_17">#REF!</definedName>
    <definedName name="EM_051_18">#REF!</definedName>
    <definedName name="EM_052_14">#REF!</definedName>
    <definedName name="EM_052_15">#REF!</definedName>
    <definedName name="EM_052_16">#REF!</definedName>
    <definedName name="EM_052_17">#REF!</definedName>
    <definedName name="EM_052_18">#REF!</definedName>
    <definedName name="EM_053_14">#REF!</definedName>
    <definedName name="EM_053_15">#REF!</definedName>
    <definedName name="EM_053_16">#REF!</definedName>
    <definedName name="EM_053_17">#REF!</definedName>
    <definedName name="EM_053_18">#REF!</definedName>
    <definedName name="EM_054_14">#REF!</definedName>
    <definedName name="EM_054_15">#REF!</definedName>
    <definedName name="EM_054_16">#REF!</definedName>
    <definedName name="EM_054_17">#REF!</definedName>
    <definedName name="EM_054_18">#REF!</definedName>
    <definedName name="EM_055_14">#REF!</definedName>
    <definedName name="EM_055_15">#REF!</definedName>
    <definedName name="EM_055_16">#REF!</definedName>
    <definedName name="EM_055_17">#REF!</definedName>
    <definedName name="EM_055_18">#REF!</definedName>
    <definedName name="EM_056_14">#REF!</definedName>
    <definedName name="EM_056_15">#REF!</definedName>
    <definedName name="EM_056_16">#REF!</definedName>
    <definedName name="EM_056_17">#REF!</definedName>
    <definedName name="EM_056_18">#REF!</definedName>
    <definedName name="EM_057_14">#REF!</definedName>
    <definedName name="EM_057_15">#REF!</definedName>
    <definedName name="EM_057_16">#REF!</definedName>
    <definedName name="EM_057_17">#REF!</definedName>
    <definedName name="EM_057_18">#REF!</definedName>
    <definedName name="EM_058_14">#REF!</definedName>
    <definedName name="EM_058_15">#REF!</definedName>
    <definedName name="EM_058_16">#REF!</definedName>
    <definedName name="EM_058_17">#REF!</definedName>
    <definedName name="EM_058_18">#REF!</definedName>
    <definedName name="EM_059_14">#REF!</definedName>
    <definedName name="EM_059_15">#REF!</definedName>
    <definedName name="EM_059_16">#REF!</definedName>
    <definedName name="EM_059_17">#REF!</definedName>
    <definedName name="EM_059_18">#REF!</definedName>
    <definedName name="EM_060_14">#REF!</definedName>
    <definedName name="EM_060_15">#REF!</definedName>
    <definedName name="EM_060_16">#REF!</definedName>
    <definedName name="EM_060_17">#REF!</definedName>
    <definedName name="EM_060_18">#REF!</definedName>
    <definedName name="EM_061_14">#REF!</definedName>
    <definedName name="EM_061_15">#REF!</definedName>
    <definedName name="EM_061_16">#REF!</definedName>
    <definedName name="EM_061_17">#REF!</definedName>
    <definedName name="EM_061_18">#REF!</definedName>
    <definedName name="EM_062_14">#REF!</definedName>
    <definedName name="EM_062_15">#REF!</definedName>
    <definedName name="EM_062_16">#REF!</definedName>
    <definedName name="EM_062_17">#REF!</definedName>
    <definedName name="EM_062_18">#REF!</definedName>
    <definedName name="EM_063_14">#REF!</definedName>
    <definedName name="EM_063_15">#REF!</definedName>
    <definedName name="EM_063_16">#REF!</definedName>
    <definedName name="EM_063_17">#REF!</definedName>
    <definedName name="EM_063_18">#REF!</definedName>
    <definedName name="EM_064_14">#REF!</definedName>
    <definedName name="EM_064_15">#REF!</definedName>
    <definedName name="EM_064_16">#REF!</definedName>
    <definedName name="EM_064_17">#REF!</definedName>
    <definedName name="EM_064_18">#REF!</definedName>
    <definedName name="EM_065_14">#REF!</definedName>
    <definedName name="EM_065_15">#REF!</definedName>
    <definedName name="EM_065_16">#REF!</definedName>
    <definedName name="EM_065_17">#REF!</definedName>
    <definedName name="EM_065_18">#REF!</definedName>
    <definedName name="EM_066_14">#REF!</definedName>
    <definedName name="EM_066_15">#REF!</definedName>
    <definedName name="EM_066_16">#REF!</definedName>
    <definedName name="EM_066_17">#REF!</definedName>
    <definedName name="EM_066_18">#REF!</definedName>
    <definedName name="EM_067_14">#REF!</definedName>
    <definedName name="EM_067_15">#REF!</definedName>
    <definedName name="EM_067_16">#REF!</definedName>
    <definedName name="EM_067_17">#REF!</definedName>
    <definedName name="EM_067_18">#REF!</definedName>
    <definedName name="EM_068_14">#REF!</definedName>
    <definedName name="EM_068_15">#REF!</definedName>
    <definedName name="EM_068_16">#REF!</definedName>
    <definedName name="EM_068_17">#REF!</definedName>
    <definedName name="EM_068_18">#REF!</definedName>
    <definedName name="EM_069_14">#REF!</definedName>
    <definedName name="EM_069_15">#REF!</definedName>
    <definedName name="EM_069_16">#REF!</definedName>
    <definedName name="EM_069_17">#REF!</definedName>
    <definedName name="EM_069_18">#REF!</definedName>
    <definedName name="EM_070_14">#REF!</definedName>
    <definedName name="EM_070_15">#REF!</definedName>
    <definedName name="EM_070_16">#REF!</definedName>
    <definedName name="EM_070_17">#REF!</definedName>
    <definedName name="EM_070_18">#REF!</definedName>
    <definedName name="EM_071_14">#REF!</definedName>
    <definedName name="EM_071_15">#REF!</definedName>
    <definedName name="EM_071_16">#REF!</definedName>
    <definedName name="EM_071_17">#REF!</definedName>
    <definedName name="EM_071_18">#REF!</definedName>
    <definedName name="EM_072_14">#REF!</definedName>
    <definedName name="EM_072_15">#REF!</definedName>
    <definedName name="EM_072_16">#REF!</definedName>
    <definedName name="EM_072_17">#REF!</definedName>
    <definedName name="EM_072_18">#REF!</definedName>
    <definedName name="EM_073_14">#REF!</definedName>
    <definedName name="EM_073_15">#REF!</definedName>
    <definedName name="EM_073_16">#REF!</definedName>
    <definedName name="EM_073_17">#REF!</definedName>
    <definedName name="EM_073_18">#REF!</definedName>
    <definedName name="EM_074_14">#REF!</definedName>
    <definedName name="EM_074_15">#REF!</definedName>
    <definedName name="EM_074_16">#REF!</definedName>
    <definedName name="EM_074_17">#REF!</definedName>
    <definedName name="EM_074_18">#REF!</definedName>
    <definedName name="Email">#REF!</definedName>
    <definedName name="EMATWKG">#REF!</definedName>
    <definedName name="EMATWKG___0">#REF!</definedName>
    <definedName name="EMATWKG___0___0">#REF!</definedName>
    <definedName name="EMATWKG___0___0___0">#REF!</definedName>
    <definedName name="EMATWKG___0___0___0___0">#REF!</definedName>
    <definedName name="EMATWKG___0___0___0___0_1">#REF!</definedName>
    <definedName name="EMATWKG___0___0___0_1">#REF!</definedName>
    <definedName name="EMATWKG___0___0_1">#REF!</definedName>
    <definedName name="EMATWKG___0_1">#REF!</definedName>
    <definedName name="EMATWKG_1">#REF!</definedName>
    <definedName name="EMB" localSheetId="12">#REF!</definedName>
    <definedName name="emb" localSheetId="6" hidden="1">{"Execavation",#N/A,FALSE,"furniture (employer)"}</definedName>
    <definedName name="emb" localSheetId="29" hidden="1">{"Execavation",#N/A,FALSE,"furniture (employer)"}</definedName>
    <definedName name="emb" localSheetId="27" hidden="1">{"Execavation",#N/A,FALSE,"furniture (employer)"}</definedName>
    <definedName name="emb" localSheetId="4" hidden="1">{"Execavation",#N/A,FALSE,"furniture (employer)"}</definedName>
    <definedName name="emb" localSheetId="32" hidden="1">{"Execavation",#N/A,FALSE,"furniture (employer)"}</definedName>
    <definedName name="EMB" localSheetId="24">#REF!</definedName>
    <definedName name="emb" localSheetId="26" hidden="1">{"Execavation",#N/A,FALSE,"furniture (employer)"}</definedName>
    <definedName name="emb" hidden="1">{"Execavation",#N/A,FALSE,"furniture (employer)"}</definedName>
    <definedName name="Emesh">#REF!</definedName>
    <definedName name="EMET" localSheetId="24">#REF!</definedName>
    <definedName name="EMET">#REF!</definedName>
    <definedName name="EMET___0">#REF!</definedName>
    <definedName name="EMET___0___0">#REF!</definedName>
    <definedName name="EMET___0___0___0">#REF!</definedName>
    <definedName name="EMET___0___0___0___0">#REF!</definedName>
    <definedName name="eml" localSheetId="12">#REF!</definedName>
    <definedName name="eml" localSheetId="4">#REF!</definedName>
    <definedName name="eml" localSheetId="32">#REF!</definedName>
    <definedName name="eml" localSheetId="24">#REF!</definedName>
    <definedName name="eml">#REF!</definedName>
    <definedName name="EMOL">#REF!</definedName>
    <definedName name="empl_area1" localSheetId="24">#REF!</definedName>
    <definedName name="empl_area1">#REF!</definedName>
    <definedName name="empl_area2">#REF!</definedName>
    <definedName name="empl_area3">#REF!</definedName>
    <definedName name="empl_area4">#REF!</definedName>
    <definedName name="empl_area5">#REF!</definedName>
    <definedName name="empl_bdeg1">#REF!</definedName>
    <definedName name="empl_bdeg2">#REF!</definedName>
    <definedName name="empl_birth_dt">#REF!</definedName>
    <definedName name="empl_bpp1">#REF!</definedName>
    <definedName name="empl_bpp2">#REF!</definedName>
    <definedName name="empl_btgt1">#REF!</definedName>
    <definedName name="empl_btgt2">#REF!</definedName>
    <definedName name="empl_bwt1">#REF!</definedName>
    <definedName name="empl_bwt2">#REF!</definedName>
    <definedName name="empl_carr_comp">#REF!</definedName>
    <definedName name="empl_carr_own">#REF!</definedName>
    <definedName name="empl_imp1">#REF!</definedName>
    <definedName name="empl_imp2">#REF!</definedName>
    <definedName name="empl_imp3">#REF!</definedName>
    <definedName name="empl_imp4">#REF!</definedName>
    <definedName name="empl_imp5">#REF!</definedName>
    <definedName name="empl_job_title">#REF!</definedName>
    <definedName name="empl_join_dt">#REF!</definedName>
    <definedName name="empl_loc">#REF!</definedName>
    <definedName name="empl_name">#REF!</definedName>
    <definedName name="empl_no">#REF!</definedName>
    <definedName name="empl_pdeg1">#REF!</definedName>
    <definedName name="empl_pdeg2">#REF!</definedName>
    <definedName name="empl_pdeg3">#REF!</definedName>
    <definedName name="empl_pdeg4">#REF!</definedName>
    <definedName name="empl_pdeg5">#REF!</definedName>
    <definedName name="empl_period">#REF!</definedName>
    <definedName name="empl_pp_dt">#REF!</definedName>
    <definedName name="empl_ppp1">#REF!</definedName>
    <definedName name="empl_ppp2">#REF!</definedName>
    <definedName name="empl_ppp3">#REF!</definedName>
    <definedName name="empl_ppp4">#REF!</definedName>
    <definedName name="empl_ppp5">#REF!</definedName>
    <definedName name="empl_prog1">#REF!</definedName>
    <definedName name="empl_prog2">#REF!</definedName>
    <definedName name="empl_prog3">#REF!</definedName>
    <definedName name="empl_prog4">#REF!</definedName>
    <definedName name="empl_prog5">#REF!</definedName>
    <definedName name="empl_ptgt1">#REF!</definedName>
    <definedName name="empl_ptgt2">#REF!</definedName>
    <definedName name="empl_ptgt3">#REF!</definedName>
    <definedName name="empl_ptgt4">#REF!</definedName>
    <definedName name="empl_ptgt5">#REF!</definedName>
    <definedName name="empl_pwt1">#REF!</definedName>
    <definedName name="empl_pwt2">#REF!</definedName>
    <definedName name="empl_pwt3">#REF!</definedName>
    <definedName name="empl_pwt4">#REF!</definedName>
    <definedName name="empl_pwt5">#REF!</definedName>
    <definedName name="empl_revw_id">#REF!</definedName>
    <definedName name="empl_summ">#REF!</definedName>
    <definedName name="empl_wl">#REF!</definedName>
    <definedName name="Employees">#REF!</definedName>
    <definedName name="EMUCK" localSheetId="6">#REF!</definedName>
    <definedName name="EMUCK" localSheetId="27">#REF!</definedName>
    <definedName name="EMUCK" localSheetId="4">#REF!</definedName>
    <definedName name="EMUCK" localSheetId="32">#REF!</definedName>
    <definedName name="EMUCK" localSheetId="24">#REF!</definedName>
    <definedName name="EMUCK">#REF!</definedName>
    <definedName name="En" localSheetId="29">#REF!</definedName>
    <definedName name="En" localSheetId="24">#REF!</definedName>
    <definedName name="En" localSheetId="26">#REF!</definedName>
    <definedName name="En">#REF!</definedName>
    <definedName name="End_Bal">#REF!</definedName>
    <definedName name="Ende">#REF!</definedName>
    <definedName name="endtype">#REF!</definedName>
    <definedName name="ENG">#REF!</definedName>
    <definedName name="ENGG">#REF!</definedName>
    <definedName name="Engg_charges">#REF!</definedName>
    <definedName name="ENICL">#REF!</definedName>
    <definedName name="Enot">#REF!</definedName>
    <definedName name="EOL">#REF!</definedName>
    <definedName name="ep">#REF!</definedName>
    <definedName name="EP_AGWC" localSheetId="12">#REF!</definedName>
    <definedName name="EP_AGWC">#REF!</definedName>
    <definedName name="EP_AM" localSheetId="12">#REF!</definedName>
    <definedName name="EP_AM">#REF!</definedName>
    <definedName name="EP_ANFA" localSheetId="12">#REF!</definedName>
    <definedName name="EP_ANFA">#REF!</definedName>
    <definedName name="EP_ANFE" localSheetId="12">#REF!</definedName>
    <definedName name="EP_ANFE">#REF!</definedName>
    <definedName name="EP_ANFEBG" localSheetId="12">#REF!</definedName>
    <definedName name="EP_ANFEBG">#REF!</definedName>
    <definedName name="EP_ANWC" localSheetId="12">#REF!</definedName>
    <definedName name="EP_ANWC">#REF!</definedName>
    <definedName name="EP_Apr" localSheetId="12">#REF!</definedName>
    <definedName name="EP_Apr">#REF!</definedName>
    <definedName name="EP_Aug" localSheetId="12">#REF!</definedName>
    <definedName name="EP_Aug">#REF!</definedName>
    <definedName name="EP_Avg_Adv" localSheetId="12">#REF!</definedName>
    <definedName name="EP_Avg_Adv">#REF!</definedName>
    <definedName name="EP_Avg_COI" localSheetId="12">#REF!</definedName>
    <definedName name="EP_Avg_COI">#REF!</definedName>
    <definedName name="EP_Avg_OCA" localSheetId="12">#REF!</definedName>
    <definedName name="EP_Avg_OCA">#REF!</definedName>
    <definedName name="EP_Avg_OCL" localSheetId="12">#REF!</definedName>
    <definedName name="EP_Avg_OCL">#REF!</definedName>
    <definedName name="EP_Avg_OS" localSheetId="12">#REF!</definedName>
    <definedName name="EP_Avg_OS">#REF!</definedName>
    <definedName name="EP_Avg_Stk" localSheetId="12">#REF!</definedName>
    <definedName name="EP_Avg_Stk">#REF!</definedName>
    <definedName name="EP_Avg_VC" localSheetId="12">#REF!</definedName>
    <definedName name="EP_Avg_VC">#REF!</definedName>
    <definedName name="EP_Avg_WC_Key">#REF!</definedName>
    <definedName name="EP_COI" localSheetId="12">#REF!</definedName>
    <definedName name="EP_COI">#REF!</definedName>
    <definedName name="EP_Dec" localSheetId="12">#REF!</definedName>
    <definedName name="EP_Dec">#REF!</definedName>
    <definedName name="EP_Deprn" localSheetId="12">#REF!</definedName>
    <definedName name="EP_Deprn">#REF!</definedName>
    <definedName name="EP_Feb" localSheetId="12">#REF!</definedName>
    <definedName name="EP_Feb">#REF!</definedName>
    <definedName name="EP_GM" localSheetId="12">#REF!</definedName>
    <definedName name="EP_GM">#REF!</definedName>
    <definedName name="EP_Jan" localSheetId="12">#REF!</definedName>
    <definedName name="EP_Jan">#REF!</definedName>
    <definedName name="EP_Jul" localSheetId="12">#REF!</definedName>
    <definedName name="EP_Jul">#REF!</definedName>
    <definedName name="EP_Jun" localSheetId="12">#REF!</definedName>
    <definedName name="EP_Jun">#REF!</definedName>
    <definedName name="EP_Key" localSheetId="12">#REF!</definedName>
    <definedName name="EP_Key">#REF!</definedName>
    <definedName name="EP_Mar" localSheetId="12">#REF!</definedName>
    <definedName name="EP_Mar">#REF!</definedName>
    <definedName name="EP_MAT_Sales" localSheetId="12">#REF!</definedName>
    <definedName name="EP_MAT_Sales">#REF!</definedName>
    <definedName name="EP_May" localSheetId="12">#REF!</definedName>
    <definedName name="EP_May">#REF!</definedName>
    <definedName name="EP_Nov" localSheetId="12">#REF!</definedName>
    <definedName name="EP_Nov">#REF!</definedName>
    <definedName name="EP_NWC" localSheetId="12">#REF!</definedName>
    <definedName name="EP_NWC">#REF!</definedName>
    <definedName name="EP_OB_Cust" localSheetId="12">#REF!</definedName>
    <definedName name="EP_OB_Cust">#REF!</definedName>
    <definedName name="EP_OB_IU" localSheetId="12">#REF!</definedName>
    <definedName name="EP_OB_IU">#REF!</definedName>
    <definedName name="EP_OCA" localSheetId="12">#REF!</definedName>
    <definedName name="EP_OCA">#REF!</definedName>
    <definedName name="EP_OCL" localSheetId="12">#REF!</definedName>
    <definedName name="EP_OCL">#REF!</definedName>
    <definedName name="EP_Oct" localSheetId="12">#REF!</definedName>
    <definedName name="EP_Oct">#REF!</definedName>
    <definedName name="EP_OD_Common" localSheetId="12">#REF!</definedName>
    <definedName name="EP_OD_Common">#REF!</definedName>
    <definedName name="EP_OI_Cust" localSheetId="12">#REF!</definedName>
    <definedName name="EP_OI_Cust">#REF!</definedName>
    <definedName name="EP_OI_IU" localSheetId="12">#REF!</definedName>
    <definedName name="EP_OI_IU">#REF!</definedName>
    <definedName name="EP_OS" localSheetId="12">#REF!</definedName>
    <definedName name="EP_OS">#REF!</definedName>
    <definedName name="EP_PBDIT" localSheetId="12">#REF!</definedName>
    <definedName name="EP_PBDIT">#REF!</definedName>
    <definedName name="EP_PBIT" localSheetId="12">#REF!</definedName>
    <definedName name="EP_PBIT">#REF!</definedName>
    <definedName name="EP_Per_Key">#REF!</definedName>
    <definedName name="EP_Res_Key">#REF!</definedName>
    <definedName name="EP_Sales_Cust" localSheetId="12">#REF!</definedName>
    <definedName name="EP_Sales_Cust">#REF!</definedName>
    <definedName name="EP_Sales_IU" localSheetId="12">#REF!</definedName>
    <definedName name="EP_Sales_IU">#REF!</definedName>
    <definedName name="EP_Sep" localSheetId="12">#REF!</definedName>
    <definedName name="EP_Sep">#REF!</definedName>
    <definedName name="EP_Stk" localSheetId="12">#REF!</definedName>
    <definedName name="EP_Stk">#REF!</definedName>
    <definedName name="EP_Top_Key">#REF!</definedName>
    <definedName name="EP_VC" localSheetId="12">#REF!</definedName>
    <definedName name="EP_VC">#REF!</definedName>
    <definedName name="EP_WC_Key">#REF!</definedName>
    <definedName name="Epa" localSheetId="6">#REF!</definedName>
    <definedName name="Epa" localSheetId="27">#REF!</definedName>
    <definedName name="Epa" localSheetId="4">#REF!</definedName>
    <definedName name="Epa" localSheetId="32">#REF!</definedName>
    <definedName name="Epa" localSheetId="24">#REF!</definedName>
    <definedName name="Epa">#REF!</definedName>
    <definedName name="Epi" localSheetId="24">#REF!</definedName>
    <definedName name="Epi">#REF!</definedName>
    <definedName name="eq_index" localSheetId="29">#REF!</definedName>
    <definedName name="eq_index" localSheetId="26">#REF!</definedName>
    <definedName name="eq_index">#REF!</definedName>
    <definedName name="EQMOB" localSheetId="29">#REF!</definedName>
    <definedName name="EQMOB" localSheetId="26">#REF!</definedName>
    <definedName name="EQMOB">#REF!</definedName>
    <definedName name="EQUIPCOM">#REF!</definedName>
    <definedName name="EquipmentType">#REF!</definedName>
    <definedName name="er">#REF!</definedName>
    <definedName name="Erate">IFERROR(_xlfn.XLOOKUP(#REF!,#REF!,#REF!)/10000000,"")</definedName>
    <definedName name="ErCost">#REF!</definedName>
    <definedName name="ERE" localSheetId="12">IFERROR(LEFT(INDEX(#REF!,MATCH(#REF!,#REF!,0)),3),"")</definedName>
    <definedName name="ere" localSheetId="29">#REF!</definedName>
    <definedName name="ere" localSheetId="4">#REF!</definedName>
    <definedName name="ere" localSheetId="32">#REF!</definedName>
    <definedName name="ere" localSheetId="26">#REF!</definedName>
    <definedName name="ere">#REF!</definedName>
    <definedName name="ERE_RATE" localSheetId="12">IF(#REF!&gt;=44242,_xlfn.XLOOKUP(#REF!,#REF!,#REF!),0)</definedName>
    <definedName name="ERE_RATE">IF(#REF!&gt;=44242,_xlfn.XLOOKUP(#REF!,#REF!,#REF!),0)</definedName>
    <definedName name="EREBOQ132">#REF!</definedName>
    <definedName name="EREBOQ400">#REF!</definedName>
    <definedName name="erec" localSheetId="29">#REF!</definedName>
    <definedName name="erec" localSheetId="4">#REF!</definedName>
    <definedName name="erec" localSheetId="32">#REF!</definedName>
    <definedName name="erec" localSheetId="26">#REF!</definedName>
    <definedName name="erec">#REF!</definedName>
    <definedName name="erecps" localSheetId="12">#REF!</definedName>
    <definedName name="erecps" localSheetId="29">#REF!</definedName>
    <definedName name="erecps" localSheetId="26">#REF!</definedName>
    <definedName name="erecps">#REF!</definedName>
    <definedName name="erection">#REF!</definedName>
    <definedName name="Erection_Cost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ctionTool" localSheetId="24">OFFSET(#REF!,0,0,COUNTA(#REF!),1)</definedName>
    <definedName name="ErectionTool">OFFSET(#REF!,0,0,COUNTA(#REF!),1)</definedName>
    <definedName name="erer">#REF!</definedName>
    <definedName name="ERIP" localSheetId="6">#REF!</definedName>
    <definedName name="ERIP" localSheetId="27">#REF!</definedName>
    <definedName name="ERIP" localSheetId="4">#REF!</definedName>
    <definedName name="ERIP" localSheetId="32">#REF!</definedName>
    <definedName name="ERIP" localSheetId="24">#REF!</definedName>
    <definedName name="ERIP">#REF!</definedName>
    <definedName name="ERT" localSheetId="12">IFERROR(LEFT(INDEX(#REF!,MATCH(#REF!,#REF!,0)),3),"")</definedName>
    <definedName name="ERT" localSheetId="27">IFERROR(LEFT(INDEX(#REF!,MATCH(#REF!,#REF!,0)),3),"")</definedName>
    <definedName name="ERT" localSheetId="24">IFERROR(LEFT(INDEX(#REF!,MATCH(#REF!,#REF!,0)),3),"")</definedName>
    <definedName name="ERT">IFERROR(LEFT(INDEX(#REF!,MATCH(#REF!,#REF!,0)),3),"")</definedName>
    <definedName name="ERTYYWWS" localSheetId="12" hidden="1">{"form-D1",#N/A,FALSE,"FORM-D1";"form-D1_amt",#N/A,FALSE,"FORM-D1"}</definedName>
    <definedName name="ERTYYWWS" localSheetId="6" hidden="1">{"form-D1",#N/A,FALSE,"FORM-D1";"form-D1_amt",#N/A,FALSE,"FORM-D1"}</definedName>
    <definedName name="ERTYYWWS" localSheetId="29" hidden="1">{"form-D1",#N/A,FALSE,"FORM-D1";"form-D1_amt",#N/A,FALSE,"FORM-D1"}</definedName>
    <definedName name="ERTYYWWS" localSheetId="27" hidden="1">{"form-D1",#N/A,FALSE,"FORM-D1";"form-D1_amt",#N/A,FALSE,"FORM-D1"}</definedName>
    <definedName name="ERTYYWWS" localSheetId="4" hidden="1">{"form-D1",#N/A,FALSE,"FORM-D1";"form-D1_amt",#N/A,FALSE,"FORM-D1"}</definedName>
    <definedName name="ERTYYWWS" localSheetId="32" hidden="1">{"form-D1",#N/A,FALSE,"FORM-D1";"form-D1_amt",#N/A,FALSE,"FORM-D1"}</definedName>
    <definedName name="ERTYYWWS" localSheetId="24" hidden="1">{"form-D1",#N/A,FALSE,"FORM-D1";"form-D1_amt",#N/A,FALSE,"FORM-D1"}</definedName>
    <definedName name="ERTYYWWS" localSheetId="26" hidden="1">{"form-D1",#N/A,FALSE,"FORM-D1";"form-D1_amt",#N/A,FALSE,"FORM-D1"}</definedName>
    <definedName name="ERTYYWWS" hidden="1">{"form-D1",#N/A,FALSE,"FORM-D1";"form-D1_amt",#N/A,FALSE,"FORM-D1"}</definedName>
    <definedName name="ERV" localSheetId="29">#REF!</definedName>
    <definedName name="ERV" localSheetId="26">#REF!</definedName>
    <definedName name="ERV" localSheetId="2">#REF!</definedName>
    <definedName name="ERV">#REF!</definedName>
    <definedName name="eryq43y7" localSheetId="6">#REF!</definedName>
    <definedName name="eryq43y7" localSheetId="27">#REF!</definedName>
    <definedName name="eryq43y7" localSheetId="4">#REF!</definedName>
    <definedName name="eryq43y7" localSheetId="32">#REF!</definedName>
    <definedName name="eryq43y7" localSheetId="24">#REF!</definedName>
    <definedName name="eryq43y7">#REF!</definedName>
    <definedName name="Es" localSheetId="12">#REF!</definedName>
    <definedName name="Es" localSheetId="29">#REF!</definedName>
    <definedName name="Es" localSheetId="24">#REF!</definedName>
    <definedName name="Es" localSheetId="26">#REF!</definedName>
    <definedName name="Es">#REF!</definedName>
    <definedName name="Es___0">#REF!</definedName>
    <definedName name="Es___13">#REF!</definedName>
    <definedName name="Esc">#REF!</definedName>
    <definedName name="esc_1">#REF!</definedName>
    <definedName name="ESC_2">#REF!</definedName>
    <definedName name="ESC_BOHW" localSheetId="2">#REF!</definedName>
    <definedName name="ESC_BOHW">#REF!</definedName>
    <definedName name="ESC_BOSW" localSheetId="2">#REF!</definedName>
    <definedName name="ESC_BOSW">#REF!</definedName>
    <definedName name="ESC_IDTOHW">#REF!</definedName>
    <definedName name="ESC_IDTOSW">#REF!</definedName>
    <definedName name="ESC_IMPHW">#REF!</definedName>
    <definedName name="ESC_IMPSW">#REF!</definedName>
    <definedName name="ESC_SER">#REF!</definedName>
    <definedName name="ESC_TRHW">#REF!</definedName>
    <definedName name="ESC_TRSW">#REF!</definedName>
    <definedName name="ESCALATION1" localSheetId="6" hidden="1">#REF!</definedName>
    <definedName name="ESCALATION1" localSheetId="27" hidden="1">#REF!</definedName>
    <definedName name="ESCALATION1" localSheetId="4" hidden="1">#REF!</definedName>
    <definedName name="ESCALATION1" localSheetId="32" hidden="1">#REF!</definedName>
    <definedName name="ESCALATION1" localSheetId="24" hidden="1">#REF!</definedName>
    <definedName name="ESCALATION1" hidden="1">#REF!</definedName>
    <definedName name="ESCPRD_BOHW" localSheetId="29">#REF!</definedName>
    <definedName name="ESCPRD_BOHW" localSheetId="24">#REF!</definedName>
    <definedName name="ESCPRD_BOHW" localSheetId="26">#REF!</definedName>
    <definedName name="ESCPRD_BOHW">#REF!</definedName>
    <definedName name="ESCPRD_BOSW" localSheetId="29">#REF!</definedName>
    <definedName name="ESCPRD_BOSW" localSheetId="26">#REF!</definedName>
    <definedName name="ESCPRD_BOSW">#REF!</definedName>
    <definedName name="ESCPRD_IDTOHW">#REF!</definedName>
    <definedName name="ESCPRD_IDTOSW">#REF!</definedName>
    <definedName name="ESCPRD_IMPHW">#REF!</definedName>
    <definedName name="ESCPRD_IMPSW">#REF!</definedName>
    <definedName name="ESCPRD_TRHW">#REF!</definedName>
    <definedName name="ESCPRD_TRSW">#REF!</definedName>
    <definedName name="eskal">#REF!</definedName>
    <definedName name="ESo">#REF!</definedName>
    <definedName name="Ess">#REF!</definedName>
    <definedName name="Est">#REF!</definedName>
    <definedName name="Estep">#REF!</definedName>
    <definedName name="Estomate">INDIRECT("'workbill proforma'!H"&amp;MATCH(#REF!,#REF!,0)+10)</definedName>
    <definedName name="Et" localSheetId="12">#REF!</definedName>
    <definedName name="Et">#REF!</definedName>
    <definedName name="Et___0">#REF!</definedName>
    <definedName name="Et___13">#REF!</definedName>
    <definedName name="Eta">#REF!</definedName>
    <definedName name="eta0">#REF!</definedName>
    <definedName name="etaa">#REF!</definedName>
    <definedName name="ETC_CST_HDG">#REF!</definedName>
    <definedName name="Eth">#REF!</definedName>
    <definedName name="eto">#REF!</definedName>
    <definedName name="Etouch" localSheetId="12">INDIRECT(VLOOKUP(#REF!,#REF!,1,0))</definedName>
    <definedName name="Etouch" localSheetId="27">INDIRECT(VLOOKUP(#REF!,#REF!,1,0))</definedName>
    <definedName name="Etouch" localSheetId="24">INDIRECT(VLOOKUP(#REF!,#REF!,1,0))</definedName>
    <definedName name="Etouch">INDIRECT(VLOOKUP(#REF!,#REF!,1,0))</definedName>
    <definedName name="etu" localSheetId="6">#REF!</definedName>
    <definedName name="etu" localSheetId="27">#REF!</definedName>
    <definedName name="etu" localSheetId="4">#REF!</definedName>
    <definedName name="etu" localSheetId="32">#REF!</definedName>
    <definedName name="etu" localSheetId="24">#REF!</definedName>
    <definedName name="etu">#REF!</definedName>
    <definedName name="ETUDEBT" localSheetId="24">#REF!</definedName>
    <definedName name="ETUDEBT">#REF!</definedName>
    <definedName name="etwet" localSheetId="29">#REF!</definedName>
    <definedName name="etwet" localSheetId="26">#REF!</definedName>
    <definedName name="etwet">#REF!</definedName>
    <definedName name="eun" localSheetId="29">#REF!</definedName>
    <definedName name="eun" localSheetId="26">#REF!</definedName>
    <definedName name="eun">#REF!</definedName>
    <definedName name="EUR" localSheetId="12">#REF!</definedName>
    <definedName name="EUR">#REF!</definedName>
    <definedName name="EURO">#REF!</definedName>
    <definedName name="euronet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urone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VA">#REF!</definedName>
    <definedName name="EVM_COST">#REF!</definedName>
    <definedName name="EW" localSheetId="12" hidden="1">{"'Summary'!$A$1:$J$46"}</definedName>
    <definedName name="ew" localSheetId="6">#REF!,#REF!,#REF!,#REF!,#REF!,#REF!,#REF!,#REF!,#REF!,#REF!,#REF!,#REF!,#REF!</definedName>
    <definedName name="ew" localSheetId="29">#REF!,#REF!,#REF!,#REF!,#REF!,#REF!,#REF!,#REF!,#REF!,#REF!,#REF!,#REF!,#REF!</definedName>
    <definedName name="ew" localSheetId="27">#REF!,#REF!,#REF!,#REF!,#REF!,#REF!,#REF!,#REF!,#REF!,#REF!,#REF!,#REF!,#REF!</definedName>
    <definedName name="ew" localSheetId="26">#REF!,#REF!,#REF!,#REF!,#REF!,#REF!,#REF!,#REF!,#REF!,#REF!,#REF!,#REF!,#REF!</definedName>
    <definedName name="ew">#REF!,#REF!,#REF!,#REF!,#REF!,#REF!,#REF!,#REF!,#REF!,#REF!,#REF!,#REF!,#REF!</definedName>
    <definedName name="ewe">#REF!</definedName>
    <definedName name="EWEQEWE" localSheetId="12">#REF!</definedName>
    <definedName name="EWEQEWE">#REF!</definedName>
    <definedName name="ewer" localSheetId="12" hidden="1">{"'PROFITABILITY'!$A$1:$F$45"}</definedName>
    <definedName name="ewer" localSheetId="6" hidden="1">{"'PROFITABILITY'!$A$1:$F$45"}</definedName>
    <definedName name="ewer" localSheetId="29" hidden="1">{"'PROFITABILITY'!$A$1:$F$45"}</definedName>
    <definedName name="ewer" localSheetId="27" hidden="1">{"'PROFITABILITY'!$A$1:$F$45"}</definedName>
    <definedName name="ewer" localSheetId="4" hidden="1">{"'PROFITABILITY'!$A$1:$F$45"}</definedName>
    <definedName name="ewer" localSheetId="32" hidden="1">{"'PROFITABILITY'!$A$1:$F$45"}</definedName>
    <definedName name="ewer" localSheetId="24" hidden="1">{"'PROFITABILITY'!$A$1:$F$45"}</definedName>
    <definedName name="ewer" localSheetId="26" hidden="1">{"'PROFITABILITY'!$A$1:$F$45"}</definedName>
    <definedName name="ewer" hidden="1">{"'PROFITABILITY'!$A$1:$F$45"}</definedName>
    <definedName name="ewew">#REF!</definedName>
    <definedName name="ewre" hidden="1">#REF!</definedName>
    <definedName name="EWS" localSheetId="12" hidden="1">{"'Summary'!$A$1:$J$46"}</definedName>
    <definedName name="EWS" hidden="1">{"'Summary'!$A$1:$J$46"}</definedName>
    <definedName name="EWWW" localSheetId="12" hidden="1">{"form-D1",#N/A,FALSE,"FORM-D1";"form-D1_amt",#N/A,FALSE,"FORM-D1"}</definedName>
    <definedName name="EWWW" localSheetId="6" hidden="1">{"form-D1",#N/A,FALSE,"FORM-D1";"form-D1_amt",#N/A,FALSE,"FORM-D1"}</definedName>
    <definedName name="EWWW" localSheetId="29" hidden="1">{"form-D1",#N/A,FALSE,"FORM-D1";"form-D1_amt",#N/A,FALSE,"FORM-D1"}</definedName>
    <definedName name="EWWW" localSheetId="27" hidden="1">{"form-D1",#N/A,FALSE,"FORM-D1";"form-D1_amt",#N/A,FALSE,"FORM-D1"}</definedName>
    <definedName name="EWWW" localSheetId="4" hidden="1">{"form-D1",#N/A,FALSE,"FORM-D1";"form-D1_amt",#N/A,FALSE,"FORM-D1"}</definedName>
    <definedName name="EWWW" localSheetId="32" hidden="1">{"form-D1",#N/A,FALSE,"FORM-D1";"form-D1_amt",#N/A,FALSE,"FORM-D1"}</definedName>
    <definedName name="EWWW" localSheetId="24" hidden="1">{"form-D1",#N/A,FALSE,"FORM-D1";"form-D1_amt",#N/A,FALSE,"FORM-D1"}</definedName>
    <definedName name="EWWW" localSheetId="26" hidden="1">{"form-D1",#N/A,FALSE,"FORM-D1";"form-D1_amt",#N/A,FALSE,"FORM-D1"}</definedName>
    <definedName name="EWWW" hidden="1">{"form-D1",#N/A,FALSE,"FORM-D1";"form-D1_amt",#N/A,FALSE,"FORM-D1"}</definedName>
    <definedName name="ex" localSheetId="6">#REF!</definedName>
    <definedName name="ex" localSheetId="29">#REF!</definedName>
    <definedName name="ex" localSheetId="24">#REF!</definedName>
    <definedName name="ex" localSheetId="26">#REF!</definedName>
    <definedName name="ex">#REF!</definedName>
    <definedName name="ex_joint" localSheetId="6">#REF!</definedName>
    <definedName name="ex_joint" localSheetId="24">#REF!</definedName>
    <definedName name="ex_joint">#REF!</definedName>
    <definedName name="Ex_Rate_LC_per_FC" localSheetId="6">#REF!</definedName>
    <definedName name="Ex_Rate_LC_per_FC">#REF!</definedName>
    <definedName name="Excavation">#REF!</definedName>
    <definedName name="ExcavatorPOL" localSheetId="6">#REF!</definedName>
    <definedName name="ExcavatorPOL" localSheetId="27">#REF!</definedName>
    <definedName name="ExcavatorPOL" localSheetId="4">#REF!</definedName>
    <definedName name="ExcavatorPOL" localSheetId="32">#REF!</definedName>
    <definedName name="ExcavatorPOL" localSheetId="24">#REF!</definedName>
    <definedName name="ExcavatorPOL">#REF!</definedName>
    <definedName name="excavcl" localSheetId="24">#REF!</definedName>
    <definedName name="excavcl">#REF!</definedName>
    <definedName name="excavtion_offset">#REF!</definedName>
    <definedName name="Excel" localSheetId="12" hidden="1">{#N/A,#N/A,FALSE,"Wadhal";#N/A,#N/A,FALSE,"Manglad U-S";#N/A,#N/A,FALSE,"Manglad D-S";#N/A,#N/A,FALSE,"Ratanpur U-S";#N/A,#N/A,FALSE,"Ratanpur D-S";#N/A,#N/A,FALSE,"VI Face"}</definedName>
    <definedName name="Excel" hidden="1">{#N/A,#N/A,FALSE,"Wadhal";#N/A,#N/A,FALSE,"Manglad U-S";#N/A,#N/A,FALSE,"Manglad D-S";#N/A,#N/A,FALSE,"Ratanpur U-S";#N/A,#N/A,FALSE,"Ratanpur D-S";#N/A,#N/A,FALSE,"VI Face"}</definedName>
    <definedName name="Excel_BuiltIn__FilterDatabase">#REF!</definedName>
    <definedName name="Excel_BuiltIn__FilterDatabase_1" localSheetId="4">#REF!</definedName>
    <definedName name="Excel_BuiltIn__FilterDatabase_1" localSheetId="32">#REF!</definedName>
    <definedName name="Excel_BuiltIn__FilterDatabase_1" localSheetId="24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 localSheetId="12">#REF!</definedName>
    <definedName name="Excel_BuiltIn__FilterDatabase_14_16">#REF!</definedName>
    <definedName name="Excel_BuiltIn__FilterDatabase_14_16_16" localSheetId="12">#REF!</definedName>
    <definedName name="Excel_BuiltIn__FilterDatabase_14_16_16">#REF!</definedName>
    <definedName name="Excel_BuiltIn__FilterDatabase_14_16_2" localSheetId="12">#REF!</definedName>
    <definedName name="Excel_BuiltIn__FilterDatabase_14_16_2">#REF!</definedName>
    <definedName name="Excel_BuiltIn__FilterDatabase_14_16_27" localSheetId="12">#REF!</definedName>
    <definedName name="Excel_BuiltIn__FilterDatabase_14_16_27">#REF!</definedName>
    <definedName name="Excel_BuiltIn__FilterDatabase_14_16_4" localSheetId="12">#REF!</definedName>
    <definedName name="Excel_BuiltIn__FilterDatabase_14_16_4">#REF!</definedName>
    <definedName name="Excel_BuiltIn__FilterDatabase_14_16_5" localSheetId="12">#REF!</definedName>
    <definedName name="Excel_BuiltIn__FilterDatabase_14_16_5">#REF!</definedName>
    <definedName name="Excel_BuiltIn__FilterDatabase_2">#REF!</definedName>
    <definedName name="Excel_BuiltIn__FilterDatabase_23">#REF!</definedName>
    <definedName name="Excel_BuiltIn__FilterDatabase_26" localSheetId="12">#REF!</definedName>
    <definedName name="Excel_BuiltIn__FilterDatabase_26">#REF!</definedName>
    <definedName name="Excel_BuiltIn__FilterDatabase_26_16" localSheetId="12">#REF!</definedName>
    <definedName name="Excel_BuiltIn__FilterDatabase_26_16">#REF!</definedName>
    <definedName name="Excel_BuiltIn__FilterDatabase_26_2" localSheetId="12">#REF!</definedName>
    <definedName name="Excel_BuiltIn__FilterDatabase_26_2">#REF!</definedName>
    <definedName name="Excel_BuiltIn__FilterDatabase_26_27" localSheetId="12">#REF!</definedName>
    <definedName name="Excel_BuiltIn__FilterDatabase_26_27">#REF!</definedName>
    <definedName name="Excel_BuiltIn__FilterDatabase_26_4" localSheetId="12">#REF!</definedName>
    <definedName name="Excel_BuiltIn__FilterDatabase_26_4">#REF!</definedName>
    <definedName name="Excel_BuiltIn__FilterDatabase_28" localSheetId="12">#REF!</definedName>
    <definedName name="Excel_BuiltIn__FilterDatabase_28">#REF!</definedName>
    <definedName name="Excel_BuiltIn__FilterDatabase_28_16" localSheetId="12">#REF!</definedName>
    <definedName name="Excel_BuiltIn__FilterDatabase_28_16">#REF!</definedName>
    <definedName name="Excel_BuiltIn__FilterDatabase_28_2" localSheetId="12">#REF!</definedName>
    <definedName name="Excel_BuiltIn__FilterDatabase_28_2">#REF!</definedName>
    <definedName name="Excel_BuiltIn__FilterDatabase_28_27" localSheetId="12">#REF!</definedName>
    <definedName name="Excel_BuiltIn__FilterDatabase_28_27">#REF!</definedName>
    <definedName name="Excel_BuiltIn__FilterDatabase_28_4" localSheetId="12">#REF!</definedName>
    <definedName name="Excel_BuiltIn__FilterDatabase_28_4">#REF!</definedName>
    <definedName name="Excel_BuiltIn__FilterDatabase_3">NA()</definedName>
    <definedName name="Excel_BuiltIn__FilterDatabase_31" localSheetId="6">#REF!</definedName>
    <definedName name="Excel_BuiltIn__FilterDatabase_31" localSheetId="29">#REF!</definedName>
    <definedName name="Excel_BuiltIn__FilterDatabase_31" localSheetId="24">#REF!</definedName>
    <definedName name="Excel_BuiltIn__FilterDatabase_31" localSheetId="26">#REF!</definedName>
    <definedName name="Excel_BuiltIn__FilterDatabase_31">#REF!</definedName>
    <definedName name="Excel_BuiltIn__FilterDatabase_31_1" localSheetId="12">#REF!</definedName>
    <definedName name="Excel_BuiltIn__FilterDatabase_31_1" localSheetId="24">#REF!</definedName>
    <definedName name="Excel_BuiltIn__FilterDatabase_31_1">#REF!</definedName>
    <definedName name="Excel_BuiltIn__FilterDatabase_31_16" localSheetId="12">#REF!</definedName>
    <definedName name="Excel_BuiltIn__FilterDatabase_31_16">#REF!</definedName>
    <definedName name="Excel_BuiltIn__FilterDatabase_31_2" localSheetId="12">#REF!</definedName>
    <definedName name="Excel_BuiltIn__FilterDatabase_31_2">#REF!</definedName>
    <definedName name="Excel_BuiltIn__FilterDatabase_31_27" localSheetId="12">#REF!</definedName>
    <definedName name="Excel_BuiltIn__FilterDatabase_31_27">#REF!</definedName>
    <definedName name="Excel_BuiltIn__FilterDatabase_31_4" localSheetId="12">#REF!</definedName>
    <definedName name="Excel_BuiltIn__FilterDatabase_31_4">#REF!</definedName>
    <definedName name="Excel_BuiltIn__FilterDatabase_4" localSheetId="6">#REF!</definedName>
    <definedName name="Excel_BuiltIn__FilterDatabase_4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 localSheetId="6">#REF!</definedName>
    <definedName name="Excel_BuiltIn__FilterDatabase_6">#REF!</definedName>
    <definedName name="Excel_BuiltIn__FilterDatabase_7">#REF!</definedName>
    <definedName name="Excel_BuiltIn__FilterDatabase_7_8" localSheetId="12">#REF!</definedName>
    <definedName name="Excel_BuiltIn__FilterDatabase_7_8">#REF!</definedName>
    <definedName name="Excel_BuiltIn__FilterDatabase_7_8_16" localSheetId="12">#REF!</definedName>
    <definedName name="Excel_BuiltIn__FilterDatabase_7_8_16">#REF!</definedName>
    <definedName name="Excel_BuiltIn__FilterDatabase_7_8_2" localSheetId="12">#REF!</definedName>
    <definedName name="Excel_BuiltIn__FilterDatabase_7_8_2">#REF!</definedName>
    <definedName name="Excel_BuiltIn__FilterDatabase_7_8_27" localSheetId="12">#REF!</definedName>
    <definedName name="Excel_BuiltIn__FilterDatabase_7_8_27">#REF!</definedName>
    <definedName name="Excel_BuiltIn__FilterDatabase_7_8_4" localSheetId="12">#REF!</definedName>
    <definedName name="Excel_BuiltIn__FilterDatabase_7_8_4">#REF!</definedName>
    <definedName name="Excel_BuiltIn__FilterDatabase_7_8_5" localSheetId="12">#REF!</definedName>
    <definedName name="Excel_BuiltIn__FilterDatabase_7_8_5">#REF!</definedName>
    <definedName name="Excel_BuiltIn_Database">#REF!</definedName>
    <definedName name="Excel_BuiltIn_Database_0">"$#REF!.$A$1:$N$4078"</definedName>
    <definedName name="Excel_BuiltIn_Print_Area" localSheetId="12">#REF!</definedName>
    <definedName name="Excel_BuiltIn_Print_Area">"$#REF!.$A$1:$Z$38"</definedName>
    <definedName name="Excel_BuiltIn_Print_Area_1" localSheetId="12">#REF!</definedName>
    <definedName name="Excel_BuiltIn_Print_Area_1" localSheetId="6">#REF!</definedName>
    <definedName name="Excel_BuiltIn_Print_Area_1" localSheetId="29">#REF!</definedName>
    <definedName name="Excel_BuiltIn_Print_Area_1" localSheetId="7">#REF!</definedName>
    <definedName name="Excel_BuiltIn_Print_Area_1" localSheetId="26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">#REF!</definedName>
    <definedName name="Excel_BuiltIn_Print_Area_10_1">#REF!</definedName>
    <definedName name="Excel_BuiltIn_Print_Area_10_1_1" localSheetId="12">#REF!</definedName>
    <definedName name="Excel_BuiltIn_Print_Area_10_1_1">#REF!</definedName>
    <definedName name="Excel_BuiltIn_Print_Area_10_1_1_1" localSheetId="12">#REF!</definedName>
    <definedName name="Excel_BuiltIn_Print_Area_10_1_1_1">#REF!</definedName>
    <definedName name="Excel_BuiltIn_Print_Area_10_1_1_1_1" localSheetId="12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 localSheetId="12">#REF!</definedName>
    <definedName name="Excel_BuiltIn_Print_Area_10_1_1_16">#REF!</definedName>
    <definedName name="Excel_BuiltIn_Print_Area_10_1_1_16_1">#REF!</definedName>
    <definedName name="Excel_BuiltIn_Print_Area_10_1_1_2" localSheetId="12">#REF!</definedName>
    <definedName name="Excel_BuiltIn_Print_Area_10_1_1_2">#REF!</definedName>
    <definedName name="Excel_BuiltIn_Print_Area_10_1_1_2_1">#REF!</definedName>
    <definedName name="Excel_BuiltIn_Print_Area_10_1_1_27" localSheetId="12">#REF!</definedName>
    <definedName name="Excel_BuiltIn_Print_Area_10_1_1_27">#REF!</definedName>
    <definedName name="Excel_BuiltIn_Print_Area_10_1_1_27_1" localSheetId="12">#REF!</definedName>
    <definedName name="Excel_BuiltIn_Print_Area_10_1_1_27_1">#REF!</definedName>
    <definedName name="Excel_BuiltIn_Print_Area_10_1_1_4" localSheetId="12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 localSheetId="12">#REF!</definedName>
    <definedName name="Excel_BuiltIn_Print_Area_10_1_16">#REF!</definedName>
    <definedName name="Excel_BuiltIn_Print_Area_10_1_16_1" localSheetId="12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 localSheetId="12">#REF!</definedName>
    <definedName name="Excel_BuiltIn_Print_Area_10_1_2">#REF!</definedName>
    <definedName name="Excel_BuiltIn_Print_Area_10_1_2_1" localSheetId="12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 localSheetId="12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 localSheetId="12">#REF!</definedName>
    <definedName name="Excel_BuiltIn_Print_Area_10_1_4">#REF!</definedName>
    <definedName name="Excel_BuiltIn_Print_Area_10_1_4_1" localSheetId="12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 localSheetId="12">#REF!</definedName>
    <definedName name="Excel_BuiltIn_Print_Area_10_16">#REF!</definedName>
    <definedName name="Excel_BuiltIn_Print_Area_10_2" localSheetId="12">#REF!</definedName>
    <definedName name="Excel_BuiltIn_Print_Area_10_2">#REF!</definedName>
    <definedName name="Excel_BuiltIn_Print_Area_10_27" localSheetId="12">#REF!</definedName>
    <definedName name="Excel_BuiltIn_Print_Area_10_27">#REF!</definedName>
    <definedName name="Excel_BuiltIn_Print_Area_10_4" localSheetId="12">#REF!</definedName>
    <definedName name="Excel_BuiltIn_Print_Area_10_4">#REF!</definedName>
    <definedName name="Excel_BuiltIn_Print_Area_10_8" localSheetId="12">#REF!</definedName>
    <definedName name="Excel_BuiltIn_Print_Area_10_8">#REF!</definedName>
    <definedName name="Excel_BuiltIn_Print_Area_10_8_16" localSheetId="12">#REF!</definedName>
    <definedName name="Excel_BuiltIn_Print_Area_10_8_16">#REF!</definedName>
    <definedName name="Excel_BuiltIn_Print_Area_10_8_2" localSheetId="12">#REF!</definedName>
    <definedName name="Excel_BuiltIn_Print_Area_10_8_2">#REF!</definedName>
    <definedName name="Excel_BuiltIn_Print_Area_10_8_27" localSheetId="12">#REF!</definedName>
    <definedName name="Excel_BuiltIn_Print_Area_10_8_27">#REF!</definedName>
    <definedName name="Excel_BuiltIn_Print_Area_10_8_4" localSheetId="12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12">#REF!</definedName>
    <definedName name="Excel_BuiltIn_Print_Area_2" localSheetId="29">"$#REF!.$A$1:$O$42"</definedName>
    <definedName name="Excel_BuiltIn_Print_Area_2" localSheetId="4">"$#REF!.$A$1:$O$42"</definedName>
    <definedName name="Excel_BuiltIn_Print_Area_2" localSheetId="32">"$#REF!.$A$1:$O$42"</definedName>
    <definedName name="Excel_BuiltIn_Print_Area_2" localSheetId="24">#REF!</definedName>
    <definedName name="Excel_BuiltIn_Print_Area_2" localSheetId="26">"$#REF!.$A$1:$O$42"</definedName>
    <definedName name="Excel_BuiltIn_Print_Area_2">"$#REF!.$A$1:$O$42"</definedName>
    <definedName name="Excel_BuiltIn_Print_Area_2_1" localSheetId="6">#REF!</definedName>
    <definedName name="Excel_BuiltIn_Print_Area_2_1" localSheetId="29">#REF!</definedName>
    <definedName name="Excel_BuiltIn_Print_Area_2_1" localSheetId="7">#REF!</definedName>
    <definedName name="Excel_BuiltIn_Print_Area_2_1" localSheetId="26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5">#REF!</definedName>
    <definedName name="Excel_BuiltIn_Print_Area_28" localSheetId="12">#REF!</definedName>
    <definedName name="Excel_BuiltIn_Print_Area_28">#REF!</definedName>
    <definedName name="Excel_BuiltIn_Print_Area_28_1" localSheetId="12">#REF!</definedName>
    <definedName name="Excel_BuiltIn_Print_Area_28_1">#REF!</definedName>
    <definedName name="Excel_BuiltIn_Print_Area_28_1_1" localSheetId="12">#REF!</definedName>
    <definedName name="Excel_BuiltIn_Print_Area_28_1_1">#REF!</definedName>
    <definedName name="Excel_BuiltIn_Print_Area_28_1_16" localSheetId="12">#REF!</definedName>
    <definedName name="Excel_BuiltIn_Print_Area_28_1_16">#REF!</definedName>
    <definedName name="Excel_BuiltIn_Print_Area_28_1_2" localSheetId="12">#REF!</definedName>
    <definedName name="Excel_BuiltIn_Print_Area_28_1_2">#REF!</definedName>
    <definedName name="Excel_BuiltIn_Print_Area_28_1_27" localSheetId="12">#REF!</definedName>
    <definedName name="Excel_BuiltIn_Print_Area_28_1_27">#REF!</definedName>
    <definedName name="Excel_BuiltIn_Print_Area_28_1_4" localSheetId="12">#REF!</definedName>
    <definedName name="Excel_BuiltIn_Print_Area_28_1_4">#REF!</definedName>
    <definedName name="Excel_BuiltIn_Print_Area_28_10" localSheetId="12">#REF!</definedName>
    <definedName name="Excel_BuiltIn_Print_Area_28_10">#REF!</definedName>
    <definedName name="Excel_BuiltIn_Print_Area_28_10_16" localSheetId="12">#REF!</definedName>
    <definedName name="Excel_BuiltIn_Print_Area_28_10_16">#REF!</definedName>
    <definedName name="Excel_BuiltIn_Print_Area_28_10_2" localSheetId="12">#REF!</definedName>
    <definedName name="Excel_BuiltIn_Print_Area_28_10_2">#REF!</definedName>
    <definedName name="Excel_BuiltIn_Print_Area_28_10_27" localSheetId="12">#REF!</definedName>
    <definedName name="Excel_BuiltIn_Print_Area_28_10_27">#REF!</definedName>
    <definedName name="Excel_BuiltIn_Print_Area_28_10_4" localSheetId="12">#REF!</definedName>
    <definedName name="Excel_BuiltIn_Print_Area_28_10_4">#REF!</definedName>
    <definedName name="Excel_BuiltIn_Print_Area_28_11" localSheetId="12">#REF!</definedName>
    <definedName name="Excel_BuiltIn_Print_Area_28_11">#REF!</definedName>
    <definedName name="Excel_BuiltIn_Print_Area_28_11_16" localSheetId="12">#REF!</definedName>
    <definedName name="Excel_BuiltIn_Print_Area_28_11_16">#REF!</definedName>
    <definedName name="Excel_BuiltIn_Print_Area_28_11_2" localSheetId="12">#REF!</definedName>
    <definedName name="Excel_BuiltIn_Print_Area_28_11_2">#REF!</definedName>
    <definedName name="Excel_BuiltIn_Print_Area_28_11_27" localSheetId="12">#REF!</definedName>
    <definedName name="Excel_BuiltIn_Print_Area_28_11_27">#REF!</definedName>
    <definedName name="Excel_BuiltIn_Print_Area_28_11_4" localSheetId="12">#REF!</definedName>
    <definedName name="Excel_BuiltIn_Print_Area_28_11_4">#REF!</definedName>
    <definedName name="Excel_BuiltIn_Print_Area_28_12" localSheetId="12">#REF!</definedName>
    <definedName name="Excel_BuiltIn_Print_Area_28_12">#REF!</definedName>
    <definedName name="Excel_BuiltIn_Print_Area_28_12_16" localSheetId="12">#REF!</definedName>
    <definedName name="Excel_BuiltIn_Print_Area_28_12_16">#REF!</definedName>
    <definedName name="Excel_BuiltIn_Print_Area_28_12_2" localSheetId="12">#REF!</definedName>
    <definedName name="Excel_BuiltIn_Print_Area_28_12_2">#REF!</definedName>
    <definedName name="Excel_BuiltIn_Print_Area_28_12_27" localSheetId="12">#REF!</definedName>
    <definedName name="Excel_BuiltIn_Print_Area_28_12_27">#REF!</definedName>
    <definedName name="Excel_BuiltIn_Print_Area_28_12_4" localSheetId="12">#REF!</definedName>
    <definedName name="Excel_BuiltIn_Print_Area_28_12_4">#REF!</definedName>
    <definedName name="Excel_BuiltIn_Print_Area_28_13" localSheetId="12">#REF!</definedName>
    <definedName name="Excel_BuiltIn_Print_Area_28_13">#REF!</definedName>
    <definedName name="Excel_BuiltIn_Print_Area_28_13_16" localSheetId="12">#REF!</definedName>
    <definedName name="Excel_BuiltIn_Print_Area_28_13_16">#REF!</definedName>
    <definedName name="Excel_BuiltIn_Print_Area_28_13_2" localSheetId="12">#REF!</definedName>
    <definedName name="Excel_BuiltIn_Print_Area_28_13_2">#REF!</definedName>
    <definedName name="Excel_BuiltIn_Print_Area_28_13_27" localSheetId="12">#REF!</definedName>
    <definedName name="Excel_BuiltIn_Print_Area_28_13_27">#REF!</definedName>
    <definedName name="Excel_BuiltIn_Print_Area_28_13_4" localSheetId="12">#REF!</definedName>
    <definedName name="Excel_BuiltIn_Print_Area_28_13_4">#REF!</definedName>
    <definedName name="Excel_BuiltIn_Print_Area_28_14" localSheetId="12">#REF!</definedName>
    <definedName name="Excel_BuiltIn_Print_Area_28_14">#REF!</definedName>
    <definedName name="Excel_BuiltIn_Print_Area_28_14_16" localSheetId="12">#REF!</definedName>
    <definedName name="Excel_BuiltIn_Print_Area_28_14_16">#REF!</definedName>
    <definedName name="Excel_BuiltIn_Print_Area_28_14_2" localSheetId="12">#REF!</definedName>
    <definedName name="Excel_BuiltIn_Print_Area_28_14_2">#REF!</definedName>
    <definedName name="Excel_BuiltIn_Print_Area_28_14_27" localSheetId="12">#REF!</definedName>
    <definedName name="Excel_BuiltIn_Print_Area_28_14_27">#REF!</definedName>
    <definedName name="Excel_BuiltIn_Print_Area_28_14_4" localSheetId="12">#REF!</definedName>
    <definedName name="Excel_BuiltIn_Print_Area_28_14_4">#REF!</definedName>
    <definedName name="Excel_BuiltIn_Print_Area_28_15" localSheetId="12">#REF!</definedName>
    <definedName name="Excel_BuiltIn_Print_Area_28_15">#REF!</definedName>
    <definedName name="Excel_BuiltIn_Print_Area_28_15_16" localSheetId="12">#REF!</definedName>
    <definedName name="Excel_BuiltIn_Print_Area_28_15_16">#REF!</definedName>
    <definedName name="Excel_BuiltIn_Print_Area_28_15_2" localSheetId="12">#REF!</definedName>
    <definedName name="Excel_BuiltIn_Print_Area_28_15_2">#REF!</definedName>
    <definedName name="Excel_BuiltIn_Print_Area_28_15_27" localSheetId="12">#REF!</definedName>
    <definedName name="Excel_BuiltIn_Print_Area_28_15_27">#REF!</definedName>
    <definedName name="Excel_BuiltIn_Print_Area_28_15_4" localSheetId="12">#REF!</definedName>
    <definedName name="Excel_BuiltIn_Print_Area_28_15_4">#REF!</definedName>
    <definedName name="Excel_BuiltIn_Print_Area_28_16" localSheetId="12">#REF!</definedName>
    <definedName name="Excel_BuiltIn_Print_Area_28_16">#REF!</definedName>
    <definedName name="Excel_BuiltIn_Print_Area_28_16_1" localSheetId="12">#REF!</definedName>
    <definedName name="Excel_BuiltIn_Print_Area_28_16_1">#REF!</definedName>
    <definedName name="Excel_BuiltIn_Print_Area_28_16_16" localSheetId="12">#REF!</definedName>
    <definedName name="Excel_BuiltIn_Print_Area_28_16_16">#REF!</definedName>
    <definedName name="Excel_BuiltIn_Print_Area_28_16_2" localSheetId="12">#REF!</definedName>
    <definedName name="Excel_BuiltIn_Print_Area_28_16_2">#REF!</definedName>
    <definedName name="Excel_BuiltIn_Print_Area_28_16_27" localSheetId="12">#REF!</definedName>
    <definedName name="Excel_BuiltIn_Print_Area_28_16_27">#REF!</definedName>
    <definedName name="Excel_BuiltIn_Print_Area_28_16_4" localSheetId="12">#REF!</definedName>
    <definedName name="Excel_BuiltIn_Print_Area_28_16_4">#REF!</definedName>
    <definedName name="Excel_BuiltIn_Print_Area_28_17" localSheetId="12">#REF!</definedName>
    <definedName name="Excel_BuiltIn_Print_Area_28_17">#REF!</definedName>
    <definedName name="Excel_BuiltIn_Print_Area_28_17_16" localSheetId="12">#REF!</definedName>
    <definedName name="Excel_BuiltIn_Print_Area_28_17_16">#REF!</definedName>
    <definedName name="Excel_BuiltIn_Print_Area_28_17_2" localSheetId="12">#REF!</definedName>
    <definedName name="Excel_BuiltIn_Print_Area_28_17_2">#REF!</definedName>
    <definedName name="Excel_BuiltIn_Print_Area_28_17_27" localSheetId="12">#REF!</definedName>
    <definedName name="Excel_BuiltIn_Print_Area_28_17_27">#REF!</definedName>
    <definedName name="Excel_BuiltIn_Print_Area_28_17_4" localSheetId="12">#REF!</definedName>
    <definedName name="Excel_BuiltIn_Print_Area_28_17_4">#REF!</definedName>
    <definedName name="Excel_BuiltIn_Print_Area_28_2" localSheetId="12">#REF!</definedName>
    <definedName name="Excel_BuiltIn_Print_Area_28_2">#REF!</definedName>
    <definedName name="Excel_BuiltIn_Print_Area_28_2_1" localSheetId="12">#REF!</definedName>
    <definedName name="Excel_BuiltIn_Print_Area_28_2_1">#REF!</definedName>
    <definedName name="Excel_BuiltIn_Print_Area_28_2_16" localSheetId="12">#REF!</definedName>
    <definedName name="Excel_BuiltIn_Print_Area_28_2_16">#REF!</definedName>
    <definedName name="Excel_BuiltIn_Print_Area_28_2_2" localSheetId="12">#REF!</definedName>
    <definedName name="Excel_BuiltIn_Print_Area_28_2_2">#REF!</definedName>
    <definedName name="Excel_BuiltIn_Print_Area_28_2_27" localSheetId="12">#REF!</definedName>
    <definedName name="Excel_BuiltIn_Print_Area_28_2_27">#REF!</definedName>
    <definedName name="Excel_BuiltIn_Print_Area_28_2_4" localSheetId="12">#REF!</definedName>
    <definedName name="Excel_BuiltIn_Print_Area_28_2_4">#REF!</definedName>
    <definedName name="Excel_BuiltIn_Print_Area_28_20" localSheetId="12">#REF!</definedName>
    <definedName name="Excel_BuiltIn_Print_Area_28_20">#REF!</definedName>
    <definedName name="Excel_BuiltIn_Print_Area_28_20_16" localSheetId="12">#REF!</definedName>
    <definedName name="Excel_BuiltIn_Print_Area_28_20_16">#REF!</definedName>
    <definedName name="Excel_BuiltIn_Print_Area_28_20_2" localSheetId="12">#REF!</definedName>
    <definedName name="Excel_BuiltIn_Print_Area_28_20_2">#REF!</definedName>
    <definedName name="Excel_BuiltIn_Print_Area_28_20_27" localSheetId="12">#REF!</definedName>
    <definedName name="Excel_BuiltIn_Print_Area_28_20_27">#REF!</definedName>
    <definedName name="Excel_BuiltIn_Print_Area_28_20_4" localSheetId="12">#REF!</definedName>
    <definedName name="Excel_BuiltIn_Print_Area_28_20_4">#REF!</definedName>
    <definedName name="Excel_BuiltIn_Print_Area_28_27" localSheetId="12">#REF!</definedName>
    <definedName name="Excel_BuiltIn_Print_Area_28_27">#REF!</definedName>
    <definedName name="Excel_BuiltIn_Print_Area_28_3" localSheetId="12">#REF!</definedName>
    <definedName name="Excel_BuiltIn_Print_Area_28_3">#REF!</definedName>
    <definedName name="Excel_BuiltIn_Print_Area_28_3_16" localSheetId="12">#REF!</definedName>
    <definedName name="Excel_BuiltIn_Print_Area_28_3_16">#REF!</definedName>
    <definedName name="Excel_BuiltIn_Print_Area_28_3_2" localSheetId="12">#REF!</definedName>
    <definedName name="Excel_BuiltIn_Print_Area_28_3_2">#REF!</definedName>
    <definedName name="Excel_BuiltIn_Print_Area_28_3_27" localSheetId="12">#REF!</definedName>
    <definedName name="Excel_BuiltIn_Print_Area_28_3_27">#REF!</definedName>
    <definedName name="Excel_BuiltIn_Print_Area_28_3_4" localSheetId="12">#REF!</definedName>
    <definedName name="Excel_BuiltIn_Print_Area_28_3_4">#REF!</definedName>
    <definedName name="Excel_BuiltIn_Print_Area_28_4" localSheetId="12">#REF!</definedName>
    <definedName name="Excel_BuiltIn_Print_Area_28_4">#REF!</definedName>
    <definedName name="Excel_BuiltIn_Print_Area_28_5" localSheetId="12">#REF!</definedName>
    <definedName name="Excel_BuiltIn_Print_Area_28_5">#REF!</definedName>
    <definedName name="Excel_BuiltIn_Print_Area_28_5_16" localSheetId="12">#REF!</definedName>
    <definedName name="Excel_BuiltIn_Print_Area_28_5_16">#REF!</definedName>
    <definedName name="Excel_BuiltIn_Print_Area_28_5_2" localSheetId="12">#REF!</definedName>
    <definedName name="Excel_BuiltIn_Print_Area_28_5_2">#REF!</definedName>
    <definedName name="Excel_BuiltIn_Print_Area_28_5_27" localSheetId="12">#REF!</definedName>
    <definedName name="Excel_BuiltIn_Print_Area_28_5_27">#REF!</definedName>
    <definedName name="Excel_BuiltIn_Print_Area_28_5_4" localSheetId="12">#REF!</definedName>
    <definedName name="Excel_BuiltIn_Print_Area_28_5_4">#REF!</definedName>
    <definedName name="Excel_BuiltIn_Print_Area_28_6" localSheetId="12">#REF!</definedName>
    <definedName name="Excel_BuiltIn_Print_Area_28_6">#REF!</definedName>
    <definedName name="Excel_BuiltIn_Print_Area_28_6_16" localSheetId="12">#REF!</definedName>
    <definedName name="Excel_BuiltIn_Print_Area_28_6_16">#REF!</definedName>
    <definedName name="Excel_BuiltIn_Print_Area_28_6_2" localSheetId="12">#REF!</definedName>
    <definedName name="Excel_BuiltIn_Print_Area_28_6_2">#REF!</definedName>
    <definedName name="Excel_BuiltIn_Print_Area_28_6_27" localSheetId="12">#REF!</definedName>
    <definedName name="Excel_BuiltIn_Print_Area_28_6_27">#REF!</definedName>
    <definedName name="Excel_BuiltIn_Print_Area_28_6_4" localSheetId="12">#REF!</definedName>
    <definedName name="Excel_BuiltIn_Print_Area_28_6_4">#REF!</definedName>
    <definedName name="Excel_BuiltIn_Print_Area_28_7" localSheetId="12">#REF!</definedName>
    <definedName name="Excel_BuiltIn_Print_Area_28_7">#REF!</definedName>
    <definedName name="Excel_BuiltIn_Print_Area_28_7_16" localSheetId="12">#REF!</definedName>
    <definedName name="Excel_BuiltIn_Print_Area_28_7_16">#REF!</definedName>
    <definedName name="Excel_BuiltIn_Print_Area_28_7_2" localSheetId="12">#REF!</definedName>
    <definedName name="Excel_BuiltIn_Print_Area_28_7_2">#REF!</definedName>
    <definedName name="Excel_BuiltIn_Print_Area_28_7_27" localSheetId="12">#REF!</definedName>
    <definedName name="Excel_BuiltIn_Print_Area_28_7_27">#REF!</definedName>
    <definedName name="Excel_BuiltIn_Print_Area_28_7_4" localSheetId="12">#REF!</definedName>
    <definedName name="Excel_BuiltIn_Print_Area_28_7_4">#REF!</definedName>
    <definedName name="Excel_BuiltIn_Print_Area_28_8" localSheetId="12">#REF!</definedName>
    <definedName name="Excel_BuiltIn_Print_Area_28_8">#REF!</definedName>
    <definedName name="Excel_BuiltIn_Print_Area_28_8_16" localSheetId="12">#REF!</definedName>
    <definedName name="Excel_BuiltIn_Print_Area_28_8_16">#REF!</definedName>
    <definedName name="Excel_BuiltIn_Print_Area_28_8_2" localSheetId="12">#REF!</definedName>
    <definedName name="Excel_BuiltIn_Print_Area_28_8_2">#REF!</definedName>
    <definedName name="Excel_BuiltIn_Print_Area_28_8_27" localSheetId="12">#REF!</definedName>
    <definedName name="Excel_BuiltIn_Print_Area_28_8_27">#REF!</definedName>
    <definedName name="Excel_BuiltIn_Print_Area_28_8_4" localSheetId="12">#REF!</definedName>
    <definedName name="Excel_BuiltIn_Print_Area_28_8_4">#REF!</definedName>
    <definedName name="Excel_BuiltIn_Print_Area_28_9" localSheetId="12">#REF!</definedName>
    <definedName name="Excel_BuiltIn_Print_Area_28_9">#REF!</definedName>
    <definedName name="Excel_BuiltIn_Print_Area_28_9_16" localSheetId="12">#REF!</definedName>
    <definedName name="Excel_BuiltIn_Print_Area_28_9_16">#REF!</definedName>
    <definedName name="Excel_BuiltIn_Print_Area_28_9_2" localSheetId="12">#REF!</definedName>
    <definedName name="Excel_BuiltIn_Print_Area_28_9_2">#REF!</definedName>
    <definedName name="Excel_BuiltIn_Print_Area_28_9_27" localSheetId="12">#REF!</definedName>
    <definedName name="Excel_BuiltIn_Print_Area_28_9_27">#REF!</definedName>
    <definedName name="Excel_BuiltIn_Print_Area_28_9_4" localSheetId="12">#REF!</definedName>
    <definedName name="Excel_BuiltIn_Print_Area_28_9_4">#REF!</definedName>
    <definedName name="Excel_BuiltIn_Print_Area_29" localSheetId="12">#REF!</definedName>
    <definedName name="Excel_BuiltIn_Print_Area_29">#REF!</definedName>
    <definedName name="Excel_BuiltIn_Print_Area_29_1" localSheetId="12">#REF!</definedName>
    <definedName name="Excel_BuiltIn_Print_Area_29_1">#REF!</definedName>
    <definedName name="Excel_BuiltIn_Print_Area_29_1_1" localSheetId="12">#REF!</definedName>
    <definedName name="Excel_BuiltIn_Print_Area_29_1_1">#REF!</definedName>
    <definedName name="Excel_BuiltIn_Print_Area_29_1_16" localSheetId="12">#REF!</definedName>
    <definedName name="Excel_BuiltIn_Print_Area_29_1_16">#REF!</definedName>
    <definedName name="Excel_BuiltIn_Print_Area_29_1_2" localSheetId="12">#REF!</definedName>
    <definedName name="Excel_BuiltIn_Print_Area_29_1_2">#REF!</definedName>
    <definedName name="Excel_BuiltIn_Print_Area_29_1_27" localSheetId="12">#REF!</definedName>
    <definedName name="Excel_BuiltIn_Print_Area_29_1_27">#REF!</definedName>
    <definedName name="Excel_BuiltIn_Print_Area_29_1_4" localSheetId="12">#REF!</definedName>
    <definedName name="Excel_BuiltIn_Print_Area_29_1_4">#REF!</definedName>
    <definedName name="Excel_BuiltIn_Print_Area_29_10" localSheetId="12">#REF!</definedName>
    <definedName name="Excel_BuiltIn_Print_Area_29_10">#REF!</definedName>
    <definedName name="Excel_BuiltIn_Print_Area_29_10_16" localSheetId="12">#REF!</definedName>
    <definedName name="Excel_BuiltIn_Print_Area_29_10_16">#REF!</definedName>
    <definedName name="Excel_BuiltIn_Print_Area_29_10_2" localSheetId="12">#REF!</definedName>
    <definedName name="Excel_BuiltIn_Print_Area_29_10_2">#REF!</definedName>
    <definedName name="Excel_BuiltIn_Print_Area_29_10_27" localSheetId="12">#REF!</definedName>
    <definedName name="Excel_BuiltIn_Print_Area_29_10_27">#REF!</definedName>
    <definedName name="Excel_BuiltIn_Print_Area_29_10_4" localSheetId="12">#REF!</definedName>
    <definedName name="Excel_BuiltIn_Print_Area_29_10_4">#REF!</definedName>
    <definedName name="Excel_BuiltIn_Print_Area_29_11" localSheetId="12">#REF!</definedName>
    <definedName name="Excel_BuiltIn_Print_Area_29_11">#REF!</definedName>
    <definedName name="Excel_BuiltIn_Print_Area_29_11_16" localSheetId="12">#REF!</definedName>
    <definedName name="Excel_BuiltIn_Print_Area_29_11_16">#REF!</definedName>
    <definedName name="Excel_BuiltIn_Print_Area_29_11_2" localSheetId="12">#REF!</definedName>
    <definedName name="Excel_BuiltIn_Print_Area_29_11_2">#REF!</definedName>
    <definedName name="Excel_BuiltIn_Print_Area_29_11_27" localSheetId="12">#REF!</definedName>
    <definedName name="Excel_BuiltIn_Print_Area_29_11_27">#REF!</definedName>
    <definedName name="Excel_BuiltIn_Print_Area_29_11_4" localSheetId="12">#REF!</definedName>
    <definedName name="Excel_BuiltIn_Print_Area_29_11_4">#REF!</definedName>
    <definedName name="Excel_BuiltIn_Print_Area_29_12" localSheetId="12">#REF!</definedName>
    <definedName name="Excel_BuiltIn_Print_Area_29_12">#REF!</definedName>
    <definedName name="Excel_BuiltIn_Print_Area_29_12_16" localSheetId="12">#REF!</definedName>
    <definedName name="Excel_BuiltIn_Print_Area_29_12_16">#REF!</definedName>
    <definedName name="Excel_BuiltIn_Print_Area_29_12_2" localSheetId="12">#REF!</definedName>
    <definedName name="Excel_BuiltIn_Print_Area_29_12_2">#REF!</definedName>
    <definedName name="Excel_BuiltIn_Print_Area_29_12_27" localSheetId="12">#REF!</definedName>
    <definedName name="Excel_BuiltIn_Print_Area_29_12_27">#REF!</definedName>
    <definedName name="Excel_BuiltIn_Print_Area_29_12_4" localSheetId="12">#REF!</definedName>
    <definedName name="Excel_BuiltIn_Print_Area_29_12_4">#REF!</definedName>
    <definedName name="Excel_BuiltIn_Print_Area_29_13" localSheetId="12">#REF!</definedName>
    <definedName name="Excel_BuiltIn_Print_Area_29_13">#REF!</definedName>
    <definedName name="Excel_BuiltIn_Print_Area_29_13_16" localSheetId="12">#REF!</definedName>
    <definedName name="Excel_BuiltIn_Print_Area_29_13_16">#REF!</definedName>
    <definedName name="Excel_BuiltIn_Print_Area_29_13_2" localSheetId="12">#REF!</definedName>
    <definedName name="Excel_BuiltIn_Print_Area_29_13_2">#REF!</definedName>
    <definedName name="Excel_BuiltIn_Print_Area_29_13_27" localSheetId="12">#REF!</definedName>
    <definedName name="Excel_BuiltIn_Print_Area_29_13_27">#REF!</definedName>
    <definedName name="Excel_BuiltIn_Print_Area_29_13_4" localSheetId="12">#REF!</definedName>
    <definedName name="Excel_BuiltIn_Print_Area_29_13_4">#REF!</definedName>
    <definedName name="Excel_BuiltIn_Print_Area_29_14" localSheetId="12">#REF!</definedName>
    <definedName name="Excel_BuiltIn_Print_Area_29_14">#REF!</definedName>
    <definedName name="Excel_BuiltIn_Print_Area_29_14_16" localSheetId="12">#REF!</definedName>
    <definedName name="Excel_BuiltIn_Print_Area_29_14_16">#REF!</definedName>
    <definedName name="Excel_BuiltIn_Print_Area_29_14_2" localSheetId="12">#REF!</definedName>
    <definedName name="Excel_BuiltIn_Print_Area_29_14_2">#REF!</definedName>
    <definedName name="Excel_BuiltIn_Print_Area_29_14_27" localSheetId="12">#REF!</definedName>
    <definedName name="Excel_BuiltIn_Print_Area_29_14_27">#REF!</definedName>
    <definedName name="Excel_BuiltIn_Print_Area_29_14_4" localSheetId="12">#REF!</definedName>
    <definedName name="Excel_BuiltIn_Print_Area_29_14_4">#REF!</definedName>
    <definedName name="Excel_BuiltIn_Print_Area_29_15" localSheetId="12">#REF!</definedName>
    <definedName name="Excel_BuiltIn_Print_Area_29_15">#REF!</definedName>
    <definedName name="Excel_BuiltIn_Print_Area_29_15_16" localSheetId="12">#REF!</definedName>
    <definedName name="Excel_BuiltIn_Print_Area_29_15_16">#REF!</definedName>
    <definedName name="Excel_BuiltIn_Print_Area_29_15_2" localSheetId="12">#REF!</definedName>
    <definedName name="Excel_BuiltIn_Print_Area_29_15_2">#REF!</definedName>
    <definedName name="Excel_BuiltIn_Print_Area_29_15_27" localSheetId="12">#REF!</definedName>
    <definedName name="Excel_BuiltIn_Print_Area_29_15_27">#REF!</definedName>
    <definedName name="Excel_BuiltIn_Print_Area_29_15_4" localSheetId="12">#REF!</definedName>
    <definedName name="Excel_BuiltIn_Print_Area_29_15_4">#REF!</definedName>
    <definedName name="Excel_BuiltIn_Print_Area_29_16" localSheetId="12">#REF!</definedName>
    <definedName name="Excel_BuiltIn_Print_Area_29_16">#REF!</definedName>
    <definedName name="Excel_BuiltIn_Print_Area_29_16_1" localSheetId="12">#REF!</definedName>
    <definedName name="Excel_BuiltIn_Print_Area_29_16_1">#REF!</definedName>
    <definedName name="Excel_BuiltIn_Print_Area_29_16_16" localSheetId="12">#REF!</definedName>
    <definedName name="Excel_BuiltIn_Print_Area_29_16_16">#REF!</definedName>
    <definedName name="Excel_BuiltIn_Print_Area_29_16_2" localSheetId="12">#REF!</definedName>
    <definedName name="Excel_BuiltIn_Print_Area_29_16_2">#REF!</definedName>
    <definedName name="Excel_BuiltIn_Print_Area_29_16_27" localSheetId="12">#REF!</definedName>
    <definedName name="Excel_BuiltIn_Print_Area_29_16_27">#REF!</definedName>
    <definedName name="Excel_BuiltIn_Print_Area_29_16_4" localSheetId="12">#REF!</definedName>
    <definedName name="Excel_BuiltIn_Print_Area_29_16_4">#REF!</definedName>
    <definedName name="Excel_BuiltIn_Print_Area_29_17" localSheetId="12">#REF!</definedName>
    <definedName name="Excel_BuiltIn_Print_Area_29_17">#REF!</definedName>
    <definedName name="Excel_BuiltIn_Print_Area_29_17_16" localSheetId="12">#REF!</definedName>
    <definedName name="Excel_BuiltIn_Print_Area_29_17_16">#REF!</definedName>
    <definedName name="Excel_BuiltIn_Print_Area_29_17_2" localSheetId="12">#REF!</definedName>
    <definedName name="Excel_BuiltIn_Print_Area_29_17_2">#REF!</definedName>
    <definedName name="Excel_BuiltIn_Print_Area_29_17_27" localSheetId="12">#REF!</definedName>
    <definedName name="Excel_BuiltIn_Print_Area_29_17_27">#REF!</definedName>
    <definedName name="Excel_BuiltIn_Print_Area_29_17_4" localSheetId="12">#REF!</definedName>
    <definedName name="Excel_BuiltIn_Print_Area_29_17_4">#REF!</definedName>
    <definedName name="Excel_BuiltIn_Print_Area_29_2" localSheetId="12">#REF!</definedName>
    <definedName name="Excel_BuiltIn_Print_Area_29_2">#REF!</definedName>
    <definedName name="Excel_BuiltIn_Print_Area_29_2_1" localSheetId="12">#REF!</definedName>
    <definedName name="Excel_BuiltIn_Print_Area_29_2_1">#REF!</definedName>
    <definedName name="Excel_BuiltIn_Print_Area_29_2_16" localSheetId="12">#REF!</definedName>
    <definedName name="Excel_BuiltIn_Print_Area_29_2_16">#REF!</definedName>
    <definedName name="Excel_BuiltIn_Print_Area_29_2_2" localSheetId="12">#REF!</definedName>
    <definedName name="Excel_BuiltIn_Print_Area_29_2_2">#REF!</definedName>
    <definedName name="Excel_BuiltIn_Print_Area_29_2_27" localSheetId="12">#REF!</definedName>
    <definedName name="Excel_BuiltIn_Print_Area_29_2_27">#REF!</definedName>
    <definedName name="Excel_BuiltIn_Print_Area_29_2_4" localSheetId="12">#REF!</definedName>
    <definedName name="Excel_BuiltIn_Print_Area_29_2_4">#REF!</definedName>
    <definedName name="Excel_BuiltIn_Print_Area_29_20" localSheetId="12">#REF!</definedName>
    <definedName name="Excel_BuiltIn_Print_Area_29_20">#REF!</definedName>
    <definedName name="Excel_BuiltIn_Print_Area_29_20_16" localSheetId="12">#REF!</definedName>
    <definedName name="Excel_BuiltIn_Print_Area_29_20_16">#REF!</definedName>
    <definedName name="Excel_BuiltIn_Print_Area_29_20_2" localSheetId="12">#REF!</definedName>
    <definedName name="Excel_BuiltIn_Print_Area_29_20_2">#REF!</definedName>
    <definedName name="Excel_BuiltIn_Print_Area_29_20_27" localSheetId="12">#REF!</definedName>
    <definedName name="Excel_BuiltIn_Print_Area_29_20_27">#REF!</definedName>
    <definedName name="Excel_BuiltIn_Print_Area_29_20_4" localSheetId="12">#REF!</definedName>
    <definedName name="Excel_BuiltIn_Print_Area_29_20_4">#REF!</definedName>
    <definedName name="Excel_BuiltIn_Print_Area_29_27" localSheetId="12">#REF!</definedName>
    <definedName name="Excel_BuiltIn_Print_Area_29_27">#REF!</definedName>
    <definedName name="Excel_BuiltIn_Print_Area_29_3" localSheetId="12">#REF!</definedName>
    <definedName name="Excel_BuiltIn_Print_Area_29_3">#REF!</definedName>
    <definedName name="Excel_BuiltIn_Print_Area_29_3_16" localSheetId="12">#REF!</definedName>
    <definedName name="Excel_BuiltIn_Print_Area_29_3_16">#REF!</definedName>
    <definedName name="Excel_BuiltIn_Print_Area_29_3_2" localSheetId="12">#REF!</definedName>
    <definedName name="Excel_BuiltIn_Print_Area_29_3_2">#REF!</definedName>
    <definedName name="Excel_BuiltIn_Print_Area_29_3_27" localSheetId="12">#REF!</definedName>
    <definedName name="Excel_BuiltIn_Print_Area_29_3_27">#REF!</definedName>
    <definedName name="Excel_BuiltIn_Print_Area_29_3_4" localSheetId="12">#REF!</definedName>
    <definedName name="Excel_BuiltIn_Print_Area_29_3_4">#REF!</definedName>
    <definedName name="Excel_BuiltIn_Print_Area_29_4" localSheetId="12">#REF!</definedName>
    <definedName name="Excel_BuiltIn_Print_Area_29_4">#REF!</definedName>
    <definedName name="Excel_BuiltIn_Print_Area_29_5" localSheetId="12">#REF!</definedName>
    <definedName name="Excel_BuiltIn_Print_Area_29_5">#REF!</definedName>
    <definedName name="Excel_BuiltIn_Print_Area_29_5_16" localSheetId="12">#REF!</definedName>
    <definedName name="Excel_BuiltIn_Print_Area_29_5_16">#REF!</definedName>
    <definedName name="Excel_BuiltIn_Print_Area_29_5_2" localSheetId="12">#REF!</definedName>
    <definedName name="Excel_BuiltIn_Print_Area_29_5_2">#REF!</definedName>
    <definedName name="Excel_BuiltIn_Print_Area_29_5_27" localSheetId="12">#REF!</definedName>
    <definedName name="Excel_BuiltIn_Print_Area_29_5_27">#REF!</definedName>
    <definedName name="Excel_BuiltIn_Print_Area_29_5_4" localSheetId="12">#REF!</definedName>
    <definedName name="Excel_BuiltIn_Print_Area_29_5_4">#REF!</definedName>
    <definedName name="Excel_BuiltIn_Print_Area_29_6" localSheetId="12">#REF!</definedName>
    <definedName name="Excel_BuiltIn_Print_Area_29_6">#REF!</definedName>
    <definedName name="Excel_BuiltIn_Print_Area_29_6_16" localSheetId="12">#REF!</definedName>
    <definedName name="Excel_BuiltIn_Print_Area_29_6_16">#REF!</definedName>
    <definedName name="Excel_BuiltIn_Print_Area_29_6_2" localSheetId="12">#REF!</definedName>
    <definedName name="Excel_BuiltIn_Print_Area_29_6_2">#REF!</definedName>
    <definedName name="Excel_BuiltIn_Print_Area_29_6_27" localSheetId="12">#REF!</definedName>
    <definedName name="Excel_BuiltIn_Print_Area_29_6_27">#REF!</definedName>
    <definedName name="Excel_BuiltIn_Print_Area_29_6_4" localSheetId="12">#REF!</definedName>
    <definedName name="Excel_BuiltIn_Print_Area_29_6_4">#REF!</definedName>
    <definedName name="Excel_BuiltIn_Print_Area_29_7" localSheetId="12">#REF!</definedName>
    <definedName name="Excel_BuiltIn_Print_Area_29_7">#REF!</definedName>
    <definedName name="Excel_BuiltIn_Print_Area_29_7_16" localSheetId="12">#REF!</definedName>
    <definedName name="Excel_BuiltIn_Print_Area_29_7_16">#REF!</definedName>
    <definedName name="Excel_BuiltIn_Print_Area_29_7_2" localSheetId="12">#REF!</definedName>
    <definedName name="Excel_BuiltIn_Print_Area_29_7_2">#REF!</definedName>
    <definedName name="Excel_BuiltIn_Print_Area_29_7_27" localSheetId="12">#REF!</definedName>
    <definedName name="Excel_BuiltIn_Print_Area_29_7_27">#REF!</definedName>
    <definedName name="Excel_BuiltIn_Print_Area_29_7_4" localSheetId="12">#REF!</definedName>
    <definedName name="Excel_BuiltIn_Print_Area_29_7_4">#REF!</definedName>
    <definedName name="Excel_BuiltIn_Print_Area_29_8" localSheetId="12">#REF!</definedName>
    <definedName name="Excel_BuiltIn_Print_Area_29_8">#REF!</definedName>
    <definedName name="Excel_BuiltIn_Print_Area_29_8_16" localSheetId="12">#REF!</definedName>
    <definedName name="Excel_BuiltIn_Print_Area_29_8_16">#REF!</definedName>
    <definedName name="Excel_BuiltIn_Print_Area_29_8_2" localSheetId="12">#REF!</definedName>
    <definedName name="Excel_BuiltIn_Print_Area_29_8_2">#REF!</definedName>
    <definedName name="Excel_BuiltIn_Print_Area_29_8_27" localSheetId="12">#REF!</definedName>
    <definedName name="Excel_BuiltIn_Print_Area_29_8_27">#REF!</definedName>
    <definedName name="Excel_BuiltIn_Print_Area_29_8_4" localSheetId="12">#REF!</definedName>
    <definedName name="Excel_BuiltIn_Print_Area_29_8_4">#REF!</definedName>
    <definedName name="Excel_BuiltIn_Print_Area_29_9" localSheetId="12">#REF!</definedName>
    <definedName name="Excel_BuiltIn_Print_Area_29_9">#REF!</definedName>
    <definedName name="Excel_BuiltIn_Print_Area_29_9_16" localSheetId="12">#REF!</definedName>
    <definedName name="Excel_BuiltIn_Print_Area_29_9_16">#REF!</definedName>
    <definedName name="Excel_BuiltIn_Print_Area_29_9_2" localSheetId="12">#REF!</definedName>
    <definedName name="Excel_BuiltIn_Print_Area_29_9_2">#REF!</definedName>
    <definedName name="Excel_BuiltIn_Print_Area_29_9_27" localSheetId="12">#REF!</definedName>
    <definedName name="Excel_BuiltIn_Print_Area_29_9_27">#REF!</definedName>
    <definedName name="Excel_BuiltIn_Print_Area_29_9_4" localSheetId="12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 localSheetId="4">"$#REF!.$A$1:$G$149"</definedName>
    <definedName name="Excel_BuiltIn_Print_Area_3_1_1_1" localSheetId="32">"$#REF!.$A$1:$G$149"</definedName>
    <definedName name="Excel_BuiltIn_Print_Area_3_1_1_1">"$#REF!.$A$1:$G$149"</definedName>
    <definedName name="Excel_BuiltIn_Print_Area_3_1_1_1_1" localSheetId="27">#REF!</definedName>
    <definedName name="Excel_BuiltIn_Print_Area_3_1_1_1_1">#REF!</definedName>
    <definedName name="Excel_BuiltIn_Print_Area_3_1_1_1_1_1" localSheetId="27">#REF!</definedName>
    <definedName name="Excel_BuiltIn_Print_Area_3_1_1_1_1_1">#REF!</definedName>
    <definedName name="Excel_BuiltIn_Print_Area_3_1_1_1_1_1_1" localSheetId="27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">#REF!</definedName>
    <definedName name="Excel_BuiltIn_Print_Area_4_1" localSheetId="29">#REF!</definedName>
    <definedName name="Excel_BuiltIn_Print_Area_4_1" localSheetId="7">#REF!</definedName>
    <definedName name="Excel_BuiltIn_Print_Area_4_1" localSheetId="26">#REF!</definedName>
    <definedName name="Excel_BuiltIn_Print_Area_4_1">#REF!</definedName>
    <definedName name="Excel_BuiltIn_Print_Area_4_1_1" localSheetId="29">#REF!</definedName>
    <definedName name="Excel_BuiltIn_Print_Area_4_1_1" localSheetId="7">#REF!</definedName>
    <definedName name="Excel_BuiltIn_Print_Area_4_1_1" localSheetId="26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4_2">"$#REF!.#REF!$#REF!"</definedName>
    <definedName name="Excel_BuiltIn_Print_Area_4_4">"$#REF!.#REF!$#REF!"</definedName>
    <definedName name="Excel_BuiltIn_Print_Area_4_6">"$#REF!.$#REF!$#REF!"</definedName>
    <definedName name="Excel_BuiltIn_Print_Area_5" localSheetId="27">#REF!</definedName>
    <definedName name="Excel_BuiltIn_Print_Area_5">#REF!</definedName>
    <definedName name="Excel_BuiltIn_Print_Area_5_1" localSheetId="27">#REF!</definedName>
    <definedName name="Excel_BuiltIn_Print_Area_5_1">#REF!</definedName>
    <definedName name="Excel_BuiltIn_Print_Area_5_1_1" localSheetId="27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" localSheetId="27">#REF!,#REF!</definedName>
    <definedName name="Excel_BuiltIn_Print_Titles">#REF!,#REF!</definedName>
    <definedName name="Excel_BuiltIn_Print_Titles_1" localSheetId="24">#REF!</definedName>
    <definedName name="Excel_BuiltIn_Print_Titles_1">#REF!</definedName>
    <definedName name="Excel_BuiltIn_Print_Titles_1_1" localSheetId="24">#REF!</definedName>
    <definedName name="Excel_BuiltIn_Print_Titles_1_1">#REF!</definedName>
    <definedName name="Excel_BuiltIn_Print_Titles_1_1_1">"$#REF!.$A$1:$IU$6"</definedName>
    <definedName name="Excel_BuiltIn_Print_Titles_1_1_1_1">#REF!</definedName>
    <definedName name="Excel_BuiltIn_Print_Titles_1_1_1_1_1">(#REF!,#REF!)</definedName>
    <definedName name="Excel_BuiltIn_Print_Titles_1_1_1_1_1_1">(#REF!,#REF!)</definedName>
    <definedName name="Excel_BuiltIn_Print_Titles_1_1_1_1_1_1_1">(#REF!,#REF!)</definedName>
    <definedName name="Excel_BuiltIn_Print_Titles_1_4" localSheetId="27">#REF!</definedName>
    <definedName name="Excel_BuiltIn_Print_Titles_1_4">#REF!</definedName>
    <definedName name="Excel_BuiltIn_Print_Titles_10" localSheetId="27">#REF!</definedName>
    <definedName name="Excel_BuiltIn_Print_Titles_10" localSheetId="4">#REF!</definedName>
    <definedName name="Excel_BuiltIn_Print_Titles_10" localSheetId="32">#REF!</definedName>
    <definedName name="Excel_BuiltIn_Print_Titles_10">#REF!</definedName>
    <definedName name="Excel_BuiltIn_Print_Titles_11" localSheetId="27">#REF!</definedName>
    <definedName name="Excel_BuiltIn_Print_Titles_1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 localSheetId="4">#REF!</definedName>
    <definedName name="Excel_BuiltIn_Print_Titles_16" localSheetId="32">#REF!</definedName>
    <definedName name="Excel_BuiltIn_Print_Titles_16">#REF!</definedName>
    <definedName name="Excel_BuiltIn_Print_Titles_17" localSheetId="27">#REF!,#REF!</definedName>
    <definedName name="Excel_BuiltIn_Print_Titles_17">#REF!,#REF!</definedName>
    <definedName name="Excel_BuiltIn_Print_Titles_18" localSheetId="27">#REF!</definedName>
    <definedName name="Excel_BuiltIn_Print_Titles_18">#REF!</definedName>
    <definedName name="Excel_BuiltIn_Print_Titles_19" localSheetId="27">#REF!</definedName>
    <definedName name="Excel_BuiltIn_Print_Titles_19">#REF!</definedName>
    <definedName name="Excel_BuiltIn_Print_Titles_2" localSheetId="27">#REF!</definedName>
    <definedName name="Excel_BuiltIn_Print_Titles_2">#REF!</definedName>
    <definedName name="Excel_BuiltIn_Print_Titles_2_1" localSheetId="29">#REF!</definedName>
    <definedName name="Excel_BuiltIn_Print_Titles_2_1" localSheetId="26">#REF!</definedName>
    <definedName name="Excel_BuiltIn_Print_Titles_2_1">#REF!</definedName>
    <definedName name="Excel_BuiltIn_Print_Titles_2_1_1">#REF!</definedName>
    <definedName name="Excel_BuiltIn_Print_Titles_2_1_1_1">(#REF!,#REF!)</definedName>
    <definedName name="Excel_BuiltIn_Print_Titles_2_1_1_1_1">(#REF!,#REF!)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">#REF!</definedName>
    <definedName name="Excel_BuiltIn_Print_Titles_3_1_1" localSheetId="12">"$#REF!.$A$6:$IP$8"</definedName>
    <definedName name="Excel_BuiltIn_Print_Titles_3_1_1" localSheetId="29">#REF!</definedName>
    <definedName name="Excel_BuiltIn_Print_Titles_3_1_1" localSheetId="24">"$#REF!.$A$6:$IP$8"</definedName>
    <definedName name="Excel_BuiltIn_Print_Titles_3_1_1" localSheetId="26">#REF!</definedName>
    <definedName name="Excel_BuiltIn_Print_Titles_3_1_1">#REF!</definedName>
    <definedName name="Excel_BuiltIn_Print_Titles_4_1" localSheetId="12">#REF!</definedName>
    <definedName name="Excel_BuiltIn_Print_Titles_4_1" localSheetId="29">#REF!</definedName>
    <definedName name="Excel_BuiltIn_Print_Titles_4_1" localSheetId="27">#REF!</definedName>
    <definedName name="Excel_BuiltIn_Print_Titles_4_1" localSheetId="4">#REF!</definedName>
    <definedName name="Excel_BuiltIn_Print_Titles_4_1" localSheetId="32">#REF!</definedName>
    <definedName name="Excel_BuiltIn_Print_Titles_4_1" localSheetId="26">#REF!</definedName>
    <definedName name="Excel_BuiltIn_Print_Titles_4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">#REF!</definedName>
    <definedName name="Excel_BuiltIn_Print_Titles_5_1" localSheetId="4">#REF!</definedName>
    <definedName name="Excel_BuiltIn_Print_Titles_5_1" localSheetId="32">#REF!</definedName>
    <definedName name="Excel_BuiltIn_Print_Titles_5_1">#REF!</definedName>
    <definedName name="Excel_BuiltIn_Print_Titles_5_1_1" localSheetId="4">#REF!</definedName>
    <definedName name="Excel_BuiltIn_Print_Titles_5_1_1" localSheetId="32">#REF!</definedName>
    <definedName name="Excel_BuiltIn_Print_Titles_5_1_1">#REF!</definedName>
    <definedName name="Excel_BuiltIn_Print_Titles_5_1_1_1">#REF!,#REF!</definedName>
    <definedName name="Excel_BuiltIn_Print_Titles_6">#REF!</definedName>
    <definedName name="Excel_BuiltIn_Print_Titles_6_1">#REF!</definedName>
    <definedName name="Excel_BuiltIn_Print_Titles_6_1_1">#REF!</definedName>
    <definedName name="Excel_BuiltIn_Print_Titles_6_1_1_1">#REF!</definedName>
    <definedName name="Excel_BuiltIn_Print_Titles_7">#REF!</definedName>
    <definedName name="Excel_BuiltIn_Print_Titles_7_1">#REF!</definedName>
    <definedName name="Excel_BuiltIn_Print_Titles_7_1_1">#REF!</definedName>
    <definedName name="Excel_BuiltIn_Print_Titles_7_1_1_1">#REF!</definedName>
    <definedName name="Excel_BuiltIn_Print_Titles_8">#REF!</definedName>
    <definedName name="Excel_BuiltIn_Print_Titles_8_1">#REF!</definedName>
    <definedName name="Excel_BuiltIn_Print_Titles_9">#REF!</definedName>
    <definedName name="Excel_BuiltIn_Print_Titles_9_1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ess">#REF!</definedName>
    <definedName name="excf">#REF!</definedName>
    <definedName name="Excise">#REF!</definedName>
    <definedName name="Excise_Duty">#REF!</definedName>
    <definedName name="Excised">#REF!</definedName>
    <definedName name="ExciseDuty">#REF!</definedName>
    <definedName name="EXF" localSheetId="12" hidden="1">{"'PROFITABILITY'!$A$1:$F$45"}</definedName>
    <definedName name="EXF" hidden="1">{"'PROFITABILITY'!$A$1:$F$45"}</definedName>
    <definedName name="exist">#REF!</definedName>
    <definedName name="EXIT">#REF!</definedName>
    <definedName name="exp">#REF!</definedName>
    <definedName name="exp_1">#REF!</definedName>
    <definedName name="exp_ch" localSheetId="12">#REF!</definedName>
    <definedName name="exp_ch" localSheetId="29">#REF!</definedName>
    <definedName name="exp_ch" localSheetId="26">#REF!</definedName>
    <definedName name="exp_ch">#REF!</definedName>
    <definedName name="expense">#REF!</definedName>
    <definedName name="EXPHEADS" localSheetId="29">#REF!</definedName>
    <definedName name="EXPHEADS" localSheetId="26">#REF!</definedName>
    <definedName name="EXPHEADS" localSheetId="2">#REF!</definedName>
    <definedName name="EXPHEADS">#REF!</definedName>
    <definedName name="Exrate">#REF!</definedName>
    <definedName name="EXST" localSheetId="12" hidden="1">{"'PROFITABILITY'!$A$1:$F$45"}</definedName>
    <definedName name="EXST" hidden="1">{"'PROFITABILITY'!$A$1:$F$45"}</definedName>
    <definedName name="external" localSheetId="2">#REF!</definedName>
    <definedName name="external">#REF!</definedName>
    <definedName name="Extra_Pay">#REF!</definedName>
    <definedName name="ExtraCredit">#REF!</definedName>
    <definedName name="_xlnm.Extract">#REF!</definedName>
    <definedName name="EXTRW">#REF!</definedName>
    <definedName name="exwks" localSheetId="2">#REF!</definedName>
    <definedName name="exwks">#REF!</definedName>
    <definedName name="f">#REF!</definedName>
    <definedName name="F___0">#REF!</definedName>
    <definedName name="f_1" localSheetId="12" hidden="1">{"'PROFITABILITY'!$A$1:$F$45"}</definedName>
    <definedName name="f_1" localSheetId="6" hidden="1">{"'PROFITABILITY'!$A$1:$F$45"}</definedName>
    <definedName name="f_1" localSheetId="29" hidden="1">{"'PROFITABILITY'!$A$1:$F$45"}</definedName>
    <definedName name="f_1" localSheetId="27" hidden="1">{"'PROFITABILITY'!$A$1:$F$45"}</definedName>
    <definedName name="f_1" localSheetId="4" hidden="1">{"'PROFITABILITY'!$A$1:$F$45"}</definedName>
    <definedName name="f_1" localSheetId="32" hidden="1">{"'PROFITABILITY'!$A$1:$F$45"}</definedName>
    <definedName name="f_1" localSheetId="24" hidden="1">{"'PROFITABILITY'!$A$1:$F$45"}</definedName>
    <definedName name="f_1" localSheetId="26" hidden="1">{"'PROFITABILITY'!$A$1:$F$45"}</definedName>
    <definedName name="f_1" hidden="1">{"'PROFITABILITY'!$A$1:$F$45"}</definedName>
    <definedName name="f_shape">#REF!</definedName>
    <definedName name="FA" localSheetId="12">INDEX(#REF!,MATCH(#REF!,#REF!,0))</definedName>
    <definedName name="FA" localSheetId="29">INDEX(#REF!,MATCH(#REF!,#REF!,0))</definedName>
    <definedName name="FA" localSheetId="27">INDEX(#REF!,MATCH(#REF!,#REF!,0))</definedName>
    <definedName name="FA" localSheetId="4">INDEX(#REF!,MATCH(#REF!,#REF!,0))</definedName>
    <definedName name="FA" localSheetId="32">INDEX(#REF!,MATCH(#REF!,#REF!,0))</definedName>
    <definedName name="fa" localSheetId="24">35.31*15</definedName>
    <definedName name="FA" localSheetId="26">INDEX(#REF!,MATCH(#REF!,#REF!,0))</definedName>
    <definedName name="FA">INDEX(#REF!,MATCH(#REF!,#REF!,0))</definedName>
    <definedName name="FabricatedTMT" localSheetId="27">#REF!</definedName>
    <definedName name="FabricatedTMT" localSheetId="24">#REF!</definedName>
    <definedName name="FabricatedTMT">#REF!</definedName>
    <definedName name="fac">0.825</definedName>
    <definedName name="faciastone" localSheetId="6">#REF!</definedName>
    <definedName name="faciastone" localSheetId="27">#REF!</definedName>
    <definedName name="faciastone" localSheetId="4">#REF!</definedName>
    <definedName name="faciastone" localSheetId="32">#REF!</definedName>
    <definedName name="faciastone" localSheetId="24">#REF!</definedName>
    <definedName name="faciastone">#REF!</definedName>
    <definedName name="facom" localSheetId="6">#REF!</definedName>
    <definedName name="facom" localSheetId="27">#REF!</definedName>
    <definedName name="facom" localSheetId="4">#REF!</definedName>
    <definedName name="facom" localSheetId="32">#REF!</definedName>
    <definedName name="facom" localSheetId="24">#REF!</definedName>
    <definedName name="facom">#REF!</definedName>
    <definedName name="facplc" localSheetId="29">#REF!</definedName>
    <definedName name="facplc" localSheetId="7">#REF!</definedName>
    <definedName name="facplc" localSheetId="26">#REF!</definedName>
    <definedName name="facplc">#REF!</definedName>
    <definedName name="Factor" localSheetId="12">#REF!</definedName>
    <definedName name="Factor" localSheetId="29">#REF!</definedName>
    <definedName name="Factor" localSheetId="7">#REF!</definedName>
    <definedName name="Factor" localSheetId="26">#REF!</definedName>
    <definedName name="Factor">#REF!</definedName>
    <definedName name="Factora" localSheetId="6">#REF!/#REF!</definedName>
    <definedName name="Factora" localSheetId="29">#REF!/#REF!</definedName>
    <definedName name="Factora" localSheetId="24">#REF!/#REF!</definedName>
    <definedName name="Factora" localSheetId="26">#REF!/#REF!</definedName>
    <definedName name="Factora">#REF!/#REF!</definedName>
    <definedName name="fafas">#REF!</definedName>
    <definedName name="fafur" localSheetId="6">#REF!</definedName>
    <definedName name="fafur" localSheetId="27">#REF!</definedName>
    <definedName name="fafur" localSheetId="4">#REF!</definedName>
    <definedName name="fafur" localSheetId="32">#REF!</definedName>
    <definedName name="fafur" localSheetId="24">#REF!</definedName>
    <definedName name="fafur">#REF!</definedName>
    <definedName name="FAH">#REF!</definedName>
    <definedName name="faplm" localSheetId="6">#REF!</definedName>
    <definedName name="faplm" localSheetId="27">#REF!</definedName>
    <definedName name="faplm" localSheetId="4">#REF!</definedName>
    <definedName name="faplm" localSheetId="32">#REF!</definedName>
    <definedName name="faplm" localSheetId="24">#REF!</definedName>
    <definedName name="faplm">#REF!</definedName>
    <definedName name="fapms" localSheetId="6">#REF!</definedName>
    <definedName name="fapms" localSheetId="27">#REF!</definedName>
    <definedName name="fapms" localSheetId="4">#REF!</definedName>
    <definedName name="fapms" localSheetId="32">#REF!</definedName>
    <definedName name="fapms" localSheetId="24">#REF!</definedName>
    <definedName name="fapms">#REF!</definedName>
    <definedName name="FAS">INDEX(#REF!,MATCH(#REF!,#REF!,0))</definedName>
    <definedName name="fasdfasdf">#REF!</definedName>
    <definedName name="FASDFSD">#REF!</definedName>
    <definedName name="fasf">#REF!</definedName>
    <definedName name="fasfa" localSheetId="12" hidden="1">{"'PROFITABILITY'!$A$1:$F$45"}</definedName>
    <definedName name="fasfa" localSheetId="6" hidden="1">{"'PROFITABILITY'!$A$1:$F$45"}</definedName>
    <definedName name="fasfa" localSheetId="29" hidden="1">{"'PROFITABILITY'!$A$1:$F$45"}</definedName>
    <definedName name="fasfa" localSheetId="27" hidden="1">{"'PROFITABILITY'!$A$1:$F$45"}</definedName>
    <definedName name="fasfa" localSheetId="4" hidden="1">{"'PROFITABILITY'!$A$1:$F$45"}</definedName>
    <definedName name="fasfa" localSheetId="32" hidden="1">{"'PROFITABILITY'!$A$1:$F$45"}</definedName>
    <definedName name="fasfa" localSheetId="24" hidden="1">{"'PROFITABILITY'!$A$1:$F$45"}</definedName>
    <definedName name="fasfa" localSheetId="26" hidden="1">{"'PROFITABILITY'!$A$1:$F$45"}</definedName>
    <definedName name="fasfa" hidden="1">{"'PROFITABILITY'!$A$1:$F$45"}</definedName>
    <definedName name="faultMVA">#REF!</definedName>
    <definedName name="faveh" localSheetId="6">#REF!</definedName>
    <definedName name="faveh" localSheetId="27">#REF!</definedName>
    <definedName name="faveh" localSheetId="4">#REF!</definedName>
    <definedName name="faveh" localSheetId="32">#REF!</definedName>
    <definedName name="faveh" localSheetId="24">#REF!</definedName>
    <definedName name="faveh">#REF!</definedName>
    <definedName name="Fax">#REF!</definedName>
    <definedName name="FB" localSheetId="12">INDEX(#REF!,MATCH(#REF!,#REF!,0))</definedName>
    <definedName name="FB" localSheetId="6">INDEX(#REF!,MATCH(#REF!,#REF!,0))</definedName>
    <definedName name="Fb" localSheetId="29">#REF!</definedName>
    <definedName name="Fb" localSheetId="27">#REF!</definedName>
    <definedName name="FB" localSheetId="4">INDEX(#REF!,MATCH(#REF!,#REF!,0))</definedName>
    <definedName name="FB" localSheetId="32">INDEX(#REF!,MATCH(#REF!,#REF!,0))</definedName>
    <definedName name="FB" localSheetId="24">#REF!</definedName>
    <definedName name="Fb" localSheetId="26">#REF!</definedName>
    <definedName name="Fb">#REF!</definedName>
    <definedName name="FBS">INDEX(#REF!,MATCH(#REF!,#REF!,0))</definedName>
    <definedName name="FC" localSheetId="12">INDEX(#REF!,MATCH(#REF!,#REF!,0))</definedName>
    <definedName name="FC" localSheetId="29">#REF!</definedName>
    <definedName name="FC" localSheetId="26">#REF!</definedName>
    <definedName name="FC">#REF!</definedName>
    <definedName name="fcgc">#REF!</definedName>
    <definedName name="fck">#REF!</definedName>
    <definedName name="FCL" localSheetId="12">#REF!</definedName>
    <definedName name="FCL" localSheetId="4">#REF!</definedName>
    <definedName name="FCL" localSheetId="32">#REF!</definedName>
    <definedName name="FCL">#REF!</definedName>
    <definedName name="FCode" localSheetId="6" hidden="1">#REF!</definedName>
    <definedName name="FCode" localSheetId="27" hidden="1">#REF!</definedName>
    <definedName name="FCode" localSheetId="4" hidden="1">#REF!</definedName>
    <definedName name="FCode" localSheetId="32" hidden="1">#REF!</definedName>
    <definedName name="FCode" localSheetId="24" hidden="1">#REF!</definedName>
    <definedName name="FCode" hidden="1">#REF!</definedName>
    <definedName name="FCR">#REF!</definedName>
    <definedName name="FCS">INDEX(#REF!,MATCH(#REF!,#REF!,0))</definedName>
    <definedName name="FD" localSheetId="12">INDEX(#REF!,MATCH(#REF!,#REF!,0))</definedName>
    <definedName name="FD" localSheetId="27">INDEX(#REF!,MATCH(#REF!,#REF!,0))</definedName>
    <definedName name="FD" localSheetId="4">INDEX(#REF!,MATCH(#REF!,#REF!,0))</definedName>
    <definedName name="FD" localSheetId="32">INDEX(#REF!,MATCH(#REF!,#REF!,0))</definedName>
    <definedName name="FD" localSheetId="24">INDEX(#REF!,MATCH(#REF!,#REF!,0))</definedName>
    <definedName name="FD">INDEX(#REF!,MATCH(#REF!,#REF!,0))</definedName>
    <definedName name="fda" localSheetId="24">#REF!</definedName>
    <definedName name="fda">#REF!</definedName>
    <definedName name="fdb" localSheetId="24">#REF!</definedName>
    <definedName name="fdb">#REF!</definedName>
    <definedName name="fddd">#REF!</definedName>
    <definedName name="FDF">#REF!</definedName>
    <definedName name="fdfdf">#REF!</definedName>
    <definedName name="fdfds" localSheetId="29">#REF!</definedName>
    <definedName name="fdfds" localSheetId="26">#REF!</definedName>
    <definedName name="fdfds">#REF!</definedName>
    <definedName name="fdfer6">#REF!</definedName>
    <definedName name="FDGSDFG" localSheetId="12" hidden="1">{#N/A,#N/A,TRUE,"STEEL";#N/A,#N/A,TRUE,"OUTSIDE FAB.";#N/A,#N/A,TRUE,"WIP";#N/A,#N/A,TRUE,"FINISHED GOODS";#N/A,#N/A,TRUE,"SCRAP"}</definedName>
    <definedName name="FDGSDFG" localSheetId="6" hidden="1">{#N/A,#N/A,TRUE,"STEEL";#N/A,#N/A,TRUE,"OUTSIDE FAB.";#N/A,#N/A,TRUE,"WIP";#N/A,#N/A,TRUE,"FINISHED GOODS";#N/A,#N/A,TRUE,"SCRAP"}</definedName>
    <definedName name="FDGSDFG" localSheetId="29" hidden="1">{#N/A,#N/A,TRUE,"STEEL";#N/A,#N/A,TRUE,"OUTSIDE FAB.";#N/A,#N/A,TRUE,"WIP";#N/A,#N/A,TRUE,"FINISHED GOODS";#N/A,#N/A,TRUE,"SCRAP"}</definedName>
    <definedName name="FDGSDFG" localSheetId="27" hidden="1">{#N/A,#N/A,TRUE,"STEEL";#N/A,#N/A,TRUE,"OUTSIDE FAB.";#N/A,#N/A,TRUE,"WIP";#N/A,#N/A,TRUE,"FINISHED GOODS";#N/A,#N/A,TRUE,"SCRAP"}</definedName>
    <definedName name="FDGSDFG" localSheetId="4" hidden="1">{#N/A,#N/A,TRUE,"STEEL";#N/A,#N/A,TRUE,"OUTSIDE FAB.";#N/A,#N/A,TRUE,"WIP";#N/A,#N/A,TRUE,"FINISHED GOODS";#N/A,#N/A,TRUE,"SCRAP"}</definedName>
    <definedName name="FDGSDFG" localSheetId="32" hidden="1">{#N/A,#N/A,TRUE,"STEEL";#N/A,#N/A,TRUE,"OUTSIDE FAB.";#N/A,#N/A,TRUE,"WIP";#N/A,#N/A,TRUE,"FINISHED GOODS";#N/A,#N/A,TRUE,"SCRAP"}</definedName>
    <definedName name="FDGSDFG" localSheetId="24" hidden="1">{#N/A,#N/A,TRUE,"STEEL";#N/A,#N/A,TRUE,"OUTSIDE FAB.";#N/A,#N/A,TRUE,"WIP";#N/A,#N/A,TRUE,"FINISHED GOODS";#N/A,#N/A,TRUE,"SCRAP"}</definedName>
    <definedName name="FDGSDFG" localSheetId="26" hidden="1">{#N/A,#N/A,TRUE,"STEEL";#N/A,#N/A,TRUE,"OUTSIDE FAB.";#N/A,#N/A,TRUE,"WIP";#N/A,#N/A,TRUE,"FINISHED GOODS";#N/A,#N/A,TRUE,"SCRAP"}</definedName>
    <definedName name="FDGSDFG" hidden="1">{#N/A,#N/A,TRUE,"STEEL";#N/A,#N/A,TRUE,"OUTSIDE FAB.";#N/A,#N/A,TRUE,"WIP";#N/A,#N/A,TRUE,"FINISHED GOODS";#N/A,#N/A,TRUE,"SCRAP"}</definedName>
    <definedName name="fdhd">#REF!</definedName>
    <definedName name="Fdl" localSheetId="12">#REF!</definedName>
    <definedName name="Fdl" localSheetId="4">#REF!</definedName>
    <definedName name="Fdl" localSheetId="32">#REF!</definedName>
    <definedName name="Fdl" localSheetId="24">#REF!</definedName>
    <definedName name="Fdl">#REF!</definedName>
    <definedName name="FDN" localSheetId="12">IFERROR(LEFT(INDEX(#REF!,MATCH(#REF!,#REF!,0)),3),"")</definedName>
    <definedName name="FDN" localSheetId="6">IFERROR(LEFT(INDEX(#REF!,MATCH(#REF!,#REF!,0)),3),"")</definedName>
    <definedName name="FDN" localSheetId="27">#REF!</definedName>
    <definedName name="FDN" localSheetId="4">IFERROR(LEFT(INDEX(#REF!,MATCH(#REF!,#REF!,0)),3),"")</definedName>
    <definedName name="FDN" localSheetId="32">IFERROR(LEFT(INDEX(#REF!,MATCH(#REF!,#REF!,0)),3),"")</definedName>
    <definedName name="FDN" localSheetId="24">#REF!</definedName>
    <definedName name="FDN">#REF!</definedName>
    <definedName name="FDN_Conc" localSheetId="12">IFERROR(IF(#REF!&gt;=44242,(_xlfn.XLOOKUP(#REF!&amp;#REF!,#REF!,#REF!)),0),"")</definedName>
    <definedName name="FDN_Conc" localSheetId="27">IFERROR(IF(#REF!&gt;=44242,(_xlfn.XLOOKUP(#REF!&amp;#REF!,#REF!,#REF!)),0),"")</definedName>
    <definedName name="FDN_Conc" localSheetId="24">IFERROR(IF(#REF!&gt;=44242,(_xlfn.XLOOKUP(#REF!&amp;#REF!,#REF!,#REF!)),0),"")</definedName>
    <definedName name="FDN_Conc">IFERROR(IF(#REF!&gt;=44242,(_xlfn.XLOOKUP(#REF!&amp;#REF!,#REF!,#REF!)),0),"")</definedName>
    <definedName name="FDN_Data">#REF!</definedName>
    <definedName name="fdn_no" localSheetId="6">#REF!</definedName>
    <definedName name="fdn_no">#REF!</definedName>
    <definedName name="FDN_Rate" localSheetId="12">IFERROR(_xlfn.XLOOKUP(#REF!&amp;#REF!,#REF!,#REF!),"")</definedName>
    <definedName name="FDN_Rate" localSheetId="27">IFERROR(_xlfn.XLOOKUP(#REF!&amp;#REF!,#REF!,#REF!),"")</definedName>
    <definedName name="FDN_Rate" localSheetId="24">IFERROR(_xlfn.XLOOKUP(#REF!&amp;#REF!,#REF!,#REF!),"")</definedName>
    <definedName name="FDN_Rate">IFERROR(_xlfn.XLOOKUP(#REF!&amp;#REF!,#REF!,#REF!),"")</definedName>
    <definedName name="FDN_Revenue" localSheetId="12">IFERROR(IF(#REF!&gt;=44242,(_xlfn.XLOOKUP(#REF!&amp;#REF!,#REF!,#REF!)),0),"")</definedName>
    <definedName name="FDN_Revenue" localSheetId="27">IFERROR(IF(#REF!&gt;=44242,(_xlfn.XLOOKUP(#REF!&amp;#REF!,#REF!,#REF!)),0),"")</definedName>
    <definedName name="FDN_Revenue" localSheetId="24">IFERROR(IF(#REF!&gt;=44242,(_xlfn.XLOOKUP(#REF!&amp;#REF!,#REF!,#REF!)),0),"")</definedName>
    <definedName name="FDN_Revenue">IFERROR(IF(#REF!&gt;=44242,(_xlfn.XLOOKUP(#REF!&amp;#REF!,#REF!,#REF!)),0),"")</definedName>
    <definedName name="FDNBOQ132">#REF!</definedName>
    <definedName name="FDNBOQ400">#REF!</definedName>
    <definedName name="FDNtare" localSheetId="12">IFERROR(_xlfn.XLOOKUP(#REF!,#REF!,#REF!)/10000000,"")</definedName>
    <definedName name="FDNtare" localSheetId="6">VLOOKUP(#REF!&amp;" "&amp;#REF!,#REF!,2,0)/10^7</definedName>
    <definedName name="FDNtare" localSheetId="29">VLOOKUP(#REF!&amp;" "&amp;#REF!,#REF!,2,0)/10^7</definedName>
    <definedName name="FDNtare" localSheetId="27">VLOOKUP(#REF!&amp;" "&amp;#REF!,#REF!,2,0)/10^7</definedName>
    <definedName name="FDNtare" localSheetId="4">VLOOKUP(#REF!&amp;" "&amp;#REF!,#REF!,2,0)/10^7</definedName>
    <definedName name="FDNtare" localSheetId="32">VLOOKUP(#REF!&amp;" "&amp;#REF!,#REF!,2,0)/10^7</definedName>
    <definedName name="FDNtare" localSheetId="24">VLOOKUP(#REF!&amp;" "&amp;#REF!,#REF!,2,0)/10^7</definedName>
    <definedName name="FDNtare" localSheetId="26">VLOOKUP(#REF!&amp;" "&amp;#REF!,#REF!,2,0)/10^7</definedName>
    <definedName name="FDNtare">VLOOKUP(#REF!&amp;" "&amp;#REF!,#REF!,2,0)/10^7</definedName>
    <definedName name="FdnWet" localSheetId="12">#REF!</definedName>
    <definedName name="FdnWet">#REF!</definedName>
    <definedName name="Fdr" localSheetId="12">#REF!</definedName>
    <definedName name="Fdr">#REF!</definedName>
    <definedName name="Fdr_name">#REF!</definedName>
    <definedName name="fdre54">#REF!</definedName>
    <definedName name="FDS">INDEX(#REF!,MATCH(#REF!,#REF!,0))</definedName>
    <definedName name="fdsdafas" localSheetId="12" hidden="1">{"'TP-SUMMARY'!$I$11:$K$11"}</definedName>
    <definedName name="fdsdafas" hidden="1">{"'TP-SUMMARY'!$I$11:$K$11"}</definedName>
    <definedName name="fdsdf">#REF!</definedName>
    <definedName name="fdytf">#REF!</definedName>
    <definedName name="FE" localSheetId="12">INDEX(#REF!,MATCH(#REF!,#REF!,0))</definedName>
    <definedName name="FE" localSheetId="6">#REF!</definedName>
    <definedName name="FE">#REF!</definedName>
    <definedName name="feb_qty_rev_3">#REF!</definedName>
    <definedName name="feb_rev4_qty">#REF!</definedName>
    <definedName name="FEC">#REF!</definedName>
    <definedName name="fEQAvz">#REF!</definedName>
    <definedName name="FES">INDEX(#REF!,MATCH(#REF!,#REF!,0))</definedName>
    <definedName name="FF" localSheetId="12">INDEX(#REF!,MATCH(#REF!,#REF!,0))</definedName>
    <definedName name="FF">#REF!</definedName>
    <definedName name="FFB">#REF!</definedName>
    <definedName name="fff" localSheetId="4">#REF!</definedName>
    <definedName name="fff" localSheetId="32">#REF!</definedName>
    <definedName name="fff">#REF!</definedName>
    <definedName name="ffff">#REF!</definedName>
    <definedName name="ffffff">#REF!</definedName>
    <definedName name="fffffffff" localSheetId="12">#REF!</definedName>
    <definedName name="fffffffff">#REF!</definedName>
    <definedName name="fffffffffff" localSheetId="12">#REF!</definedName>
    <definedName name="fffffffffff">#REF!</definedName>
    <definedName name="fffffg" localSheetId="12" hidden="1">{"form-D1",#N/A,FALSE,"FORM-D1";"form-D1_amt",#N/A,FALSE,"FORM-D1"}</definedName>
    <definedName name="fffffg" hidden="1">{"form-D1",#N/A,FALSE,"FORM-D1";"form-D1_amt",#N/A,FALSE,"FORM-D1"}</definedName>
    <definedName name="ffg">#REF!</definedName>
    <definedName name="ffhfhf">#REF!</definedName>
    <definedName name="FFR" localSheetId="29">#REF!</definedName>
    <definedName name="FFR" localSheetId="26">#REF!</definedName>
    <definedName name="FFR" localSheetId="2">#REF!</definedName>
    <definedName name="FFR">#REF!</definedName>
    <definedName name="FFS">INDEX(#REF!,MATCH(#REF!,#REF!,0))</definedName>
    <definedName name="ffvvv" localSheetId="12">#REF!</definedName>
    <definedName name="ffvvv">#REF!</definedName>
    <definedName name="FG" localSheetId="12">INDEX(#REF!,MATCH(#REF!,#REF!,0))</definedName>
    <definedName name="fg" localSheetId="6" hidden="1">{"'PROFITABILITY'!$A$1:$F$45"}</definedName>
    <definedName name="fg" localSheetId="29" hidden="1">{"'PROFITABILITY'!$A$1:$F$45"}</definedName>
    <definedName name="fg" localSheetId="27" hidden="1">{"'PROFITABILITY'!$A$1:$F$45"}</definedName>
    <definedName name="fg" localSheetId="4" hidden="1">{"'PROFITABILITY'!$A$1:$F$45"}</definedName>
    <definedName name="fg" localSheetId="32" hidden="1">{"'PROFITABILITY'!$A$1:$F$45"}</definedName>
    <definedName name="fg" localSheetId="24" hidden="1">{"'PROFITABILITY'!$A$1:$F$45"}</definedName>
    <definedName name="fg" localSheetId="26" hidden="1">{"'PROFITABILITY'!$A$1:$F$45"}</definedName>
    <definedName name="fg" hidden="1">{"'PROFITABILITY'!$A$1:$F$45"}</definedName>
    <definedName name="FG46TBTB4RTDKDK">#REF!</definedName>
    <definedName name="fgd" localSheetId="12" hidden="1">{#N/A,#N/A,FALSE,"Main"}</definedName>
    <definedName name="fgd" hidden="1">{#N/A,#N/A,FALSE,"Main"}</definedName>
    <definedName name="fgdfgg" localSheetId="2">#REF!</definedName>
    <definedName name="fgdfgg">#REF!</definedName>
    <definedName name="fgf">#REF!</definedName>
    <definedName name="FGFGF" localSheetId="12" hidden="1">{#N/A,#N/A,FALSE,"MODULE3"}</definedName>
    <definedName name="FGFGF" hidden="1">{#N/A,#N/A,FALSE,"MODULE3"}</definedName>
    <definedName name="FGL">#REF!</definedName>
    <definedName name="FGNFN">#REF!</definedName>
    <definedName name="fgRKRKRKRKRKRKRKRKRKRKRKTBTBSPD">#REF!</definedName>
    <definedName name="fgrt">#REF!</definedName>
    <definedName name="FGS">INDEX(#REF!,MATCH(#REF!,#REF!,0))</definedName>
    <definedName name="fgtr">#REF!</definedName>
    <definedName name="fgtrde">#REF!</definedName>
    <definedName name="fgtrgfrdt54">#REF!</definedName>
    <definedName name="FH" localSheetId="12">INDEX(#REF!,MATCH(#REF!,#REF!,0))</definedName>
    <definedName name="FH" localSheetId="6">INDEX(#REF!,MATCH(#REF!,#REF!,0))</definedName>
    <definedName name="Fh" localSheetId="27">#REF!</definedName>
    <definedName name="FH" localSheetId="4">INDEX(#REF!,MATCH(#REF!,#REF!,0))</definedName>
    <definedName name="FH" localSheetId="32">INDEX(#REF!,MATCH(#REF!,#REF!,0))</definedName>
    <definedName name="Fh">#REF!</definedName>
    <definedName name="Fha">#REF!</definedName>
    <definedName name="fhfgfhgfh">#REF!</definedName>
    <definedName name="fhfhhjgf">#REF!</definedName>
    <definedName name="FHH">#REF!</definedName>
    <definedName name="fhhhh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S">INDEX(#REF!,MATCH(#REF!,#REF!,0))</definedName>
    <definedName name="Fhwa">#REF!</definedName>
    <definedName name="Fhwl">#REF!</definedName>
    <definedName name="FI" localSheetId="12">INDEX(#REF!,MATCH(#REF!,#REF!,0))</definedName>
    <definedName name="FI" localSheetId="4">#REF!</definedName>
    <definedName name="FI" localSheetId="32">#REF!</definedName>
    <definedName name="FI" localSheetId="2">#REF!</definedName>
    <definedName name="FI">#REF!</definedName>
    <definedName name="FI_AIRHW">#REF!</definedName>
    <definedName name="FI_AIRSW">#REF!</definedName>
    <definedName name="FI_BOHW">#REF!</definedName>
    <definedName name="FI_BOSW">#REF!</definedName>
    <definedName name="FI_IDTOHW">#REF!</definedName>
    <definedName name="FI_IDTOSW">#REF!</definedName>
    <definedName name="FI_SITEHW">#REF!</definedName>
    <definedName name="FI_SITESW">#REF!</definedName>
    <definedName name="fibres">#REF!</definedName>
    <definedName name="fill" hidden="1">#REF!</definedName>
    <definedName name="fill2" hidden="1">#REF!</definedName>
    <definedName name="FIM">#REF!</definedName>
    <definedName name="FIN_CHARGE">#REF!</definedName>
    <definedName name="Fin_charges">#REF!</definedName>
    <definedName name="FIN_MAN">#REF!</definedName>
    <definedName name="FIN_MAT">#REF!</definedName>
    <definedName name="FIN_SC">#REF!</definedName>
    <definedName name="FINC2">#REF!</definedName>
    <definedName name="finesand" localSheetId="6">#REF!</definedName>
    <definedName name="finesand" localSheetId="27">#REF!</definedName>
    <definedName name="finesand" localSheetId="4">#REF!</definedName>
    <definedName name="finesand" localSheetId="32">#REF!</definedName>
    <definedName name="finesand" localSheetId="24">#REF!</definedName>
    <definedName name="finesand">#REF!</definedName>
    <definedName name="FIrate" localSheetId="29">#REF!</definedName>
    <definedName name="FIrate" localSheetId="24">#REF!</definedName>
    <definedName name="FIrate" localSheetId="26">#REF!</definedName>
    <definedName name="FIrate">#REF!</definedName>
    <definedName name="FIratye" localSheetId="29">#REF!</definedName>
    <definedName name="FIratye" localSheetId="26">#REF!</definedName>
    <definedName name="FIratye">#REF!</definedName>
    <definedName name="FIRE_AREA">#REF!</definedName>
    <definedName name="FireFighting">#REF!</definedName>
    <definedName name="FIS">INDEX(#REF!,MATCH(#REF!,#REF!,0))</definedName>
    <definedName name="FIT">#REF!</definedName>
    <definedName name="FIT___0">#REF!</definedName>
    <definedName name="FIT___13">#REF!</definedName>
    <definedName name="five">#REF!</definedName>
    <definedName name="FJ" localSheetId="12">INDEX(#REF!,MATCH(#REF!,#REF!,0))</definedName>
    <definedName name="FJ" localSheetId="27">INDEX(#REF!,MATCH(#REF!,#REF!,0))</definedName>
    <definedName name="FJ" localSheetId="24">INDEX(#REF!,MATCH(#REF!,#REF!,0))</definedName>
    <definedName name="FJ">INDEX(#REF!,MATCH(#REF!,#REF!,0))</definedName>
    <definedName name="fj_100">#REF!</definedName>
    <definedName name="fj_150">#REF!</definedName>
    <definedName name="fj_200">#REF!</definedName>
    <definedName name="fj_25">#REF!</definedName>
    <definedName name="fj_250">#REF!</definedName>
    <definedName name="fj_300">#REF!</definedName>
    <definedName name="fj_32">#REF!</definedName>
    <definedName name="fj_40">#REF!</definedName>
    <definedName name="fj_400">#REF!</definedName>
    <definedName name="fj_50">#REF!</definedName>
    <definedName name="fj_500">#REF!</definedName>
    <definedName name="fj_65">#REF!</definedName>
    <definedName name="fj_80">#REF!</definedName>
    <definedName name="fjhgfd" localSheetId="12" hidden="1">{"'Sheet1'!$A$4386:$N$4591"}</definedName>
    <definedName name="fjhgfd" localSheetId="29" hidden="1">{"'Sheet1'!$A$4386:$N$4591"}</definedName>
    <definedName name="fjhgfd" localSheetId="27" hidden="1">{"'Sheet1'!$A$4386:$N$4591"}</definedName>
    <definedName name="fjhgfd" localSheetId="4" hidden="1">{"'Sheet1'!$A$4386:$N$4591"}</definedName>
    <definedName name="fjhgfd" localSheetId="32" hidden="1">{"'Sheet1'!$A$4386:$N$4591"}</definedName>
    <definedName name="fjhgfd" localSheetId="24" hidden="1">{"'Sheet1'!$A$4386:$N$4591"}</definedName>
    <definedName name="fjhgfd" localSheetId="26" hidden="1">{"'Sheet1'!$A$4386:$N$4591"}</definedName>
    <definedName name="fjhgfd" hidden="1">{"'Sheet1'!$A$4386:$N$4591"}</definedName>
    <definedName name="FJS">INDEX(#REF!,MATCH(#REF!,#REF!,0))</definedName>
    <definedName name="FK" localSheetId="12">INDEX(#REF!,MATCH(#REF!,#REF!,0))</definedName>
    <definedName name="FK" localSheetId="27">INDEX(#REF!,MATCH(#REF!,#REF!,0))</definedName>
    <definedName name="FK" localSheetId="24">INDEX(#REF!,MATCH(#REF!,#REF!,0))</definedName>
    <definedName name="FK">INDEX(#REF!,MATCH(#REF!,#REF!,0))</definedName>
    <definedName name="FL" localSheetId="12">INDEX(#REF!,MATCH(#REF!,#REF!,0))</definedName>
    <definedName name="FL" localSheetId="27">INDEX(#REF!,MATCH(#REF!,#REF!,0))</definedName>
    <definedName name="FL" localSheetId="24">INDEX(#REF!,MATCH(#REF!,#REF!,0))</definedName>
    <definedName name="FL">INDEX(#REF!,MATCH(#REF!,#REF!,0))</definedName>
    <definedName name="FLASH">#REF!</definedName>
    <definedName name="FLASH1">#REF!</definedName>
    <definedName name="FLASHM">#REF!</definedName>
    <definedName name="FLG">#REF!</definedName>
    <definedName name="FLG_Orifice">#REF!</definedName>
    <definedName name="FLK">#REF!</definedName>
    <definedName name="Floor" localSheetId="12">#REF!</definedName>
    <definedName name="Floor" localSheetId="6">#REF!</definedName>
    <definedName name="Floor" localSheetId="29">#REF!</definedName>
    <definedName name="Floor" localSheetId="27">#REF!</definedName>
    <definedName name="Floor" localSheetId="4">#REF!</definedName>
    <definedName name="Floor" localSheetId="32">#REF!</definedName>
    <definedName name="Floor" localSheetId="24">#REF!</definedName>
    <definedName name="Floor" localSheetId="26">#REF!</definedName>
    <definedName name="Floor">#REF!</definedName>
    <definedName name="flow" localSheetId="29">#REF!</definedName>
    <definedName name="flow" localSheetId="26">#REF!</definedName>
    <definedName name="flow">#REF!</definedName>
    <definedName name="FM" localSheetId="12">INDEX(#REF!,MATCH(#REF!,#REF!,0))</definedName>
    <definedName name="FM" localSheetId="29">INDEX(#REF!,MATCH(#REF!,#REF!,0))</definedName>
    <definedName name="FM" localSheetId="27">INDEX(#REF!,MATCH(#REF!,#REF!,0))</definedName>
    <definedName name="FM" localSheetId="4">INDEX(#REF!,MATCH(#REF!,#REF!,0))</definedName>
    <definedName name="FM" localSheetId="32">INDEX(#REF!,MATCH(#REF!,#REF!,0))</definedName>
    <definedName name="Fm" localSheetId="24">#REF!</definedName>
    <definedName name="FM" localSheetId="26">INDEX(#REF!,MATCH(#REF!,#REF!,0))</definedName>
    <definedName name="FM">INDEX(#REF!,MATCH(#REF!,#REF!,0))</definedName>
    <definedName name="fme">#REF!</definedName>
    <definedName name="Fmg">#REF!</definedName>
    <definedName name="Fml" localSheetId="12">#REF!</definedName>
    <definedName name="Fml" localSheetId="4">#REF!</definedName>
    <definedName name="Fml" localSheetId="32">#REF!</definedName>
    <definedName name="Fml">#REF!</definedName>
    <definedName name="Fmr" localSheetId="12">#REF!</definedName>
    <definedName name="Fmr" localSheetId="4">#REF!</definedName>
    <definedName name="Fmr" localSheetId="32">#REF!</definedName>
    <definedName name="Fmr">#REF!</definedName>
    <definedName name="fmw">#REF!</definedName>
    <definedName name="fn">#REF!</definedName>
    <definedName name="FND">#REF!</definedName>
    <definedName name="fo" localSheetId="29">#REF!</definedName>
    <definedName name="fo" localSheetId="26">#REF!</definedName>
    <definedName name="fo">#REF!</definedName>
    <definedName name="foa">#REF!</definedName>
    <definedName name="Footings">#REF!</definedName>
    <definedName name="for_item">#REF!</definedName>
    <definedName name="Forecast">#REF!</definedName>
    <definedName name="Forecast_Receivables" localSheetId="12">#REF!</definedName>
    <definedName name="Forecast_Receivables" localSheetId="29">#REF!</definedName>
    <definedName name="Forecast_Receivables" localSheetId="26">#REF!</definedName>
    <definedName name="Forecast_Receivables">#REF!</definedName>
    <definedName name="foren" localSheetId="12" hidden="1">{"Execavation",#N/A,FALSE,"furniture (employer)"}</definedName>
    <definedName name="foren" localSheetId="6" hidden="1">{"Execavation",#N/A,FALSE,"furniture (employer)"}</definedName>
    <definedName name="foren" localSheetId="29" hidden="1">{"Execavation",#N/A,FALSE,"furniture (employer)"}</definedName>
    <definedName name="foren" localSheetId="27" hidden="1">{"Execavation",#N/A,FALSE,"furniture (employer)"}</definedName>
    <definedName name="foren" localSheetId="4" hidden="1">{"Execavation",#N/A,FALSE,"furniture (employer)"}</definedName>
    <definedName name="foren" localSheetId="32" hidden="1">{"Execavation",#N/A,FALSE,"furniture (employer)"}</definedName>
    <definedName name="foren" localSheetId="24" hidden="1">{"Execavation",#N/A,FALSE,"furniture (employer)"}</definedName>
    <definedName name="foren" localSheetId="26" hidden="1">{"Execavation",#N/A,FALSE,"furniture (employer)"}</definedName>
    <definedName name="foren" hidden="1">{"Execavation",#N/A,FALSE,"furniture (employer)"}</definedName>
    <definedName name="foreststatus">#REF!</definedName>
    <definedName name="form_type">#REF!</definedName>
    <definedName name="formu" localSheetId="24">#REF!</definedName>
    <definedName name="formu">#REF!</definedName>
    <definedName name="Formula" localSheetId="12">#REF!</definedName>
    <definedName name="Formula">#REF!</definedName>
    <definedName name="Formwork" localSheetId="6">#REF!</definedName>
    <definedName name="Formwork" localSheetId="27">#REF!</definedName>
    <definedName name="Formwork" localSheetId="4">#REF!</definedName>
    <definedName name="Formwork" localSheetId="32">#REF!</definedName>
    <definedName name="Formwork" localSheetId="24">#REF!</definedName>
    <definedName name="Formwork">#REF!</definedName>
    <definedName name="forpor" localSheetId="6">#REF!</definedName>
    <definedName name="forpor" localSheetId="27">#REF!</definedName>
    <definedName name="forpor" localSheetId="4">#REF!</definedName>
    <definedName name="forpor" localSheetId="32">#REF!</definedName>
    <definedName name="forpor" localSheetId="24">#REF!</definedName>
    <definedName name="forpor">#REF!</definedName>
    <definedName name="forthemonth" localSheetId="29">#REF!</definedName>
    <definedName name="forthemonth" localSheetId="26">#REF!</definedName>
    <definedName name="forthemonth" localSheetId="2">#REF!</definedName>
    <definedName name="forthemonth">#REF!</definedName>
    <definedName name="FOS">#REF!</definedName>
    <definedName name="FOS.NLC">#REF!</definedName>
    <definedName name="FOS.SCF">#REF!</definedName>
    <definedName name="Foundation" localSheetId="12">#REF!</definedName>
    <definedName name="Foundation">#REF!</definedName>
    <definedName name="FoundationRange">#REF!</definedName>
    <definedName name="FoundationTool" localSheetId="27">OFFSET(#REF!,0,0,COUNTA(#REF!),1)</definedName>
    <definedName name="FoundationTool">OFFSET(#REF!,0,0,COUNTA(#REF!),1)</definedName>
    <definedName name="Foundationtype">#REF!</definedName>
    <definedName name="fourhundred">#REF!</definedName>
    <definedName name="fourty" localSheetId="6">#REF!</definedName>
    <definedName name="fourty" localSheetId="27">#REF!</definedName>
    <definedName name="fourty" localSheetId="4">#REF!</definedName>
    <definedName name="fourty" localSheetId="32">#REF!</definedName>
    <definedName name="fourty" localSheetId="24">#REF!</definedName>
    <definedName name="fourty">#REF!</definedName>
    <definedName name="Fp" localSheetId="6">#REF!</definedName>
    <definedName name="Fp" localSheetId="29">#REF!</definedName>
    <definedName name="Fp" localSheetId="27">#REF!</definedName>
    <definedName name="Fp" localSheetId="4">#REF!</definedName>
    <definedName name="Fp" localSheetId="32">#REF!</definedName>
    <definedName name="fp" localSheetId="24">#REF!</definedName>
    <definedName name="Fp" localSheetId="26">#REF!</definedName>
    <definedName name="Fp">#REF!</definedName>
    <definedName name="Fpi" localSheetId="24">#REF!</definedName>
    <definedName name="Fpi">#REF!</definedName>
    <definedName name="Fpi0">#REF!</definedName>
    <definedName name="Fr" localSheetId="12" hidden="1">{"'PROFITABILITY'!$A$1:$F$45"}</definedName>
    <definedName name="Fr" localSheetId="6" hidden="1">{"'PROFITABILITY'!$A$1:$F$45"}</definedName>
    <definedName name="Fr" localSheetId="29" hidden="1">{"'PROFITABILITY'!$A$1:$F$45"}</definedName>
    <definedName name="Fr" localSheetId="27" hidden="1">{"'PROFITABILITY'!$A$1:$F$45"}</definedName>
    <definedName name="Fr" localSheetId="4" hidden="1">{"'PROFITABILITY'!$A$1:$F$45"}</definedName>
    <definedName name="Fr" localSheetId="32" hidden="1">{"'PROFITABILITY'!$A$1:$F$45"}</definedName>
    <definedName name="Fr" localSheetId="24" hidden="1">{"'PROFITABILITY'!$A$1:$F$45"}</definedName>
    <definedName name="Fr" localSheetId="26" hidden="1">{"'PROFITABILITY'!$A$1:$F$45"}</definedName>
    <definedName name="Fr" hidden="1">{"'PROFITABILITY'!$A$1:$F$45"}</definedName>
    <definedName name="Fr_charges" localSheetId="2">#REF!</definedName>
    <definedName name="Fr_charges">#REF!</definedName>
    <definedName name="francis">#REF!</definedName>
    <definedName name="FRANCS">#REF!</definedName>
    <definedName name="free" localSheetId="12">#REF!</definedName>
    <definedName name="free">#REF!</definedName>
    <definedName name="Freight_forwarding" localSheetId="6">#REF!</definedName>
    <definedName name="Freight_forwarding" localSheetId="27">#REF!</definedName>
    <definedName name="Freight_forwarding" localSheetId="4">#REF!</definedName>
    <definedName name="Freight_forwarding" localSheetId="32">#REF!</definedName>
    <definedName name="Freight_forwarding" localSheetId="24">#REF!</definedName>
    <definedName name="Freight_forwarding">#REF!</definedName>
    <definedName name="frght" localSheetId="12">#REF!</definedName>
    <definedName name="frght">#REF!</definedName>
    <definedName name="fri" localSheetId="29">#REF!</definedName>
    <definedName name="fri" localSheetId="24">#REF!</definedName>
    <definedName name="fri" localSheetId="26">#REF!</definedName>
    <definedName name="fri">#REF!</definedName>
    <definedName name="frierect" localSheetId="2">#REF!</definedName>
    <definedName name="frierect">#REF!</definedName>
    <definedName name="Frl" localSheetId="12">#REF!</definedName>
    <definedName name="Frl" localSheetId="4">#REF!</definedName>
    <definedName name="Frl" localSheetId="32">#REF!</definedName>
    <definedName name="Frl">#REF!</definedName>
    <definedName name="frnorms">#REF!</definedName>
    <definedName name="FRONTPAGE">#REF!</definedName>
    <definedName name="Frr" localSheetId="12">#REF!</definedName>
    <definedName name="Frr">#REF!</definedName>
    <definedName name="FRRRRR">#REF!</definedName>
    <definedName name="frtg">#REF!</definedName>
    <definedName name="Fruit">#REF!</definedName>
    <definedName name="FS" localSheetId="12">IFERROR(LEFT(INDEX(#REF!,MATCH(#REF!,#REF!,0)),3),"")</definedName>
    <definedName name="Fs" localSheetId="6">#REF!</definedName>
    <definedName name="Fs" localSheetId="29">#REF!</definedName>
    <definedName name="Fs" localSheetId="27">#REF!</definedName>
    <definedName name="Fs" localSheetId="4">#REF!</definedName>
    <definedName name="Fs" localSheetId="32">#REF!</definedName>
    <definedName name="fs" localSheetId="24">#REF!</definedName>
    <definedName name="Fs" localSheetId="26">#REF!</definedName>
    <definedName name="Fs">#REF!</definedName>
    <definedName name="fsa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adfds">#REF!</definedName>
    <definedName name="fsadfsdaf" localSheetId="12" hidden="1">{#N/A,#N/A,TRUE,"Vergabe-Regeln";#N/A,#N/A,TRUE,"Baugruppen";#N/A,#N/A,TRUE,"Geräte";#N/A,#N/A,TRUE,"PC-Software";#N/A,#N/A,TRUE,"Software";#N/A,#N/A,TRUE,"SW-Reg";#N/A,#N/A,TRUE,"Dokumentation"}</definedName>
    <definedName name="fsadfsdaf" hidden="1">{#N/A,#N/A,TRUE,"Vergabe-Regeln";#N/A,#N/A,TRUE,"Baugruppen";#N/A,#N/A,TRUE,"Geräte";#N/A,#N/A,TRUE,"PC-Software";#N/A,#N/A,TRUE,"Software";#N/A,#N/A,TRUE,"SW-Reg";#N/A,#N/A,TRUE,"Dokumentation"}</definedName>
    <definedName name="fsdd" localSheetId="6" hidden="1">#REF!</definedName>
    <definedName name="fsdd" localSheetId="27" hidden="1">#REF!</definedName>
    <definedName name="fsdd" localSheetId="4" hidden="1">#REF!</definedName>
    <definedName name="fsdd" localSheetId="32" hidden="1">#REF!</definedName>
    <definedName name="fsdd" localSheetId="24" hidden="1">#REF!</definedName>
    <definedName name="fsdd" hidden="1">#REF!</definedName>
    <definedName name="fsdg" localSheetId="12">#REF!</definedName>
    <definedName name="fsdg">#REF!</definedName>
    <definedName name="fsdgfsgdfgsdf">#REF!</definedName>
    <definedName name="FSF">#REF!</definedName>
    <definedName name="fsg" localSheetId="24">#REF!</definedName>
    <definedName name="fsg">#REF!</definedName>
    <definedName name="Fskin">#REF!</definedName>
    <definedName name="fss">#REF!</definedName>
    <definedName name="Fst" localSheetId="24">#REF!</definedName>
    <definedName name="Fst">#REF!</definedName>
    <definedName name="fsteel">#REF!</definedName>
    <definedName name="FT" localSheetId="29">#REF!</definedName>
    <definedName name="FT" localSheetId="26">#REF!</definedName>
    <definedName name="FT">#REF!</definedName>
    <definedName name="FT0">#REF!</definedName>
    <definedName name="fto">#REF!</definedName>
    <definedName name="Ftot">#REF!</definedName>
    <definedName name="ftss" localSheetId="12" hidden="1">{"FTS",#N/A,FALSE,"E"}</definedName>
    <definedName name="ftss" hidden="1">{"FTS",#N/A,FALSE,"E"}</definedName>
    <definedName name="Fuel_Type">#REF!</definedName>
    <definedName name="FUGIGIULQWG" localSheetId="12" hidden="1">{"PLANT BREAKUP",#N/A,FALSE,"E"}</definedName>
    <definedName name="FUGIGIULQWG" hidden="1">{"PLANT BREAKUP",#N/A,FALSE,"E"}</definedName>
    <definedName name="Full_Print">#REF!</definedName>
    <definedName name="fullview">#REF!</definedName>
    <definedName name="FUND_M8_A_B" localSheetId="29">#REF!</definedName>
    <definedName name="FUND_M8_A_B" localSheetId="26">#REF!</definedName>
    <definedName name="FUND_M8_A_B">#REF!</definedName>
    <definedName name="FUNDFLOW_B8A">#REF!</definedName>
    <definedName name="FUNDFLOW_B8B">#REF!</definedName>
    <definedName name="funds" localSheetId="12" hidden="1">{"'Sheet1'!$A$4386:$N$4591"}</definedName>
    <definedName name="funds" localSheetId="29" hidden="1">{"'Sheet1'!$A$4386:$N$4591"}</definedName>
    <definedName name="funds" localSheetId="27" hidden="1">{"'Sheet1'!$A$4386:$N$4591"}</definedName>
    <definedName name="funds" localSheetId="4" hidden="1">{"'Sheet1'!$A$4386:$N$4591"}</definedName>
    <definedName name="funds" localSheetId="32" hidden="1">{"'Sheet1'!$A$4386:$N$4591"}</definedName>
    <definedName name="funds" localSheetId="24" hidden="1">{"'Sheet1'!$A$4386:$N$4591"}</definedName>
    <definedName name="funds" localSheetId="26" hidden="1">{"'Sheet1'!$A$4386:$N$4591"}</definedName>
    <definedName name="funds" hidden="1">{"'Sheet1'!$A$4386:$N$4591"}</definedName>
    <definedName name="Fv">#REF!</definedName>
    <definedName name="FVd">#REF!</definedName>
    <definedName name="Fvl" localSheetId="12">#REF!</definedName>
    <definedName name="Fvl" localSheetId="4">#REF!</definedName>
    <definedName name="Fvl" localSheetId="32">#REF!</definedName>
    <definedName name="Fvl">#REF!</definedName>
    <definedName name="Fvr" localSheetId="12">#REF!</definedName>
    <definedName name="Fvr">#REF!</definedName>
    <definedName name="fw">#REF!</definedName>
    <definedName name="Fwc">#REF!</definedName>
    <definedName name="fwi" localSheetId="4">#REF!</definedName>
    <definedName name="fwi" localSheetId="32">#REF!</definedName>
    <definedName name="fwi">#REF!</definedName>
    <definedName name="fwii">#REF!</definedName>
    <definedName name="fwio">#REF!</definedName>
    <definedName name="fww">#REF!</definedName>
    <definedName name="fy">#REF!</definedName>
    <definedName name="fyfy">#REF!</definedName>
    <definedName name="fysteel">#REF!</definedName>
    <definedName name="fytyfhjyguky">#REF!</definedName>
    <definedName name="fyy">#REF!</definedName>
    <definedName name="g" localSheetId="12">#REF!</definedName>
    <definedName name="g" localSheetId="29">#REF!</definedName>
    <definedName name="g" localSheetId="4">#REF!</definedName>
    <definedName name="g" localSheetId="32">#REF!</definedName>
    <definedName name="g" localSheetId="26">#REF!</definedName>
    <definedName name="g" localSheetId="2">#REF!</definedName>
    <definedName name="g">#REF!</definedName>
    <definedName name="G083BAAN1">#REF!</definedName>
    <definedName name="G0a" localSheetId="6">#REF!</definedName>
    <definedName name="G0a" localSheetId="27">#REF!</definedName>
    <definedName name="G0a" localSheetId="4">#REF!</definedName>
    <definedName name="G0a" localSheetId="32">#REF!</definedName>
    <definedName name="G0a" localSheetId="24">#REF!</definedName>
    <definedName name="G0a">#REF!</definedName>
    <definedName name="g2_1">#REF!</definedName>
    <definedName name="g65d9">#REF!</definedName>
    <definedName name="GA" localSheetId="12">INDEX(#REF!,MATCH(#REF!,#REF!,0))</definedName>
    <definedName name="GA" localSheetId="27">INDEX(#REF!,MATCH(#REF!,#REF!,0))</definedName>
    <definedName name="GA" localSheetId="24">INDEX(#REF!,MATCH(#REF!,#REF!,0))</definedName>
    <definedName name="GA">INDEX(#REF!,MATCH(#REF!,#REF!,0))</definedName>
    <definedName name="gaf">#REF!</definedName>
    <definedName name="gama" localSheetId="29">#REF!</definedName>
    <definedName name="gama" localSheetId="24">#REF!</definedName>
    <definedName name="gama" localSheetId="26">#REF!</definedName>
    <definedName name="gama">#REF!</definedName>
    <definedName name="gamah" localSheetId="29">#REF!</definedName>
    <definedName name="gamah" localSheetId="26">#REF!</definedName>
    <definedName name="gamah">#REF!</definedName>
    <definedName name="gamma">#REF!</definedName>
    <definedName name="GangStructure">#REF!</definedName>
    <definedName name="GAS" localSheetId="12">INDEX(#REF!,MATCH(#REF!,#REF!,0))</definedName>
    <definedName name="GAS">#REF!</definedName>
    <definedName name="gate">#REF!</definedName>
    <definedName name="GB" localSheetId="12">INDEX(#REF!,MATCH(#REF!,#REF!,0))</definedName>
    <definedName name="GB" localSheetId="27">INDEX(#REF!,MATCH(#REF!,#REF!,0))</definedName>
    <definedName name="GB" localSheetId="24">INDEX(#REF!,MATCH(#REF!,#REF!,0))</definedName>
    <definedName name="GB">INDEX(#REF!,MATCH(#REF!,#REF!,0))</definedName>
    <definedName name="GBDFG">#REF!</definedName>
    <definedName name="GBS">INDEX(#REF!,MATCH(#REF!,#REF!,0))</definedName>
    <definedName name="gbv">#REF!</definedName>
    <definedName name="GC" localSheetId="12">INDEX(#REF!,MATCH(#REF!,#REF!,0))</definedName>
    <definedName name="GC" localSheetId="27">INDEX(#REF!,MATCH(#REF!,#REF!,0))</definedName>
    <definedName name="GC" localSheetId="4">INDEX(#REF!,MATCH(#REF!,#REF!,0))</definedName>
    <definedName name="GC" localSheetId="32">INDEX(#REF!,MATCH(#REF!,#REF!,0))</definedName>
    <definedName name="GC" localSheetId="24">INDEX(#REF!,MATCH(#REF!,#REF!,0))</definedName>
    <definedName name="GC">INDEX(#REF!,MATCH(#REF!,#REF!,0))</definedName>
    <definedName name="Gci" localSheetId="12">#REF!</definedName>
    <definedName name="Gci">#REF!</definedName>
    <definedName name="gcr">#REF!</definedName>
    <definedName name="GCS">INDEX(#REF!,MATCH(#REF!,#REF!,0))</definedName>
    <definedName name="GD" localSheetId="12">INDEX(#REF!,MATCH(#REF!,#REF!,0))</definedName>
    <definedName name="GD" localSheetId="6">INDEX(#REF!,MATCH(#REF!,#REF!,0))</definedName>
    <definedName name="gd" localSheetId="27">#REF!</definedName>
    <definedName name="GD" localSheetId="4">INDEX(#REF!,MATCH(#REF!,#REF!,0))</definedName>
    <definedName name="GD" localSheetId="32">INDEX(#REF!,MATCH(#REF!,#REF!,0))</definedName>
    <definedName name="gd">#REF!</definedName>
    <definedName name="GDFAC">#REF!</definedName>
    <definedName name="GDGSDGG">#REF!</definedName>
    <definedName name="gdgwg" localSheetId="12" hidden="1">{"FTS",#N/A,FALSE,"E"}</definedName>
    <definedName name="gdgwg" hidden="1">{"FTS",#N/A,FALSE,"E"}</definedName>
    <definedName name="GDS">INDEX(#REF!,MATCH(#REF!,#REF!,0))</definedName>
    <definedName name="gdwilugi" localSheetId="12" hidden="1">{"CASH FLOW",#N/A,FALSE,"A"}</definedName>
    <definedName name="gdwilugi" hidden="1">{"CASH FLOW",#N/A,FALSE,"A"}</definedName>
    <definedName name="GE" localSheetId="12">INDEX(#REF!,MATCH(#REF!,#REF!,0))</definedName>
    <definedName name="GE" localSheetId="29">INDEX(#REF!,MATCH(#REF!,#REF!,0))</definedName>
    <definedName name="GE" localSheetId="27">INDEX(#REF!,MATCH(#REF!,#REF!,0))</definedName>
    <definedName name="GE" localSheetId="4">INDEX(#REF!,MATCH(#REF!,#REF!,0))</definedName>
    <definedName name="GE" localSheetId="32">INDEX(#REF!,MATCH(#REF!,#REF!,0))</definedName>
    <definedName name="ge" localSheetId="24">#REF!</definedName>
    <definedName name="GE" localSheetId="26">INDEX(#REF!,MATCH(#REF!,#REF!,0))</definedName>
    <definedName name="GE">INDEX(#REF!,MATCH(#REF!,#REF!,0))</definedName>
    <definedName name="ge_1" localSheetId="12">#REF!</definedName>
    <definedName name="ge_1">#REF!</definedName>
    <definedName name="GEN">#REF!</definedName>
    <definedName name="Gender" localSheetId="6">#REF!</definedName>
    <definedName name="Gender" localSheetId="27">#REF!</definedName>
    <definedName name="Gender" localSheetId="4">#REF!</definedName>
    <definedName name="Gender" localSheetId="32">#REF!</definedName>
    <definedName name="Gender" localSheetId="24">#REF!</definedName>
    <definedName name="Gender">#REF!</definedName>
    <definedName name="Genesis" localSheetId="12" hidden="1">{"'Quotation'!$A$1:$G$1"}</definedName>
    <definedName name="Genesis" hidden="1">{"'Quotation'!$A$1:$G$1"}</definedName>
    <definedName name="GenSet125" localSheetId="6">#REF!</definedName>
    <definedName name="GenSet125" localSheetId="27">#REF!</definedName>
    <definedName name="GenSet125" localSheetId="4">#REF!</definedName>
    <definedName name="GenSet125" localSheetId="32">#REF!</definedName>
    <definedName name="GenSet125" localSheetId="24">#REF!</definedName>
    <definedName name="GenSet125">#REF!</definedName>
    <definedName name="Gera" localSheetId="6">#REF!</definedName>
    <definedName name="Gera" localSheetId="27">#REF!</definedName>
    <definedName name="Gera" localSheetId="4">#REF!</definedName>
    <definedName name="Gera" localSheetId="32">#REF!</definedName>
    <definedName name="Gera" localSheetId="24">#REF!</definedName>
    <definedName name="Gera">#REF!</definedName>
    <definedName name="geral" localSheetId="12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geral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GES">INDEX(#REF!,MATCH(#REF!,#REF!,0))</definedName>
    <definedName name="get_brief_description_of_item">IF(#REF!&lt;#REF!,"0",#REF!)</definedName>
    <definedName name="get_item_rate_from_workbill">INDIRECT("'workbill proforma'!Q"&amp;MATCH(#REF!,#REF!,0)+10)</definedName>
    <definedName name="GF" localSheetId="12">INDEX(#REF!,MATCH(#REF!,#REF!,0))</definedName>
    <definedName name="GF" localSheetId="27">INDEX(#REF!,MATCH(#REF!,#REF!,0))</definedName>
    <definedName name="GF" localSheetId="24">INDEX(#REF!,MATCH(#REF!,#REF!,0))</definedName>
    <definedName name="GF">INDEX(#REF!,MATCH(#REF!,#REF!,0))</definedName>
    <definedName name="GFA" localSheetId="24">#REF!</definedName>
    <definedName name="GFA">#REF!</definedName>
    <definedName name="GFA_1">"#REF!"</definedName>
    <definedName name="gfdd">#REF!</definedName>
    <definedName name="gffert6">#REF!</definedName>
    <definedName name="GFGFG" localSheetId="6" hidden="1">#REF!</definedName>
    <definedName name="GFGFG" localSheetId="29" hidden="1">#REF!</definedName>
    <definedName name="GFGFG" localSheetId="24" hidden="1">#REF!</definedName>
    <definedName name="GFGFG" localSheetId="26" hidden="1">#REF!</definedName>
    <definedName name="GFGFG" hidden="1">#REF!</definedName>
    <definedName name="gfhgfhfh">#REF!</definedName>
    <definedName name="gfiopbhg">#REF!</definedName>
    <definedName name="GFJR" localSheetId="12">#REF!</definedName>
    <definedName name="GFJR" localSheetId="24">#REF!</definedName>
    <definedName name="GFJR">#REF!</definedName>
    <definedName name="gfrt">#REF!</definedName>
    <definedName name="gfrt56">#REF!</definedName>
    <definedName name="GFS">INDEX(#REF!,MATCH(#REF!,#REF!,0))</definedName>
    <definedName name="gfthh">#REF!</definedName>
    <definedName name="gftr">#REF!</definedName>
    <definedName name="gftr56">#REF!</definedName>
    <definedName name="GG" localSheetId="12">INDEX(#REF!,MATCH(#REF!,#REF!,0))</definedName>
    <definedName name="gg" localSheetId="6">#REF!</definedName>
    <definedName name="gg">#REF!</definedName>
    <definedName name="GGF">#REF!</definedName>
    <definedName name="GGG" localSheetId="12">#REF!</definedName>
    <definedName name="ggg" localSheetId="6" hidden="1">{"'PROFITABILITY'!$A$1:$F$45"}</definedName>
    <definedName name="ggg" localSheetId="29" hidden="1">{"'PROFITABILITY'!$A$1:$F$45"}</definedName>
    <definedName name="ggg" localSheetId="27" hidden="1">{"'PROFITABILITY'!$A$1:$F$45"}</definedName>
    <definedName name="ggg" localSheetId="4" hidden="1">{"'PROFITABILITY'!$A$1:$F$45"}</definedName>
    <definedName name="ggg" localSheetId="32" hidden="1">{"'PROFITABILITY'!$A$1:$F$45"}</definedName>
    <definedName name="GGG" localSheetId="24">#REF!</definedName>
    <definedName name="ggg" localSheetId="26" hidden="1">{"'PROFITABILITY'!$A$1:$F$45"}</definedName>
    <definedName name="ggg" hidden="1">{"'PROFITABILITY'!$A$1:$F$45"}</definedName>
    <definedName name="GGGG">#REF!</definedName>
    <definedName name="gghh">#REF!</definedName>
    <definedName name="GGS">INDEX(#REF!,MATCH(#REF!,#REF!,0))</definedName>
    <definedName name="ggt">#REF!</definedName>
    <definedName name="GH" localSheetId="12">INDEX(#REF!,MATCH(#REF!,#REF!,0))</definedName>
    <definedName name="GH" localSheetId="27">INDEX(#REF!,MATCH(#REF!,#REF!,0))</definedName>
    <definedName name="GH" localSheetId="4">INDEX(#REF!,MATCH(#REF!,#REF!,0))</definedName>
    <definedName name="GH" localSheetId="32">INDEX(#REF!,MATCH(#REF!,#REF!,0))</definedName>
    <definedName name="GH" localSheetId="24">INDEX(#REF!,MATCH(#REF!,#REF!,0))</definedName>
    <definedName name="GH">INDEX(#REF!,MATCH(#REF!,#REF!,0))</definedName>
    <definedName name="ghghfhgfcghchg">#REF!</definedName>
    <definedName name="ghhjj">#REF!</definedName>
    <definedName name="ghj" localSheetId="12" hidden="1">{#N/A,#N/A,TRUE,"Config1";#N/A,#N/A,TRUE,"Config2";#N/A,#N/A,TRUE,"Config3";#N/A,#N/A,TRUE,"Config4";#N/A,#N/A,TRUE,"Config5";#N/A,#N/A,TRUE,"Config6";#N/A,#N/A,TRUE,"Config7"}</definedName>
    <definedName name="ghj" hidden="1">{#N/A,#N/A,TRUE,"Config1";#N/A,#N/A,TRUE,"Config2";#N/A,#N/A,TRUE,"Config3";#N/A,#N/A,TRUE,"Config4";#N/A,#N/A,TRUE,"Config5";#N/A,#N/A,TRUE,"Config6";#N/A,#N/A,TRUE,"Config7"}</definedName>
    <definedName name="ghmgm" localSheetId="12" hidden="1">{"'PROFITABILITY'!$A$1:$F$45"}</definedName>
    <definedName name="ghmgm" hidden="1">{"'PROFITABILITY'!$A$1:$F$45"}</definedName>
    <definedName name="GHS">INDEX(#REF!,MATCH(#REF!,#REF!,0))</definedName>
    <definedName name="GI" localSheetId="12">INDEX(#REF!,MATCH(#REF!,#REF!,0))</definedName>
    <definedName name="GI" localSheetId="29">INDEX(#REF!,MATCH(#REF!,#REF!,0))</definedName>
    <definedName name="GI" localSheetId="27">INDEX(#REF!,MATCH(#REF!,#REF!,0))</definedName>
    <definedName name="GI" localSheetId="4">INDEX(#REF!,MATCH(#REF!,#REF!,0))</definedName>
    <definedName name="GI" localSheetId="32">INDEX(#REF!,MATCH(#REF!,#REF!,0))</definedName>
    <definedName name="GI" localSheetId="24">#REF!</definedName>
    <definedName name="GI" localSheetId="26">INDEX(#REF!,MATCH(#REF!,#REF!,0))</definedName>
    <definedName name="GI">INDEX(#REF!,MATCH(#REF!,#REF!,0))</definedName>
    <definedName name="gi_100">#REF!</definedName>
    <definedName name="gi_150">#REF!</definedName>
    <definedName name="gi_200">#REF!</definedName>
    <definedName name="gi_25">#REF!</definedName>
    <definedName name="gi_250">#REF!</definedName>
    <definedName name="gi_300">#REF!</definedName>
    <definedName name="gi_32">#REF!</definedName>
    <definedName name="gi_40">#REF!</definedName>
    <definedName name="gi_400">#REF!</definedName>
    <definedName name="gi_50">#REF!</definedName>
    <definedName name="gi_500">#REF!</definedName>
    <definedName name="gi_600">#REF!</definedName>
    <definedName name="gi_65">#REF!</definedName>
    <definedName name="gi_80">#REF!</definedName>
    <definedName name="girder.span">#REF!</definedName>
    <definedName name="GIS">INDEX(#REF!,MATCH(#REF!,#REF!,0))</definedName>
    <definedName name="GIUIO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LIO" localSheetId="1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29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27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3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2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2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J" localSheetId="12">INDEX(#REF!,MATCH(#REF!,#REF!,0))</definedName>
    <definedName name="GJ" localSheetId="27">INDEX(#REF!,MATCH(#REF!,#REF!,0))</definedName>
    <definedName name="GJ" localSheetId="24">INDEX(#REF!,MATCH(#REF!,#REF!,0))</definedName>
    <definedName name="GJ">INDEX(#REF!,MATCH(#REF!,#REF!,0))</definedName>
    <definedName name="gjgjggjggjg">#REF!</definedName>
    <definedName name="GJS">INDEX(#REF!,MATCH(#REF!,#REF!,0))</definedName>
    <definedName name="gjv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local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local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K" localSheetId="12">INDEX(#REF!,MATCH(#REF!,#REF!,0))</definedName>
    <definedName name="gk" localSheetId="6">#REF!</definedName>
    <definedName name="gk" localSheetId="29">#REF!</definedName>
    <definedName name="gk" localSheetId="24">#REF!</definedName>
    <definedName name="gk" localSheetId="26">#REF!</definedName>
    <definedName name="gk">#REF!</definedName>
    <definedName name="GL" localSheetId="12">INDEX(#REF!,MATCH(#REF!,#REF!,0))</definedName>
    <definedName name="GL" localSheetId="27">INDEX(#REF!,MATCH(#REF!,#REF!,0))</definedName>
    <definedName name="GL" localSheetId="24">INDEX(#REF!,MATCH(#REF!,#REF!,0))</definedName>
    <definedName name="GL">INDEX(#REF!,MATCH(#REF!,#REF!,0))</definedName>
    <definedName name="GlazedCeramicTiles" localSheetId="6">#REF!</definedName>
    <definedName name="GlazedCeramicTiles" localSheetId="27">#REF!</definedName>
    <definedName name="GlazedCeramicTiles" localSheetId="4">#REF!</definedName>
    <definedName name="GlazedCeramicTiles" localSheetId="32">#REF!</definedName>
    <definedName name="GlazedCeramicTiles" localSheetId="24">#REF!</definedName>
    <definedName name="GlazedCeramicTiles">#REF!</definedName>
    <definedName name="glb_100">#REF!</definedName>
    <definedName name="glb_150">#REF!</definedName>
    <definedName name="glb_200">#REF!</definedName>
    <definedName name="glb_25">#REF!</definedName>
    <definedName name="glb_250">#REF!</definedName>
    <definedName name="glb_300">#REF!</definedName>
    <definedName name="glb_32">#REF!</definedName>
    <definedName name="glb_40">#REF!</definedName>
    <definedName name="glb_50">#REF!</definedName>
    <definedName name="glb_65">#REF!</definedName>
    <definedName name="glb_80">#REF!</definedName>
    <definedName name="globe" localSheetId="6">#REF!</definedName>
    <definedName name="globe" localSheetId="29">#REF!</definedName>
    <definedName name="globe" localSheetId="26">#REF!</definedName>
    <definedName name="globe">#REF!</definedName>
    <definedName name="GM" localSheetId="12">INDEX(#REF!,MATCH(#REF!,#REF!,0))</definedName>
    <definedName name="GM" localSheetId="27">INDEX(#REF!,MATCH(#REF!,#REF!,0))</definedName>
    <definedName name="GM" localSheetId="24">INDEX(#REF!,MATCH(#REF!,#REF!,0))</definedName>
    <definedName name="GM">INDEX(#REF!,MATCH(#REF!,#REF!,0))</definedName>
    <definedName name="Gma" localSheetId="6">#REF!</definedName>
    <definedName name="Gma" localSheetId="27">#REF!</definedName>
    <definedName name="Gma" localSheetId="4">#REF!</definedName>
    <definedName name="Gma" localSheetId="32">#REF!</definedName>
    <definedName name="Gma" localSheetId="24">#REF!</definedName>
    <definedName name="Gma">#REF!</definedName>
    <definedName name="GMD">#REF!</definedName>
    <definedName name="Gml" localSheetId="6">#REF!</definedName>
    <definedName name="Gml" localSheetId="27">#REF!</definedName>
    <definedName name="Gml" localSheetId="4">#REF!</definedName>
    <definedName name="Gml" localSheetId="32">#REF!</definedName>
    <definedName name="Gml" localSheetId="24">#REF!</definedName>
    <definedName name="Gml">#REF!</definedName>
    <definedName name="GMR" localSheetId="24">#REF!</definedName>
    <definedName name="GMR">#REF!</definedName>
    <definedName name="GMRb">#REF!</definedName>
    <definedName name="gn" localSheetId="24">#REF!</definedName>
    <definedName name="gn">#REF!</definedName>
    <definedName name="GND">#REF!</definedName>
    <definedName name="gngn" localSheetId="4">#REF!</definedName>
    <definedName name="gngn" localSheetId="32">#REF!</definedName>
    <definedName name="gngn">#REF!</definedName>
    <definedName name="go">#REF!</definedName>
    <definedName name="Godavari">#REF!</definedName>
    <definedName name="Gol" localSheetId="6">#REF!</definedName>
    <definedName name="Gol" localSheetId="27">#REF!</definedName>
    <definedName name="Gol" localSheetId="4">#REF!</definedName>
    <definedName name="Gol" localSheetId="32">#REF!</definedName>
    <definedName name="Gol" localSheetId="24">#REF!</definedName>
    <definedName name="Gol">#REF!</definedName>
    <definedName name="gov">#REF!</definedName>
    <definedName name="GP" localSheetId="29">#REF!</definedName>
    <definedName name="GP" localSheetId="26">#REF!</definedName>
    <definedName name="GP" localSheetId="2">#REF!</definedName>
    <definedName name="GP">#REF!</definedName>
    <definedName name="GPR">#REF!</definedName>
    <definedName name="GPs" localSheetId="2">#REF!</definedName>
    <definedName name="GPs">#REF!</definedName>
    <definedName name="GPTL">#REF!</definedName>
    <definedName name="GRADE">#REF!</definedName>
    <definedName name="Gravel_incl_transport">#REF!</definedName>
    <definedName name="GravelFill">#REF!</definedName>
    <definedName name="grconc" localSheetId="6">#REF!</definedName>
    <definedName name="grconc" localSheetId="27">#REF!</definedName>
    <definedName name="grconc" localSheetId="4">#REF!</definedName>
    <definedName name="grconc" localSheetId="32">#REF!</definedName>
    <definedName name="grconc" localSheetId="24">#REF!</definedName>
    <definedName name="grconc">#REF!</definedName>
    <definedName name="GrdLineMr" localSheetId="12">#REF!</definedName>
    <definedName name="GrdLineMr" localSheetId="29">#REF!</definedName>
    <definedName name="GrdLineMr" localSheetId="24">#REF!</definedName>
    <definedName name="GrdLineMr" localSheetId="26">#REF!</definedName>
    <definedName name="GrdLineMr">#REF!</definedName>
    <definedName name="GrdLineShear" localSheetId="12">#REF!</definedName>
    <definedName name="GrdLineShear" localSheetId="29">#REF!</definedName>
    <definedName name="GrdLineShear" localSheetId="26">#REF!</definedName>
    <definedName name="GrdLineShear">#REF!</definedName>
    <definedName name="grgr">#REF!</definedName>
    <definedName name="GRGRREG">#REF!</definedName>
    <definedName name="grid" localSheetId="12">#REF!</definedName>
    <definedName name="grid">#REF!</definedName>
    <definedName name="GRLvl">#REF!</definedName>
    <definedName name="gross" localSheetId="2">#REF!</definedName>
    <definedName name="gross">#REF!</definedName>
    <definedName name="GROUND">#REF!</definedName>
    <definedName name="GROUND220">#REF!</definedName>
    <definedName name="Groundinga" localSheetId="12" hidden="1">{"'PROFITABILITY'!$A$1:$F$45"}</definedName>
    <definedName name="Groundinga" localSheetId="6" hidden="1">{"'PROFITABILITY'!$A$1:$F$45"}</definedName>
    <definedName name="Groundinga" localSheetId="29" hidden="1">{"'PROFITABILITY'!$A$1:$F$45"}</definedName>
    <definedName name="Groundinga" localSheetId="27" hidden="1">{"'PROFITABILITY'!$A$1:$F$45"}</definedName>
    <definedName name="Groundinga" localSheetId="4" hidden="1">{"'PROFITABILITY'!$A$1:$F$45"}</definedName>
    <definedName name="Groundinga" localSheetId="32" hidden="1">{"'PROFITABILITY'!$A$1:$F$45"}</definedName>
    <definedName name="Groundinga" localSheetId="24" hidden="1">{"'PROFITABILITY'!$A$1:$F$45"}</definedName>
    <definedName name="Groundinga" localSheetId="26" hidden="1">{"'PROFITABILITY'!$A$1:$F$45"}</definedName>
    <definedName name="Groundinga" hidden="1">{"'PROFITABILITY'!$A$1:$F$45"}</definedName>
    <definedName name="Group">#REF!</definedName>
    <definedName name="Group_Mth">#REF!</definedName>
    <definedName name="Group_PM">#REF!</definedName>
    <definedName name="Group_PM1">#REF!</definedName>
    <definedName name="Group_PY">#REF!</definedName>
    <definedName name="Group_PY1">#REF!</definedName>
    <definedName name="Group_YTD">#REF!</definedName>
    <definedName name="Group1">#REF!</definedName>
    <definedName name="Group2">#REF!</definedName>
    <definedName name="Group3">#REF!</definedName>
    <definedName name="Group4">#REF!</definedName>
    <definedName name="GROUPIIE">#REF!</definedName>
    <definedName name="GROUPIIP">#REF!</definedName>
    <definedName name="GROUPX">#REF!</definedName>
    <definedName name="GROUPXI">#REF!</definedName>
    <definedName name="GROUT" localSheetId="6">#REF!</definedName>
    <definedName name="GROUT" localSheetId="27">#REF!</definedName>
    <definedName name="GROUT" localSheetId="4">#REF!</definedName>
    <definedName name="GROUT" localSheetId="32">#REF!</definedName>
    <definedName name="GROUT" localSheetId="24">#REF!</definedName>
    <definedName name="GROUT">#REF!</definedName>
    <definedName name="grout_type" localSheetId="29">#REF!</definedName>
    <definedName name="grout_type" localSheetId="24">#REF!</definedName>
    <definedName name="grout_type" localSheetId="26">#REF!</definedName>
    <definedName name="grout_type">#REF!</definedName>
    <definedName name="GrphActSales" localSheetId="29">#REF!</definedName>
    <definedName name="GrphActSales" localSheetId="26">#REF!</definedName>
    <definedName name="GrphActSales">#REF!</definedName>
    <definedName name="GrphActStk">#REF!</definedName>
    <definedName name="GrphPlanSales">#REF!</definedName>
    <definedName name="GrphTgtStk">#REF!</definedName>
    <definedName name="gs">#REF!</definedName>
    <definedName name="gsdfg">#REF!</definedName>
    <definedName name="GSDFGFHGH">#REF!</definedName>
    <definedName name="GSDGG">#REF!</definedName>
    <definedName name="GT">#REF!</definedName>
    <definedName name="gtst">#REF!</definedName>
    <definedName name="GTTA">#REF!</definedName>
    <definedName name="GTTB">#REF!</definedName>
    <definedName name="GTTPL">#REF!</definedName>
    <definedName name="GUMMA">#REF!</definedName>
    <definedName name="GUPTAVP">#REF!</definedName>
    <definedName name="GV" localSheetId="12" hidden="1">{#N/A,#N/A,FALSE,"CCTV"}</definedName>
    <definedName name="GV" localSheetId="6" hidden="1">{#N/A,#N/A,FALSE,"CCTV"}</definedName>
    <definedName name="GV" localSheetId="29" hidden="1">{#N/A,#N/A,FALSE,"CCTV"}</definedName>
    <definedName name="GV" localSheetId="27" hidden="1">{#N/A,#N/A,FALSE,"CCTV"}</definedName>
    <definedName name="GV" localSheetId="4" hidden="1">{#N/A,#N/A,FALSE,"CCTV"}</definedName>
    <definedName name="GV" localSheetId="32" hidden="1">{#N/A,#N/A,FALSE,"CCTV"}</definedName>
    <definedName name="GV" localSheetId="24" hidden="1">{#N/A,#N/A,FALSE,"CCTV"}</definedName>
    <definedName name="GV" localSheetId="26" hidden="1">{#N/A,#N/A,FALSE,"CCTV"}</definedName>
    <definedName name="GV" hidden="1">{#N/A,#N/A,FALSE,"CCTV"}</definedName>
    <definedName name="gv_100">#REF!</definedName>
    <definedName name="gv_150">#REF!</definedName>
    <definedName name="gv_200">#REF!</definedName>
    <definedName name="gv_25">#REF!</definedName>
    <definedName name="gv_250">#REF!</definedName>
    <definedName name="gv_300">#REF!</definedName>
    <definedName name="gv_32">#REF!</definedName>
    <definedName name="gv_40">#REF!</definedName>
    <definedName name="gv_400">#REF!</definedName>
    <definedName name="gv_50">#REF!</definedName>
    <definedName name="gv_500">#REF!</definedName>
    <definedName name="gv_65">#REF!</definedName>
    <definedName name="gv_80">#REF!</definedName>
    <definedName name="gvgv">#REF!</definedName>
    <definedName name="gvhgvkj">#REF!</definedName>
    <definedName name="GW" localSheetId="29">#REF!</definedName>
    <definedName name="GW" localSheetId="27">#REF!</definedName>
    <definedName name="Gw" localSheetId="24">#REF!</definedName>
    <definedName name="GW" localSheetId="26">#REF!</definedName>
    <definedName name="GW">#REF!</definedName>
    <definedName name="h" localSheetId="12">#REF!</definedName>
    <definedName name="h" localSheetId="29" hidden="1">#REF!</definedName>
    <definedName name="h" localSheetId="26" hidden="1">#REF!</definedName>
    <definedName name="h" hidden="1">#REF!</definedName>
    <definedName name="H___0">#REF!</definedName>
    <definedName name="H___13">#REF!</definedName>
    <definedName name="h_1">#REF!</definedName>
    <definedName name="h_af">#REF!</definedName>
    <definedName name="h_bf">#REF!</definedName>
    <definedName name="H0" localSheetId="12">#REF!</definedName>
    <definedName name="H0">#REF!</definedName>
    <definedName name="H0___0">#REF!</definedName>
    <definedName name="H0___13">#REF!</definedName>
    <definedName name="HA" localSheetId="12">INDEX(#REF!,MATCH(#REF!,#REF!,0))</definedName>
    <definedName name="HA" localSheetId="27">INDEX(#REF!,MATCH(#REF!,#REF!,0))</definedName>
    <definedName name="HA" localSheetId="24">INDEX(#REF!,MATCH(#REF!,#REF!,0))</definedName>
    <definedName name="HA">INDEX(#REF!,MATCH(#REF!,#REF!,0))</definedName>
    <definedName name="haba">#REF!</definedName>
    <definedName name="hai">#REF!</definedName>
    <definedName name="haj">#REF!</definedName>
    <definedName name="HALDIA">#N/A</definedName>
    <definedName name="HANDL">#REF!</definedName>
    <definedName name="hardrock" localSheetId="6">#REF!</definedName>
    <definedName name="hardrock" localSheetId="27">#REF!</definedName>
    <definedName name="hardrock" localSheetId="4">#REF!</definedName>
    <definedName name="hardrock" localSheetId="32">#REF!</definedName>
    <definedName name="hardrock" localSheetId="24">#REF!</definedName>
    <definedName name="hardrock">#REF!</definedName>
    <definedName name="HARI" localSheetId="6">#REF!</definedName>
    <definedName name="HARI" localSheetId="27">#REF!</definedName>
    <definedName name="HARI" localSheetId="4">#REF!</definedName>
    <definedName name="HARI" localSheetId="32">#REF!</definedName>
    <definedName name="HARI" localSheetId="24">#REF!</definedName>
    <definedName name="HARI">#REF!</definedName>
    <definedName name="HAS">INDEX(#REF!,MATCH(#REF!,#REF!,0))</definedName>
    <definedName name="HaulWMM" localSheetId="6">#REF!</definedName>
    <definedName name="HaulWMM" localSheetId="27">#REF!</definedName>
    <definedName name="HaulWMM" localSheetId="4">#REF!</definedName>
    <definedName name="HaulWMM" localSheetId="32">#REF!</definedName>
    <definedName name="HaulWMM" localSheetId="24">#REF!</definedName>
    <definedName name="HaulWMM">#REF!</definedName>
    <definedName name="HB" localSheetId="12">INDEX(#REF!,MATCH(#REF!,#REF!,0))</definedName>
    <definedName name="HB" localSheetId="27">INDEX(#REF!,MATCH(#REF!,#REF!,0))</definedName>
    <definedName name="HB" localSheetId="24">INDEX(#REF!,MATCH(#REF!,#REF!,0))</definedName>
    <definedName name="HB">INDEX(#REF!,MATCH(#REF!,#REF!,0))</definedName>
    <definedName name="HBGDust" localSheetId="6">#REF!</definedName>
    <definedName name="HBGDust" localSheetId="27">#REF!</definedName>
    <definedName name="HBGDust" localSheetId="4">#REF!</definedName>
    <definedName name="HBGDust" localSheetId="32">#REF!</definedName>
    <definedName name="HBGDust" localSheetId="24">#REF!</definedName>
    <definedName name="HBGDust">#REF!</definedName>
    <definedName name="hbgy">#REF!</definedName>
    <definedName name="HBS">INDEX(#REF!,MATCH(#REF!,#REF!,0))</definedName>
    <definedName name="HC" localSheetId="12">INDEX(#REF!,MATCH(#REF!,#REF!,0))</definedName>
    <definedName name="HC" localSheetId="27">INDEX(#REF!,MATCH(#REF!,#REF!,0))</definedName>
    <definedName name="HC" localSheetId="24">INDEX(#REF!,MATCH(#REF!,#REF!,0))</definedName>
    <definedName name="HC">INDEX(#REF!,MATCH(#REF!,#REF!,0))</definedName>
    <definedName name="Hcbdw" localSheetId="6">#REF!</definedName>
    <definedName name="Hcbdw" localSheetId="29">#REF!</definedName>
    <definedName name="Hcbdw" localSheetId="27">#REF!</definedName>
    <definedName name="Hcbdw" localSheetId="4">#REF!</definedName>
    <definedName name="Hcbdw" localSheetId="32">#REF!</definedName>
    <definedName name="Hcbdw" localSheetId="24">#REF!</definedName>
    <definedName name="Hcbdw" localSheetId="26">#REF!</definedName>
    <definedName name="Hcbdw">#REF!</definedName>
    <definedName name="HCS">INDEX(#REF!,MATCH(#REF!,#REF!,0))</definedName>
    <definedName name="Hcw" localSheetId="6">#REF!</definedName>
    <definedName name="Hcw" localSheetId="29">#REF!</definedName>
    <definedName name="Hcw" localSheetId="27">#REF!</definedName>
    <definedName name="Hcw" localSheetId="4">#REF!</definedName>
    <definedName name="Hcw" localSheetId="32">#REF!</definedName>
    <definedName name="Hcw" localSheetId="24">#REF!</definedName>
    <definedName name="Hcw" localSheetId="26">#REF!</definedName>
    <definedName name="Hcw">#REF!</definedName>
    <definedName name="HD" localSheetId="12">INDEX(#REF!,MATCH(#REF!,#REF!,0))</definedName>
    <definedName name="HD" localSheetId="27">INDEX(#REF!,MATCH(#REF!,#REF!,0))</definedName>
    <definedName name="HD" localSheetId="24">INDEX(#REF!,MATCH(#REF!,#REF!,0))</definedName>
    <definedName name="HD">INDEX(#REF!,MATCH(#REF!,#REF!,0))</definedName>
    <definedName name="hdffghh">#REF!</definedName>
    <definedName name="HDS">INDEX(#REF!,MATCH(#REF!,#REF!,0))</definedName>
    <definedName name="HE" localSheetId="12">INDEX(#REF!,MATCH(#REF!,#REF!,0))</definedName>
    <definedName name="HE" localSheetId="29">#REF!</definedName>
    <definedName name="HE" localSheetId="26">#REF!</definedName>
    <definedName name="HE">#REF!</definedName>
    <definedName name="head1" localSheetId="12">#REF!</definedName>
    <definedName name="head1">#REF!</definedName>
    <definedName name="head2" localSheetId="12">#REF!</definedName>
    <definedName name="head2">#REF!</definedName>
    <definedName name="head3" localSheetId="12">#REF!</definedName>
    <definedName name="head3">#REF!</definedName>
    <definedName name="Header" localSheetId="29">#REF!</definedName>
    <definedName name="Header" localSheetId="26">#REF!</definedName>
    <definedName name="Header">#REF!</definedName>
    <definedName name="Header_Row">ROW(#REF!)</definedName>
    <definedName name="HEATER_DATA">#REF!</definedName>
    <definedName name="hed">#REF!</definedName>
    <definedName name="HEDGING">#REF!</definedName>
    <definedName name="hello">#REF!</definedName>
    <definedName name="her" localSheetId="12">#REF!</definedName>
    <definedName name="her">#REF!</definedName>
    <definedName name="Herstellerangaben">#REF!</definedName>
    <definedName name="HES">INDEX(#REF!,MATCH(#REF!,#REF!,0))</definedName>
    <definedName name="HF" localSheetId="12">INDEX(#REF!,MATCH(#REF!,#REF!,0))</definedName>
    <definedName name="hf">#REF!</definedName>
    <definedName name="hfgfgtr.">#REF!</definedName>
    <definedName name="hfghfhertye5y5">#REF!</definedName>
    <definedName name="hfh" localSheetId="12" hidden="1">{"'PROFITABILITY'!$A$1:$F$45"}</definedName>
    <definedName name="hfh" hidden="1">{"'PROFITABILITY'!$A$1:$F$45"}</definedName>
    <definedName name="hfi">#REF!</definedName>
    <definedName name="hfjtyu" localSheetId="12" hidden="1">{"'PROFITABILITY'!$A$1:$F$45"}</definedName>
    <definedName name="hfjtyu" hidden="1">{"'PROFITABILITY'!$A$1:$F$45"}</definedName>
    <definedName name="HFS">INDEX(#REF!,MATCH(#REF!,#REF!,0))</definedName>
    <definedName name="HG" localSheetId="12">INDEX(#REF!,MATCH(#REF!,#REF!,0))</definedName>
    <definedName name="HG" localSheetId="27">INDEX(#REF!,MATCH(#REF!,#REF!,0))</definedName>
    <definedName name="HG" localSheetId="4">INDEX(#REF!,MATCH(#REF!,#REF!,0))</definedName>
    <definedName name="HG" localSheetId="32">INDEX(#REF!,MATCH(#REF!,#REF!,0))</definedName>
    <definedName name="HG" localSheetId="24">INDEX(#REF!,MATCH(#REF!,#REF!,0))</definedName>
    <definedName name="HG">INDEX(#REF!,MATCH(#REF!,#REF!,0))</definedName>
    <definedName name="HGDFGD" localSheetId="1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29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27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3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2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2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hfjkg" localSheetId="12">#REF!</definedName>
    <definedName name="hgdfhfjkg">#REF!</definedName>
    <definedName name="HGGDF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NGH">#REF!</definedName>
    <definedName name="hgr">#REF!</definedName>
    <definedName name="HGS">INDEX(#REF!,MATCH(#REF!,#REF!,0))</definedName>
    <definedName name="hgvgv">#REF!</definedName>
    <definedName name="HH" localSheetId="12">INDEX(#REF!,MATCH(#REF!,#REF!,0))</definedName>
    <definedName name="hh" localSheetId="29">#REF!</definedName>
    <definedName name="hh" localSheetId="27">#REF!</definedName>
    <definedName name="hh" localSheetId="26">#REF!</definedName>
    <definedName name="hh">#REF!</definedName>
    <definedName name="hh___0">#REF!</definedName>
    <definedName name="hh___13">#REF!</definedName>
    <definedName name="hhgfhbfghj">#REF!</definedName>
    <definedName name="hhgg" localSheetId="12">#REF!</definedName>
    <definedName name="hhgg">#REF!</definedName>
    <definedName name="hhh">#REF!</definedName>
    <definedName name="hhh_1">#REF!</definedName>
    <definedName name="hhhh">#REF!</definedName>
    <definedName name="hhhhhhh">#REF!</definedName>
    <definedName name="hhhhhhhh" localSheetId="12">#REF!</definedName>
    <definedName name="hhhhhhhh">#REF!</definedName>
    <definedName name="hhhhhhhhh" localSheetId="12">#REF!</definedName>
    <definedName name="hhhhhhhhh">#REF!</definedName>
    <definedName name="hhhjh">#REF!</definedName>
    <definedName name="hhhkh" hidden="1">#REF!</definedName>
    <definedName name="hhmm">#REF!</definedName>
    <definedName name="Hhpc" localSheetId="6">#REF!</definedName>
    <definedName name="Hhpc" localSheetId="29">#REF!</definedName>
    <definedName name="Hhpc" localSheetId="27">#REF!</definedName>
    <definedName name="Hhpc" localSheetId="4">#REF!</definedName>
    <definedName name="Hhpc" localSheetId="32">#REF!</definedName>
    <definedName name="Hhpc" localSheetId="24">#REF!</definedName>
    <definedName name="Hhpc" localSheetId="26">#REF!</definedName>
    <definedName name="Hhpc">#REF!</definedName>
    <definedName name="HHS" localSheetId="12">INDEX(#REF!,MATCH(#REF!,#REF!,0))</definedName>
    <definedName name="hhs" localSheetId="29">#REF!</definedName>
    <definedName name="hhs" localSheetId="26">#REF!</definedName>
    <definedName name="hhs">#REF!</definedName>
    <definedName name="hhss">#REF!</definedName>
    <definedName name="HI" localSheetId="12">INDEX(#REF!,MATCH(#REF!,#REF!,0))</definedName>
    <definedName name="HI" localSheetId="6">INDEX(#REF!,MATCH(#REF!,#REF!,0))</definedName>
    <definedName name="hi" localSheetId="29">#REF!</definedName>
    <definedName name="hi" localSheetId="27">#REF!</definedName>
    <definedName name="HI" localSheetId="4">INDEX(#REF!,MATCH(#REF!,#REF!,0))</definedName>
    <definedName name="HI" localSheetId="32">INDEX(#REF!,MATCH(#REF!,#REF!,0))</definedName>
    <definedName name="hi" localSheetId="26">#REF!</definedName>
    <definedName name="hi">#REF!</definedName>
    <definedName name="HiddenRows" localSheetId="6" hidden="1">#REF!</definedName>
    <definedName name="HiddenRows" localSheetId="27" hidden="1">#REF!</definedName>
    <definedName name="HiddenRows" localSheetId="4" hidden="1">#REF!</definedName>
    <definedName name="HiddenRows" localSheetId="32" hidden="1">#REF!</definedName>
    <definedName name="HiddenRows" localSheetId="24" hidden="1">#REF!</definedName>
    <definedName name="HiddenRows" hidden="1">#REF!</definedName>
    <definedName name="HighlySkilledDay">#REF!</definedName>
    <definedName name="HighlySkilledMonth">#REF!</definedName>
    <definedName name="hijkl" localSheetId="12" hidden="1">{"'PROFITABILITY'!$A$1:$F$45"}</definedName>
    <definedName name="hijkl" localSheetId="6" hidden="1">{"'PROFITABILITY'!$A$1:$F$45"}</definedName>
    <definedName name="hijkl" localSheetId="29" hidden="1">{"'PROFITABILITY'!$A$1:$F$45"}</definedName>
    <definedName name="hijkl" localSheetId="27" hidden="1">{"'PROFITABILITY'!$A$1:$F$45"}</definedName>
    <definedName name="hijkl" localSheetId="4" hidden="1">{"'PROFITABILITY'!$A$1:$F$45"}</definedName>
    <definedName name="hijkl" localSheetId="32" hidden="1">{"'PROFITABILITY'!$A$1:$F$45"}</definedName>
    <definedName name="hijkl" localSheetId="24" hidden="1">{"'PROFITABILITY'!$A$1:$F$45"}</definedName>
    <definedName name="hijkl" localSheetId="26" hidden="1">{"'PROFITABILITY'!$A$1:$F$45"}</definedName>
    <definedName name="hijkl" hidden="1">{"'PROFITABILITY'!$A$1:$F$45"}</definedName>
    <definedName name="HINDHUSTAN">#REF!</definedName>
    <definedName name="HINDI">#REF!</definedName>
    <definedName name="HIns" localSheetId="6">#REF!</definedName>
    <definedName name="HIns" localSheetId="29">#REF!</definedName>
    <definedName name="HIns" localSheetId="27">#REF!</definedName>
    <definedName name="HIns" localSheetId="4">#REF!</definedName>
    <definedName name="HIns" localSheetId="32">#REF!</definedName>
    <definedName name="HIns" localSheetId="24">#REF!</definedName>
    <definedName name="HIns" localSheetId="26">#REF!</definedName>
    <definedName name="HIns">#REF!</definedName>
    <definedName name="Hipc" localSheetId="6">#REF!</definedName>
    <definedName name="Hipc" localSheetId="29">#REF!</definedName>
    <definedName name="Hipc" localSheetId="27">#REF!</definedName>
    <definedName name="Hipc" localSheetId="4">#REF!</definedName>
    <definedName name="Hipc" localSheetId="32">#REF!</definedName>
    <definedName name="Hipc" localSheetId="24">#REF!</definedName>
    <definedName name="Hipc" localSheetId="26">#REF!</definedName>
    <definedName name="Hipc">#REF!</definedName>
    <definedName name="Hire_Amortize" localSheetId="24">#REF!</definedName>
    <definedName name="Hire_Amortize">#REF!</definedName>
    <definedName name="HIS" localSheetId="12">INDEX(#REF!,MATCH(#REF!,#REF!,0))</definedName>
    <definedName name="His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29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27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32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2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2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uhiuhpoho" localSheetId="27">#REF!</definedName>
    <definedName name="hiuhiuhpoho">#REF!</definedName>
    <definedName name="Hiway" localSheetId="12">#REF!</definedName>
    <definedName name="Hiway" localSheetId="27">#REF!</definedName>
    <definedName name="Hiway">#REF!</definedName>
    <definedName name="HJ" localSheetId="12">INDEX(#REF!,MATCH(#REF!,#REF!,0))</definedName>
    <definedName name="HJ" localSheetId="27">INDEX(#REF!,MATCH(#REF!,#REF!,0))</definedName>
    <definedName name="HJ" localSheetId="4">INDEX(#REF!,MATCH(#REF!,#REF!,0))</definedName>
    <definedName name="HJ" localSheetId="32">INDEX(#REF!,MATCH(#REF!,#REF!,0))</definedName>
    <definedName name="HJ" localSheetId="24">INDEX(#REF!,MATCH(#REF!,#REF!,0))</definedName>
    <definedName name="HJ">INDEX(#REF!,MATCH(#REF!,#REF!,0))</definedName>
    <definedName name="hjbghb">#REF!</definedName>
    <definedName name="hjjjjjj" localSheetId="12" hidden="1">{"form-D1",#N/A,FALSE,"FORM-D1";"form-D1_amt",#N/A,FALSE,"FORM-D1"}</definedName>
    <definedName name="hjjjjjj" hidden="1">{"form-D1",#N/A,FALSE,"FORM-D1";"form-D1_amt",#N/A,FALSE,"FORM-D1"}</definedName>
    <definedName name="HJS">INDEX(#REF!,MATCH(#REF!,#REF!,0))</definedName>
    <definedName name="HK" localSheetId="12">INDEX(#REF!,MATCH(#REF!,#REF!,0))</definedName>
    <definedName name="HK" localSheetId="27">INDEX(#REF!,MATCH(#REF!,#REF!,0))</definedName>
    <definedName name="HK" localSheetId="24">INDEX(#REF!,MATCH(#REF!,#REF!,0))</definedName>
    <definedName name="HK">INDEX(#REF!,MATCH(#REF!,#REF!,0))</definedName>
    <definedName name="hkg">#REF!</definedName>
    <definedName name="HL" localSheetId="12">INDEX(#REF!,MATCH(#REF!,#REF!,0))</definedName>
    <definedName name="HL" localSheetId="29">INDEX(#REF!,MATCH(#REF!,#REF!,0))</definedName>
    <definedName name="HL" localSheetId="27">INDEX(#REF!,MATCH(#REF!,#REF!,0))</definedName>
    <definedName name="HL" localSheetId="4">INDEX(#REF!,MATCH(#REF!,#REF!,0))</definedName>
    <definedName name="HL" localSheetId="32">INDEX(#REF!,MATCH(#REF!,#REF!,0))</definedName>
    <definedName name="hl" localSheetId="24">#REF!</definedName>
    <definedName name="HL" localSheetId="26">INDEX(#REF!,MATCH(#REF!,#REF!,0))</definedName>
    <definedName name="HL">INDEX(#REF!,MATCH(#REF!,#REF!,0))</definedName>
    <definedName name="hleft">#REF!</definedName>
    <definedName name="Hlp" localSheetId="6">#REF!</definedName>
    <definedName name="Hlp" localSheetId="29">#REF!</definedName>
    <definedName name="Hlp" localSheetId="27">#REF!</definedName>
    <definedName name="Hlp" localSheetId="4">#REF!</definedName>
    <definedName name="Hlp" localSheetId="32">#REF!</definedName>
    <definedName name="Hlp" localSheetId="24">#REF!</definedName>
    <definedName name="Hlp" localSheetId="26">#REF!</definedName>
    <definedName name="Hlp">#REF!</definedName>
    <definedName name="HM" localSheetId="12">INDEX(#REF!,MATCH(#REF!,#REF!,0))</definedName>
    <definedName name="HM" localSheetId="6">#REF!</definedName>
    <definedName name="HM" localSheetId="29">#REF!</definedName>
    <definedName name="HM" localSheetId="26">#REF!</definedName>
    <definedName name="HM">#REF!</definedName>
    <definedName name="ＨＭ_ＨＥ_合__計" localSheetId="6">#REF!</definedName>
    <definedName name="ＨＭ_ＨＥ_合__計">#REF!</definedName>
    <definedName name="HMD">#REF!</definedName>
    <definedName name="HN">#REF!</definedName>
    <definedName name="HNDCLR_CHGS">#REF!</definedName>
    <definedName name="ho" localSheetId="12">#REF!</definedName>
    <definedName name="ho" hidden="1">#REF!</definedName>
    <definedName name="ho___0">#REF!</definedName>
    <definedName name="ho___13">#REF!</definedName>
    <definedName name="hoi" localSheetId="12">#REF!</definedName>
    <definedName name="hoi" localSheetId="6">#REF!</definedName>
    <definedName name="hoi" localSheetId="29">#REF!</definedName>
    <definedName name="hoi" localSheetId="27">#REF!</definedName>
    <definedName name="hoi" localSheetId="4">#REF!</definedName>
    <definedName name="hoi" localSheetId="32">#REF!</definedName>
    <definedName name="hoi" localSheetId="24">#REF!</definedName>
    <definedName name="hoi" localSheetId="26">#REF!</definedName>
    <definedName name="hoi">#REF!</definedName>
    <definedName name="hone">#REF!</definedName>
    <definedName name="hoo" localSheetId="24">#REF!</definedName>
    <definedName name="hoo">#REF!</definedName>
    <definedName name="hotwo">#REF!</definedName>
    <definedName name="HP" localSheetId="12" hidden="1">{"form-D1",#N/A,FALSE,"FORM-D1";"form-D1_amt",#N/A,FALSE,"FORM-D1"}</definedName>
    <definedName name="HP" hidden="1">{"form-D1",#N/A,FALSE,"FORM-D1";"form-D1_amt",#N/A,FALSE,"FORM-D1"}</definedName>
    <definedName name="HR" localSheetId="4">#REF!</definedName>
    <definedName name="HR" localSheetId="32">#REF!</definedName>
    <definedName name="HR">#REF!</definedName>
    <definedName name="hright">#REF!</definedName>
    <definedName name="hS" localSheetId="29">#REF!</definedName>
    <definedName name="hS" localSheetId="26">#REF!</definedName>
    <definedName name="hS">#REF!</definedName>
    <definedName name="hS___0">#REF!</definedName>
    <definedName name="hS___13">#REF!</definedName>
    <definedName name="Hs_atm" localSheetId="6">#REF!</definedName>
    <definedName name="Hs_atm" localSheetId="29">#REF!</definedName>
    <definedName name="Hs_atm" localSheetId="27">#REF!</definedName>
    <definedName name="Hs_atm" localSheetId="4">#REF!</definedName>
    <definedName name="Hs_atm" localSheetId="32">#REF!</definedName>
    <definedName name="Hs_atm" localSheetId="24">#REF!</definedName>
    <definedName name="Hs_atm" localSheetId="26">#REF!</definedName>
    <definedName name="Hs_atm">#REF!</definedName>
    <definedName name="HSn" localSheetId="29">#REF!</definedName>
    <definedName name="HSn" localSheetId="26">#REF!</definedName>
    <definedName name="HSn">#REF!</definedName>
    <definedName name="hsnc">1.2*1.675*1.055*1.5/13000</definedName>
    <definedName name="HSS">#REF!</definedName>
    <definedName name="ht" localSheetId="12">#REF!</definedName>
    <definedName name="ht">#REF!</definedName>
    <definedName name="HTd">#REF!</definedName>
    <definedName name="hthree">#REF!</definedName>
    <definedName name="html" localSheetId="12" hidden="1">{"'PROFITABILITY'!$A$1:$F$45"}</definedName>
    <definedName name="html" localSheetId="6" hidden="1">{"'PROFITABILITY'!$A$1:$F$45"}</definedName>
    <definedName name="html" localSheetId="29" hidden="1">{"'PROFITABILITY'!$A$1:$F$45"}</definedName>
    <definedName name="html" localSheetId="27" hidden="1">{"'PROFITABILITY'!$A$1:$F$45"}</definedName>
    <definedName name="html" localSheetId="4" hidden="1">{"'PROFITABILITY'!$A$1:$F$45"}</definedName>
    <definedName name="html" localSheetId="32" hidden="1">{"'PROFITABILITY'!$A$1:$F$45"}</definedName>
    <definedName name="html" localSheetId="24" hidden="1">{"'PROFITABILITY'!$A$1:$F$45"}</definedName>
    <definedName name="html" localSheetId="26" hidden="1">{"'PROFITABILITY'!$A$1:$F$45"}</definedName>
    <definedName name="html" hidden="1">{"'PROFITABILITY'!$A$1:$F$45"}</definedName>
    <definedName name="HTML_CodePage" hidden="1">1252</definedName>
    <definedName name="HTML_Control" localSheetId="12" hidden="1">{"'PROFITABILITY'!$A$1:$F$45"}</definedName>
    <definedName name="HTML_Control" localSheetId="6" hidden="1">{"'PROFITABILITY'!$A$1:$F$45"}</definedName>
    <definedName name="HTML_Control" localSheetId="29" hidden="1">{"'PROFITABILITY'!$A$1:$F$45"}</definedName>
    <definedName name="HTML_Control" localSheetId="27" hidden="1">{"'PROFITABILITY'!$A$1:$F$45"}</definedName>
    <definedName name="HTML_Control" localSheetId="4" hidden="1">{"'PROFITABILITY'!$A$1:$F$45"}</definedName>
    <definedName name="HTML_Control" localSheetId="32" hidden="1">{"'PROFITABILITY'!$A$1:$F$45"}</definedName>
    <definedName name="HTML_Control" localSheetId="24" hidden="1">{"'PROFITABILITY'!$A$1:$F$45"}</definedName>
    <definedName name="HTML_Control" localSheetId="26" hidden="1">{"'PROFITABILITY'!$A$1:$F$45"}</definedName>
    <definedName name="HTML_Control" hidden="1">{"'PROFITABILITY'!$A$1:$F$45"}</definedName>
    <definedName name="HTML_Control_1" localSheetId="12" hidden="1">{"'PROFITABILITY'!$A$1:$F$45"}</definedName>
    <definedName name="HTML_Control_1" localSheetId="6" hidden="1">{"'PROFITABILITY'!$A$1:$F$45"}</definedName>
    <definedName name="HTML_Control_1" localSheetId="29" hidden="1">{"'PROFITABILITY'!$A$1:$F$45"}</definedName>
    <definedName name="HTML_Control_1" localSheetId="27" hidden="1">{"'PROFITABILITY'!$A$1:$F$45"}</definedName>
    <definedName name="HTML_Control_1" localSheetId="4" hidden="1">{"'PROFITABILITY'!$A$1:$F$45"}</definedName>
    <definedName name="HTML_Control_1" localSheetId="32" hidden="1">{"'PROFITABILITY'!$A$1:$F$45"}</definedName>
    <definedName name="HTML_Control_1" localSheetId="24" hidden="1">{"'PROFITABILITY'!$A$1:$F$45"}</definedName>
    <definedName name="HTML_Control_1" localSheetId="26" hidden="1">{"'PROFITABILITY'!$A$1:$F$45"}</definedName>
    <definedName name="HTML_Control_1" hidden="1">{"'PROFITABILITY'!$A$1:$F$45"}</definedName>
    <definedName name="HTML_control2" localSheetId="12" hidden="1">{"'Sheet1'!$A$4386:$N$4591"}</definedName>
    <definedName name="HTML_control2" localSheetId="29" hidden="1">{"'Sheet1'!$A$4386:$N$4591"}</definedName>
    <definedName name="HTML_control2" localSheetId="27" hidden="1">{"'Sheet1'!$A$4386:$N$4591"}</definedName>
    <definedName name="HTML_control2" localSheetId="4" hidden="1">{"'Sheet1'!$A$4386:$N$4591"}</definedName>
    <definedName name="HTML_control2" localSheetId="32" hidden="1">{"'Sheet1'!$A$4386:$N$4591"}</definedName>
    <definedName name="HTML_control2" localSheetId="24" hidden="1">{"'Sheet1'!$A$4386:$N$4591"}</definedName>
    <definedName name="HTML_control2" localSheetId="26" hidden="1">{"'Sheet1'!$A$4386:$N$4591"}</definedName>
    <definedName name="HTML_control2" hidden="1">{"'Sheet1'!$A$4386:$N$4591"}</definedName>
    <definedName name="HTML_Description" hidden="1">""</definedName>
    <definedName name="HTML_Email" hidden="1">""</definedName>
    <definedName name="HTML_Header" localSheetId="4" hidden="1">"PRICE AND PROFOTABILITY"</definedName>
    <definedName name="HTML_Header" localSheetId="32" hidden="1">"PRICE AND PROFOTABILITY"</definedName>
    <definedName name="HTML_Header" hidden="1">"PRICE AND PROFOTABILITY"</definedName>
    <definedName name="HTML_LastUpdate" localSheetId="4" hidden="1">"2/9/99"</definedName>
    <definedName name="HTML_LastUpdate" localSheetId="32" hidden="1">"2/9/99"</definedName>
    <definedName name="HTML_LastUpdate" hidden="1">"2/9/99"</definedName>
    <definedName name="HTML_LineAfter" localSheetId="4" hidden="1">TRUE</definedName>
    <definedName name="HTML_LineAfter" localSheetId="32" hidden="1">TRUE</definedName>
    <definedName name="HTML_LineAfter" hidden="1">TRUE</definedName>
    <definedName name="HTML_LineBefore" localSheetId="4" hidden="1">TRUE</definedName>
    <definedName name="HTML_LineBefore" localSheetId="32" hidden="1">TRUE</definedName>
    <definedName name="HTML_LineBefore" hidden="1">TRUE</definedName>
    <definedName name="HTML_Name" localSheetId="4" hidden="1">"KEC  INTERNATIONAL"</definedName>
    <definedName name="HTML_Name" localSheetId="32" hidden="1">"KEC  INTERNATIONAL"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localSheetId="4" hidden="1">"C:\My Documents\XLS.htm"</definedName>
    <definedName name="HTML_PathFile" localSheetId="32" hidden="1">"C:\My Documents\XLS.htm"</definedName>
    <definedName name="HTML_PathFile" hidden="1">"C:\My Documents\XLS.htm"</definedName>
    <definedName name="HTML_Title" localSheetId="4" hidden="1">"MANANTALI PROJECT"</definedName>
    <definedName name="HTML_Title" localSheetId="32" hidden="1">"MANANTALI PROJECT"</definedName>
    <definedName name="HTML_Title" hidden="1">"MANANTALI PROJECT"</definedName>
    <definedName name="html2" localSheetId="12" hidden="1">{"'PROFITABILITY'!$A$1:$F$45"}</definedName>
    <definedName name="html2" localSheetId="6" hidden="1">{"'PROFITABILITY'!$A$1:$F$45"}</definedName>
    <definedName name="html2" localSheetId="29" hidden="1">{"'PROFITABILITY'!$A$1:$F$45"}</definedName>
    <definedName name="html2" localSheetId="27" hidden="1">{"'PROFITABILITY'!$A$1:$F$45"}</definedName>
    <definedName name="html2" localSheetId="4" hidden="1">{"'PROFITABILITY'!$A$1:$F$45"}</definedName>
    <definedName name="html2" localSheetId="32" hidden="1">{"'PROFITABILITY'!$A$1:$F$45"}</definedName>
    <definedName name="html2" localSheetId="24" hidden="1">{"'PROFITABILITY'!$A$1:$F$45"}</definedName>
    <definedName name="html2" localSheetId="26" hidden="1">{"'PROFITABILITY'!$A$1:$F$45"}</definedName>
    <definedName name="html2" hidden="1">{"'PROFITABILITY'!$A$1:$F$45"}</definedName>
    <definedName name="HTn">#REF!</definedName>
    <definedName name="htwo" localSheetId="12">#REF!</definedName>
    <definedName name="htwo" localSheetId="4">#REF!</definedName>
    <definedName name="htwo" localSheetId="32">#REF!</definedName>
    <definedName name="htwo">#REF!</definedName>
    <definedName name="Hu">#REF!</definedName>
    <definedName name="Hu___0">#REF!</definedName>
    <definedName name="Hu___13">#REF!</definedName>
    <definedName name="humepipe1200" localSheetId="6">#REF!</definedName>
    <definedName name="humepipe1200" localSheetId="27">#REF!</definedName>
    <definedName name="humepipe1200" localSheetId="4">#REF!</definedName>
    <definedName name="humepipe1200" localSheetId="32">#REF!</definedName>
    <definedName name="humepipe1200" localSheetId="24">#REF!</definedName>
    <definedName name="humepipe1200">#REF!</definedName>
    <definedName name="humepipenp3" localSheetId="6">#REF!</definedName>
    <definedName name="humepipenp3" localSheetId="27">#REF!</definedName>
    <definedName name="humepipenp3" localSheetId="4">#REF!</definedName>
    <definedName name="humepipenp3" localSheetId="32">#REF!</definedName>
    <definedName name="humepipenp3" localSheetId="24">#REF!</definedName>
    <definedName name="humepipenp3">#REF!</definedName>
    <definedName name="huy" localSheetId="12">{"'Sheet1'!$L$16"}</definedName>
    <definedName name="huy">{"'Sheet1'!$L$16"}</definedName>
    <definedName name="HV" localSheetId="29">#REF!</definedName>
    <definedName name="HV" localSheetId="24">#REF!</definedName>
    <definedName name="HV" localSheetId="26">#REF!</definedName>
    <definedName name="HV">#REF!</definedName>
    <definedName name="Hw">#REF!</definedName>
    <definedName name="Hw_atm" localSheetId="6">#REF!</definedName>
    <definedName name="Hw_atm" localSheetId="29">#REF!</definedName>
    <definedName name="Hw_atm" localSheetId="27">#REF!</definedName>
    <definedName name="Hw_atm" localSheetId="4">#REF!</definedName>
    <definedName name="Hw_atm" localSheetId="32">#REF!</definedName>
    <definedName name="Hw_atm" localSheetId="24">#REF!</definedName>
    <definedName name="Hw_atm" localSheetId="26">#REF!</definedName>
    <definedName name="Hw_atm">#REF!</definedName>
    <definedName name="hwt">#REF!</definedName>
    <definedName name="HX" localSheetId="12">#REF!</definedName>
    <definedName name="HX" localSheetId="29">#REF!</definedName>
    <definedName name="HX" localSheetId="4">#REF!</definedName>
    <definedName name="HX" localSheetId="32">#REF!</definedName>
    <definedName name="HX" localSheetId="26">#REF!</definedName>
    <definedName name="HX">#REF!</definedName>
    <definedName name="hxa" localSheetId="4">#REF!</definedName>
    <definedName name="hxa" localSheetId="32">#REF!</definedName>
    <definedName name="hxa">#REF!</definedName>
    <definedName name="hxaa">#REF!</definedName>
    <definedName name="hxb" localSheetId="12">#REF!</definedName>
    <definedName name="hxb" localSheetId="6">#REF!</definedName>
    <definedName name="hxb" localSheetId="29">#REF!</definedName>
    <definedName name="hxb" localSheetId="27">#REF!</definedName>
    <definedName name="hxb" localSheetId="4">#REF!</definedName>
    <definedName name="hxb" localSheetId="32">#REF!</definedName>
    <definedName name="hxb" localSheetId="24">#REF!</definedName>
    <definedName name="hxb" localSheetId="26">#REF!</definedName>
    <definedName name="hxb">#REF!</definedName>
    <definedName name="hxbb">#REF!</definedName>
    <definedName name="hxc" localSheetId="24">#REF!</definedName>
    <definedName name="hxc">#REF!</definedName>
    <definedName name="hxcc">#REF!</definedName>
    <definedName name="hxd" localSheetId="12">#REF!</definedName>
    <definedName name="hxd" localSheetId="29">#REF!</definedName>
    <definedName name="hxd" localSheetId="4">#REF!</definedName>
    <definedName name="hxd" localSheetId="32">#REF!</definedName>
    <definedName name="hxd" localSheetId="26">#REF!</definedName>
    <definedName name="hxd">#REF!</definedName>
    <definedName name="hxdd" localSheetId="12">#REF!</definedName>
    <definedName name="hxdd">#REF!</definedName>
    <definedName name="hxe">#REF!</definedName>
    <definedName name="hxee" localSheetId="12">#REF!</definedName>
    <definedName name="hxee">#REF!</definedName>
    <definedName name="hxf">#REF!</definedName>
    <definedName name="Hxg" localSheetId="12">#REF!</definedName>
    <definedName name="Hxg">#REF!</definedName>
    <definedName name="hxi" localSheetId="12">#REF!</definedName>
    <definedName name="hxi" localSheetId="6">#REF!</definedName>
    <definedName name="hxi" localSheetId="29">#REF!</definedName>
    <definedName name="hxi" localSheetId="27">#REF!</definedName>
    <definedName name="hxi" localSheetId="4">#REF!</definedName>
    <definedName name="hxi" localSheetId="32">#REF!</definedName>
    <definedName name="hxi" localSheetId="24">#REF!</definedName>
    <definedName name="hxi" localSheetId="26">#REF!</definedName>
    <definedName name="hxi">#REF!</definedName>
    <definedName name="hxxxx">#REF!</definedName>
    <definedName name="hy">#REF!</definedName>
    <definedName name="hyio" localSheetId="24">#REF!</definedName>
    <definedName name="hyio">#REF!</definedName>
    <definedName name="HYSD" localSheetId="12">#REF!</definedName>
    <definedName name="HYSD" localSheetId="6">#REF!</definedName>
    <definedName name="HYSD" localSheetId="29">#REF!</definedName>
    <definedName name="HYSD" localSheetId="27">#REF!</definedName>
    <definedName name="HYSD" localSheetId="4">#REF!</definedName>
    <definedName name="HYSD" localSheetId="32">#REF!</definedName>
    <definedName name="HYSD" localSheetId="24">#REF!</definedName>
    <definedName name="HYSD" localSheetId="26">#REF!</definedName>
    <definedName name="HYSD">#REF!</definedName>
    <definedName name="HYSD_Steel" localSheetId="6">#REF!</definedName>
    <definedName name="HYSD_Steel" localSheetId="27">#REF!</definedName>
    <definedName name="HYSD_Steel" localSheetId="4">#REF!</definedName>
    <definedName name="HYSD_Steel" localSheetId="32">#REF!</definedName>
    <definedName name="HYSD_Steel" localSheetId="24">#REF!</definedName>
    <definedName name="HYSD_Steel">#REF!</definedName>
    <definedName name="hysdqrate" localSheetId="24">#REF!</definedName>
    <definedName name="hysdqrate">#REF!</definedName>
    <definedName name="hyt654ddfvb">#REF!</definedName>
    <definedName name="Hz" localSheetId="24">#REF!</definedName>
    <definedName name="Hz">#REF!</definedName>
    <definedName name="I" localSheetId="12">#REF!</definedName>
    <definedName name="I" localSheetId="29">#REF!</definedName>
    <definedName name="I" localSheetId="26">#REF!</definedName>
    <definedName name="I">#REF!</definedName>
    <definedName name="I___0">#REF!</definedName>
    <definedName name="I___13">#REF!</definedName>
    <definedName name="i_1">#REF!</definedName>
    <definedName name="I00.48">#REF!</definedName>
    <definedName name="I0138.0">#REF!</definedName>
    <definedName name="I04.16">#REF!</definedName>
    <definedName name="I2m" localSheetId="4">#REF!</definedName>
    <definedName name="I2m" localSheetId="32">#REF!</definedName>
    <definedName name="I2m">#REF!</definedName>
    <definedName name="i3phf">#REF!</definedName>
    <definedName name="IA" localSheetId="12">INDEX(#REF!,MATCH(#REF!,#REF!,0))</definedName>
    <definedName name="IA" localSheetId="27">INDEX(#REF!,MATCH(#REF!,#REF!,0))</definedName>
    <definedName name="IA" localSheetId="24">INDEX(#REF!,MATCH(#REF!,#REF!,0))</definedName>
    <definedName name="IA">INDEX(#REF!,MATCH(#REF!,#REF!,0))</definedName>
    <definedName name="IACS">#REF!</definedName>
    <definedName name="IAH">#REF!</definedName>
    <definedName name="IAM" localSheetId="12" hidden="1">{"'Sheet1'!$A$4386:$N$4591"}</definedName>
    <definedName name="IAM" localSheetId="29" hidden="1">{"'Sheet1'!$A$4386:$N$4591"}</definedName>
    <definedName name="IAM" localSheetId="27" hidden="1">{"'Sheet1'!$A$4386:$N$4591"}</definedName>
    <definedName name="IAM" localSheetId="4" hidden="1">{"'Sheet1'!$A$4386:$N$4591"}</definedName>
    <definedName name="IAM" localSheetId="32" hidden="1">{"'Sheet1'!$A$4386:$N$4591"}</definedName>
    <definedName name="IAM" localSheetId="24" hidden="1">{"'Sheet1'!$A$4386:$N$4591"}</definedName>
    <definedName name="IAM" localSheetId="26" hidden="1">{"'Sheet1'!$A$4386:$N$4591"}</definedName>
    <definedName name="IAM" hidden="1">{"'Sheet1'!$A$4386:$N$4591"}</definedName>
    <definedName name="IAS">INDEX(#REF!,MATCH(#REF!,#REF!,0))</definedName>
    <definedName name="IB" localSheetId="12">INDEX(#REF!,MATCH(#REF!,#REF!,0))</definedName>
    <definedName name="IB" localSheetId="27">INDEX(#REF!,MATCH(#REF!,#REF!,0))</definedName>
    <definedName name="IB" localSheetId="24">INDEX(#REF!,MATCH(#REF!,#REF!,0))</definedName>
    <definedName name="IB">INDEX(#REF!,MATCH(#REF!,#REF!,0))</definedName>
    <definedName name="IBS">INDEX(#REF!,MATCH(#REF!,#REF!,0))</definedName>
    <definedName name="IC" localSheetId="12">INDEX(#REF!,MATCH(#REF!,#REF!,0))</definedName>
    <definedName name="IC" localSheetId="29">INDEX(#REF!,MATCH(#REF!,#REF!,0))</definedName>
    <definedName name="IC" localSheetId="27">INDEX(#REF!,MATCH(#REF!,#REF!,0))</definedName>
    <definedName name="IC" localSheetId="4">INDEX(#REF!,MATCH(#REF!,#REF!,0))</definedName>
    <definedName name="IC" localSheetId="32">INDEX(#REF!,MATCH(#REF!,#REF!,0))</definedName>
    <definedName name="ic" localSheetId="24">5%</definedName>
    <definedName name="IC" localSheetId="26">INDEX(#REF!,MATCH(#REF!,#REF!,0))</definedName>
    <definedName name="IC">INDEX(#REF!,MATCH(#REF!,#REF!,0))</definedName>
    <definedName name="icb" localSheetId="12">#REF!</definedName>
    <definedName name="icb">#REF!</definedName>
    <definedName name="Icc" localSheetId="12">#REF!*#REF!</definedName>
    <definedName name="Icc" localSheetId="27">#REF!*#REF!</definedName>
    <definedName name="Icc" localSheetId="24">#REF!*#REF!</definedName>
    <definedName name="Icc">#REF!*#REF!</definedName>
    <definedName name="Icc0">#REF!</definedName>
    <definedName name="IceThickness" localSheetId="12">#REF!</definedName>
    <definedName name="IceThickness">#REF!</definedName>
    <definedName name="icfai">#REF!</definedName>
    <definedName name="ICS">INDEX(#REF!,MATCH(#REF!,#REF!,0))</definedName>
    <definedName name="ICS_DISCUSSION_C_ISSUES_List" localSheetId="29">#REF!</definedName>
    <definedName name="ICS_DISCUSSION_C_ISSUES_List" localSheetId="26">#REF!</definedName>
    <definedName name="ICS_DISCUSSION_C_ISSUES_List" localSheetId="2">#REF!</definedName>
    <definedName name="ICS_DISCUSSION_C_ISSUES_List">#REF!</definedName>
    <definedName name="ID" localSheetId="12">INDEX(#REF!,MATCH(#REF!,#REF!,0))</definedName>
    <definedName name="ID">#REF!</definedName>
    <definedName name="IDA" localSheetId="12">#REF!</definedName>
    <definedName name="IDA">#REF!</definedName>
    <definedName name="idb">#REF!</definedName>
    <definedName name="idc">#REF!</definedName>
    <definedName name="IDIOT" localSheetId="12">#REF!</definedName>
    <definedName name="IDIOT">#REF!</definedName>
    <definedName name="IDLandS_Peak_MP">#REF!</definedName>
    <definedName name="IDS">INDEX(#REF!,MATCH(#REF!,#REF!,0))</definedName>
    <definedName name="idt">#REF!</definedName>
    <definedName name="idto" localSheetId="2">#REF!</definedName>
    <definedName name="idto">#REF!</definedName>
    <definedName name="idyn">#REF!</definedName>
    <definedName name="IE" localSheetId="12">INDEX(#REF!,MATCH(#REF!,#REF!,0))</definedName>
    <definedName name="ie">#REF!</definedName>
    <definedName name="IE_Adv" localSheetId="12">#REF!</definedName>
    <definedName name="IE_Adv">#REF!</definedName>
    <definedName name="IE_AGWC" localSheetId="12">#REF!</definedName>
    <definedName name="IE_AGWC">#REF!</definedName>
    <definedName name="IE_AM" localSheetId="12">#REF!</definedName>
    <definedName name="IE_AM">#REF!</definedName>
    <definedName name="IE_ANFA" localSheetId="12">#REF!</definedName>
    <definedName name="IE_ANFA">#REF!</definedName>
    <definedName name="IE_ANFE" localSheetId="12">#REF!</definedName>
    <definedName name="IE_ANFE">#REF!</definedName>
    <definedName name="IE_ANFEBG" localSheetId="12">#REF!</definedName>
    <definedName name="IE_ANFEBG">#REF!</definedName>
    <definedName name="IE_ANWC" localSheetId="12">#REF!</definedName>
    <definedName name="IE_ANWC">#REF!</definedName>
    <definedName name="IE_Apr" localSheetId="12">#REF!</definedName>
    <definedName name="IE_Apr">#REF!</definedName>
    <definedName name="IE_Aug" localSheetId="12">#REF!</definedName>
    <definedName name="IE_Aug">#REF!</definedName>
    <definedName name="IE_Avg_Adv" localSheetId="12">#REF!</definedName>
    <definedName name="IE_Avg_Adv">#REF!</definedName>
    <definedName name="IE_Avg_COI" localSheetId="12">#REF!</definedName>
    <definedName name="IE_Avg_COI">#REF!</definedName>
    <definedName name="IE_Avg_OCA" localSheetId="12">#REF!</definedName>
    <definedName name="IE_Avg_OCA">#REF!</definedName>
    <definedName name="IE_Avg_OCL" localSheetId="12">#REF!</definedName>
    <definedName name="IE_Avg_OCL">#REF!</definedName>
    <definedName name="IE_Avg_OS" localSheetId="12">#REF!</definedName>
    <definedName name="IE_Avg_OS">#REF!</definedName>
    <definedName name="IE_Avg_Stk" localSheetId="12">#REF!</definedName>
    <definedName name="IE_Avg_Stk">#REF!</definedName>
    <definedName name="IE_Avg_VC" localSheetId="12">#REF!</definedName>
    <definedName name="IE_Avg_VC">#REF!</definedName>
    <definedName name="IE_Avg_WC_Key">#REF!</definedName>
    <definedName name="IE_COI" localSheetId="12">#REF!</definedName>
    <definedName name="IE_COI">#REF!</definedName>
    <definedName name="IE_Dec" localSheetId="12">#REF!</definedName>
    <definedName name="IE_Dec">#REF!</definedName>
    <definedName name="IE_Deprn" localSheetId="12">#REF!</definedName>
    <definedName name="IE_Deprn">#REF!</definedName>
    <definedName name="IE_Feb" localSheetId="12">#REF!</definedName>
    <definedName name="IE_Feb">#REF!</definedName>
    <definedName name="IE_GM" localSheetId="12">#REF!</definedName>
    <definedName name="IE_GM">#REF!</definedName>
    <definedName name="IE_Jan" localSheetId="12">#REF!</definedName>
    <definedName name="IE_Jan">#REF!</definedName>
    <definedName name="IE_Jul" localSheetId="12">#REF!</definedName>
    <definedName name="IE_Jul">#REF!</definedName>
    <definedName name="IE_Jun" localSheetId="12">#REF!</definedName>
    <definedName name="IE_Jun">#REF!</definedName>
    <definedName name="IE_Key" localSheetId="12">#REF!</definedName>
    <definedName name="IE_Key">#REF!</definedName>
    <definedName name="IE_Mar" localSheetId="12">#REF!</definedName>
    <definedName name="IE_Mar">#REF!</definedName>
    <definedName name="IE_MAT_Sales" localSheetId="12">#REF!</definedName>
    <definedName name="IE_MAT_Sales">#REF!</definedName>
    <definedName name="IE_May" localSheetId="12">#REF!</definedName>
    <definedName name="IE_May">#REF!</definedName>
    <definedName name="IE_Nov" localSheetId="12">#REF!</definedName>
    <definedName name="IE_Nov">#REF!</definedName>
    <definedName name="IE_NWC" localSheetId="12">#REF!</definedName>
    <definedName name="IE_NWC">#REF!</definedName>
    <definedName name="IE_OB_Cust" localSheetId="12">#REF!</definedName>
    <definedName name="IE_OB_Cust">#REF!</definedName>
    <definedName name="IE_OB_IU" localSheetId="12">#REF!</definedName>
    <definedName name="IE_OB_IU">#REF!</definedName>
    <definedName name="IE_OCA" localSheetId="12">#REF!</definedName>
    <definedName name="IE_OCA">#REF!</definedName>
    <definedName name="IE_OCL" localSheetId="12">#REF!</definedName>
    <definedName name="IE_OCL">#REF!</definedName>
    <definedName name="IE_Oct" localSheetId="12">#REF!</definedName>
    <definedName name="IE_Oct">#REF!</definedName>
    <definedName name="IE_OD_Common" localSheetId="12">#REF!</definedName>
    <definedName name="IE_OD_Common">#REF!</definedName>
    <definedName name="IE_OI_Cust" localSheetId="12">#REF!</definedName>
    <definedName name="IE_OI_Cust">#REF!</definedName>
    <definedName name="IE_OI_IU" localSheetId="12">#REF!</definedName>
    <definedName name="IE_OI_IU">#REF!</definedName>
    <definedName name="IE_OS" localSheetId="12">#REF!</definedName>
    <definedName name="IE_OS">#REF!</definedName>
    <definedName name="IE_PBDIT" localSheetId="12">#REF!</definedName>
    <definedName name="IE_PBDIT">#REF!</definedName>
    <definedName name="IE_PBIT" localSheetId="12">#REF!</definedName>
    <definedName name="IE_PBIT">#REF!</definedName>
    <definedName name="IE_Per_Key">#REF!</definedName>
    <definedName name="IE_Res_Key">#REF!</definedName>
    <definedName name="IE_Sales_Cust" localSheetId="12">#REF!</definedName>
    <definedName name="IE_Sales_Cust">#REF!</definedName>
    <definedName name="IE_Sales_IU" localSheetId="12">#REF!</definedName>
    <definedName name="IE_Sales_IU">#REF!</definedName>
    <definedName name="IE_Sep" localSheetId="12">#REF!</definedName>
    <definedName name="IE_Sep">#REF!</definedName>
    <definedName name="IE_Stk" localSheetId="12">#REF!</definedName>
    <definedName name="IE_Stk">#REF!</definedName>
    <definedName name="IE_Top_Key">#REF!</definedName>
    <definedName name="IE_VC" localSheetId="12">#REF!</definedName>
    <definedName name="IE_VC">#REF!</definedName>
    <definedName name="IE_WC_Key">#REF!</definedName>
    <definedName name="IELWSALES">#REF!</definedName>
    <definedName name="IELYSALES">#REF!</definedName>
    <definedName name="IEPLANSALES">#REF!</definedName>
    <definedName name="IES">INDEX(#REF!,MATCH(#REF!,#REF!,0))</definedName>
    <definedName name="IESP">#REF!</definedName>
    <definedName name="IF" localSheetId="12">INDEX(#REF!,MATCH(#REF!,#REF!,0))</definedName>
    <definedName name="IF" localSheetId="6">INDEX(#REF!,MATCH(#REF!,#REF!,0))</definedName>
    <definedName name="If" localSheetId="27">#REF!</definedName>
    <definedName name="IF" localSheetId="4">INDEX(#REF!,MATCH(#REF!,#REF!,0))</definedName>
    <definedName name="IF" localSheetId="32">INDEX(#REF!,MATCH(#REF!,#REF!,0))</definedName>
    <definedName name="If">#REF!</definedName>
    <definedName name="If_1">#REF!</definedName>
    <definedName name="IF_J_1_RUN__PROG1" localSheetId="2">#REF!</definedName>
    <definedName name="IF_J_1_RUN__PROG1">#REF!</definedName>
    <definedName name="IFB" localSheetId="6">#REF!</definedName>
    <definedName name="IFB" localSheetId="27">#REF!</definedName>
    <definedName name="IFB" localSheetId="4">#REF!</definedName>
    <definedName name="IFB" localSheetId="32">#REF!</definedName>
    <definedName name="IFB" localSheetId="24">#REF!</definedName>
    <definedName name="IFB">#REF!</definedName>
    <definedName name="ifif">#REF!</definedName>
    <definedName name="IFS">INDEX(#REF!,MATCH(#REF!,#REF!,0))</definedName>
    <definedName name="IG" localSheetId="12">INDEX(#REF!,MATCH(#REF!,#REF!,0))</definedName>
    <definedName name="IG" localSheetId="6">INDEX(#REF!,MATCH(#REF!,#REF!,0))</definedName>
    <definedName name="Ig" localSheetId="29">#REF!</definedName>
    <definedName name="Ig" localSheetId="27">#REF!</definedName>
    <definedName name="IG" localSheetId="4">INDEX(#REF!,MATCH(#REF!,#REF!,0))</definedName>
    <definedName name="IG" localSheetId="32">INDEX(#REF!,MATCH(#REF!,#REF!,0))</definedName>
    <definedName name="IG" localSheetId="24">#REF!</definedName>
    <definedName name="Ig" localSheetId="26">#REF!</definedName>
    <definedName name="Ig">#REF!</definedName>
    <definedName name="Ig___0">#REF!</definedName>
    <definedName name="Ig___13">#REF!</definedName>
    <definedName name="IG0.48">#REF!</definedName>
    <definedName name="IG138.0">#REF!</definedName>
    <definedName name="IGP_M">#REF!</definedName>
    <definedName name="Igrid">#REF!</definedName>
    <definedName name="IGS">INDEX(#REF!,MATCH(#REF!,#REF!,0))</definedName>
    <definedName name="IH" localSheetId="12">INDEX(#REF!,MATCH(#REF!,#REF!,0))</definedName>
    <definedName name="IH" localSheetId="27">INDEX(#REF!,MATCH(#REF!,#REF!,0))</definedName>
    <definedName name="IH" localSheetId="24">INDEX(#REF!,MATCH(#REF!,#REF!,0))</definedName>
    <definedName name="IH">INDEX(#REF!,MATCH(#REF!,#REF!,0))</definedName>
    <definedName name="IHS">INDEX(#REF!,MATCH(#REF!,#REF!,0))</definedName>
    <definedName name="II" localSheetId="12">INDEX(#REF!,MATCH(#REF!,#REF!,0))</definedName>
    <definedName name="II">#REF!</definedName>
    <definedName name="iii" localSheetId="12">#REF!</definedName>
    <definedName name="iii">#N/A</definedName>
    <definedName name="IIS">INDEX(#REF!,MATCH(#REF!,#REF!,0))</definedName>
    <definedName name="IISO">#REF!</definedName>
    <definedName name="IJ" localSheetId="12">INDEX(#REF!,MATCH(#REF!,#REF!,0))</definedName>
    <definedName name="IJ" localSheetId="27">INDEX(#REF!,MATCH(#REF!,#REF!,0))</definedName>
    <definedName name="IJ" localSheetId="24">INDEX(#REF!,MATCH(#REF!,#REF!,0))</definedName>
    <definedName name="IJ">INDEX(#REF!,MATCH(#REF!,#REF!,0))</definedName>
    <definedName name="IJS">INDEX(#REF!,MATCH(#REF!,#REF!,0))</definedName>
    <definedName name="ijui">#REF!</definedName>
    <definedName name="IK" localSheetId="12">INDEX(#REF!,MATCH(#REF!,#REF!,0))</definedName>
    <definedName name="IK" localSheetId="6">INDEX(#REF!,MATCH(#REF!,#REF!,0))</definedName>
    <definedName name="Ik" localSheetId="27">#REF!</definedName>
    <definedName name="IK" localSheetId="4">INDEX(#REF!,MATCH(#REF!,#REF!,0))</definedName>
    <definedName name="IK" localSheetId="32">INDEX(#REF!,MATCH(#REF!,#REF!,0))</definedName>
    <definedName name="Ik">#REF!</definedName>
    <definedName name="ikmax">#REF!</definedName>
    <definedName name="IL" localSheetId="12">INDEX(#REF!,MATCH(#REF!,#REF!,0))</definedName>
    <definedName name="IL" localSheetId="29">INDEX(#REF!,MATCH(#REF!,#REF!,0))</definedName>
    <definedName name="IL" localSheetId="27">INDEX(#REF!,MATCH(#REF!,#REF!,0))</definedName>
    <definedName name="IL" localSheetId="4">INDEX(#REF!,MATCH(#REF!,#REF!,0))</definedName>
    <definedName name="IL" localSheetId="32">INDEX(#REF!,MATCH(#REF!,#REF!,0))</definedName>
    <definedName name="IL" localSheetId="24">#REF!</definedName>
    <definedName name="IL" localSheetId="26">INDEX(#REF!,MATCH(#REF!,#REF!,0))</definedName>
    <definedName name="IL">INDEX(#REF!,MATCH(#REF!,#REF!,0))</definedName>
    <definedName name="ilgf">#REF!</definedName>
    <definedName name="illgf">#REF!</definedName>
    <definedName name="Illumination">#REF!</definedName>
    <definedName name="IM" localSheetId="12">INDEX(#REF!,MATCH(#REF!,#REF!,0))</definedName>
    <definedName name="IM" localSheetId="27">INDEX(#REF!,MATCH(#REF!,#REF!,0))</definedName>
    <definedName name="IM" localSheetId="4">INDEX(#REF!,MATCH(#REF!,#REF!,0))</definedName>
    <definedName name="IM" localSheetId="32">INDEX(#REF!,MATCH(#REF!,#REF!,0))</definedName>
    <definedName name="IM" localSheetId="24">INDEX(#REF!,MATCH(#REF!,#REF!,0))</definedName>
    <definedName name="IM">INDEX(#REF!,MATCH(#REF!,#REF!,0))</definedName>
    <definedName name="IMADO" localSheetId="12">#REF!</definedName>
    <definedName name="IMADO">#REF!</definedName>
    <definedName name="IMADOKH" localSheetId="12">#REF!</definedName>
    <definedName name="IMADOKH">#REF!</definedName>
    <definedName name="IMo">#REF!</definedName>
    <definedName name="in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_100">#REF!</definedName>
    <definedName name="in_150">#REF!</definedName>
    <definedName name="in_200">#REF!</definedName>
    <definedName name="in_25">#REF!</definedName>
    <definedName name="in_250">#REF!</definedName>
    <definedName name="in_300">#REF!</definedName>
    <definedName name="in_32">#REF!</definedName>
    <definedName name="in_40">#REF!</definedName>
    <definedName name="in_400">#REF!</definedName>
    <definedName name="in_50">#REF!</definedName>
    <definedName name="in_500">#REF!</definedName>
    <definedName name="in_600">#REF!</definedName>
    <definedName name="in_65">#REF!</definedName>
    <definedName name="in_80">#REF!</definedName>
    <definedName name="INCOME_BGT2" localSheetId="6">#REF!</definedName>
    <definedName name="INCOME_BGT2" localSheetId="29">#REF!</definedName>
    <definedName name="INCOME_BGT2" localSheetId="24">#REF!</definedName>
    <definedName name="INCOME_BGT2" localSheetId="26">#REF!</definedName>
    <definedName name="INCOME_BGT2">#REF!</definedName>
    <definedName name="INCOME_M2" localSheetId="6">#REF!</definedName>
    <definedName name="INCOME_M2" localSheetId="24">#REF!</definedName>
    <definedName name="INCOME_M2">#REF!</definedName>
    <definedName name="Increasing_Rate_IF">#REF!</definedName>
    <definedName name="Increasing_Rate_Ins">#REF!</definedName>
    <definedName name="Increasing_Rate_TC">#REF!</definedName>
    <definedName name="increment">#REF!</definedName>
    <definedName name="INDEX">#REF!</definedName>
    <definedName name="Index_Sheet_Kutools" localSheetId="6">#REF!</definedName>
    <definedName name="Index_Sheet_Kutools">#REF!</definedName>
    <definedName name="IndicesRange" localSheetId="12">#REF!</definedName>
    <definedName name="IndicesRange">#REF!</definedName>
    <definedName name="Individual_Mth">#REF!</definedName>
    <definedName name="Individual_PM">#REF!</definedName>
    <definedName name="Individual_PY">#REF!</definedName>
    <definedName name="Individual_YTD">#REF!</definedName>
    <definedName name="Indra">#REF!</definedName>
    <definedName name="INFEUR1">#REF!</definedName>
    <definedName name="INFEUR2">#REF!</definedName>
    <definedName name="INFR2">#REF!</definedName>
    <definedName name="Infra">#REF!</definedName>
    <definedName name="INFRASTRUCTURE_ENTRY" localSheetId="6">#REF!</definedName>
    <definedName name="INFRASTRUCTURE_ENTRY" localSheetId="27">#REF!</definedName>
    <definedName name="INFRASTRUCTURE_ENTRY" localSheetId="4">#REF!</definedName>
    <definedName name="INFRASTRUCTURE_ENTRY" localSheetId="32">#REF!</definedName>
    <definedName name="INFRASTRUCTURE_ENTRY" localSheetId="24">#REF!</definedName>
    <definedName name="INFRASTRUCTURE_ENTRY">#REF!</definedName>
    <definedName name="INFRP" localSheetId="29">#REF!</definedName>
    <definedName name="INFRP" localSheetId="24">#REF!</definedName>
    <definedName name="INFRP" localSheetId="26">#REF!</definedName>
    <definedName name="INFRP">#REF!</definedName>
    <definedName name="INFRP1" localSheetId="29">#REF!</definedName>
    <definedName name="INFRP1" localSheetId="26">#REF!</definedName>
    <definedName name="INFRP1">#REF!</definedName>
    <definedName name="INFRP2">#REF!</definedName>
    <definedName name="INFRP3">#REF!</definedName>
    <definedName name="INFSPL">#REF!</definedName>
    <definedName name="INFUSD1">#REF!</definedName>
    <definedName name="INFUSD2">#REF!</definedName>
    <definedName name="INPUT">#REF!</definedName>
    <definedName name="InputFile">#REF!</definedName>
    <definedName name="inr">#REF!</definedName>
    <definedName name="INR_to_USD" comment="USDtoINR">#REF!</definedName>
    <definedName name="INS" localSheetId="12">IFERROR(LEFT(INDEX(#REF!,MATCH(#REF!,#REF!,0)),3),"")</definedName>
    <definedName name="INS">#REF!</definedName>
    <definedName name="inserplate_joint_1">#REF!</definedName>
    <definedName name="insertplate_and_exp_joint">#REF!</definedName>
    <definedName name="Insl">#REF!</definedName>
    <definedName name="inspol">#REF!</definedName>
    <definedName name="Inst.">#REF!</definedName>
    <definedName name="INSTR">#REF!</definedName>
    <definedName name="Instrument_Index">#REF!</definedName>
    <definedName name="Insurance">#REF!</definedName>
    <definedName name="INT">#REF!</definedName>
    <definedName name="Int_CFsheet">#REF!</definedName>
    <definedName name="INT_CHGS">#REF!</definedName>
    <definedName name="Int_Topsheet">#REF!</definedName>
    <definedName name="inter">#REF!</definedName>
    <definedName name="Interest_Rate">#REF!</definedName>
    <definedName name="Interior">#REF!</definedName>
    <definedName name="InterlockingBlocks" localSheetId="6">#REF!</definedName>
    <definedName name="InterlockingBlocks" localSheetId="27">#REF!</definedName>
    <definedName name="InterlockingBlocks" localSheetId="4">#REF!</definedName>
    <definedName name="InterlockingBlocks" localSheetId="32">#REF!</definedName>
    <definedName name="InterlockingBlocks" localSheetId="24">#REF!</definedName>
    <definedName name="InterlockingBlocks">#REF!</definedName>
    <definedName name="internaluse" localSheetId="29">#REF!</definedName>
    <definedName name="internaluse" localSheetId="24">#REF!</definedName>
    <definedName name="internaluse" localSheetId="26">#REF!</definedName>
    <definedName name="internaluse">#REF!</definedName>
    <definedName name="IntFreeCred" localSheetId="29">#REF!</definedName>
    <definedName name="IntFreeCred" localSheetId="26">#REF!</definedName>
    <definedName name="IntFreeCred">#REF!</definedName>
    <definedName name="IntroParagraph">#REF!</definedName>
    <definedName name="intsen">#REF!</definedName>
    <definedName name="INV">#REF!</definedName>
    <definedName name="invoice">#REF!</definedName>
    <definedName name="io">#REF!</definedName>
    <definedName name="iojio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B">#REF!</definedName>
    <definedName name="ipc">#REF!</definedName>
    <definedName name="ipn">#REF!</definedName>
    <definedName name="IPT">#N/A</definedName>
    <definedName name="ipu" localSheetId="29">#REF!</definedName>
    <definedName name="ipu" localSheetId="27">#REF!</definedName>
    <definedName name="ipu" localSheetId="24">#REF!</definedName>
    <definedName name="ipu" localSheetId="26">#REF!</definedName>
    <definedName name="ipu">#REF!</definedName>
    <definedName name="ipu___0" localSheetId="24">#REF!</definedName>
    <definedName name="ipu___0">#REF!</definedName>
    <definedName name="ipu___13">#REF!</definedName>
    <definedName name="ir">#REF!</definedName>
    <definedName name="Irated" localSheetId="4">#REF!</definedName>
    <definedName name="Irated" localSheetId="32">#REF!</definedName>
    <definedName name="Irated">#REF!</definedName>
    <definedName name="IRR">#REF!</definedName>
    <definedName name="IRRPH">#REF!</definedName>
    <definedName name="IRUSD">#REF!</definedName>
    <definedName name="Is">#REF!</definedName>
    <definedName name="Isc">#REF!</definedName>
    <definedName name="ISLG4.16">#REF!</definedName>
    <definedName name="ismb" localSheetId="6">#REF!</definedName>
    <definedName name="ismb" localSheetId="27">#REF!</definedName>
    <definedName name="ismb" localSheetId="4">#REF!</definedName>
    <definedName name="ismb" localSheetId="32">#REF!</definedName>
    <definedName name="ismb" localSheetId="24">#REF!</definedName>
    <definedName name="ismb">#REF!</definedName>
    <definedName name="isn" localSheetId="24">#REF!</definedName>
    <definedName name="isn">#REF!</definedName>
    <definedName name="ISo" localSheetId="24">#REF!</definedName>
    <definedName name="ISo">#REF!</definedName>
    <definedName name="ISO1E220" localSheetId="29">#REF!</definedName>
    <definedName name="ISO1E220" localSheetId="26">#REF!</definedName>
    <definedName name="ISO1E220">#REF!</definedName>
    <definedName name="ISO1E500" localSheetId="29">#REF!</definedName>
    <definedName name="ISO1E500" localSheetId="26">#REF!</definedName>
    <definedName name="ISO1E500">#REF!</definedName>
    <definedName name="ISO2E220">#REF!</definedName>
    <definedName name="ISO2E500">#REF!</definedName>
    <definedName name="issue_summ" localSheetId="6">#REF!</definedName>
    <definedName name="issue_summ" localSheetId="27">#REF!</definedName>
    <definedName name="issue_summ" localSheetId="4">#REF!</definedName>
    <definedName name="issue_summ" localSheetId="32">#REF!</definedName>
    <definedName name="issue_summ" localSheetId="24">#REF!</definedName>
    <definedName name="issue_summ">#REF!</definedName>
    <definedName name="issue_summary1">#REF!</definedName>
    <definedName name="It" localSheetId="24">#REF!</definedName>
    <definedName name="It">#REF!</definedName>
    <definedName name="Item" localSheetId="24">#REF!</definedName>
    <definedName name="Item">#REF!</definedName>
    <definedName name="Item_List">#REF!</definedName>
    <definedName name="Item_Type">#REF!</definedName>
    <definedName name="ItemReference">#REF!</definedName>
    <definedName name="Items">#REF!</definedName>
    <definedName name="ItemTotalPrice">#REF!</definedName>
    <definedName name="iteration">#N/A</definedName>
    <definedName name="itmax" localSheetId="24">#REF!</definedName>
    <definedName name="itmax">#REF!</definedName>
    <definedName name="ITRY" localSheetId="6">#REF!</definedName>
    <definedName name="ITRY" localSheetId="29">#REF!</definedName>
    <definedName name="ITRY" localSheetId="26">#REF!</definedName>
    <definedName name="ITRY">#REF!</definedName>
    <definedName name="ITRY1" localSheetId="6">#REF!</definedName>
    <definedName name="ITRY1">#REF!</definedName>
    <definedName name="j" localSheetId="12">#REF!</definedName>
    <definedName name="j" localSheetId="29">#REF!</definedName>
    <definedName name="j" localSheetId="26">#REF!</definedName>
    <definedName name="j">#REF!</definedName>
    <definedName name="j_filler">#REF!</definedName>
    <definedName name="JA" localSheetId="12">INDEX(#REF!,MATCH(#REF!,#REF!,0))</definedName>
    <definedName name="JA" localSheetId="27">INDEX(#REF!,MATCH(#REF!,#REF!,0))</definedName>
    <definedName name="JA" localSheetId="24">INDEX(#REF!,MATCH(#REF!,#REF!,0))</definedName>
    <definedName name="JA">INDEX(#REF!,MATCH(#REF!,#REF!,0))</definedName>
    <definedName name="Jabalpur">#REF!</definedName>
    <definedName name="JACK" localSheetId="6">#REF!</definedName>
    <definedName name="JACK" localSheetId="27">#REF!</definedName>
    <definedName name="JACK" localSheetId="4">#REF!</definedName>
    <definedName name="JACK" localSheetId="32">#REF!</definedName>
    <definedName name="JACK" localSheetId="24">#REF!</definedName>
    <definedName name="JACK">#REF!</definedName>
    <definedName name="JAHSGFRE" localSheetId="29" hidden="1">#REF!</definedName>
    <definedName name="JAHSGFRE" localSheetId="24" hidden="1">#REF!</definedName>
    <definedName name="JAHSGFRE" localSheetId="26" hidden="1">#REF!</definedName>
    <definedName name="JAHSGFRE" hidden="1">#REF!</definedName>
    <definedName name="jap" localSheetId="12" hidden="1">{"FTS",#N/A,FALSE,"E"}</definedName>
    <definedName name="jap" hidden="1">{"FTS",#N/A,FALSE,"E"}</definedName>
    <definedName name="JAS">INDEX(#REF!,MATCH(#REF!,#REF!,0))</definedName>
    <definedName name="jawed" localSheetId="12">#REF!</definedName>
    <definedName name="jawed">#REF!</definedName>
    <definedName name="jay">#REF!</definedName>
    <definedName name="JB" localSheetId="12">INDEX(#REF!,MATCH(#REF!,#REF!,0))</definedName>
    <definedName name="JB" localSheetId="27">INDEX(#REF!,MATCH(#REF!,#REF!,0))</definedName>
    <definedName name="JB" localSheetId="24">INDEX(#REF!,MATCH(#REF!,#REF!,0))</definedName>
    <definedName name="JB">INDEX(#REF!,MATCH(#REF!,#REF!,0))</definedName>
    <definedName name="JBS">INDEX(#REF!,MATCH(#REF!,#REF!,0))</definedName>
    <definedName name="JC" localSheetId="12">INDEX(#REF!,MATCH(#REF!,#REF!,0))</definedName>
    <definedName name="JC" localSheetId="27">INDEX(#REF!,MATCH(#REF!,#REF!,0))</definedName>
    <definedName name="JC" localSheetId="24">INDEX(#REF!,MATCH(#REF!,#REF!,0))</definedName>
    <definedName name="JC">INDEX(#REF!,MATCH(#REF!,#REF!,0))</definedName>
    <definedName name="JCBPOL" localSheetId="6">#REF!</definedName>
    <definedName name="JCBPOL" localSheetId="27">#REF!</definedName>
    <definedName name="JCBPOL" localSheetId="4">#REF!</definedName>
    <definedName name="JCBPOL" localSheetId="32">#REF!</definedName>
    <definedName name="JCBPOL" localSheetId="24">#REF!</definedName>
    <definedName name="JCBPOL">#REF!</definedName>
    <definedName name="JCS">INDEX(#REF!,MATCH(#REF!,#REF!,0))</definedName>
    <definedName name="JD" localSheetId="12">INDEX(#REF!,MATCH(#REF!,#REF!,0))</definedName>
    <definedName name="JD" localSheetId="27">INDEX(#REF!,MATCH(#REF!,#REF!,0))</definedName>
    <definedName name="JD" localSheetId="24">INDEX(#REF!,MATCH(#REF!,#REF!,0))</definedName>
    <definedName name="JD">INDEX(#REF!,MATCH(#REF!,#REF!,0))</definedName>
    <definedName name="jddd" localSheetId="12" hidden="1">{"form-D1",#N/A,FALSE,"FORM-D1";"form-D1_amt",#N/A,FALSE,"FORM-D1"}</definedName>
    <definedName name="jddd" hidden="1">{"form-D1",#N/A,FALSE,"FORM-D1";"form-D1_amt",#N/A,FALSE,"FORM-D1"}</definedName>
    <definedName name="JDKSK" localSheetId="29" hidden="1">#REF!</definedName>
    <definedName name="JDKSK" localSheetId="24" hidden="1">#REF!</definedName>
    <definedName name="JDKSK" localSheetId="26" hidden="1">#REF!</definedName>
    <definedName name="JDKSK" hidden="1">#REF!</definedName>
    <definedName name="JDS">INDEX(#REF!,MATCH(#REF!,#REF!,0))</definedName>
    <definedName name="JE" localSheetId="12">INDEX(#REF!,MATCH(#REF!,#REF!,0))</definedName>
    <definedName name="JE" localSheetId="27">INDEX(#REF!,MATCH(#REF!,#REF!,0))</definedName>
    <definedName name="JE" localSheetId="24">INDEX(#REF!,MATCH(#REF!,#REF!,0))</definedName>
    <definedName name="JE">INDEX(#REF!,MATCH(#REF!,#REF!,0))</definedName>
    <definedName name="JEERATE" localSheetId="12">#REF!</definedName>
    <definedName name="JEERATE" localSheetId="29">#REF!</definedName>
    <definedName name="JEERATE" localSheetId="26">#REF!</definedName>
    <definedName name="JEERATE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ES">INDEX(#REF!,MATCH(#REF!,#REF!,0))</definedName>
    <definedName name="JF" localSheetId="12">INDEX(#REF!,MATCH(#REF!,#REF!,0))</definedName>
    <definedName name="JF" localSheetId="27">INDEX(#REF!,MATCH(#REF!,#REF!,0))</definedName>
    <definedName name="JF" localSheetId="24">INDEX(#REF!,MATCH(#REF!,#REF!,0))</definedName>
    <definedName name="JF">INDEX(#REF!,MATCH(#REF!,#REF!,0))</definedName>
    <definedName name="JFHGDT" hidden="1">#REF!</definedName>
    <definedName name="jfjfj" localSheetId="12">#REF!</definedName>
    <definedName name="jfjfj">#REF!</definedName>
    <definedName name="JFS">INDEX(#REF!,MATCH(#REF!,#REF!,0))</definedName>
    <definedName name="JG" localSheetId="12">INDEX(#REF!,MATCH(#REF!,#REF!,0))</definedName>
    <definedName name="JG" localSheetId="27">INDEX(#REF!,MATCH(#REF!,#REF!,0))</definedName>
    <definedName name="JG" localSheetId="24">INDEX(#REF!,MATCH(#REF!,#REF!,0))</definedName>
    <definedName name="JG">INDEX(#REF!,MATCH(#REF!,#REF!,0))</definedName>
    <definedName name="JGGJKGKGJK" localSheetId="12">#REF!</definedName>
    <definedName name="JGGJKGKGJK">#REF!</definedName>
    <definedName name="jgjg" localSheetId="12" hidden="1">{"'PROFITABILITY'!$A$1:$F$45"}</definedName>
    <definedName name="jgjg" hidden="1">{"'PROFITABILITY'!$A$1:$F$45"}</definedName>
    <definedName name="JGS">INDEX(#REF!,MATCH(#REF!,#REF!,0))</definedName>
    <definedName name="JH" localSheetId="12">INDEX(#REF!,MATCH(#REF!,#REF!,0))</definedName>
    <definedName name="JH" localSheetId="27">INDEX(#REF!,MATCH(#REF!,#REF!,0))</definedName>
    <definedName name="JH" localSheetId="4">INDEX(#REF!,MATCH(#REF!,#REF!,0))</definedName>
    <definedName name="JH" localSheetId="32">INDEX(#REF!,MATCH(#REF!,#REF!,0))</definedName>
    <definedName name="JH" localSheetId="24">INDEX(#REF!,MATCH(#REF!,#REF!,0))</definedName>
    <definedName name="JH">INDEX(#REF!,MATCH(#REF!,#REF!,0))</definedName>
    <definedName name="JHA">#REF!</definedName>
    <definedName name="jhbhb">#REF!</definedName>
    <definedName name="jhdfjhfkhkzfsqsqs" localSheetId="12">#REF!</definedName>
    <definedName name="jhdfjhfkhkzfsqsqs">#REF!</definedName>
    <definedName name="jhgj" localSheetId="12" hidden="1">{"COST",#N/A,FALSE,"SYNTHESE";"MARGIN",#N/A,FALSE,"SYNTHESE";"LOT_COM",#N/A,FALSE,"SYNTHESE"}</definedName>
    <definedName name="jhgj" hidden="1">{"COST",#N/A,FALSE,"SYNTHESE";"MARGIN",#N/A,FALSE,"SYNTHESE";"LOT_COM",#N/A,FALSE,"SYNTHESE"}</definedName>
    <definedName name="JHKDJRFIA">#REF!</definedName>
    <definedName name="JHS">INDEX(#REF!,MATCH(#REF!,#REF!,0))</definedName>
    <definedName name="jhy">#REF!</definedName>
    <definedName name="jhyut6">#REF!</definedName>
    <definedName name="JI" localSheetId="12">INDEX(#REF!,MATCH(#REF!,#REF!,0))</definedName>
    <definedName name="JI" localSheetId="27">INDEX(#REF!,MATCH(#REF!,#REF!,0))</definedName>
    <definedName name="JI" localSheetId="24">INDEX(#REF!,MATCH(#REF!,#REF!,0))</definedName>
    <definedName name="JI">INDEX(#REF!,MATCH(#REF!,#REF!,0))</definedName>
    <definedName name="JINHJIKJJIHJREHGURHUITHEWF8HIFHD89WEHRUIFTHDSUFHWJAGHFUIGWEJSEBGR2657142574R9WEHTDKSGNMOERUIGNJYFKLM">#REF!</definedName>
    <definedName name="JIS">INDEX(#REF!,MATCH(#REF!,#REF!,0))</definedName>
    <definedName name="JJ" localSheetId="12">INDEX(#REF!,MATCH(#REF!,#REF!,0))</definedName>
    <definedName name="jj" hidden="1">#REF!</definedName>
    <definedName name="jjdzjjklb6f6e8f7f">#REF!</definedName>
    <definedName name="jjj" localSheetId="12" hidden="1">{"form-D1",#N/A,FALSE,"FORM-D1";"form-D1_amt",#N/A,FALSE,"FORM-D1"}</definedName>
    <definedName name="jjj" localSheetId="4">#REF!</definedName>
    <definedName name="jjj" localSheetId="32">#REF!</definedName>
    <definedName name="jjj">#REF!</definedName>
    <definedName name="jjjj" localSheetId="12" hidden="1">{"form-D1",#N/A,FALSE,"FORM-D1";"form-D1_amt",#N/A,FALSE,"FORM-D1"}</definedName>
    <definedName name="jjjj" localSheetId="6" hidden="1">{"form-D1",#N/A,FALSE,"FORM-D1";"form-D1_amt",#N/A,FALSE,"FORM-D1"}</definedName>
    <definedName name="jjjj" localSheetId="29" hidden="1">{"form-D1",#N/A,FALSE,"FORM-D1";"form-D1_amt",#N/A,FALSE,"FORM-D1"}</definedName>
    <definedName name="jjjj" localSheetId="27" hidden="1">{"form-D1",#N/A,FALSE,"FORM-D1";"form-D1_amt",#N/A,FALSE,"FORM-D1"}</definedName>
    <definedName name="jjjj" localSheetId="4" hidden="1">{"form-D1",#N/A,FALSE,"FORM-D1";"form-D1_amt",#N/A,FALSE,"FORM-D1"}</definedName>
    <definedName name="jjjj" localSheetId="32" hidden="1">{"form-D1",#N/A,FALSE,"FORM-D1";"form-D1_amt",#N/A,FALSE,"FORM-D1"}</definedName>
    <definedName name="jjjj" localSheetId="24" hidden="1">{"form-D1",#N/A,FALSE,"FORM-D1";"form-D1_amt",#N/A,FALSE,"FORM-D1"}</definedName>
    <definedName name="jjjj" localSheetId="26" hidden="1">{"form-D1",#N/A,FALSE,"FORM-D1";"form-D1_amt",#N/A,FALSE,"FORM-D1"}</definedName>
    <definedName name="jjjj" hidden="1">{"form-D1",#N/A,FALSE,"FORM-D1";"form-D1_amt",#N/A,FALSE,"FORM-D1"}</definedName>
    <definedName name="jjjjjj" localSheetId="12" hidden="1">{"form-D1",#N/A,FALSE,"FORM-D1";"form-D1_amt",#N/A,FALSE,"FORM-D1"}</definedName>
    <definedName name="jjjjjj" hidden="1">{"form-D1",#N/A,FALSE,"FORM-D1";"form-D1_amt",#N/A,FALSE,"FORM-D1"}</definedName>
    <definedName name="jjjjjjjjj" localSheetId="12" hidden="1">{"form-D1",#N/A,FALSE,"FORM-D1";"form-D1_amt",#N/A,FALSE,"FORM-D1"}</definedName>
    <definedName name="jjjjjjjjj" hidden="1">{"form-D1",#N/A,FALSE,"FORM-D1";"form-D1_amt",#N/A,FALSE,"FORM-D1"}</definedName>
    <definedName name="jjjjjjjjjjjj" localSheetId="12" hidden="1">{"form-D1",#N/A,FALSE,"FORM-D1";"form-D1_amt",#N/A,FALSE,"FORM-D1"}</definedName>
    <definedName name="jjjjjjjjjjjj" hidden="1">{"form-D1",#N/A,FALSE,"FORM-D1";"form-D1_amt",#N/A,FALSE,"FORM-D1"}</definedName>
    <definedName name="JJS">INDEX(#REF!,MATCH(#REF!,#REF!,0))</definedName>
    <definedName name="JK" localSheetId="12">INDEX(#REF!,MATCH(#REF!,#REF!,0))</definedName>
    <definedName name="JK" localSheetId="27">INDEX(#REF!,MATCH(#REF!,#REF!,0))</definedName>
    <definedName name="JK" localSheetId="4">INDEX(#REF!,MATCH(#REF!,#REF!,0))</definedName>
    <definedName name="JK" localSheetId="32">INDEX(#REF!,MATCH(#REF!,#REF!,0))</definedName>
    <definedName name="JK" localSheetId="24">INDEX(#REF!,MATCH(#REF!,#REF!,0))</definedName>
    <definedName name="JK">INDEX(#REF!,MATCH(#REF!,#REF!,0))</definedName>
    <definedName name="jkjj" localSheetId="6">#REF!</definedName>
    <definedName name="jkjj" localSheetId="24">#REF!</definedName>
    <definedName name="jkjj">#REF!</definedName>
    <definedName name="jkl" localSheetId="12">#REF!</definedName>
    <definedName name="jkl">#REF!</definedName>
    <definedName name="jkyu">#REF!</definedName>
    <definedName name="JL" localSheetId="12">INDEX(#REF!,MATCH(#REF!,#REF!,0))</definedName>
    <definedName name="JL" localSheetId="27">INDEX(#REF!,MATCH(#REF!,#REF!,0))</definedName>
    <definedName name="JL" localSheetId="24">INDEX(#REF!,MATCH(#REF!,#REF!,0))</definedName>
    <definedName name="JL">INDEX(#REF!,MATCH(#REF!,#REF!,0))</definedName>
    <definedName name="JM" localSheetId="12">INDEX(#REF!,MATCH(#REF!,#REF!,0))</definedName>
    <definedName name="JM" localSheetId="27">INDEX(#REF!,MATCH(#REF!,#REF!,0))</definedName>
    <definedName name="JM" localSheetId="24">INDEX(#REF!,MATCH(#REF!,#REF!,0))</definedName>
    <definedName name="JM">INDEX(#REF!,MATCH(#REF!,#REF!,0))</definedName>
    <definedName name="job" localSheetId="12">#REF!</definedName>
    <definedName name="job" localSheetId="6">#REF!</definedName>
    <definedName name="job" localSheetId="29">#REF!</definedName>
    <definedName name="job" localSheetId="27">#REF!</definedName>
    <definedName name="job" localSheetId="4">#REF!</definedName>
    <definedName name="job" localSheetId="32">#REF!</definedName>
    <definedName name="job" localSheetId="24">#REF!</definedName>
    <definedName name="job" localSheetId="26">#REF!</definedName>
    <definedName name="job">#REF!</definedName>
    <definedName name="job___0" localSheetId="6">#REF!</definedName>
    <definedName name="job___0" localSheetId="27">#REF!</definedName>
    <definedName name="job___0" localSheetId="4">#REF!</definedName>
    <definedName name="job___0" localSheetId="32">#REF!</definedName>
    <definedName name="job___0" localSheetId="24">#REF!</definedName>
    <definedName name="job___0">#REF!</definedName>
    <definedName name="job___11" localSheetId="6">#REF!</definedName>
    <definedName name="job___11" localSheetId="27">#REF!</definedName>
    <definedName name="job___11" localSheetId="4">#REF!</definedName>
    <definedName name="job___11" localSheetId="32">#REF!</definedName>
    <definedName name="job___11" localSheetId="24">#REF!</definedName>
    <definedName name="job___11">#REF!</definedName>
    <definedName name="job___12" localSheetId="6">#REF!</definedName>
    <definedName name="job___12" localSheetId="27">#REF!</definedName>
    <definedName name="job___12" localSheetId="4">#REF!</definedName>
    <definedName name="job___12" localSheetId="32">#REF!</definedName>
    <definedName name="job___12" localSheetId="24">#REF!</definedName>
    <definedName name="job___12">#REF!</definedName>
    <definedName name="JobID" localSheetId="24">#REF!</definedName>
    <definedName name="JobID">#REF!</definedName>
    <definedName name="Jobtypes" localSheetId="12">#REF!</definedName>
    <definedName name="Jobtypes" localSheetId="4">#REF!</definedName>
    <definedName name="Jobtypes" localSheetId="32">#REF!</definedName>
    <definedName name="Jobtypes" localSheetId="24">#REF!</definedName>
    <definedName name="Jobtypes">#REF!</definedName>
    <definedName name="Jobtypes_3" localSheetId="12">#REF!</definedName>
    <definedName name="Jobtypes_3">#REF!</definedName>
    <definedName name="JOINT" localSheetId="29">#REF!</definedName>
    <definedName name="JOINT" localSheetId="26">#REF!</definedName>
    <definedName name="JOINT">#REF!</definedName>
    <definedName name="Jointcutting" localSheetId="6">#REF!</definedName>
    <definedName name="Jointcutting" localSheetId="27">#REF!</definedName>
    <definedName name="Jointcutting" localSheetId="4">#REF!</definedName>
    <definedName name="Jointcutting" localSheetId="32">#REF!</definedName>
    <definedName name="Jointcutting" localSheetId="24">#REF!</definedName>
    <definedName name="Jointcutting">#REF!</definedName>
    <definedName name="jos">#REF!</definedName>
    <definedName name="JR_Line">#REF!</definedName>
    <definedName name="jsjfjff">#REF!</definedName>
    <definedName name="ju" localSheetId="29">#REF!</definedName>
    <definedName name="ju" localSheetId="24">#REF!</definedName>
    <definedName name="ju" localSheetId="26">#REF!</definedName>
    <definedName name="ju">#REF!</definedName>
    <definedName name="juhygt">#REF!</definedName>
    <definedName name="July">#REF!</definedName>
    <definedName name="JULY1">#REF!</definedName>
    <definedName name="JUMBO" localSheetId="6">#REF!</definedName>
    <definedName name="JUMBO" localSheetId="27">#REF!</definedName>
    <definedName name="JUMBO" localSheetId="4">#REF!</definedName>
    <definedName name="JUMBO" localSheetId="32">#REF!</definedName>
    <definedName name="JUMBO" localSheetId="24">#REF!</definedName>
    <definedName name="JUMBO">#REF!</definedName>
    <definedName name="june" localSheetId="24">#REF!</definedName>
    <definedName name="june">#REF!</definedName>
    <definedName name="jv" localSheetId="29">#REF!</definedName>
    <definedName name="jv" localSheetId="26">#REF!</definedName>
    <definedName name="jv">#REF!</definedName>
    <definedName name="k" localSheetId="12" hidden="1">{"'PROFITABILITY'!$A$1:$F$45"}</definedName>
    <definedName name="k" localSheetId="6" hidden="1">{"'PROFITABILITY'!$A$1:$F$45"}</definedName>
    <definedName name="k" localSheetId="29" hidden="1">{"'PROFITABILITY'!$A$1:$F$45"}</definedName>
    <definedName name="k" localSheetId="27" hidden="1">{"'PROFITABILITY'!$A$1:$F$45"}</definedName>
    <definedName name="k" localSheetId="4" hidden="1">{"'PROFITABILITY'!$A$1:$F$45"}</definedName>
    <definedName name="k" localSheetId="32" hidden="1">{"'PROFITABILITY'!$A$1:$F$45"}</definedName>
    <definedName name="k" localSheetId="24" hidden="1">{"'PROFITABILITY'!$A$1:$F$45"}</definedName>
    <definedName name="k" localSheetId="26" hidden="1">{"'PROFITABILITY'!$A$1:$F$45"}</definedName>
    <definedName name="k" hidden="1">{"'PROFITABILITY'!$A$1:$F$45"}</definedName>
    <definedName name="K___0">#REF!</definedName>
    <definedName name="K___13">#REF!</definedName>
    <definedName name="K_1" localSheetId="12">#REF!</definedName>
    <definedName name="k_1" localSheetId="29">NA()</definedName>
    <definedName name="K_1" localSheetId="24">#REF!</definedName>
    <definedName name="k_1" localSheetId="26">NA()</definedName>
    <definedName name="k_1">NA()</definedName>
    <definedName name="K_a">#REF!</definedName>
    <definedName name="K_b">#REF!</definedName>
    <definedName name="k0" localSheetId="24">#REF!</definedName>
    <definedName name="k0">#REF!</definedName>
    <definedName name="k1_table" localSheetId="24">#REF!</definedName>
    <definedName name="k1_table">#REF!</definedName>
    <definedName name="k1l">#REF!</definedName>
    <definedName name="k1s" localSheetId="29">#REF!</definedName>
    <definedName name="k1s" localSheetId="26">#REF!</definedName>
    <definedName name="k1s">#REF!</definedName>
    <definedName name="K1V">#REF!</definedName>
    <definedName name="k1x" localSheetId="12">#REF!</definedName>
    <definedName name="k1x" localSheetId="4">#REF!</definedName>
    <definedName name="k1x" localSheetId="32">#REF!</definedName>
    <definedName name="k1x">#REF!</definedName>
    <definedName name="k1y" localSheetId="12">#REF!</definedName>
    <definedName name="k1y" localSheetId="4">#REF!</definedName>
    <definedName name="k1y" localSheetId="32">#REF!</definedName>
    <definedName name="k1y">#REF!</definedName>
    <definedName name="k2s" localSheetId="29">#REF!</definedName>
    <definedName name="k2s" localSheetId="26">#REF!</definedName>
    <definedName name="k2s">#REF!</definedName>
    <definedName name="K2v">#REF!</definedName>
    <definedName name="k2x" localSheetId="12">#REF!</definedName>
    <definedName name="k2x" localSheetId="4">#REF!</definedName>
    <definedName name="k2x" localSheetId="32">#REF!</definedName>
    <definedName name="k2x">#REF!</definedName>
    <definedName name="k2y" localSheetId="12">#REF!</definedName>
    <definedName name="k2y" localSheetId="4">#REF!</definedName>
    <definedName name="k2y" localSheetId="32">#REF!</definedName>
    <definedName name="k2y">#REF!</definedName>
    <definedName name="K3V">#REF!</definedName>
    <definedName name="KA" localSheetId="12">INDEX(#REF!,MATCH(#REF!,#REF!,0))</definedName>
    <definedName name="KA" localSheetId="29">#REF!</definedName>
    <definedName name="KA" localSheetId="26">#REF!</definedName>
    <definedName name="KA">#REF!</definedName>
    <definedName name="kailash" localSheetId="12">#REF!</definedName>
    <definedName name="kailash">#REF!</definedName>
    <definedName name="KALPAN">#REF!</definedName>
    <definedName name="KAMAL" localSheetId="12" hidden="1">{"form-D1",#N/A,FALSE,"FORM-D1";"form-D1_amt",#N/A,FALSE,"FORM-D1"}</definedName>
    <definedName name="KAMAL" hidden="1">{"form-D1",#N/A,FALSE,"FORM-D1";"form-D1_amt",#N/A,FALSE,"FORM-D1"}</definedName>
    <definedName name="kaml" localSheetId="12" hidden="1">{"form-D1",#N/A,FALSE,"FORM-D1";"form-D1_amt",#N/A,FALSE,"FORM-D1"}</definedName>
    <definedName name="kaml" hidden="1">{"form-D1",#N/A,FALSE,"FORM-D1";"form-D1_amt",#N/A,FALSE,"FORM-D1"}</definedName>
    <definedName name="KAMREM">#REF!</definedName>
    <definedName name="kar">#REF!</definedName>
    <definedName name="KARAM">#REF!</definedName>
    <definedName name="KARNA" localSheetId="6">#REF!</definedName>
    <definedName name="KARNA" localSheetId="27">#REF!</definedName>
    <definedName name="KARNA" localSheetId="4">#REF!</definedName>
    <definedName name="KARNA" localSheetId="32">#REF!</definedName>
    <definedName name="KARNA" localSheetId="24">#REF!</definedName>
    <definedName name="KARNA">#REF!</definedName>
    <definedName name="KAS">INDEX(#REF!,MATCH(#REF!,#REF!,0))</definedName>
    <definedName name="KB" localSheetId="12">INDEX(#REF!,MATCH(#REF!,#REF!,0))</definedName>
    <definedName name="KB" localSheetId="6">INDEX(#REF!,MATCH(#REF!,#REF!,0))</definedName>
    <definedName name="kb" localSheetId="29">#REF!</definedName>
    <definedName name="kb" localSheetId="27">#REF!</definedName>
    <definedName name="KB" localSheetId="4">INDEX(#REF!,MATCH(#REF!,#REF!,0))</definedName>
    <definedName name="KB" localSheetId="32">INDEX(#REF!,MATCH(#REF!,#REF!,0))</definedName>
    <definedName name="kb" localSheetId="24">#REF!</definedName>
    <definedName name="kb" localSheetId="26">#REF!</definedName>
    <definedName name="kb">#REF!</definedName>
    <definedName name="KBS">INDEX(#REF!,MATCH(#REF!,#REF!,0))</definedName>
    <definedName name="KC" localSheetId="12">INDEX(#REF!,MATCH(#REF!,#REF!,0))</definedName>
    <definedName name="KC" localSheetId="6">INDEX(#REF!,MATCH(#REF!,#REF!,0))</definedName>
    <definedName name="kc" localSheetId="27">#REF!</definedName>
    <definedName name="KC" localSheetId="4">INDEX(#REF!,MATCH(#REF!,#REF!,0))</definedName>
    <definedName name="KC" localSheetId="32">INDEX(#REF!,MATCH(#REF!,#REF!,0))</definedName>
    <definedName name="kc">#REF!</definedName>
    <definedName name="KCS">INDEX(#REF!,MATCH(#REF!,#REF!,0))</definedName>
    <definedName name="KD" localSheetId="12">INDEX(#REF!,MATCH(#REF!,#REF!,0))</definedName>
    <definedName name="KD" localSheetId="27">INDEX(#REF!,MATCH(#REF!,#REF!,0))</definedName>
    <definedName name="KD" localSheetId="24">INDEX(#REF!,MATCH(#REF!,#REF!,0))</definedName>
    <definedName name="KD">INDEX(#REF!,MATCH(#REF!,#REF!,0))</definedName>
    <definedName name="KDS">INDEX(#REF!,MATCH(#REF!,#REF!,0))</definedName>
    <definedName name="KE" localSheetId="12">INDEX(#REF!,MATCH(#REF!,#REF!,0))</definedName>
    <definedName name="KE">#REF!</definedName>
    <definedName name="KEC">#REF!</definedName>
    <definedName name="KEC_TopManagement" localSheetId="27">OFFSET(#REF!,0,0,COUNTA(#REF!),1)</definedName>
    <definedName name="KEC_TopManagement">OFFSET(#REF!,0,0,COUNTA(#REF!),1)</definedName>
    <definedName name="KECStaff" localSheetId="27">#REF!</definedName>
    <definedName name="KECStaff">#REF!</definedName>
    <definedName name="KEPL" localSheetId="29">#REF!</definedName>
    <definedName name="KEPL" localSheetId="27">#REF!</definedName>
    <definedName name="KEPL" localSheetId="26">#REF!</definedName>
    <definedName name="KEPL">#REF!</definedName>
    <definedName name="kerbchhfdpi" localSheetId="6">#REF!</definedName>
    <definedName name="kerbchhfdpi" localSheetId="27">#REF!</definedName>
    <definedName name="kerbchhfdpi" localSheetId="4">#REF!</definedName>
    <definedName name="kerbchhfdpi" localSheetId="32">#REF!</definedName>
    <definedName name="kerbchhfdpi" localSheetId="24">#REF!</definedName>
    <definedName name="kerbchhfdpi">#REF!</definedName>
    <definedName name="kerbchpi" localSheetId="6">#REF!</definedName>
    <definedName name="kerbchpi" localSheetId="27">#REF!</definedName>
    <definedName name="kerbchpi" localSheetId="4">#REF!</definedName>
    <definedName name="kerbchpi" localSheetId="32">#REF!</definedName>
    <definedName name="kerbchpi" localSheetId="24">#REF!</definedName>
    <definedName name="kerbchpi">#REF!</definedName>
    <definedName name="kerbfdpi" localSheetId="6">#REF!</definedName>
    <definedName name="kerbfdpi" localSheetId="27">#REF!</definedName>
    <definedName name="kerbfdpi" localSheetId="4">#REF!</definedName>
    <definedName name="kerbfdpi" localSheetId="32">#REF!</definedName>
    <definedName name="kerbfdpi" localSheetId="24">#REF!</definedName>
    <definedName name="kerbfdpi">#REF!</definedName>
    <definedName name="kerbpi" localSheetId="6">#REF!</definedName>
    <definedName name="kerbpi" localSheetId="27">#REF!</definedName>
    <definedName name="kerbpi" localSheetId="4">#REF!</definedName>
    <definedName name="kerbpi" localSheetId="32">#REF!</definedName>
    <definedName name="kerbpi" localSheetId="24">#REF!</definedName>
    <definedName name="kerbpi">#REF!</definedName>
    <definedName name="KES">INDEX(#REF!,MATCH(#REF!,#REF!,0))</definedName>
    <definedName name="KET" localSheetId="29">#REF!</definedName>
    <definedName name="KET" localSheetId="26">#REF!</definedName>
    <definedName name="KET" localSheetId="2">#REF!</definedName>
    <definedName name="KET">#REF!</definedName>
    <definedName name="key" hidden="1">#REF!</definedName>
    <definedName name="Key_EP" localSheetId="12">#REF!</definedName>
    <definedName name="Key_EP">#REF!</definedName>
    <definedName name="Key_IE" localSheetId="12">#REF!</definedName>
    <definedName name="Key_IE">#REF!</definedName>
    <definedName name="Key_SS" localSheetId="12">#REF!</definedName>
    <definedName name="Key_SS">#REF!</definedName>
    <definedName name="Key_TL" localSheetId="12">#REF!</definedName>
    <definedName name="Key_TL">#REF!</definedName>
    <definedName name="KF" localSheetId="12">INDEX(#REF!,MATCH(#REF!,#REF!,0))</definedName>
    <definedName name="KF" localSheetId="27">INDEX(#REF!,MATCH(#REF!,#REF!,0))</definedName>
    <definedName name="KF">INDEX(#REF!,MATCH(#REF!,#REF!,0))</definedName>
    <definedName name="KFS">INDEX(#REF!,MATCH(#REF!,#REF!,0))</definedName>
    <definedName name="KG" localSheetId="12">INDEX(#REF!,MATCH(#REF!,#REF!,0))</definedName>
    <definedName name="KG" localSheetId="29">INDEX(#REF!,MATCH(#REF!,#REF!,0))</definedName>
    <definedName name="KG" localSheetId="27">INDEX(#REF!,MATCH(#REF!,#REF!,0))</definedName>
    <definedName name="KG" localSheetId="24">#REF!</definedName>
    <definedName name="KG" localSheetId="26">INDEX(#REF!,MATCH(#REF!,#REF!,0))</definedName>
    <definedName name="KG">INDEX(#REF!,MATCH(#REF!,#REF!,0))</definedName>
    <definedName name="KGS">INDEX(#REF!,MATCH(#REF!,#REF!,0))</definedName>
    <definedName name="KH" localSheetId="12">INDEX(#REF!,MATCH(#REF!,#REF!,0))</definedName>
    <definedName name="KH" localSheetId="6">INDEX(#REF!,MATCH(#REF!,#REF!,0))</definedName>
    <definedName name="Kh" localSheetId="27">#REF!</definedName>
    <definedName name="KH" localSheetId="4">INDEX(#REF!,MATCH(#REF!,#REF!,0))</definedName>
    <definedName name="KH" localSheetId="32">INDEX(#REF!,MATCH(#REF!,#REF!,0))</definedName>
    <definedName name="Kh">#REF!</definedName>
    <definedName name="Kh___0">#REF!</definedName>
    <definedName name="Kh___13">#REF!</definedName>
    <definedName name="KHA">#REF!</definedName>
    <definedName name="KHALILO" localSheetId="12">#REF!</definedName>
    <definedName name="KHALILO">#REF!</definedName>
    <definedName name="KHF" localSheetId="12" hidden="1">{"PLANNING",#N/A,FALSE,"A"}</definedName>
    <definedName name="KHF" hidden="1">{"PLANNING",#N/A,FALSE,"A"}</definedName>
    <definedName name="KHJKHKHJK">#REF!</definedName>
    <definedName name="KHS">INDEX(#REF!,MATCH(#REF!,#REF!,0))</definedName>
    <definedName name="KI" localSheetId="12">INDEX(#REF!,MATCH(#REF!,#REF!,0))</definedName>
    <definedName name="KI" localSheetId="6">INDEX(#REF!,MATCH(#REF!,#REF!,0))</definedName>
    <definedName name="Ki" localSheetId="27">#REF!</definedName>
    <definedName name="KI" localSheetId="4">INDEX(#REF!,MATCH(#REF!,#REF!,0))</definedName>
    <definedName name="KI" localSheetId="32">INDEX(#REF!,MATCH(#REF!,#REF!,0))</definedName>
    <definedName name="Ki">#REF!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b">#REF!</definedName>
    <definedName name="Kii" localSheetId="12">#REF!</definedName>
    <definedName name="Kii">#REF!</definedName>
    <definedName name="Kii___0">#REF!</definedName>
    <definedName name="Kii___13">#REF!</definedName>
    <definedName name="KIL" localSheetId="12" hidden="1">{"PLANT BREAKUP",#N/A,FALSE,"E"}</definedName>
    <definedName name="KIL" hidden="1">{"PLANT BREAKUP",#N/A,FALSE,"E"}</definedName>
    <definedName name="kililil">#REF!</definedName>
    <definedName name="kir">#REF!</definedName>
    <definedName name="KIS">INDEX(#REF!,MATCH(#REF!,#REF!,0))</definedName>
    <definedName name="KISHOR">#REF!</definedName>
    <definedName name="KJ" localSheetId="12">INDEX(#REF!,MATCH(#REF!,#REF!,0))</definedName>
    <definedName name="KJ" localSheetId="27">INDEX(#REF!,MATCH(#REF!,#REF!,0))</definedName>
    <definedName name="KJ">INDEX(#REF!,MATCH(#REF!,#REF!,0))</definedName>
    <definedName name="kjbk">#REF!</definedName>
    <definedName name="KJGDFLKHGKJDFHG" localSheetId="12" hidden="1">{#N/A,#N/A,FALSE,"WRSUMMARY";#N/A,#N/A,FALSE,"ANNEX-1";#N/A,#N/A,FALSE,"ANNEX-2";#N/A,#N/A,FALSE,"ANNEX-3";#N/A,#N/A,FALSE,"WORKING"}</definedName>
    <definedName name="KJGDFLKHGKJDFHG" localSheetId="6" hidden="1">{#N/A,#N/A,FALSE,"WRSUMMARY";#N/A,#N/A,FALSE,"ANNEX-1";#N/A,#N/A,FALSE,"ANNEX-2";#N/A,#N/A,FALSE,"ANNEX-3";#N/A,#N/A,FALSE,"WORKING"}</definedName>
    <definedName name="KJGDFLKHGKJDFHG" localSheetId="29" hidden="1">{#N/A,#N/A,FALSE,"WRSUMMARY";#N/A,#N/A,FALSE,"ANNEX-1";#N/A,#N/A,FALSE,"ANNEX-2";#N/A,#N/A,FALSE,"ANNEX-3";#N/A,#N/A,FALSE,"WORKING"}</definedName>
    <definedName name="KJGDFLKHGKJDFHG" localSheetId="27" hidden="1">{#N/A,#N/A,FALSE,"WRSUMMARY";#N/A,#N/A,FALSE,"ANNEX-1";#N/A,#N/A,FALSE,"ANNEX-2";#N/A,#N/A,FALSE,"ANNEX-3";#N/A,#N/A,FALSE,"WORKING"}</definedName>
    <definedName name="KJGDFLKHGKJDFHG" localSheetId="4" hidden="1">{#N/A,#N/A,FALSE,"WRSUMMARY";#N/A,#N/A,FALSE,"ANNEX-1";#N/A,#N/A,FALSE,"ANNEX-2";#N/A,#N/A,FALSE,"ANNEX-3";#N/A,#N/A,FALSE,"WORKING"}</definedName>
    <definedName name="KJGDFLKHGKJDFHG" localSheetId="32" hidden="1">{#N/A,#N/A,FALSE,"WRSUMMARY";#N/A,#N/A,FALSE,"ANNEX-1";#N/A,#N/A,FALSE,"ANNEX-2";#N/A,#N/A,FALSE,"ANNEX-3";#N/A,#N/A,FALSE,"WORKING"}</definedName>
    <definedName name="KJGDFLKHGKJDFHG" localSheetId="24" hidden="1">{#N/A,#N/A,FALSE,"WRSUMMARY";#N/A,#N/A,FALSE,"ANNEX-1";#N/A,#N/A,FALSE,"ANNEX-2";#N/A,#N/A,FALSE,"ANNEX-3";#N/A,#N/A,FALSE,"WORKING"}</definedName>
    <definedName name="KJGDFLKHGKJDFHG" localSheetId="26" hidden="1">{#N/A,#N/A,FALSE,"WRSUMMARY";#N/A,#N/A,FALSE,"ANNEX-1";#N/A,#N/A,FALSE,"ANNEX-2";#N/A,#N/A,FALSE,"ANNEX-3";#N/A,#N/A,FALSE,"WORKING"}</definedName>
    <definedName name="KJGDFLKHGKJDFHG" hidden="1">{#N/A,#N/A,FALSE,"WRSUMMARY";#N/A,#N/A,FALSE,"ANNEX-1";#N/A,#N/A,FALSE,"ANNEX-2";#N/A,#N/A,FALSE,"ANNEX-3";#N/A,#N/A,FALSE,"WORKING"}</definedName>
    <definedName name="kjh" localSheetId="6">#REF!</definedName>
    <definedName name="kjh" localSheetId="29">#REF!</definedName>
    <definedName name="kjh" localSheetId="24">#REF!</definedName>
    <definedName name="kjh" localSheetId="26">#REF!</definedName>
    <definedName name="kjh">#REF!</definedName>
    <definedName name="kjlk">#REF!</definedName>
    <definedName name="kjn">#REF!</definedName>
    <definedName name="kjnkuh">#REF!</definedName>
    <definedName name="kjnol">#REF!</definedName>
    <definedName name="KJS">INDEX(#REF!,MATCH(#REF!,#REF!,0))</definedName>
    <definedName name="KJU" localSheetId="6">#REF!</definedName>
    <definedName name="KJU" localSheetId="24">#REF!</definedName>
    <definedName name="KJU">#REF!</definedName>
    <definedName name="KK" localSheetId="12">INDEX(#REF!,MATCH(#REF!,#REF!,0))</definedName>
    <definedName name="kk" localSheetId="6">#REF!</definedName>
    <definedName name="kk">#REF!</definedName>
    <definedName name="KKK" localSheetId="12" hidden="1">{#N/A,#N/A,FALSE,"MODULE3"}</definedName>
    <definedName name="KKK" hidden="1">{#N/A,#N/A,FALSE,"MODULE3"}</definedName>
    <definedName name="KKKK" localSheetId="12" hidden="1">{"ss",#N/A,FALSE,"MODULE3"}</definedName>
    <definedName name="kkkk" localSheetId="6" hidden="1">{"'PROFITABILITY'!$A$1:$F$45"}</definedName>
    <definedName name="kkkk" localSheetId="29" hidden="1">{"'PROFITABILITY'!$A$1:$F$45"}</definedName>
    <definedName name="kkkk" localSheetId="27" hidden="1">{"'PROFITABILITY'!$A$1:$F$45"}</definedName>
    <definedName name="kkkk" localSheetId="4" hidden="1">{"'PROFITABILITY'!$A$1:$F$45"}</definedName>
    <definedName name="kkkk" localSheetId="32" hidden="1">{"'PROFITABILITY'!$A$1:$F$45"}</definedName>
    <definedName name="kkkk" localSheetId="24" hidden="1">{"'PROFITABILITY'!$A$1:$F$45"}</definedName>
    <definedName name="kkkk" localSheetId="26" hidden="1">{"'PROFITABILITY'!$A$1:$F$45"}</definedName>
    <definedName name="kkkk" hidden="1">{"'PROFITABILITY'!$A$1:$F$45"}</definedName>
    <definedName name="KKKKK" localSheetId="12" hidden="1">{"ss",#N/A,FALSE,"MODULE3"}</definedName>
    <definedName name="kkkkk">#REF!</definedName>
    <definedName name="kklhl" localSheetId="12" hidden="1">{"'PROFITABILITY'!$A$1:$F$45"}</definedName>
    <definedName name="kklhl" hidden="1">{"'PROFITABILITY'!$A$1:$F$45"}</definedName>
    <definedName name="KL" localSheetId="12">INDEX(#REF!,MATCH(#REF!,#REF!,0))</definedName>
    <definedName name="KL" localSheetId="27">INDEX(#REF!,MATCH(#REF!,#REF!,0))</definedName>
    <definedName name="KL" localSheetId="4">INDEX(#REF!,MATCH(#REF!,#REF!,0))</definedName>
    <definedName name="KL" localSheetId="32">INDEX(#REF!,MATCH(#REF!,#REF!,0))</definedName>
    <definedName name="KL" localSheetId="24">INDEX(#REF!,MATCH(#REF!,#REF!,0))</definedName>
    <definedName name="KL">INDEX(#REF!,MATCH(#REF!,#REF!,0))</definedName>
    <definedName name="klkml">#REF!</definedName>
    <definedName name="klmkl">#REF!</definedName>
    <definedName name="klsasK">#REF!</definedName>
    <definedName name="kltp" localSheetId="12" hidden="1">{"'PROFITABILITY'!$A$1:$F$45"}</definedName>
    <definedName name="kltp" localSheetId="6" hidden="1">{"'PROFITABILITY'!$A$1:$F$45"}</definedName>
    <definedName name="kltp" localSheetId="29" hidden="1">{"'PROFITABILITY'!$A$1:$F$45"}</definedName>
    <definedName name="kltp" localSheetId="27" hidden="1">{"'PROFITABILITY'!$A$1:$F$45"}</definedName>
    <definedName name="kltp" localSheetId="4" hidden="1">{"'PROFITABILITY'!$A$1:$F$45"}</definedName>
    <definedName name="kltp" localSheetId="32" hidden="1">{"'PROFITABILITY'!$A$1:$F$45"}</definedName>
    <definedName name="kltp" localSheetId="24" hidden="1">{"'PROFITABILITY'!$A$1:$F$45"}</definedName>
    <definedName name="kltp" localSheetId="26" hidden="1">{"'PROFITABILITY'!$A$1:$F$45"}</definedName>
    <definedName name="kltp" hidden="1">{"'PROFITABILITY'!$A$1:$F$45"}</definedName>
    <definedName name="KM" localSheetId="12">INDEX(#REF!,MATCH(#REF!,#REF!,0))</definedName>
    <definedName name="KM" localSheetId="6">INDEX(#REF!,MATCH(#REF!,#REF!,0))</definedName>
    <definedName name="Km" localSheetId="27">#REF!</definedName>
    <definedName name="KM" localSheetId="4">INDEX(#REF!,MATCH(#REF!,#REF!,0))</definedName>
    <definedName name="KM" localSheetId="32">INDEX(#REF!,MATCH(#REF!,#REF!,0))</definedName>
    <definedName name="Km">#REF!</definedName>
    <definedName name="Km___0">#REF!</definedName>
    <definedName name="Km___13">#REF!</definedName>
    <definedName name="kmrc" localSheetId="1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29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27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3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2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2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o" localSheetId="27">#REF!</definedName>
    <definedName name="ko">#REF!</definedName>
    <definedName name="Kone" localSheetId="27">#REF!</definedName>
    <definedName name="Kone">#REF!</definedName>
    <definedName name="KPI_BGT3" localSheetId="6">#REF!</definedName>
    <definedName name="KPI_BGT3" localSheetId="29">#REF!</definedName>
    <definedName name="KPI_BGT3" localSheetId="26">#REF!</definedName>
    <definedName name="KPI_BGT3">#REF!</definedName>
    <definedName name="KPI_M3" localSheetId="6">#REF!</definedName>
    <definedName name="KPI_M3">#REF!</definedName>
    <definedName name="KPIBRB" localSheetId="6">#REF!</definedName>
    <definedName name="KPIBRB">#REF!</definedName>
    <definedName name="kptl">#REF!</definedName>
    <definedName name="KR">#REF!</definedName>
    <definedName name="Ks" localSheetId="12">#REF!</definedName>
    <definedName name="Ks">#REF!</definedName>
    <definedName name="Ks___0">#REF!</definedName>
    <definedName name="Ks___13">#REF!</definedName>
    <definedName name="kscc">#REF!</definedName>
    <definedName name="KSK">#REF!</definedName>
    <definedName name="kskk" localSheetId="12" hidden="1">{#N/A,#N/A,FALSE,"COVER.XLS";#N/A,#N/A,FALSE,"RACT1.XLS";#N/A,#N/A,FALSE,"RACT2.XLS";#N/A,#N/A,FALSE,"ECCMP";#N/A,#N/A,FALSE,"WELDER.XLS"}</definedName>
    <definedName name="kskk" hidden="1">{#N/A,#N/A,FALSE,"COVER.XLS";#N/A,#N/A,FALSE,"RACT1.XLS";#N/A,#N/A,FALSE,"RACT2.XLS";#N/A,#N/A,FALSE,"ECCMP";#N/A,#N/A,FALSE,"WELDER.XLS"}</definedName>
    <definedName name="KSN">#REF!</definedName>
    <definedName name="KST" localSheetId="2">#REF!</definedName>
    <definedName name="KST">#REF!</definedName>
    <definedName name="kst_4.20" localSheetId="2">#REF!</definedName>
    <definedName name="kst_4.20">#REF!</definedName>
    <definedName name="KT">#REF!</definedName>
    <definedName name="KTA">#REF!</definedName>
    <definedName name="KTB">#REF!</definedName>
    <definedName name="ktd">#REF!</definedName>
    <definedName name="KTL">#REF!</definedName>
    <definedName name="Ktwo">#REF!</definedName>
    <definedName name="KTX">#REF!</definedName>
    <definedName name="KU">#REF!</definedName>
    <definedName name="KUKULE_GANGA_HYDROPOWER_PROJECT">#REF!,#REF!,#REF!,#REF!,#REF!,#REF!,#REF!,#REF!,#REF!</definedName>
    <definedName name="kususdd" localSheetId="12" hidden="1">{"'PROFITABILITY'!$A$1:$F$45"}</definedName>
    <definedName name="kususdd" localSheetId="6" hidden="1">{"'PROFITABILITY'!$A$1:$F$45"}</definedName>
    <definedName name="kususdd" localSheetId="29" hidden="1">{"'PROFITABILITY'!$A$1:$F$45"}</definedName>
    <definedName name="kususdd" localSheetId="27" hidden="1">{"'PROFITABILITY'!$A$1:$F$45"}</definedName>
    <definedName name="kususdd" localSheetId="4" hidden="1">{"'PROFITABILITY'!$A$1:$F$45"}</definedName>
    <definedName name="kususdd" localSheetId="32" hidden="1">{"'PROFITABILITY'!$A$1:$F$45"}</definedName>
    <definedName name="kususdd" localSheetId="24" hidden="1">{"'PROFITABILITY'!$A$1:$F$45"}</definedName>
    <definedName name="kususdd" localSheetId="26" hidden="1">{"'PROFITABILITY'!$A$1:$F$45"}</definedName>
    <definedName name="kususdd" hidden="1">{"'PROFITABILITY'!$A$1:$F$45"}</definedName>
    <definedName name="kvs" localSheetId="12" hidden="1">{#N/A,#N/A,FALSE,"COVER1.XLS ";#N/A,#N/A,FALSE,"RACT1.XLS";#N/A,#N/A,FALSE,"RACT2.XLS";#N/A,#N/A,FALSE,"ECCMP";#N/A,#N/A,FALSE,"WELDER.XLS"}</definedName>
    <definedName name="kvs" hidden="1">{#N/A,#N/A,FALSE,"COVER1.XLS ";#N/A,#N/A,FALSE,"RACT1.XLS";#N/A,#N/A,FALSE,"RACT2.XLS";#N/A,#N/A,FALSE,"ECCMP";#N/A,#N/A,FALSE,"WELDER.XLS"}</definedName>
    <definedName name="Kw" localSheetId="4">#REF!</definedName>
    <definedName name="Kw" localSheetId="32">#REF!</definedName>
    <definedName name="Kw">#REF!</definedName>
    <definedName name="Kw__50_kg">#REF!</definedName>
    <definedName name="Kw__70_kg">#REF!</definedName>
    <definedName name="kweys" hidden="1">#REF!</definedName>
    <definedName name="Kwfa">#REF!</definedName>
    <definedName name="Kwoe">#REF!</definedName>
    <definedName name="Kwsa">#REF!</definedName>
    <definedName name="Kwto">#REF!</definedName>
    <definedName name="L" hidden="1">#REF!</definedName>
    <definedName name="L_">#REF!</definedName>
    <definedName name="L___0">#REF!</definedName>
    <definedName name="L___13">#REF!</definedName>
    <definedName name="l_10" localSheetId="12">#REF!</definedName>
    <definedName name="l_10">#REF!</definedName>
    <definedName name="l_2">#REF!</definedName>
    <definedName name="l_20" localSheetId="12">#REF!</definedName>
    <definedName name="l_20">#REF!</definedName>
    <definedName name="l_30" localSheetId="12">#REF!</definedName>
    <definedName name="l_30">#REF!</definedName>
    <definedName name="l_40" localSheetId="12">#REF!</definedName>
    <definedName name="l_40">#REF!</definedName>
    <definedName name="L_BitumenSprayer" localSheetId="6">#REF!</definedName>
    <definedName name="L_BitumenSprayer" localSheetId="27">#REF!</definedName>
    <definedName name="L_BitumenSprayer" localSheetId="4">#REF!</definedName>
    <definedName name="L_BitumenSprayer" localSheetId="32">#REF!</definedName>
    <definedName name="L_BitumenSprayer" localSheetId="24">#REF!</definedName>
    <definedName name="L_BitumenSprayer">#REF!</definedName>
    <definedName name="L_Blacksmith" localSheetId="6">#REF!</definedName>
    <definedName name="L_Blacksmith" localSheetId="27">#REF!</definedName>
    <definedName name="L_Blacksmith" localSheetId="4">#REF!</definedName>
    <definedName name="L_Blacksmith" localSheetId="32">#REF!</definedName>
    <definedName name="L_Blacksmith" localSheetId="24">#REF!</definedName>
    <definedName name="L_Blacksmith">#REF!</definedName>
    <definedName name="L_conc" localSheetId="12">#REF!</definedName>
    <definedName name="L_conc" localSheetId="24">#REF!</definedName>
    <definedName name="L_conc">#REF!</definedName>
    <definedName name="L_Mate" localSheetId="12">#REF!</definedName>
    <definedName name="L_Mate" localSheetId="24">#REF!</definedName>
    <definedName name="L_Mate">#REF!</definedName>
    <definedName name="L_Mazdoor" localSheetId="12">#REF!</definedName>
    <definedName name="L_Mazdoor">#REF!</definedName>
    <definedName name="L_Mazdoor_Semi" localSheetId="6">#REF!</definedName>
    <definedName name="L_Mazdoor_Semi" localSheetId="27">#REF!</definedName>
    <definedName name="L_Mazdoor_Semi" localSheetId="4">#REF!</definedName>
    <definedName name="L_Mazdoor_Semi" localSheetId="32">#REF!</definedName>
    <definedName name="L_Mazdoor_Semi" localSheetId="24">#REF!</definedName>
    <definedName name="L_Mazdoor_Semi">#REF!</definedName>
    <definedName name="L_Mazdoor_Skilled" localSheetId="12">#REF!</definedName>
    <definedName name="L_Mazdoor_Skilled" localSheetId="24">#REF!</definedName>
    <definedName name="L_Mazdoor_Skilled">#REF!</definedName>
    <definedName name="L_T_PY_RSTL_RB_55">#REF!</definedName>
    <definedName name="l0">#REF!</definedName>
    <definedName name="l1x" localSheetId="29">#REF!</definedName>
    <definedName name="l1x" localSheetId="26">#REF!</definedName>
    <definedName name="l1x">#REF!</definedName>
    <definedName name="l1xx">#REF!</definedName>
    <definedName name="l2x" localSheetId="29">#REF!</definedName>
    <definedName name="l2x" localSheetId="26">#REF!</definedName>
    <definedName name="l2x">#REF!</definedName>
    <definedName name="l2xx">#REF!</definedName>
    <definedName name="LA" localSheetId="12">INDEX(#REF!,MATCH(#REF!,#REF!,0))</definedName>
    <definedName name="LA" localSheetId="29">INDEX(#REF!,MATCH(#REF!,#REF!,0))</definedName>
    <definedName name="LA" localSheetId="27">INDEX(#REF!,MATCH(#REF!,#REF!,0))</definedName>
    <definedName name="LA" localSheetId="4">INDEX(#REF!,MATCH(#REF!,#REF!,0))</definedName>
    <definedName name="LA" localSheetId="32">INDEX(#REF!,MATCH(#REF!,#REF!,0))</definedName>
    <definedName name="LA" localSheetId="24">#REF!</definedName>
    <definedName name="LA" localSheetId="26">INDEX(#REF!,MATCH(#REF!,#REF!,0))</definedName>
    <definedName name="LA">INDEX(#REF!,MATCH(#REF!,#REF!,0))</definedName>
    <definedName name="Lab" localSheetId="6">#REF!</definedName>
    <definedName name="Lab" localSheetId="27">#REF!</definedName>
    <definedName name="Lab" localSheetId="4">#REF!</definedName>
    <definedName name="Lab" localSheetId="32">#REF!</definedName>
    <definedName name="Lab" localSheetId="24">#REF!</definedName>
    <definedName name="Lab">#REF!</definedName>
    <definedName name="LabConc" localSheetId="6">#REF!</definedName>
    <definedName name="LabConc" localSheetId="27">#REF!</definedName>
    <definedName name="LabConc" localSheetId="4">#REF!</definedName>
    <definedName name="LabConc" localSheetId="32">#REF!</definedName>
    <definedName name="LabConc" localSheetId="24">#REF!</definedName>
    <definedName name="LabConc">#REF!</definedName>
    <definedName name="LabConcrete" localSheetId="6">#REF!</definedName>
    <definedName name="LabConcrete" localSheetId="27">#REF!</definedName>
    <definedName name="LabConcrete" localSheetId="4">#REF!</definedName>
    <definedName name="LabConcrete" localSheetId="32">#REF!</definedName>
    <definedName name="LabConcrete" localSheetId="24">#REF!</definedName>
    <definedName name="LabConcrete">#REF!</definedName>
    <definedName name="Labexcavation" localSheetId="6">#REF!</definedName>
    <definedName name="Labexcavation" localSheetId="27">#REF!</definedName>
    <definedName name="Labexcavation" localSheetId="4">#REF!</definedName>
    <definedName name="Labexcavation" localSheetId="32">#REF!</definedName>
    <definedName name="Labexcavation" localSheetId="24">#REF!</definedName>
    <definedName name="Labexcavation">#REF!</definedName>
    <definedName name="Labfilling" localSheetId="6">#REF!</definedName>
    <definedName name="Labfilling" localSheetId="27">#REF!</definedName>
    <definedName name="Labfilling" localSheetId="4">#REF!</definedName>
    <definedName name="Labfilling" localSheetId="32">#REF!</definedName>
    <definedName name="Labfilling" localSheetId="24">#REF!</definedName>
    <definedName name="Labfilling">#REF!</definedName>
    <definedName name="LabGsbWMMLaying" localSheetId="6">#REF!</definedName>
    <definedName name="LabGsbWMMLaying" localSheetId="27">#REF!</definedName>
    <definedName name="LabGsbWMMLaying" localSheetId="4">#REF!</definedName>
    <definedName name="LabGsbWMMLaying" localSheetId="32">#REF!</definedName>
    <definedName name="LabGsbWMMLaying" localSheetId="24">#REF!</definedName>
    <definedName name="LabGsbWMMLaying">#REF!</definedName>
    <definedName name="LabGsbWMMProduction" localSheetId="6">#REF!</definedName>
    <definedName name="LabGsbWMMProduction" localSheetId="27">#REF!</definedName>
    <definedName name="LabGsbWMMProduction" localSheetId="4">#REF!</definedName>
    <definedName name="LabGsbWMMProduction" localSheetId="32">#REF!</definedName>
    <definedName name="LabGsbWMMProduction" localSheetId="24">#REF!</definedName>
    <definedName name="LabGsbWMMProduction">#REF!</definedName>
    <definedName name="LabLaying" localSheetId="6">#REF!</definedName>
    <definedName name="LabLaying" localSheetId="27">#REF!</definedName>
    <definedName name="LabLaying" localSheetId="4">#REF!</definedName>
    <definedName name="LabLaying" localSheetId="32">#REF!</definedName>
    <definedName name="LabLaying" localSheetId="24">#REF!</definedName>
    <definedName name="LabLaying">#REF!</definedName>
    <definedName name="Labourers" localSheetId="24">OFFSET(#REF!,0,0,COUNTA(#REF!),1)</definedName>
    <definedName name="Labourers">OFFSET(#REF!,0,0,COUNTA(#REF!),1)</definedName>
    <definedName name="Labpilecap" localSheetId="6">#REF!</definedName>
    <definedName name="Labpilecap" localSheetId="27">#REF!</definedName>
    <definedName name="Labpilecap" localSheetId="4">#REF!</definedName>
    <definedName name="Labpilecap" localSheetId="32">#REF!</definedName>
    <definedName name="Labpilecap" localSheetId="24">#REF!</definedName>
    <definedName name="Labpilecap">#REF!</definedName>
    <definedName name="Labpiling" localSheetId="6">#REF!</definedName>
    <definedName name="Labpiling" localSheetId="27">#REF!</definedName>
    <definedName name="Labpiling" localSheetId="4">#REF!</definedName>
    <definedName name="Labpiling" localSheetId="32">#REF!</definedName>
    <definedName name="Labpiling" localSheetId="24">#REF!</definedName>
    <definedName name="Labpiling">#REF!</definedName>
    <definedName name="labplacingviaduct" localSheetId="6">#REF!</definedName>
    <definedName name="labplacingviaduct" localSheetId="27">#REF!</definedName>
    <definedName name="labplacingviaduct" localSheetId="4">#REF!</definedName>
    <definedName name="labplacingviaduct" localSheetId="32">#REF!</definedName>
    <definedName name="labplacingviaduct" localSheetId="24">#REF!</definedName>
    <definedName name="labplacingviaduct">#REF!</definedName>
    <definedName name="LABPOL" localSheetId="24">#REF!</definedName>
    <definedName name="LABPOL">#REF!</definedName>
    <definedName name="labreinf" localSheetId="6">#REF!</definedName>
    <definedName name="labreinf" localSheetId="27">#REF!</definedName>
    <definedName name="labreinf" localSheetId="4">#REF!</definedName>
    <definedName name="labreinf" localSheetId="32">#REF!</definedName>
    <definedName name="labreinf" localSheetId="24">#REF!</definedName>
    <definedName name="labreinf">#REF!</definedName>
    <definedName name="LAC" localSheetId="6">#REF!</definedName>
    <definedName name="LAC" localSheetId="27">#REF!</definedName>
    <definedName name="LAC" localSheetId="4">#REF!</definedName>
    <definedName name="LAC" localSheetId="32">#REF!</definedName>
    <definedName name="LAC" localSheetId="24">#REF!</definedName>
    <definedName name="LAC">#REF!</definedName>
    <definedName name="LACS" localSheetId="12">#REF!</definedName>
    <definedName name="LACS" localSheetId="6">#REF!</definedName>
    <definedName name="LACS" localSheetId="29">#REF!</definedName>
    <definedName name="LACS" localSheetId="27">#REF!</definedName>
    <definedName name="LACS" localSheetId="4">#REF!</definedName>
    <definedName name="LACS" localSheetId="32">#REF!</definedName>
    <definedName name="LACS" localSheetId="24">#REF!</definedName>
    <definedName name="LACS" localSheetId="26">#REF!</definedName>
    <definedName name="LACS">#REF!</definedName>
    <definedName name="laear">#REF!</definedName>
    <definedName name="laere">#REF!</definedName>
    <definedName name="LAfond">#REF!</definedName>
    <definedName name="LAK" localSheetId="12">#REF!</definedName>
    <definedName name="LAK">#REF!</definedName>
    <definedName name="lakh" localSheetId="6">#REF!</definedName>
    <definedName name="lakh" localSheetId="27">#REF!</definedName>
    <definedName name="lakh" localSheetId="4">#REF!</definedName>
    <definedName name="lakh" localSheetId="32">#REF!</definedName>
    <definedName name="lakh" localSheetId="24">#REF!</definedName>
    <definedName name="lakh">#REF!</definedName>
    <definedName name="lamda" localSheetId="24">#REF!</definedName>
    <definedName name="lamda">#REF!</definedName>
    <definedName name="LAMP" localSheetId="29">#REF!</definedName>
    <definedName name="LAMP" localSheetId="26">#REF!</definedName>
    <definedName name="LAMP">#REF!</definedName>
    <definedName name="LAMP___0">#REF!</definedName>
    <definedName name="LAMP___13">#REF!</definedName>
    <definedName name="LAND">#REF!</definedName>
    <definedName name="LanguageComment">#REF!</definedName>
    <definedName name="Lap_length_for_side_wall_reiforcemnt">#REF!</definedName>
    <definedName name="LAS" localSheetId="12">INDEX(#REF!,MATCH(#REF!,#REF!,0))</definedName>
    <definedName name="LAS">#REF!</definedName>
    <definedName name="Last_Row" localSheetId="12">IF(#REF!,Header_Row+#REF!,Header_Row)</definedName>
    <definedName name="Last_Row" localSheetId="4">#N/A</definedName>
    <definedName name="Last_Row" localSheetId="32">#N/A</definedName>
    <definedName name="Last_Row">#N/A</definedName>
    <definedName name="LATH">#REF!</definedName>
    <definedName name="Layerno" localSheetId="27">#REF!</definedName>
    <definedName name="Layerno">#REF!</definedName>
    <definedName name="LB" localSheetId="12">INDEX(#REF!,MATCH(#REF!,#REF!,0))</definedName>
    <definedName name="LB" localSheetId="27">INDEX(#REF!,MATCH(#REF!,#REF!,0))</definedName>
    <definedName name="LB">INDEX(#REF!,MATCH(#REF!,#REF!,0))</definedName>
    <definedName name="LBA" localSheetId="27">#REF!</definedName>
    <definedName name="LBA">#REF!</definedName>
    <definedName name="LBA_1" localSheetId="12">#REF!</definedName>
    <definedName name="LBA_1" localSheetId="27">#REF!</definedName>
    <definedName name="LBA_1">#REF!</definedName>
    <definedName name="LBS">INDEX(#REF!,MATCH(#REF!,#REF!,0))</definedName>
    <definedName name="LC" localSheetId="12">INDEX(#REF!,MATCH(#REF!,#REF!,0))</definedName>
    <definedName name="LC" localSheetId="6">#REF!</definedName>
    <definedName name="LC" localSheetId="29">#REF!</definedName>
    <definedName name="LC" localSheetId="26">#REF!</definedName>
    <definedName name="LC">#REF!</definedName>
    <definedName name="Lc___0" localSheetId="6">#REF!</definedName>
    <definedName name="Lc___0">#REF!</definedName>
    <definedName name="Lc___13">#REF!</definedName>
    <definedName name="LC_CHGS">#REF!</definedName>
    <definedName name="lc1i4f">#REF!</definedName>
    <definedName name="lc1i5f">#REF!</definedName>
    <definedName name="lc2i1bc8f">#REF!</definedName>
    <definedName name="lc350mcbc">#REF!</definedName>
    <definedName name="lc350mcfdr">#REF!</definedName>
    <definedName name="lc350mcic">#REF!</definedName>
    <definedName name="lc350pcfdr">#REF!</definedName>
    <definedName name="lc350pcic">#REF!</definedName>
    <definedName name="lc500mcbc">#REF!</definedName>
    <definedName name="lc500mcfdr">#REF!</definedName>
    <definedName name="lc500mcic">#REF!</definedName>
    <definedName name="lcabbbc">#REF!</definedName>
    <definedName name="lcabbfdr">#REF!</definedName>
    <definedName name="lcabbic">#REF!</definedName>
    <definedName name="LCS" localSheetId="12">INDEX(#REF!,MATCH(#REF!,#REF!,0))</definedName>
    <definedName name="lcs">#REF!</definedName>
    <definedName name="LD" localSheetId="12">INDEX(#REF!,MATCH(#REF!,#REF!,0))</definedName>
    <definedName name="Ld" localSheetId="4">#REF!</definedName>
    <definedName name="Ld" localSheetId="32">#REF!</definedName>
    <definedName name="Ld">#REF!</definedName>
    <definedName name="LD_Analysis">#REF!</definedName>
    <definedName name="ldlen1">#REF!</definedName>
    <definedName name="ldlen2">#REF!</definedName>
    <definedName name="LDS">INDEX(#REF!,MATCH(#REF!,#REF!,0))</definedName>
    <definedName name="LE" localSheetId="12">INDEX(#REF!,MATCH(#REF!,#REF!,0))</definedName>
    <definedName name="LE" localSheetId="29">INDEX(#REF!,MATCH(#REF!,#REF!,0))</definedName>
    <definedName name="LE" localSheetId="27">INDEX(#REF!,MATCH(#REF!,#REF!,0))</definedName>
    <definedName name="LE" localSheetId="4">INDEX(#REF!,MATCH(#REF!,#REF!,0))</definedName>
    <definedName name="LE" localSheetId="32">INDEX(#REF!,MATCH(#REF!,#REF!,0))</definedName>
    <definedName name="Le" localSheetId="24">#REF!</definedName>
    <definedName name="LE" localSheetId="26">INDEX(#REF!,MATCH(#REF!,#REF!,0))</definedName>
    <definedName name="LE">INDEX(#REF!,MATCH(#REF!,#REF!,0))</definedName>
    <definedName name="lean">#REF!</definedName>
    <definedName name="leave">#REF!</definedName>
    <definedName name="lef">#REF!</definedName>
    <definedName name="LEGEND">#REF!</definedName>
    <definedName name="lel">#REF!</definedName>
    <definedName name="len">#REF!</definedName>
    <definedName name="Length">#REF!</definedName>
    <definedName name="Length_of_cable_tray">#REF!</definedName>
    <definedName name="LES">INDEX(#REF!,MATCH(#REF!,#REF!,0))</definedName>
    <definedName name="lex">#REF!</definedName>
    <definedName name="ley">#REF!</definedName>
    <definedName name="LF" localSheetId="12">INDEX(#REF!,MATCH(#REF!,#REF!,0))</definedName>
    <definedName name="LF" localSheetId="6">INDEX(#REF!,MATCH(#REF!,#REF!,0))</definedName>
    <definedName name="Lf" localSheetId="27">#REF!</definedName>
    <definedName name="LF" localSheetId="4">INDEX(#REF!,MATCH(#REF!,#REF!,0))</definedName>
    <definedName name="LF" localSheetId="32">INDEX(#REF!,MATCH(#REF!,#REF!,0))</definedName>
    <definedName name="Lf">#REF!</definedName>
    <definedName name="lfoot">#REF!</definedName>
    <definedName name="LFS">INDEX(#REF!,MATCH(#REF!,#REF!,0))</definedName>
    <definedName name="LG" localSheetId="12">INDEX(#REF!,MATCH(#REF!,#REF!,0))</definedName>
    <definedName name="Lg">#REF!</definedName>
    <definedName name="LG_2">#REF!</definedName>
    <definedName name="LG_3">#REF!</definedName>
    <definedName name="LG_4">#REF!</definedName>
    <definedName name="LGS">INDEX(#REF!,MATCH(#REF!,#REF!,0))</definedName>
    <definedName name="LH" localSheetId="12">INDEX(#REF!,MATCH(#REF!,#REF!,0))</definedName>
    <definedName name="LH" localSheetId="27">INDEX(#REF!,MATCH(#REF!,#REF!,0))</definedName>
    <definedName name="LH">INDEX(#REF!,MATCH(#REF!,#REF!,0))</definedName>
    <definedName name="LHS">INDEX(#REF!,MATCH(#REF!,#REF!,0))</definedName>
    <definedName name="LI" localSheetId="12">INDEX(#REF!,MATCH(#REF!,#REF!,0))</definedName>
    <definedName name="li">#REF!</definedName>
    <definedName name="light">#REF!</definedName>
    <definedName name="LIK">#REF!</definedName>
    <definedName name="LILOFDN" comment="400 KV D/C Twin LILO Foundation">#REF!</definedName>
    <definedName name="LILOTowererec" comment="400 KV D/C Twin LILO Tower Erection">#REF!</definedName>
    <definedName name="limcount" hidden="1">1</definedName>
    <definedName name="lime" localSheetId="6">#REF!</definedName>
    <definedName name="lime" localSheetId="27">#REF!</definedName>
    <definedName name="lime" localSheetId="4">#REF!</definedName>
    <definedName name="lime" localSheetId="32">#REF!</definedName>
    <definedName name="lime" localSheetId="24">#REF!</definedName>
    <definedName name="lime">#REF!</definedName>
    <definedName name="lincoeff">#REF!</definedName>
    <definedName name="line" localSheetId="29">#REF!</definedName>
    <definedName name="line" localSheetId="24">#REF!</definedName>
    <definedName name="line" localSheetId="26">#REF!</definedName>
    <definedName name="line">#REF!</definedName>
    <definedName name="Line_1" localSheetId="12">#REF!</definedName>
    <definedName name="Line_1">#REF!</definedName>
    <definedName name="Line_2" localSheetId="12">#REF!</definedName>
    <definedName name="Line_2">#REF!</definedName>
    <definedName name="Line_3" localSheetId="12">#REF!</definedName>
    <definedName name="Line_3">#REF!</definedName>
    <definedName name="Line_4" localSheetId="12">#REF!</definedName>
    <definedName name="Line_4">#REF!</definedName>
    <definedName name="Line_type" localSheetId="29">#REF!</definedName>
    <definedName name="Line_type" localSheetId="26">#REF!</definedName>
    <definedName name="Line_type">#REF!</definedName>
    <definedName name="LINE1">#REF!</definedName>
    <definedName name="Liner" localSheetId="6">#REF!</definedName>
    <definedName name="Liner" localSheetId="27">#REF!</definedName>
    <definedName name="Liner" localSheetId="4">#REF!</definedName>
    <definedName name="Liner" localSheetId="32">#REF!</definedName>
    <definedName name="Liner" localSheetId="24">#REF!</definedName>
    <definedName name="Liner">#REF!</definedName>
    <definedName name="LineType" localSheetId="24">OFFSET(#REF!,0,0,COUNTA(#REF!),1)</definedName>
    <definedName name="LineType">OFFSET(#REF!,0,0,COUNTA(#REF!),1)</definedName>
    <definedName name="LineVoltage">OFFSET(#REF!,0,0,COUNTA(#REF!),1)</definedName>
    <definedName name="LIRA" localSheetId="29">#REF!</definedName>
    <definedName name="LIRA" localSheetId="27">#REF!</definedName>
    <definedName name="LIRA" localSheetId="24">#REF!</definedName>
    <definedName name="LIRA" localSheetId="26">#REF!</definedName>
    <definedName name="LIRA">#REF!</definedName>
    <definedName name="LIS">INDEX(#REF!,MATCH(#REF!,#REF!,0))</definedName>
    <definedName name="list">#REF!</definedName>
    <definedName name="LJ" localSheetId="12">INDEX(#REF!,MATCH(#REF!,#REF!,0))</definedName>
    <definedName name="LJ" localSheetId="27">INDEX(#REF!,MATCH(#REF!,#REF!,0))</definedName>
    <definedName name="LJ" localSheetId="24">INDEX(#REF!,MATCH(#REF!,#REF!,0))</definedName>
    <definedName name="LJ">INDEX(#REF!,MATCH(#REF!,#REF!,0))</definedName>
    <definedName name="LJS">INDEX(#REF!,MATCH(#REF!,#REF!,0))</definedName>
    <definedName name="LK" localSheetId="12">INDEX(#REF!,MATCH(#REF!,#REF!,0))</definedName>
    <definedName name="lk" localSheetId="6" hidden="1">{#N/A,#N/A,FALSE,"CCTV"}</definedName>
    <definedName name="lk" localSheetId="29" hidden="1">{#N/A,#N/A,FALSE,"CCTV"}</definedName>
    <definedName name="lk" localSheetId="27" hidden="1">{#N/A,#N/A,FALSE,"CCTV"}</definedName>
    <definedName name="lk" localSheetId="4" hidden="1">{#N/A,#N/A,FALSE,"CCTV"}</definedName>
    <definedName name="lk" localSheetId="32" hidden="1">{#N/A,#N/A,FALSE,"CCTV"}</definedName>
    <definedName name="lk" localSheetId="24" hidden="1">{#N/A,#N/A,FALSE,"CCTV"}</definedName>
    <definedName name="lk" localSheetId="26" hidden="1">{#N/A,#N/A,FALSE,"CCTV"}</definedName>
    <definedName name="lk" hidden="1">{#N/A,#N/A,FALSE,"CCTV"}</definedName>
    <definedName name="lkalgk" localSheetId="6">#REF!</definedName>
    <definedName name="lkalgk" localSheetId="29">#REF!</definedName>
    <definedName name="lkalgk" localSheetId="24">#REF!</definedName>
    <definedName name="lkalgk" localSheetId="26">#REF!</definedName>
    <definedName name="lkalgk">#REF!</definedName>
    <definedName name="lkdsndsfddf">#REF!</definedName>
    <definedName name="LKJ" localSheetId="6">#REF!</definedName>
    <definedName name="LKJ" localSheetId="29">#REF!</definedName>
    <definedName name="LKJ" localSheetId="26">#REF!</definedName>
    <definedName name="LKJ">#REF!</definedName>
    <definedName name="LKJHG" localSheetId="12">#REF!</definedName>
    <definedName name="LKJHG">#REF!</definedName>
    <definedName name="lkjnjkln">#REF!</definedName>
    <definedName name="lklkljl" localSheetId="12" hidden="1">{"SUMMARY",#N/A,FALSE,"C"}</definedName>
    <definedName name="lklkljl" hidden="1">{"SUMMARY",#N/A,FALSE,"C"}</definedName>
    <definedName name="LKR">#REF!</definedName>
    <definedName name="lku" localSheetId="6">#REF!</definedName>
    <definedName name="lku">#REF!</definedName>
    <definedName name="LL" localSheetId="12">INDEX(#REF!,MATCH(#REF!,#REF!,0))</definedName>
    <definedName name="LL" localSheetId="4">#REF!</definedName>
    <definedName name="LL" localSheetId="32">#REF!</definedName>
    <definedName name="LL">#REF!</definedName>
    <definedName name="LLF">NA()</definedName>
    <definedName name="LLL">#REF!</definedName>
    <definedName name="LLLL" localSheetId="12" hidden="1">{"form-D1",#N/A,FALSE,"FORM-D1";"form-D1_amt",#N/A,FALSE,"FORM-D1"}</definedName>
    <definedName name="LLLL" localSheetId="6" hidden="1">{"form-D1",#N/A,FALSE,"FORM-D1";"form-D1_amt",#N/A,FALSE,"FORM-D1"}</definedName>
    <definedName name="LLLL" localSheetId="29" hidden="1">{"form-D1",#N/A,FALSE,"FORM-D1";"form-D1_amt",#N/A,FALSE,"FORM-D1"}</definedName>
    <definedName name="LLLL" localSheetId="27" hidden="1">{"form-D1",#N/A,FALSE,"FORM-D1";"form-D1_amt",#N/A,FALSE,"FORM-D1"}</definedName>
    <definedName name="LLLL" localSheetId="4" hidden="1">{"form-D1",#N/A,FALSE,"FORM-D1";"form-D1_amt",#N/A,FALSE,"FORM-D1"}</definedName>
    <definedName name="LLLL" localSheetId="32" hidden="1">{"form-D1",#N/A,FALSE,"FORM-D1";"form-D1_amt",#N/A,FALSE,"FORM-D1"}</definedName>
    <definedName name="LLLL" localSheetId="24" hidden="1">{"form-D1",#N/A,FALSE,"FORM-D1";"form-D1_amt",#N/A,FALSE,"FORM-D1"}</definedName>
    <definedName name="LLLL" localSheetId="26" hidden="1">{"form-D1",#N/A,FALSE,"FORM-D1";"form-D1_amt",#N/A,FALSE,"FORM-D1"}</definedName>
    <definedName name="LLLL" hidden="1">{"form-D1",#N/A,FALSE,"FORM-D1";"form-D1_amt",#N/A,FALSE,"FORM-D1"}</definedName>
    <definedName name="LM" localSheetId="12">INDEX(#REF!,MATCH(#REF!,#REF!,0))</definedName>
    <definedName name="LM" localSheetId="29">INDEX(#REF!,MATCH(#REF!,#REF!,0))</definedName>
    <definedName name="LM" localSheetId="27">INDEX(#REF!,MATCH(#REF!,#REF!,0))</definedName>
    <definedName name="LM" localSheetId="4">INDEX(#REF!,MATCH(#REF!,#REF!,0))</definedName>
    <definedName name="LM" localSheetId="32">INDEX(#REF!,MATCH(#REF!,#REF!,0))</definedName>
    <definedName name="lm" localSheetId="24">#REF!</definedName>
    <definedName name="LM" localSheetId="26">INDEX(#REF!,MATCH(#REF!,#REF!,0))</definedName>
    <definedName name="LM">INDEX(#REF!,MATCH(#REF!,#REF!,0))</definedName>
    <definedName name="lmcaccp" localSheetId="12">#REF!</definedName>
    <definedName name="lmcaccp" localSheetId="6">#REF!</definedName>
    <definedName name="lmcaccp" localSheetId="29">#REF!</definedName>
    <definedName name="lmcaccp" localSheetId="26">#REF!</definedName>
    <definedName name="lmcaccp">#REF!</definedName>
    <definedName name="lmcecp" localSheetId="12">#REF!</definedName>
    <definedName name="lmcecp" localSheetId="29">#REF!</definedName>
    <definedName name="lmcecp" localSheetId="26">#REF!</definedName>
    <definedName name="lmcecp">#REF!</definedName>
    <definedName name="lmcmcc.1" localSheetId="12">#REF!</definedName>
    <definedName name="lmcmcc.1" localSheetId="29">#REF!</definedName>
    <definedName name="lmcmcc.1" localSheetId="26">#REF!</definedName>
    <definedName name="lmcmcc.1">#REF!</definedName>
    <definedName name="lmcmcc.2" localSheetId="12">#REF!</definedName>
    <definedName name="lmcmcc.2" localSheetId="29">#REF!</definedName>
    <definedName name="lmcmcc.2" localSheetId="26">#REF!</definedName>
    <definedName name="lmcmcc.2">#REF!</definedName>
    <definedName name="lmcmcc.3" localSheetId="12">#REF!</definedName>
    <definedName name="lmcmcc.3" localSheetId="29">#REF!</definedName>
    <definedName name="lmcmcc.3" localSheetId="26">#REF!</definedName>
    <definedName name="lmcmcc.3">#REF!</definedName>
    <definedName name="lmcmltsb" localSheetId="12">#REF!</definedName>
    <definedName name="lmcmltsb" localSheetId="29">#REF!</definedName>
    <definedName name="lmcmltsb" localSheetId="26">#REF!</definedName>
    <definedName name="lmcmltsb">#REF!</definedName>
    <definedName name="lmcmsb.ups" localSheetId="12">#REF!</definedName>
    <definedName name="lmcmsb.ups" localSheetId="29">#REF!</definedName>
    <definedName name="lmcmsb.ups" localSheetId="26">#REF!</definedName>
    <definedName name="lmcmsb.ups">#REF!</definedName>
    <definedName name="lmcsmsb.1" localSheetId="12">#REF!</definedName>
    <definedName name="lmcsmsb.1" localSheetId="29">#REF!</definedName>
    <definedName name="lmcsmsb.1" localSheetId="26">#REF!</definedName>
    <definedName name="lmcsmsb.1">#REF!</definedName>
    <definedName name="lmcsmsb.2" localSheetId="12">#REF!</definedName>
    <definedName name="lmcsmsb.2" localSheetId="29">#REF!</definedName>
    <definedName name="lmcsmsb.2" localSheetId="26">#REF!</definedName>
    <definedName name="lmcsmsb.2">#REF!</definedName>
    <definedName name="lmcsmsb.3" localSheetId="12">#REF!</definedName>
    <definedName name="lmcsmsb.3" localSheetId="29">#REF!</definedName>
    <definedName name="lmcsmsb.3" localSheetId="26">#REF!</definedName>
    <definedName name="lmcsmsb.3">#REF!</definedName>
    <definedName name="lmcsmsb.b" localSheetId="12">#REF!</definedName>
    <definedName name="lmcsmsb.b" localSheetId="29">#REF!</definedName>
    <definedName name="lmcsmsb.b" localSheetId="26">#REF!</definedName>
    <definedName name="lmcsmsb.b">#REF!</definedName>
    <definedName name="lmcsmsb.g" localSheetId="12">#REF!</definedName>
    <definedName name="lmcsmsb.g" localSheetId="29">#REF!</definedName>
    <definedName name="lmcsmsb.g" localSheetId="26">#REF!</definedName>
    <definedName name="lmcsmsb.g">#REF!</definedName>
    <definedName name="lmcsmsb.lab" localSheetId="12">#REF!</definedName>
    <definedName name="lmcsmsb.lab" localSheetId="29">#REF!</definedName>
    <definedName name="lmcsmsb.lab" localSheetId="26">#REF!</definedName>
    <definedName name="lmcsmsb.lab">#REF!</definedName>
    <definedName name="lmcsmsb.main" localSheetId="12">#REF!</definedName>
    <definedName name="lmcsmsb.main" localSheetId="29">#REF!</definedName>
    <definedName name="lmcsmsb.main" localSheetId="26">#REF!</definedName>
    <definedName name="lmcsmsb.main">#REF!</definedName>
    <definedName name="lmcsmsb.t" localSheetId="12">#REF!</definedName>
    <definedName name="lmcsmsb.t" localSheetId="29">#REF!</definedName>
    <definedName name="lmcsmsb.t" localSheetId="26">#REF!</definedName>
    <definedName name="lmcsmsb.t">#REF!</definedName>
    <definedName name="lmcsmsb.ups" localSheetId="12">#REF!</definedName>
    <definedName name="lmcsmsb.ups" localSheetId="29">#REF!</definedName>
    <definedName name="lmcsmsb.ups" localSheetId="26">#REF!</definedName>
    <definedName name="lmcsmsb.ups">#REF!</definedName>
    <definedName name="lmcup.1" localSheetId="12">#REF!</definedName>
    <definedName name="lmcup.1" localSheetId="29">#REF!</definedName>
    <definedName name="lmcup.1" localSheetId="26">#REF!</definedName>
    <definedName name="lmcup.1">#REF!</definedName>
    <definedName name="lmcup.2" localSheetId="12">#REF!</definedName>
    <definedName name="lmcup.2" localSheetId="29">#REF!</definedName>
    <definedName name="lmcup.2" localSheetId="26">#REF!</definedName>
    <definedName name="lmcup.2">#REF!</definedName>
    <definedName name="LMG">#REF!</definedName>
    <definedName name="LMh">#REF!</definedName>
    <definedName name="LMO">#REF!</definedName>
    <definedName name="LMO_1" localSheetId="12">#REF!</definedName>
    <definedName name="LMO_1">#REF!</definedName>
    <definedName name="LMPAMT">#REF!</definedName>
    <definedName name="LMPO1">#REF!</definedName>
    <definedName name="LMPRT">#REF!</definedName>
    <definedName name="LMPSUM">#REF!</definedName>
    <definedName name="LMPTOT">#REF!</definedName>
    <definedName name="LN">#N/A</definedName>
    <definedName name="LND_CHGS" localSheetId="29">#REF!</definedName>
    <definedName name="LND_CHGS" localSheetId="24">#REF!</definedName>
    <definedName name="LND_CHGS" localSheetId="26">#REF!</definedName>
    <definedName name="LND_CHGS" localSheetId="2">#REF!</definedName>
    <definedName name="LND_CHGS">#REF!</definedName>
    <definedName name="Lo">#REF!</definedName>
    <definedName name="LOA">#REF!</definedName>
    <definedName name="Load">#REF!</definedName>
    <definedName name="LoaderPOL" localSheetId="6">#REF!</definedName>
    <definedName name="LoaderPOL" localSheetId="27">#REF!</definedName>
    <definedName name="LoaderPOL" localSheetId="4">#REF!</definedName>
    <definedName name="LoaderPOL" localSheetId="32">#REF!</definedName>
    <definedName name="LoaderPOL" localSheetId="24">#REF!</definedName>
    <definedName name="LoaderPOL">#REF!</definedName>
    <definedName name="Loads" localSheetId="6">#REF!</definedName>
    <definedName name="Loads" localSheetId="27">#REF!</definedName>
    <definedName name="Loads" localSheetId="4">#REF!</definedName>
    <definedName name="Loads" localSheetId="32">#REF!</definedName>
    <definedName name="Loads" localSheetId="24">#REF!</definedName>
    <definedName name="Loads">#REF!</definedName>
    <definedName name="Loan_Amount" localSheetId="24">#REF!</definedName>
    <definedName name="Loan_Amount">#REF!</definedName>
    <definedName name="Loan_Start" localSheetId="24">#REF!</definedName>
    <definedName name="Loan_Start">#REF!</definedName>
    <definedName name="Loan_Years">#REF!</definedName>
    <definedName name="loc">#REF!</definedName>
    <definedName name="LOCAL_STAFF_ENTRY" localSheetId="6">#REF!</definedName>
    <definedName name="LOCAL_STAFF_ENTRY" localSheetId="27">#REF!</definedName>
    <definedName name="LOCAL_STAFF_ENTRY" localSheetId="4">#REF!</definedName>
    <definedName name="LOCAL_STAFF_ENTRY" localSheetId="32">#REF!</definedName>
    <definedName name="LOCAL_STAFF_ENTRY" localSheetId="24">#REF!</definedName>
    <definedName name="LOCAL_STAFF_ENTRY">#REF!</definedName>
    <definedName name="Location" localSheetId="12">' Final checking'!City&amp;" "&amp;State</definedName>
    <definedName name="Location" localSheetId="27">City&amp;" "&amp;State</definedName>
    <definedName name="Location" localSheetId="4">[0]!City&amp;" "&amp;[0]!State</definedName>
    <definedName name="Location" localSheetId="32">[0]!City&amp;" "&amp;State</definedName>
    <definedName name="Location" localSheetId="24">City&amp;" "&amp;State</definedName>
    <definedName name="Location" localSheetId="26">[0]!City&amp;" "&amp;State</definedName>
    <definedName name="Location">City&amp;" "&amp;State</definedName>
    <definedName name="Location___10">#N/A</definedName>
    <definedName name="Location___11">#N/A</definedName>
    <definedName name="Location___16">#N/A</definedName>
    <definedName name="Location___17">#N/A</definedName>
    <definedName name="Location___20">#N/A</definedName>
    <definedName name="Location___22">#N/A</definedName>
    <definedName name="Location___23">#N/A</definedName>
    <definedName name="Location___24">#N/A</definedName>
    <definedName name="Location___25">#N/A</definedName>
    <definedName name="Location___31">#N/A</definedName>
    <definedName name="Location___6">#N/A</definedName>
    <definedName name="LOCO" localSheetId="6">#REF!</definedName>
    <definedName name="LOCO" localSheetId="27">#REF!</definedName>
    <definedName name="LOCO" localSheetId="4">#REF!</definedName>
    <definedName name="LOCO" localSheetId="32">#REF!</definedName>
    <definedName name="LOCO" localSheetId="24">#REF!</definedName>
    <definedName name="LOCO">#REF!</definedName>
    <definedName name="logo1">"Picture 7"</definedName>
    <definedName name="logoa" localSheetId="6">#REF!</definedName>
    <definedName name="logoa" localSheetId="29">#REF!</definedName>
    <definedName name="logoa" localSheetId="7">#REF!</definedName>
    <definedName name="logoa" localSheetId="26">#REF!</definedName>
    <definedName name="logoa">#REF!</definedName>
    <definedName name="lohari" localSheetId="12" hidden="1">{"form-D1",#N/A,FALSE,"FORM-D1";"form-D1_amt",#N/A,FALSE,"FORM-D1"}</definedName>
    <definedName name="lohari" localSheetId="6" hidden="1">{"form-D1",#N/A,FALSE,"FORM-D1";"form-D1_amt",#N/A,FALSE,"FORM-D1"}</definedName>
    <definedName name="lohari" localSheetId="29" hidden="1">{"form-D1",#N/A,FALSE,"FORM-D1";"form-D1_amt",#N/A,FALSE,"FORM-D1"}</definedName>
    <definedName name="lohari" localSheetId="27" hidden="1">{"form-D1",#N/A,FALSE,"FORM-D1";"form-D1_amt",#N/A,FALSE,"FORM-D1"}</definedName>
    <definedName name="lohari" localSheetId="4" hidden="1">{"form-D1",#N/A,FALSE,"FORM-D1";"form-D1_amt",#N/A,FALSE,"FORM-D1"}</definedName>
    <definedName name="lohari" localSheetId="32" hidden="1">{"form-D1",#N/A,FALSE,"FORM-D1";"form-D1_amt",#N/A,FALSE,"FORM-D1"}</definedName>
    <definedName name="lohari" localSheetId="24" hidden="1">{"form-D1",#N/A,FALSE,"FORM-D1";"form-D1_amt",#N/A,FALSE,"FORM-D1"}</definedName>
    <definedName name="lohari" localSheetId="26" hidden="1">{"form-D1",#N/A,FALSE,"FORM-D1";"form-D1_amt",#N/A,FALSE,"FORM-D1"}</definedName>
    <definedName name="lohari" hidden="1">{"form-D1",#N/A,FALSE,"FORM-D1";"form-D1_amt",#N/A,FALSE,"FORM-D1"}</definedName>
    <definedName name="loi">#REF!</definedName>
    <definedName name="look" localSheetId="24">#REF!</definedName>
    <definedName name="look">#REF!</definedName>
    <definedName name="Lot" localSheetId="12" hidden="1">{"'PROFITABILITY'!$A$1:$F$45"}</definedName>
    <definedName name="Lot" localSheetId="4" hidden="1">{"'PROFITABILITY'!$A$1:$F$45"}</definedName>
    <definedName name="Lot" localSheetId="32" hidden="1">{"'PROFITABILITY'!$A$1:$F$45"}</definedName>
    <definedName name="Lot" hidden="1">{"'PROFITABILITY'!$A$1:$F$45"}</definedName>
    <definedName name="Lotto">#REF!</definedName>
    <definedName name="lp" localSheetId="24">#REF!</definedName>
    <definedName name="lp">#REF!</definedName>
    <definedName name="Lph">#REF!</definedName>
    <definedName name="LPROT220" localSheetId="6">#REF!</definedName>
    <definedName name="LPROT220" localSheetId="29">#REF!</definedName>
    <definedName name="LPROT220" localSheetId="26">#REF!</definedName>
    <definedName name="LPROT220">#REF!</definedName>
    <definedName name="LPROT500" localSheetId="6">#REF!</definedName>
    <definedName name="LPROT500">#REF!</definedName>
    <definedName name="Lr" localSheetId="12">#REF!</definedName>
    <definedName name="Lr" localSheetId="6">#REF!</definedName>
    <definedName name="Lr">#REF!</definedName>
    <definedName name="Lr___0">#REF!</definedName>
    <definedName name="Lr___13">#REF!</definedName>
    <definedName name="ls">#REF!</definedName>
    <definedName name="lso">#REF!</definedName>
    <definedName name="Lsump">#REF!</definedName>
    <definedName name="LTCG">#REF!</definedName>
    <definedName name="lte">#REF!</definedName>
    <definedName name="LTErate">#REF!</definedName>
    <definedName name="LTK">#REF!</definedName>
    <definedName name="LTR">#REF!</definedName>
    <definedName name="LTR_1" localSheetId="12">#REF!</definedName>
    <definedName name="LTR_1">#REF!</definedName>
    <definedName name="LTswitchgear" localSheetId="29">#REF!</definedName>
    <definedName name="LTswitchgear" localSheetId="7">#REF!</definedName>
    <definedName name="LTswitchgear" localSheetId="26">#REF!</definedName>
    <definedName name="LTswitchgear">#REF!</definedName>
    <definedName name="LTTrafo" localSheetId="12">#REF!</definedName>
    <definedName name="LTTrafo" localSheetId="29">#REF!</definedName>
    <definedName name="LTTrafo" localSheetId="7">#REF!</definedName>
    <definedName name="LTTrafo" localSheetId="26">#REF!</definedName>
    <definedName name="LTTrafo">#REF!</definedName>
    <definedName name="Ltwo400">#REF!</definedName>
    <definedName name="Ltwo765">#REF!</definedName>
    <definedName name="lub" localSheetId="6">#REF!</definedName>
    <definedName name="lub" localSheetId="27">#REF!</definedName>
    <definedName name="lub" localSheetId="4">#REF!</definedName>
    <definedName name="lub" localSheetId="32">#REF!</definedName>
    <definedName name="lub" localSheetId="24">#REF!</definedName>
    <definedName name="lub">#REF!</definedName>
    <definedName name="luckt" localSheetId="29">#REF!</definedName>
    <definedName name="luckt" localSheetId="24">#REF!</definedName>
    <definedName name="luckt" localSheetId="26">#REF!</definedName>
    <definedName name="luckt">#REF!</definedName>
    <definedName name="Lum">#REF!</definedName>
    <definedName name="LUMEN" localSheetId="29">#REF!</definedName>
    <definedName name="LUMEN" localSheetId="26">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V">#REF!</definedName>
    <definedName name="LWSALES">#REF!</definedName>
    <definedName name="Lx" localSheetId="12">#REF!</definedName>
    <definedName name="lx">#REF!</definedName>
    <definedName name="Lx___0">#REF!</definedName>
    <definedName name="Lx___13">#REF!</definedName>
    <definedName name="Lxx">#REF!</definedName>
    <definedName name="lxxx">#REF!</definedName>
    <definedName name="ly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lyy">#REF!</definedName>
    <definedName name="M" localSheetId="29">#REF!</definedName>
    <definedName name="M" localSheetId="26">#REF!</definedName>
    <definedName name="M" localSheetId="2">#REF!</definedName>
    <definedName name="M">#REF!</definedName>
    <definedName name="m___0">#REF!</definedName>
    <definedName name="m___13">#REF!</definedName>
    <definedName name="M_01">#REF!</definedName>
    <definedName name="M_25_box_Culvert">#REF!</definedName>
    <definedName name="M_25_box_Culvert_1">"#REF!"</definedName>
    <definedName name="M_A">#REF!</definedName>
    <definedName name="M_Aggregate_Crushable_GradeII" localSheetId="6">#REF!</definedName>
    <definedName name="M_Aggregate_Crushable_GradeII" localSheetId="27">#REF!</definedName>
    <definedName name="M_Aggregate_Crushable_GradeII" localSheetId="4">#REF!</definedName>
    <definedName name="M_Aggregate_Crushable_GradeII" localSheetId="32">#REF!</definedName>
    <definedName name="M_Aggregate_Crushable_GradeII" localSheetId="24">#REF!</definedName>
    <definedName name="M_Aggregate_Crushable_GradeII">#REF!</definedName>
    <definedName name="M_Aggregate_GradeII_63_45mm" localSheetId="6">#REF!</definedName>
    <definedName name="M_Aggregate_GradeII_63_45mm" localSheetId="27">#REF!</definedName>
    <definedName name="M_Aggregate_GradeII_63_45mm" localSheetId="4">#REF!</definedName>
    <definedName name="M_Aggregate_GradeII_63_45mm" localSheetId="32">#REF!</definedName>
    <definedName name="M_Aggregate_GradeII_63_45mm" localSheetId="24">#REF!</definedName>
    <definedName name="M_Aggregate_GradeII_63_45mm">#REF!</definedName>
    <definedName name="M_B">#REF!</definedName>
    <definedName name="M_BindingWire" localSheetId="6">#REF!</definedName>
    <definedName name="M_BindingWire" localSheetId="27">#REF!</definedName>
    <definedName name="M_BindingWire" localSheetId="4">#REF!</definedName>
    <definedName name="M_BindingWire" localSheetId="32">#REF!</definedName>
    <definedName name="M_BindingWire" localSheetId="24">#REF!</definedName>
    <definedName name="M_BindingWire">#REF!</definedName>
    <definedName name="M_Bitumen_S65" localSheetId="6">#REF!</definedName>
    <definedName name="M_Bitumen_S65" localSheetId="27">#REF!</definedName>
    <definedName name="M_Bitumen_S65" localSheetId="4">#REF!</definedName>
    <definedName name="M_Bitumen_S65" localSheetId="32">#REF!</definedName>
    <definedName name="M_Bitumen_S65" localSheetId="24">#REF!</definedName>
    <definedName name="M_Bitumen_S65">#REF!</definedName>
    <definedName name="M_BitumenEmulsion_RS1" localSheetId="6">#REF!</definedName>
    <definedName name="M_BitumenEmulsion_RS1" localSheetId="27">#REF!</definedName>
    <definedName name="M_BitumenEmulsion_RS1" localSheetId="4">#REF!</definedName>
    <definedName name="M_BitumenEmulsion_RS1" localSheetId="32">#REF!</definedName>
    <definedName name="M_BitumenEmulsion_RS1" localSheetId="24">#REF!</definedName>
    <definedName name="M_BitumenEmulsion_RS1">#REF!</definedName>
    <definedName name="M_BitumenEmulsion_SS1" localSheetId="6">#REF!</definedName>
    <definedName name="M_BitumenEmulsion_SS1" localSheetId="27">#REF!</definedName>
    <definedName name="M_BitumenEmulsion_SS1" localSheetId="4">#REF!</definedName>
    <definedName name="M_BitumenEmulsion_SS1" localSheetId="32">#REF!</definedName>
    <definedName name="M_BitumenEmulsion_SS1" localSheetId="24">#REF!</definedName>
    <definedName name="M_BitumenEmulsion_SS1">#REF!</definedName>
    <definedName name="M_CompensationForEarthTakenFromPrivateLand" localSheetId="6">#REF!</definedName>
    <definedName name="M_CompensationForEarthTakenFromPrivateLand" localSheetId="27">#REF!</definedName>
    <definedName name="M_CompensationForEarthTakenFromPrivateLand" localSheetId="4">#REF!</definedName>
    <definedName name="M_CompensationForEarthTakenFromPrivateLand" localSheetId="32">#REF!</definedName>
    <definedName name="M_CompensationForEarthTakenFromPrivateLand" localSheetId="24">#REF!</definedName>
    <definedName name="M_CompensationForEarthTakenFromPrivateLand">#REF!</definedName>
    <definedName name="M_CrowBars_40mm" localSheetId="6">#REF!</definedName>
    <definedName name="M_CrowBars_40mm" localSheetId="27">#REF!</definedName>
    <definedName name="M_CrowBars_40mm" localSheetId="4">#REF!</definedName>
    <definedName name="M_CrowBars_40mm" localSheetId="32">#REF!</definedName>
    <definedName name="M_CrowBars_40mm" localSheetId="24">#REF!</definedName>
    <definedName name="M_CrowBars_40mm">#REF!</definedName>
    <definedName name="M_CrushedStoneChipping_132" localSheetId="6">#REF!</definedName>
    <definedName name="M_CrushedStoneChipping_132" localSheetId="27">#REF!</definedName>
    <definedName name="M_CrushedStoneChipping_132" localSheetId="4">#REF!</definedName>
    <definedName name="M_CrushedStoneChipping_132" localSheetId="32">#REF!</definedName>
    <definedName name="M_CrushedStoneChipping_132" localSheetId="24">#REF!</definedName>
    <definedName name="M_CrushedStoneChipping_132">#REF!</definedName>
    <definedName name="M_CrushedStoneChipping_67mm_100Passing_112mm" localSheetId="6">#REF!</definedName>
    <definedName name="M_CrushedStoneChipping_67mm_100Passing_112mm" localSheetId="27">#REF!</definedName>
    <definedName name="M_CrushedStoneChipping_67mm_100Passing_112mm" localSheetId="4">#REF!</definedName>
    <definedName name="M_CrushedStoneChipping_67mm_100Passing_112mm" localSheetId="32">#REF!</definedName>
    <definedName name="M_CrushedStoneChipping_67mm_100Passing_112mm" localSheetId="24">#REF!</definedName>
    <definedName name="M_CrushedStoneChipping_67mm_100Passing_112mm">#REF!</definedName>
    <definedName name="M_F" localSheetId="12">INDEX(#REF!,MATCH(#REF!,#REF!,0))</definedName>
    <definedName name="M_F" localSheetId="27">INDEX(#REF!,MATCH(#REF!,#REF!,0))</definedName>
    <definedName name="M_F" localSheetId="24">INDEX(#REF!,MATCH(#REF!,#REF!,0))</definedName>
    <definedName name="M_F">INDEX(#REF!,MATCH(#REF!,#REF!,0))</definedName>
    <definedName name="M_GranularMaterial" localSheetId="6">#REF!</definedName>
    <definedName name="M_GranularMaterial" localSheetId="27">#REF!</definedName>
    <definedName name="M_GranularMaterial" localSheetId="4">#REF!</definedName>
    <definedName name="M_GranularMaterial" localSheetId="32">#REF!</definedName>
    <definedName name="M_GranularMaterial" localSheetId="24">#REF!</definedName>
    <definedName name="M_GranularMaterial">#REF!</definedName>
    <definedName name="M_QuarriedStone_150_200mm" localSheetId="6">#REF!</definedName>
    <definedName name="M_QuarriedStone_150_200mm" localSheetId="27">#REF!</definedName>
    <definedName name="M_QuarriedStone_150_200mm" localSheetId="4">#REF!</definedName>
    <definedName name="M_QuarriedStone_150_200mm" localSheetId="32">#REF!</definedName>
    <definedName name="M_QuarriedStone_150_200mm" localSheetId="24">#REF!</definedName>
    <definedName name="M_QuarriedStone_150_200mm">#REF!</definedName>
    <definedName name="M_RCCPipeNP3_1200mm" localSheetId="6">#REF!</definedName>
    <definedName name="M_RCCPipeNP3_1200mm" localSheetId="27">#REF!</definedName>
    <definedName name="M_RCCPipeNP3_1200mm" localSheetId="4">#REF!</definedName>
    <definedName name="M_RCCPipeNP3_1200mm" localSheetId="32">#REF!</definedName>
    <definedName name="M_RCCPipeNP3_1200mm" localSheetId="24">#REF!</definedName>
    <definedName name="M_RCCPipeNP3_1200mm">#REF!</definedName>
    <definedName name="M_s.MAMTHA_CONTRACTORS" localSheetId="29">#REF!</definedName>
    <definedName name="M_s.MAMTHA_CONTRACTORS" localSheetId="24">#REF!</definedName>
    <definedName name="M_s.MAMTHA_CONTRACTORS" localSheetId="26">#REF!</definedName>
    <definedName name="M_s.MAMTHA_CONTRACTORS">#REF!</definedName>
    <definedName name="M_SteelReinforcement_HYSDBars" localSheetId="6">#REF!</definedName>
    <definedName name="M_SteelReinforcement_HYSDBars" localSheetId="27">#REF!</definedName>
    <definedName name="M_SteelReinforcement_HYSDBars" localSheetId="4">#REF!</definedName>
    <definedName name="M_SteelReinforcement_HYSDBars" localSheetId="32">#REF!</definedName>
    <definedName name="M_SteelReinforcement_HYSDBars" localSheetId="24">#REF!</definedName>
    <definedName name="M_SteelReinforcement_HYSDBars">#REF!</definedName>
    <definedName name="M_StoneBoulder_150mm_below" localSheetId="6">#REF!</definedName>
    <definedName name="M_StoneBoulder_150mm_below" localSheetId="27">#REF!</definedName>
    <definedName name="M_StoneBoulder_150mm_below" localSheetId="4">#REF!</definedName>
    <definedName name="M_StoneBoulder_150mm_below" localSheetId="32">#REF!</definedName>
    <definedName name="M_StoneBoulder_150mm_below" localSheetId="24">#REF!</definedName>
    <definedName name="M_StoneBoulder_150mm_below">#REF!</definedName>
    <definedName name="M_StoneForCoarseRubbleMasonry_1stSort" localSheetId="6">#REF!</definedName>
    <definedName name="M_StoneForCoarseRubbleMasonry_1stSort" localSheetId="27">#REF!</definedName>
    <definedName name="M_StoneForCoarseRubbleMasonry_1stSort" localSheetId="4">#REF!</definedName>
    <definedName name="M_StoneForCoarseRubbleMasonry_1stSort" localSheetId="32">#REF!</definedName>
    <definedName name="M_StoneForCoarseRubbleMasonry_1stSort" localSheetId="24">#REF!</definedName>
    <definedName name="M_StoneForCoarseRubbleMasonry_1stSort">#REF!</definedName>
    <definedName name="M_StoneSpalls" localSheetId="6">#REF!</definedName>
    <definedName name="M_StoneSpalls" localSheetId="27">#REF!</definedName>
    <definedName name="M_StoneSpalls" localSheetId="4">#REF!</definedName>
    <definedName name="M_StoneSpalls" localSheetId="32">#REF!</definedName>
    <definedName name="M_StoneSpalls" localSheetId="24">#REF!</definedName>
    <definedName name="M_StoneSpalls">#REF!</definedName>
    <definedName name="M_Water" localSheetId="12">#REF!</definedName>
    <definedName name="M_Water" localSheetId="24">#REF!</definedName>
    <definedName name="M_Water">#REF!</definedName>
    <definedName name="M_WellGradedGranularBaseMaterial_GradeA_236mm" localSheetId="12">#REF!</definedName>
    <definedName name="M_WellGradedGranularBaseMaterial_GradeA_236mm" localSheetId="24">#REF!</definedName>
    <definedName name="M_WellGradedGranularBaseMaterial_GradeA_236mm">#REF!</definedName>
    <definedName name="M_WellGradedGranularBaseMaterial_GradeA_265_475mm" localSheetId="12">#REF!</definedName>
    <definedName name="M_WellGradedGranularBaseMaterial_GradeA_265_475mm">#REF!</definedName>
    <definedName name="M_WellGradedGranularBaseMaterial_GradeA_53_265mm" localSheetId="12">#REF!</definedName>
    <definedName name="M_WellGradedGranularBaseMaterial_GradeA_53_265mm">#REF!</definedName>
    <definedName name="M_WoodenSleepers" localSheetId="6">#REF!</definedName>
    <definedName name="M_WoodenSleepers" localSheetId="27">#REF!</definedName>
    <definedName name="M_WoodenSleepers" localSheetId="4">#REF!</definedName>
    <definedName name="M_WoodenSleepers" localSheetId="32">#REF!</definedName>
    <definedName name="M_WoodenSleepers" localSheetId="24">#REF!</definedName>
    <definedName name="M_WoodenSleepers">#REF!</definedName>
    <definedName name="M0">#REF!</definedName>
    <definedName name="M1_">#N/A</definedName>
    <definedName name="M10cement" localSheetId="27">#REF!</definedName>
    <definedName name="M10cement" localSheetId="24">#REF!</definedName>
    <definedName name="M10cement">#REF!</definedName>
    <definedName name="M10L" localSheetId="6">#REF!</definedName>
    <definedName name="M10L" localSheetId="27">#REF!</definedName>
    <definedName name="M10L" localSheetId="4">#REF!</definedName>
    <definedName name="M10L" localSheetId="32">#REF!</definedName>
    <definedName name="M10L" localSheetId="24">#REF!</definedName>
    <definedName name="M10L">#REF!</definedName>
    <definedName name="M10M" localSheetId="6">#REF!</definedName>
    <definedName name="M10M" localSheetId="27">#REF!</definedName>
    <definedName name="M10M" localSheetId="4">#REF!</definedName>
    <definedName name="M10M" localSheetId="32">#REF!</definedName>
    <definedName name="M10M" localSheetId="24">#REF!</definedName>
    <definedName name="M10M">#REF!</definedName>
    <definedName name="M10P" localSheetId="6">#REF!</definedName>
    <definedName name="M10P" localSheetId="27">#REF!</definedName>
    <definedName name="M10P" localSheetId="4">#REF!</definedName>
    <definedName name="M10P" localSheetId="32">#REF!</definedName>
    <definedName name="M10P" localSheetId="24">#REF!</definedName>
    <definedName name="M10P">#REF!</definedName>
    <definedName name="M15_Cement" localSheetId="6">#REF!</definedName>
    <definedName name="M15_Cement" localSheetId="29">#REF!</definedName>
    <definedName name="M15_Cement" localSheetId="27">#REF!</definedName>
    <definedName name="M15_Cement" localSheetId="4">#REF!</definedName>
    <definedName name="M15_Cement" localSheetId="32">#REF!</definedName>
    <definedName name="M15_Cement" localSheetId="24">#REF!</definedName>
    <definedName name="M15_Cement" localSheetId="26">#REF!</definedName>
    <definedName name="M15_Cement">#REF!</definedName>
    <definedName name="M15_Metal20mm" localSheetId="6">#REF!</definedName>
    <definedName name="M15_Metal20mm" localSheetId="29">#REF!</definedName>
    <definedName name="M15_Metal20mm" localSheetId="27">#REF!</definedName>
    <definedName name="M15_Metal20mm" localSheetId="4">#REF!</definedName>
    <definedName name="M15_Metal20mm" localSheetId="32">#REF!</definedName>
    <definedName name="M15_Metal20mm" localSheetId="24">#REF!</definedName>
    <definedName name="M15_Metal20mm" localSheetId="26">#REF!</definedName>
    <definedName name="M15_Metal20mm">#REF!</definedName>
    <definedName name="M15_Sand" localSheetId="6">#REF!</definedName>
    <definedName name="M15_Sand" localSheetId="29">#REF!</definedName>
    <definedName name="M15_Sand" localSheetId="27">#REF!</definedName>
    <definedName name="M15_Sand" localSheetId="4">#REF!</definedName>
    <definedName name="M15_Sand" localSheetId="32">#REF!</definedName>
    <definedName name="M15_Sand" localSheetId="24">#REF!</definedName>
    <definedName name="M15_Sand" localSheetId="26">#REF!</definedName>
    <definedName name="M15_Sand">#REF!</definedName>
    <definedName name="m15cem" localSheetId="6">#REF!</definedName>
    <definedName name="m15cem" localSheetId="27">#REF!</definedName>
    <definedName name="m15cem" localSheetId="4">#REF!</definedName>
    <definedName name="m15cem" localSheetId="32">#REF!</definedName>
    <definedName name="m15cem" localSheetId="24">#REF!</definedName>
    <definedName name="m15cem">#REF!</definedName>
    <definedName name="M15cement" localSheetId="24">#REF!</definedName>
    <definedName name="M15cement">#REF!</definedName>
    <definedName name="M1x" localSheetId="12">#REF!</definedName>
    <definedName name="M1x" localSheetId="4">#REF!</definedName>
    <definedName name="M1x" localSheetId="32">#REF!</definedName>
    <definedName name="M1x" localSheetId="24">#REF!</definedName>
    <definedName name="M1x">#REF!</definedName>
    <definedName name="M1y" localSheetId="12">#REF!</definedName>
    <definedName name="M1y" localSheetId="4">#REF!</definedName>
    <definedName name="M1y" localSheetId="32">#REF!</definedName>
    <definedName name="M1y">#REF!</definedName>
    <definedName name="M2_">#N/A</definedName>
    <definedName name="m2_bop_f" localSheetId="6">#REF!</definedName>
    <definedName name="m2_bop_f" localSheetId="29">#REF!</definedName>
    <definedName name="m2_bop_f" localSheetId="24">#REF!</definedName>
    <definedName name="m2_bop_f" localSheetId="26">#REF!</definedName>
    <definedName name="m2_bop_f">#REF!</definedName>
    <definedName name="m2_bop_v" localSheetId="6">#REF!</definedName>
    <definedName name="m2_bop_v" localSheetId="29">#REF!</definedName>
    <definedName name="m2_bop_v" localSheetId="26">#REF!</definedName>
    <definedName name="m2_bop_v">#REF!</definedName>
    <definedName name="m2_bop_w" localSheetId="6">#REF!</definedName>
    <definedName name="m2_bop_w" localSheetId="29">#REF!</definedName>
    <definedName name="m2_bop_w" localSheetId="26">#REF!</definedName>
    <definedName name="m2_bop_w">#REF!</definedName>
    <definedName name="m2_civ_f">#REF!</definedName>
    <definedName name="m2_civ_v">#REF!</definedName>
    <definedName name="m2_civ_w">#REF!</definedName>
    <definedName name="m2_cond_f">#REF!</definedName>
    <definedName name="m2_cond_v">#REF!</definedName>
    <definedName name="m2_cond_w">#REF!</definedName>
    <definedName name="m2_ct_f">#REF!</definedName>
    <definedName name="m2_ct_v">#REF!</definedName>
    <definedName name="m2_ct_w">#REF!</definedName>
    <definedName name="m2_e_f">#REF!</definedName>
    <definedName name="m2_e_v">#REF!</definedName>
    <definedName name="m2_e_w">#REF!</definedName>
    <definedName name="m2_ec_f">#REF!</definedName>
    <definedName name="m2_ec_v">#REF!</definedName>
    <definedName name="m2_ec_w">#REF!</definedName>
    <definedName name="m2_fuel_f">#REF!</definedName>
    <definedName name="m2_fuel_v">#REF!</definedName>
    <definedName name="m2_fuel_w">#REF!</definedName>
    <definedName name="m2_geno_f">#REF!</definedName>
    <definedName name="m2_geno_v">#REF!</definedName>
    <definedName name="m2_geno_w">#REF!</definedName>
    <definedName name="m2_gt_f">#REF!</definedName>
    <definedName name="m2_gt_v">#REF!</definedName>
    <definedName name="m2_gt_w">#REF!</definedName>
    <definedName name="m2_gtax_f">#REF!</definedName>
    <definedName name="m2_gtax_v">#REF!</definedName>
    <definedName name="m2_gtax_w">#REF!</definedName>
    <definedName name="m2_hrsg_f">#REF!</definedName>
    <definedName name="m2_hrsg_v">#REF!</definedName>
    <definedName name="m2_hrsg_w">#REF!</definedName>
    <definedName name="m2_ic_f">#REF!</definedName>
    <definedName name="m2_ic_v">#REF!</definedName>
    <definedName name="m2_ic_w">#REF!</definedName>
    <definedName name="m2_st_f">#REF!</definedName>
    <definedName name="m2_st_v">#REF!</definedName>
    <definedName name="m2_st_w">#REF!</definedName>
    <definedName name="M20_cement" localSheetId="6">#REF!</definedName>
    <definedName name="M20_cement" localSheetId="29">#REF!</definedName>
    <definedName name="M20_cement" localSheetId="27">#REF!</definedName>
    <definedName name="M20_cement" localSheetId="4">#REF!</definedName>
    <definedName name="M20_cement" localSheetId="32">#REF!</definedName>
    <definedName name="M20_cement" localSheetId="24">#REF!</definedName>
    <definedName name="M20_cement" localSheetId="26">#REF!</definedName>
    <definedName name="M20_cement">#REF!</definedName>
    <definedName name="M20_Metal20mm" localSheetId="6">#REF!</definedName>
    <definedName name="M20_Metal20mm" localSheetId="29">#REF!</definedName>
    <definedName name="M20_Metal20mm" localSheetId="27">#REF!</definedName>
    <definedName name="M20_Metal20mm" localSheetId="4">#REF!</definedName>
    <definedName name="M20_Metal20mm" localSheetId="32">#REF!</definedName>
    <definedName name="M20_Metal20mm" localSheetId="24">#REF!</definedName>
    <definedName name="M20_Metal20mm" localSheetId="26">#REF!</definedName>
    <definedName name="M20_Metal20mm">#REF!</definedName>
    <definedName name="M20_sand" localSheetId="6">#REF!</definedName>
    <definedName name="M20_sand" localSheetId="29">#REF!</definedName>
    <definedName name="M20_sand" localSheetId="27">#REF!</definedName>
    <definedName name="M20_sand" localSheetId="4">#REF!</definedName>
    <definedName name="M20_sand" localSheetId="32">#REF!</definedName>
    <definedName name="M20_sand" localSheetId="24">#REF!</definedName>
    <definedName name="M20_sand" localSheetId="26">#REF!</definedName>
    <definedName name="M20_sand">#REF!</definedName>
    <definedName name="m20cement" localSheetId="6">#REF!</definedName>
    <definedName name="m20cement" localSheetId="27">#REF!</definedName>
    <definedName name="m20cement" localSheetId="4">#REF!</definedName>
    <definedName name="m20cement" localSheetId="32">#REF!</definedName>
    <definedName name="m20cement" localSheetId="24">#REF!</definedName>
    <definedName name="m20cement">#REF!</definedName>
    <definedName name="M20L" localSheetId="6">#REF!</definedName>
    <definedName name="M20L" localSheetId="27">#REF!</definedName>
    <definedName name="M20L" localSheetId="4">#REF!</definedName>
    <definedName name="M20L" localSheetId="32">#REF!</definedName>
    <definedName name="M20L" localSheetId="24">#REF!</definedName>
    <definedName name="M20L">#REF!</definedName>
    <definedName name="M20M" localSheetId="6">#REF!</definedName>
    <definedName name="M20M" localSheetId="27">#REF!</definedName>
    <definedName name="M20M" localSheetId="4">#REF!</definedName>
    <definedName name="M20M" localSheetId="32">#REF!</definedName>
    <definedName name="M20M" localSheetId="24">#REF!</definedName>
    <definedName name="M20M">#REF!</definedName>
    <definedName name="m20metal20" localSheetId="6">#REF!</definedName>
    <definedName name="m20metal20" localSheetId="27">#REF!</definedName>
    <definedName name="m20metal20" localSheetId="4">#REF!</definedName>
    <definedName name="m20metal20" localSheetId="32">#REF!</definedName>
    <definedName name="m20metal20" localSheetId="24">#REF!</definedName>
    <definedName name="m20metal20">#REF!</definedName>
    <definedName name="M20P" localSheetId="6">#REF!</definedName>
    <definedName name="M20P" localSheetId="27">#REF!</definedName>
    <definedName name="M20P" localSheetId="4">#REF!</definedName>
    <definedName name="M20P" localSheetId="32">#REF!</definedName>
    <definedName name="M20P" localSheetId="24">#REF!</definedName>
    <definedName name="M20P">#REF!</definedName>
    <definedName name="M20PCCcement" localSheetId="24">#REF!</definedName>
    <definedName name="M20PCCcement">#REF!</definedName>
    <definedName name="M20RCCcement" localSheetId="24">#REF!</definedName>
    <definedName name="M20RCCcement">#REF!</definedName>
    <definedName name="m20sand" localSheetId="6">#REF!</definedName>
    <definedName name="m20sand" localSheetId="27">#REF!</definedName>
    <definedName name="m20sand" localSheetId="4">#REF!</definedName>
    <definedName name="m20sand" localSheetId="32">#REF!</definedName>
    <definedName name="m20sand" localSheetId="24">#REF!</definedName>
    <definedName name="m20sand">#REF!</definedName>
    <definedName name="M25_cement" localSheetId="6">#REF!</definedName>
    <definedName name="M25_cement" localSheetId="29">#REF!</definedName>
    <definedName name="M25_cement" localSheetId="27">#REF!</definedName>
    <definedName name="M25_cement" localSheetId="4">#REF!</definedName>
    <definedName name="M25_cement" localSheetId="32">#REF!</definedName>
    <definedName name="M25_cement" localSheetId="24">#REF!</definedName>
    <definedName name="M25_cement" localSheetId="26">#REF!</definedName>
    <definedName name="M25_cement">#REF!</definedName>
    <definedName name="M25_Metal20mm" localSheetId="6">#REF!</definedName>
    <definedName name="M25_Metal20mm" localSheetId="29">#REF!</definedName>
    <definedName name="M25_Metal20mm" localSheetId="27">#REF!</definedName>
    <definedName name="M25_Metal20mm" localSheetId="4">#REF!</definedName>
    <definedName name="M25_Metal20mm" localSheetId="32">#REF!</definedName>
    <definedName name="M25_Metal20mm" localSheetId="24">#REF!</definedName>
    <definedName name="M25_Metal20mm" localSheetId="26">#REF!</definedName>
    <definedName name="M25_Metal20mm">#REF!</definedName>
    <definedName name="M25_sand" localSheetId="6">#REF!</definedName>
    <definedName name="M25_sand" localSheetId="29">#REF!</definedName>
    <definedName name="M25_sand" localSheetId="27">#REF!</definedName>
    <definedName name="M25_sand" localSheetId="4">#REF!</definedName>
    <definedName name="M25_sand" localSheetId="32">#REF!</definedName>
    <definedName name="M25_sand" localSheetId="24">#REF!</definedName>
    <definedName name="M25_sand" localSheetId="26">#REF!</definedName>
    <definedName name="M25_sand">#REF!</definedName>
    <definedName name="M25L" localSheetId="6">#REF!</definedName>
    <definedName name="M25L" localSheetId="27">#REF!</definedName>
    <definedName name="M25L" localSheetId="4">#REF!</definedName>
    <definedName name="M25L" localSheetId="32">#REF!</definedName>
    <definedName name="M25L" localSheetId="24">#REF!</definedName>
    <definedName name="M25L">#REF!</definedName>
    <definedName name="M25M" localSheetId="6">#REF!</definedName>
    <definedName name="M25M" localSheetId="27">#REF!</definedName>
    <definedName name="M25M" localSheetId="4">#REF!</definedName>
    <definedName name="M25M" localSheetId="32">#REF!</definedName>
    <definedName name="M25M" localSheetId="24">#REF!</definedName>
    <definedName name="M25M">#REF!</definedName>
    <definedName name="M25P" localSheetId="6">#REF!</definedName>
    <definedName name="M25P" localSheetId="27">#REF!</definedName>
    <definedName name="M25P" localSheetId="4">#REF!</definedName>
    <definedName name="M25P" localSheetId="32">#REF!</definedName>
    <definedName name="M25P" localSheetId="24">#REF!</definedName>
    <definedName name="M25P">#REF!</definedName>
    <definedName name="M25PCCcement" localSheetId="24">#REF!</definedName>
    <definedName name="M25PCCcement">#REF!</definedName>
    <definedName name="M25RCCcement" localSheetId="24">#REF!</definedName>
    <definedName name="M25RCCcement">#REF!</definedName>
    <definedName name="M2A_KPI" localSheetId="29">#REF!</definedName>
    <definedName name="M2A_KPI" localSheetId="26">#REF!</definedName>
    <definedName name="M2A_KPI">#REF!</definedName>
    <definedName name="M2A_KPI2" localSheetId="29">#REF!</definedName>
    <definedName name="M2A_KPI2" localSheetId="26">#REF!</definedName>
    <definedName name="M2A_KPI2">#REF!</definedName>
    <definedName name="M2x" localSheetId="12">#REF!</definedName>
    <definedName name="M2x" localSheetId="4">#REF!</definedName>
    <definedName name="M2x" localSheetId="32">#REF!</definedName>
    <definedName name="M2x">#REF!</definedName>
    <definedName name="M2y" localSheetId="12">#REF!</definedName>
    <definedName name="M2y" localSheetId="4">#REF!</definedName>
    <definedName name="M2y" localSheetId="32">#REF!</definedName>
    <definedName name="M2y">#REF!</definedName>
    <definedName name="M30cement">#REF!</definedName>
    <definedName name="M30L" localSheetId="6">#REF!</definedName>
    <definedName name="M30L" localSheetId="27">#REF!</definedName>
    <definedName name="M30L" localSheetId="4">#REF!</definedName>
    <definedName name="M30L" localSheetId="32">#REF!</definedName>
    <definedName name="M30L" localSheetId="24">#REF!</definedName>
    <definedName name="M30L">#REF!</definedName>
    <definedName name="M30M" localSheetId="6">#REF!</definedName>
    <definedName name="M30M" localSheetId="27">#REF!</definedName>
    <definedName name="M30M" localSheetId="4">#REF!</definedName>
    <definedName name="M30M" localSheetId="32">#REF!</definedName>
    <definedName name="M30M" localSheetId="24">#REF!</definedName>
    <definedName name="M30M">#REF!</definedName>
    <definedName name="M30P" localSheetId="6">#REF!</definedName>
    <definedName name="M30P" localSheetId="27">#REF!</definedName>
    <definedName name="M30P" localSheetId="4">#REF!</definedName>
    <definedName name="M30P" localSheetId="32">#REF!</definedName>
    <definedName name="M30P" localSheetId="24">#REF!</definedName>
    <definedName name="M30P">#REF!</definedName>
    <definedName name="M35cement" localSheetId="24">#REF!</definedName>
    <definedName name="M35cement">#REF!</definedName>
    <definedName name="M40cement" localSheetId="24">#REF!</definedName>
    <definedName name="M40cement">#REF!</definedName>
    <definedName name="M50cement">#REF!</definedName>
    <definedName name="M65L" localSheetId="6">#REF!</definedName>
    <definedName name="M65L" localSheetId="27">#REF!</definedName>
    <definedName name="M65L" localSheetId="4">#REF!</definedName>
    <definedName name="M65L" localSheetId="32">#REF!</definedName>
    <definedName name="M65L" localSheetId="24">#REF!</definedName>
    <definedName name="M65L">#REF!</definedName>
    <definedName name="M65P" localSheetId="6">#REF!</definedName>
    <definedName name="M65P" localSheetId="27">#REF!</definedName>
    <definedName name="M65P" localSheetId="4">#REF!</definedName>
    <definedName name="M65P" localSheetId="32">#REF!</definedName>
    <definedName name="M65P" localSheetId="24">#REF!</definedName>
    <definedName name="M65P">#REF!</definedName>
    <definedName name="M7.5L" localSheetId="6">#REF!</definedName>
    <definedName name="M7.5L" localSheetId="27">#REF!</definedName>
    <definedName name="M7.5L" localSheetId="4">#REF!</definedName>
    <definedName name="M7.5L" localSheetId="32">#REF!</definedName>
    <definedName name="M7.5L" localSheetId="24">#REF!</definedName>
    <definedName name="M7.5L">#REF!</definedName>
    <definedName name="M7.5M" localSheetId="6">#REF!</definedName>
    <definedName name="M7.5M" localSheetId="27">#REF!</definedName>
    <definedName name="M7.5M" localSheetId="4">#REF!</definedName>
    <definedName name="M7.5M" localSheetId="32">#REF!</definedName>
    <definedName name="M7.5M" localSheetId="24">#REF!</definedName>
    <definedName name="M7.5M">#REF!</definedName>
    <definedName name="M7.5P" localSheetId="6">#REF!</definedName>
    <definedName name="M7.5P" localSheetId="27">#REF!</definedName>
    <definedName name="M7.5P" localSheetId="4">#REF!</definedName>
    <definedName name="M7.5P" localSheetId="32">#REF!</definedName>
    <definedName name="M7.5P" localSheetId="24">#REF!</definedName>
    <definedName name="M7.5P">#REF!</definedName>
    <definedName name="m8_bop_f" localSheetId="29">#REF!</definedName>
    <definedName name="m8_bop_f" localSheetId="24">#REF!</definedName>
    <definedName name="m8_bop_f" localSheetId="26">#REF!</definedName>
    <definedName name="m8_bop_f">#REF!</definedName>
    <definedName name="m8_bop_v" localSheetId="29">#REF!</definedName>
    <definedName name="m8_bop_v" localSheetId="26">#REF!</definedName>
    <definedName name="m8_bop_v">#REF!</definedName>
    <definedName name="m8_bop_w">#REF!</definedName>
    <definedName name="m8_civ_f">#REF!</definedName>
    <definedName name="m8_civ_v">#REF!</definedName>
    <definedName name="m8_civ_w">#REF!</definedName>
    <definedName name="m8_cond_f">#REF!</definedName>
    <definedName name="m8_cond_v">#REF!</definedName>
    <definedName name="m8_cond_w">#REF!</definedName>
    <definedName name="m8_ct_f">#REF!</definedName>
    <definedName name="m8_ct_v">#REF!</definedName>
    <definedName name="m8_ct_w">#REF!</definedName>
    <definedName name="m8_e_f">#REF!</definedName>
    <definedName name="m8_e_v">#REF!</definedName>
    <definedName name="m8_e_w">#REF!</definedName>
    <definedName name="m8_ec_f">#REF!</definedName>
    <definedName name="m8_ec_v">#REF!</definedName>
    <definedName name="m8_ec_w">#REF!</definedName>
    <definedName name="m8_fuel_f">#REF!</definedName>
    <definedName name="m8_fuel_v">#REF!</definedName>
    <definedName name="m8_fuel_w">#REF!</definedName>
    <definedName name="m8_geno_f">#REF!</definedName>
    <definedName name="m8_geno_v">#REF!</definedName>
    <definedName name="m8_geno_w">#REF!</definedName>
    <definedName name="m8_gt_f">#REF!</definedName>
    <definedName name="m8_gt_v">#REF!</definedName>
    <definedName name="m8_gt_w">#REF!</definedName>
    <definedName name="m8_gtax_f">#REF!</definedName>
    <definedName name="m8_gtax_v">#REF!</definedName>
    <definedName name="m8_gtax_w">#REF!</definedName>
    <definedName name="m8_hrsg_f">#REF!</definedName>
    <definedName name="m8_hrsg_v">#REF!</definedName>
    <definedName name="m8_hrsg_w">#REF!</definedName>
    <definedName name="m8_ic_f">#REF!</definedName>
    <definedName name="m8_ic_v">#REF!</definedName>
    <definedName name="m8_ic_w">#REF!</definedName>
    <definedName name="m8_st_f">#REF!</definedName>
    <definedName name="m8_st_v">#REF!</definedName>
    <definedName name="m8_st_w">#REF!</definedName>
    <definedName name="M9A_BS">#REF!</definedName>
    <definedName name="M9B_BS">#REF!</definedName>
    <definedName name="MA" localSheetId="12">INDEX(#REF!,MATCH(#REF!,#REF!,0))</definedName>
    <definedName name="MA" localSheetId="6">INDEX(#REF!,MATCH(#REF!,#REF!,0))</definedName>
    <definedName name="Ma" localSheetId="27">#REF!</definedName>
    <definedName name="MA" localSheetId="4">INDEX(#REF!,MATCH(#REF!,#REF!,0))</definedName>
    <definedName name="MA" localSheetId="32">INDEX(#REF!,MATCH(#REF!,#REF!,0))</definedName>
    <definedName name="Ma">#REF!</definedName>
    <definedName name="ma_3">"#REF!"</definedName>
    <definedName name="ma_4">"#REF!"</definedName>
    <definedName name="Ma_v" localSheetId="6">#REF!</definedName>
    <definedName name="Ma_v" localSheetId="29">#REF!</definedName>
    <definedName name="Ma_v" localSheetId="27">#REF!</definedName>
    <definedName name="Ma_v" localSheetId="4">#REF!</definedName>
    <definedName name="Ma_v" localSheetId="32">#REF!</definedName>
    <definedName name="Ma_v" localSheetId="24">#REF!</definedName>
    <definedName name="Ma_v" localSheetId="26">#REF!</definedName>
    <definedName name="Ma_v">#REF!</definedName>
    <definedName name="MAACONSTN" localSheetId="6">#REF!</definedName>
    <definedName name="MAACONSTN" localSheetId="29">#REF!</definedName>
    <definedName name="MAACONSTN" localSheetId="26">#REF!</definedName>
    <definedName name="MAACONSTN">#REF!</definedName>
    <definedName name="mac">75</definedName>
    <definedName name="MACHINE_EQUIPMENT" localSheetId="6">#REF!</definedName>
    <definedName name="MACHINE_EQUIPMENT" localSheetId="27">#REF!</definedName>
    <definedName name="MACHINE_EQUIPMENT" localSheetId="4">#REF!</definedName>
    <definedName name="MACHINE_EQUIPMENT" localSheetId="32">#REF!</definedName>
    <definedName name="MACHINE_EQUIPMENT" localSheetId="24">#REF!</definedName>
    <definedName name="MACHINE_EQUIPMENT">#REF!</definedName>
    <definedName name="MACHINE_EQUIPMENT_ENTRY" localSheetId="6">#REF!</definedName>
    <definedName name="MACHINE_EQUIPMENT_ENTRY" localSheetId="27">#REF!</definedName>
    <definedName name="MACHINE_EQUIPMENT_ENTRY" localSheetId="4">#REF!</definedName>
    <definedName name="MACHINE_EQUIPMENT_ENTRY" localSheetId="32">#REF!</definedName>
    <definedName name="MACHINE_EQUIPMENT_ENTRY" localSheetId="24">#REF!</definedName>
    <definedName name="MACHINE_EQUIPMENT_ENTRY">#REF!</definedName>
    <definedName name="machinery" localSheetId="6">#REF!</definedName>
    <definedName name="machinery" localSheetId="29">#REF!</definedName>
    <definedName name="machinery" localSheetId="27">#REF!</definedName>
    <definedName name="machinery" localSheetId="4">#REF!</definedName>
    <definedName name="machinery" localSheetId="32">#REF!</definedName>
    <definedName name="Machinery" localSheetId="24">#REF!</definedName>
    <definedName name="machinery" localSheetId="26">#REF!</definedName>
    <definedName name="machinery">#REF!</definedName>
    <definedName name="MADHU" localSheetId="29">#REF!</definedName>
    <definedName name="MADHU" localSheetId="26">#REF!</definedName>
    <definedName name="MADHU">#REF!</definedName>
    <definedName name="madhu218" localSheetId="29">#REF!</definedName>
    <definedName name="madhu218" localSheetId="26">#REF!</definedName>
    <definedName name="madhu218">#REF!</definedName>
    <definedName name="mahan" localSheetId="12">#REF!</definedName>
    <definedName name="mahan">#REF!</definedName>
    <definedName name="MAHESH">#REF!</definedName>
    <definedName name="main">#REF!</definedName>
    <definedName name="MainRelay">#REF!</definedName>
    <definedName name="majord" localSheetId="2">#REF!</definedName>
    <definedName name="majord">#REF!</definedName>
    <definedName name="majororders" localSheetId="2">#REF!</definedName>
    <definedName name="majororders">#REF!</definedName>
    <definedName name="man">#REF!</definedName>
    <definedName name="Man.">#REF!</definedName>
    <definedName name="man___0">#REF!</definedName>
    <definedName name="man___11">#REF!</definedName>
    <definedName name="man___12">#REF!</definedName>
    <definedName name="MAN_SALE">#REF!</definedName>
    <definedName name="MAN_SALE_FACT">#REF!</definedName>
    <definedName name="manas">#REF!</definedName>
    <definedName name="Manday_Rate">#REF!</definedName>
    <definedName name="manday1">#REF!</definedName>
    <definedName name="manday1___0">#REF!</definedName>
    <definedName name="manday1___11">#REF!</definedName>
    <definedName name="manday1___12">#REF!</definedName>
    <definedName name="manday2">#REF!</definedName>
    <definedName name="MANHOUR">#REF!</definedName>
    <definedName name="mani" localSheetId="12" hidden="1">{"form-D1",#N/A,FALSE,"FORM-D1";"form-D1_amt",#N/A,FALSE,"FORM-D1"}</definedName>
    <definedName name="mani" hidden="1">{"form-D1",#N/A,FALSE,"FORM-D1";"form-D1_amt",#N/A,FALSE,"FORM-D1"}</definedName>
    <definedName name="Manish" localSheetId="12" hidden="1">{"form-D1",#N/A,FALSE,"FORM-D1";"form-D1_amt",#N/A,FALSE,"FORM-D1"}</definedName>
    <definedName name="Manish" hidden="1">{"form-D1",#N/A,FALSE,"FORM-D1";"form-D1_amt",#N/A,FALSE,"FORM-D1"}</definedName>
    <definedName name="manpower">#REF!</definedName>
    <definedName name="MANU1" localSheetId="12">#REF!</definedName>
    <definedName name="MANU1">#N/A</definedName>
    <definedName name="MANU11" localSheetId="12">#REF!</definedName>
    <definedName name="MANU11">#N/A</definedName>
    <definedName name="MANU111" localSheetId="12">#REF!</definedName>
    <definedName name="MANU111">#N/A</definedName>
    <definedName name="MANU2" localSheetId="12">#REF!</definedName>
    <definedName name="MANU2">#N/A</definedName>
    <definedName name="MANU22" localSheetId="12">#REF!</definedName>
    <definedName name="MANU22">#N/A</definedName>
    <definedName name="MANU222" localSheetId="12">#REF!</definedName>
    <definedName name="MANU222">#N/A</definedName>
    <definedName name="MANU3" localSheetId="12">#REF!</definedName>
    <definedName name="MANU3">#N/A</definedName>
    <definedName name="MANU33" localSheetId="12">#REF!</definedName>
    <definedName name="MANU33">#N/A</definedName>
    <definedName name="MANU333" localSheetId="12">#REF!</definedName>
    <definedName name="MANU333">#N/A</definedName>
    <definedName name="MANU4" localSheetId="12">#REF!</definedName>
    <definedName name="MANU4">#N/A</definedName>
    <definedName name="MANU44" localSheetId="12">#REF!</definedName>
    <definedName name="MANU44">#N/A</definedName>
    <definedName name="MANU444" localSheetId="12">#REF!</definedName>
    <definedName name="MANU444">#N/A</definedName>
    <definedName name="MANU5" localSheetId="12">#REF!</definedName>
    <definedName name="MANU5">#N/A</definedName>
    <definedName name="MANU55" localSheetId="12">#REF!</definedName>
    <definedName name="MANU55">#N/A</definedName>
    <definedName name="MANU555" localSheetId="12">#REF!</definedName>
    <definedName name="MANU555">#N/A</definedName>
    <definedName name="MARAN">#REF!</definedName>
    <definedName name="march_qty">#REF!</definedName>
    <definedName name="Margin" localSheetId="6">#REF!</definedName>
    <definedName name="Margin" localSheetId="27">#REF!</definedName>
    <definedName name="Margin" localSheetId="4">#REF!</definedName>
    <definedName name="Margin" localSheetId="32">#REF!</definedName>
    <definedName name="Margin" localSheetId="24">#REF!</definedName>
    <definedName name="Margin">#REF!</definedName>
    <definedName name="MARGIN_MAN" localSheetId="29">#REF!</definedName>
    <definedName name="MARGIN_MAN" localSheetId="24">#REF!</definedName>
    <definedName name="MARGIN_MAN" localSheetId="26">#REF!</definedName>
    <definedName name="MARGIN_MAN">#REF!</definedName>
    <definedName name="MARGIN_MAT" localSheetId="29">#REF!</definedName>
    <definedName name="MARGIN_MAT" localSheetId="26">#REF!</definedName>
    <definedName name="MARGIN_MAT">#REF!</definedName>
    <definedName name="MARGIN_MISC">#REF!</definedName>
    <definedName name="MARGIN_SC">#REF!</definedName>
    <definedName name="MARGINPLAN">#REF!</definedName>
    <definedName name="MARGINPROJ">#REF!</definedName>
    <definedName name="markuprate" localSheetId="6">#REF!</definedName>
    <definedName name="markuprate" localSheetId="27">#REF!</definedName>
    <definedName name="markuprate" localSheetId="4">#REF!</definedName>
    <definedName name="markuprate" localSheetId="32">#REF!</definedName>
    <definedName name="markuprate" localSheetId="24">#REF!</definedName>
    <definedName name="markuprate">#REF!</definedName>
    <definedName name="MAS">INDEX(#REF!,MATCH(#REF!,#REF!,0))</definedName>
    <definedName name="mason" localSheetId="12">#REF!</definedName>
    <definedName name="mason" localSheetId="24">#REF!</definedName>
    <definedName name="mason">#REF!</definedName>
    <definedName name="Mason1" localSheetId="12">#REF!</definedName>
    <definedName name="mason1" localSheetId="6">#REF!</definedName>
    <definedName name="mason1" localSheetId="29">#REF!</definedName>
    <definedName name="mason1" localSheetId="27">#REF!</definedName>
    <definedName name="mason1" localSheetId="4">#REF!</definedName>
    <definedName name="mason1" localSheetId="32">#REF!</definedName>
    <definedName name="Mason1" localSheetId="24">#REF!</definedName>
    <definedName name="mason1" localSheetId="26">#REF!</definedName>
    <definedName name="mason1">#REF!</definedName>
    <definedName name="mason2" localSheetId="6">#REF!</definedName>
    <definedName name="mason2" localSheetId="27">#REF!</definedName>
    <definedName name="mason2" localSheetId="4">#REF!</definedName>
    <definedName name="mason2" localSheetId="32">#REF!</definedName>
    <definedName name="mason2" localSheetId="24">#REF!</definedName>
    <definedName name="mason2">#REF!</definedName>
    <definedName name="MASTER" localSheetId="29">#REF!</definedName>
    <definedName name="MASTER" localSheetId="24">#REF!</definedName>
    <definedName name="MASTER" localSheetId="26">#REF!</definedName>
    <definedName name="MASTER">#REF!</definedName>
    <definedName name="Mat_Percentage" localSheetId="29">#REF!</definedName>
    <definedName name="Mat_Percentage" localSheetId="26">#REF!</definedName>
    <definedName name="Mat_Percentage">#REF!</definedName>
    <definedName name="MAT_RATE_ENTRY" localSheetId="6">#REF!</definedName>
    <definedName name="MAT_RATE_ENTRY" localSheetId="27">#REF!</definedName>
    <definedName name="MAT_RATE_ENTRY" localSheetId="4">#REF!</definedName>
    <definedName name="MAT_RATE_ENTRY" localSheetId="32">#REF!</definedName>
    <definedName name="MAT_RATE_ENTRY" localSheetId="24">#REF!</definedName>
    <definedName name="MAT_RATE_ENTRY">#REF!</definedName>
    <definedName name="MAT_SALE" localSheetId="29">#REF!</definedName>
    <definedName name="MAT_SALE" localSheetId="24">#REF!</definedName>
    <definedName name="MAT_SALE" localSheetId="26">#REF!</definedName>
    <definedName name="MAT_SALE">#REF!</definedName>
    <definedName name="MAT_SALE_FAC" localSheetId="29">#REF!</definedName>
    <definedName name="MAT_SALE_FAC" localSheetId="26">#REF!</definedName>
    <definedName name="MAT_SALE_FAC">#REF!</definedName>
    <definedName name="Mat_Sales">#REF!</definedName>
    <definedName name="Match4" localSheetId="6">#REF!</definedName>
    <definedName name="Match4" localSheetId="27">#REF!</definedName>
    <definedName name="Match4" localSheetId="4">#REF!</definedName>
    <definedName name="Match4" localSheetId="32">#REF!</definedName>
    <definedName name="Match4" localSheetId="24">#REF!</definedName>
    <definedName name="Match4">#REF!</definedName>
    <definedName name="mate" localSheetId="6">#REF!</definedName>
    <definedName name="mate" localSheetId="27">#REF!</definedName>
    <definedName name="mate" localSheetId="4">#REF!</definedName>
    <definedName name="mate" localSheetId="32">#REF!</definedName>
    <definedName name="mate" localSheetId="24">#REF!</definedName>
    <definedName name="mate">#REF!</definedName>
    <definedName name="Material" localSheetId="29">#REF!</definedName>
    <definedName name="Material" localSheetId="24">#REF!</definedName>
    <definedName name="Material" localSheetId="26">#REF!</definedName>
    <definedName name="Material">#REF!</definedName>
    <definedName name="MatGSB" localSheetId="6">#REF!</definedName>
    <definedName name="MatGSB" localSheetId="27">#REF!</definedName>
    <definedName name="MatGSB" localSheetId="4">#REF!</definedName>
    <definedName name="MatGSB" localSheetId="32">#REF!</definedName>
    <definedName name="MatGSB" localSheetId="24">#REF!</definedName>
    <definedName name="MatGSB">#REF!</definedName>
    <definedName name="MATHS" localSheetId="29">#REF!</definedName>
    <definedName name="MATHS" localSheetId="24">#REF!</definedName>
    <definedName name="MATHS" localSheetId="26">#REF!</definedName>
    <definedName name="MATHS">#REF!</definedName>
    <definedName name="MATL1">#REF!</definedName>
    <definedName name="MatM20" localSheetId="6">#REF!</definedName>
    <definedName name="MatM20" localSheetId="27">#REF!</definedName>
    <definedName name="MatM20" localSheetId="4">#REF!</definedName>
    <definedName name="MatM20" localSheetId="32">#REF!</definedName>
    <definedName name="MatM20" localSheetId="24">#REF!</definedName>
    <definedName name="MatM20">#REF!</definedName>
    <definedName name="MatM25" localSheetId="6">#REF!</definedName>
    <definedName name="MatM25" localSheetId="27">#REF!</definedName>
    <definedName name="MatM25" localSheetId="4">#REF!</definedName>
    <definedName name="MatM25" localSheetId="32">#REF!</definedName>
    <definedName name="MatM25" localSheetId="24">#REF!</definedName>
    <definedName name="MatM25">#REF!</definedName>
    <definedName name="MatM35" localSheetId="6">#REF!</definedName>
    <definedName name="MatM35" localSheetId="27">#REF!</definedName>
    <definedName name="MatM35" localSheetId="4">#REF!</definedName>
    <definedName name="MatM35" localSheetId="32">#REF!</definedName>
    <definedName name="MatM35" localSheetId="24">#REF!</definedName>
    <definedName name="MatM35">#REF!</definedName>
    <definedName name="MatM35Piling" localSheetId="6">#REF!</definedName>
    <definedName name="MatM35Piling" localSheetId="27">#REF!</definedName>
    <definedName name="MatM35Piling" localSheetId="4">#REF!</definedName>
    <definedName name="MatM35Piling" localSheetId="32">#REF!</definedName>
    <definedName name="MatM35Piling" localSheetId="24">#REF!</definedName>
    <definedName name="MatM35Piling">#REF!</definedName>
    <definedName name="MatM40" localSheetId="6">#REF!</definedName>
    <definedName name="MatM40" localSheetId="27">#REF!</definedName>
    <definedName name="MatM40" localSheetId="4">#REF!</definedName>
    <definedName name="MatM40" localSheetId="32">#REF!</definedName>
    <definedName name="MatM40" localSheetId="24">#REF!</definedName>
    <definedName name="MatM40">#REF!</definedName>
    <definedName name="MatM50" localSheetId="6">#REF!</definedName>
    <definedName name="MatM50" localSheetId="27">#REF!</definedName>
    <definedName name="MatM50" localSheetId="4">#REF!</definedName>
    <definedName name="MatM50" localSheetId="32">#REF!</definedName>
    <definedName name="MatM50" localSheetId="24">#REF!</definedName>
    <definedName name="MatM50">#REF!</definedName>
    <definedName name="MatM60" localSheetId="6">#REF!</definedName>
    <definedName name="MatM60" localSheetId="27">#REF!</definedName>
    <definedName name="MatM60" localSheetId="4">#REF!</definedName>
    <definedName name="MatM60" localSheetId="32">#REF!</definedName>
    <definedName name="MatM60" localSheetId="24">#REF!</definedName>
    <definedName name="MatM60">#REF!</definedName>
    <definedName name="Matpilecap" localSheetId="6">#REF!</definedName>
    <definedName name="Matpilecap" localSheetId="27">#REF!</definedName>
    <definedName name="Matpilecap" localSheetId="4">#REF!</definedName>
    <definedName name="Matpilecap" localSheetId="32">#REF!</definedName>
    <definedName name="Matpilecap" localSheetId="24">#REF!</definedName>
    <definedName name="Matpilecap">#REF!</definedName>
    <definedName name="MatPiling" localSheetId="6">#REF!</definedName>
    <definedName name="MatPiling" localSheetId="27">#REF!</definedName>
    <definedName name="MatPiling" localSheetId="4">#REF!</definedName>
    <definedName name="MatPiling" localSheetId="32">#REF!</definedName>
    <definedName name="MatPiling" localSheetId="24">#REF!</definedName>
    <definedName name="MatPiling">#REF!</definedName>
    <definedName name="MatWMM" localSheetId="6">#REF!</definedName>
    <definedName name="MatWMM" localSheetId="27">#REF!</definedName>
    <definedName name="MatWMM" localSheetId="4">#REF!</definedName>
    <definedName name="MatWMM" localSheetId="32">#REF!</definedName>
    <definedName name="MatWMM" localSheetId="24">#REF!</definedName>
    <definedName name="MatWMM">#REF!</definedName>
    <definedName name="MaxLegDownWard" localSheetId="12">#REF!</definedName>
    <definedName name="MaxLegDownWard" localSheetId="29">#REF!</definedName>
    <definedName name="MaxLegDownWard" localSheetId="24">#REF!</definedName>
    <definedName name="MaxLegDownWard" localSheetId="26">#REF!</definedName>
    <definedName name="MaxLegDownWard">#REF!</definedName>
    <definedName name="MaxLegShear" localSheetId="12">#REF!</definedName>
    <definedName name="MaxLegShear" localSheetId="29">#REF!</definedName>
    <definedName name="MaxLegShear" localSheetId="26">#REF!</definedName>
    <definedName name="MaxLegShear">#REF!</definedName>
    <definedName name="MaxLegUplift" localSheetId="12">#REF!</definedName>
    <definedName name="MaxLegUplift">#REF!</definedName>
    <definedName name="MaxSNo" localSheetId="12">#REF!</definedName>
    <definedName name="MaxSNo">#REF!</definedName>
    <definedName name="mayank">#REF!</definedName>
    <definedName name="mazdoor" localSheetId="6">#REF!</definedName>
    <definedName name="mazdoor" localSheetId="27">#REF!</definedName>
    <definedName name="mazdoor" localSheetId="4">#REF!</definedName>
    <definedName name="mazdoor" localSheetId="32">#REF!</definedName>
    <definedName name="mazdoor" localSheetId="24">#REF!</definedName>
    <definedName name="mazdoor">#REF!</definedName>
    <definedName name="MAZI" localSheetId="12">#REF!</definedName>
    <definedName name="MAZI" localSheetId="24">#REF!</definedName>
    <definedName name="MAZI">#REF!</definedName>
    <definedName name="MB" localSheetId="12">INDEX(#REF!,MATCH(#REF!,#REF!,0))</definedName>
    <definedName name="MB" localSheetId="6">INDEX(#REF!,MATCH(#REF!,#REF!,0))</definedName>
    <definedName name="Mb" localSheetId="29">#REF!</definedName>
    <definedName name="Mb" localSheetId="27">#REF!</definedName>
    <definedName name="MB" localSheetId="4">INDEX(#REF!,MATCH(#REF!,#REF!,0))</definedName>
    <definedName name="MB" localSheetId="32">INDEX(#REF!,MATCH(#REF!,#REF!,0))</definedName>
    <definedName name="Mb" localSheetId="26">#REF!</definedName>
    <definedName name="Mb">#REF!</definedName>
    <definedName name="Mb_v" localSheetId="6">#REF!</definedName>
    <definedName name="Mb_v" localSheetId="29">#REF!</definedName>
    <definedName name="Mb_v" localSheetId="27">#REF!</definedName>
    <definedName name="Mb_v" localSheetId="4">#REF!</definedName>
    <definedName name="Mb_v" localSheetId="32">#REF!</definedName>
    <definedName name="Mb_v" localSheetId="24">#REF!</definedName>
    <definedName name="Mb_v" localSheetId="26">#REF!</definedName>
    <definedName name="Mb_v">#REF!</definedName>
    <definedName name="mbn" localSheetId="12">#REF!</definedName>
    <definedName name="mbn">#REF!</definedName>
    <definedName name="MBS">INDEX(#REF!,MATCH(#REF!,#REF!,0))</definedName>
    <definedName name="MC" localSheetId="12">INDEX(#REF!,MATCH(#REF!,#REF!,0))</definedName>
    <definedName name="MC" localSheetId="6">INDEX(#REF!,MATCH(#REF!,#REF!,0))</definedName>
    <definedName name="Mc" localSheetId="29">#REF!</definedName>
    <definedName name="Mc" localSheetId="27">#REF!</definedName>
    <definedName name="MC" localSheetId="4">INDEX(#REF!,MATCH(#REF!,#REF!,0))</definedName>
    <definedName name="MC" localSheetId="32">INDEX(#REF!,MATCH(#REF!,#REF!,0))</definedName>
    <definedName name="Mc" localSheetId="26">#REF!</definedName>
    <definedName name="Mc">#REF!</definedName>
    <definedName name="MC_ABB_Imp" localSheetId="29">#REF!</definedName>
    <definedName name="MC_ABB_Imp" localSheetId="26">#REF!</definedName>
    <definedName name="MC_ABB_Imp">#REF!</definedName>
    <definedName name="MC_ABB_local">#REF!</definedName>
    <definedName name="MC_ABB_peenya">#REF!</definedName>
    <definedName name="MC_AIC_Imp">#REF!</definedName>
    <definedName name="MC_AIC_local">#REF!</definedName>
    <definedName name="MC_DEMHW">#REF!</definedName>
    <definedName name="MC_DEMSW">#REF!</definedName>
    <definedName name="MC_FFRHW">#REF!</definedName>
    <definedName name="MC_FFRSW">#REF!</definedName>
    <definedName name="MC_FIMHW">#REF!</definedName>
    <definedName name="MC_FIMSW">#REF!</definedName>
    <definedName name="MC_NOKHW">#REF!</definedName>
    <definedName name="MC_NOKSW">#REF!</definedName>
    <definedName name="MC_NonABB_Imp">#REF!</definedName>
    <definedName name="MC_NonABB_local">#REF!</definedName>
    <definedName name="MC_SEKHW">#REF!</definedName>
    <definedName name="MC_SEKSW">#REF!</definedName>
    <definedName name="MC_SFRHW">#REF!</definedName>
    <definedName name="MC_SFRSW">#REF!</definedName>
    <definedName name="MC_UKPHW">#REF!</definedName>
    <definedName name="MC_UKPSW">#REF!</definedName>
    <definedName name="MC_USDHW">#REF!</definedName>
    <definedName name="MC_USDSW">#REF!</definedName>
    <definedName name="Mc_v" localSheetId="6">#REF!</definedName>
    <definedName name="Mc_v" localSheetId="29">#REF!</definedName>
    <definedName name="Mc_v" localSheetId="27">#REF!</definedName>
    <definedName name="Mc_v" localSheetId="4">#REF!</definedName>
    <definedName name="Mc_v" localSheetId="32">#REF!</definedName>
    <definedName name="Mc_v" localSheetId="24">#REF!</definedName>
    <definedName name="Mc_v" localSheetId="26">#REF!</definedName>
    <definedName name="Mc_v">#REF!</definedName>
    <definedName name="MC_YENHW" localSheetId="29">#REF!</definedName>
    <definedName name="MC_YENHW" localSheetId="26">#REF!</definedName>
    <definedName name="MC_YENHW">#REF!</definedName>
    <definedName name="MC_YENSW" localSheetId="29">#REF!</definedName>
    <definedName name="MC_YENSW" localSheetId="26">#REF!</definedName>
    <definedName name="MC_YENSW">#REF!</definedName>
    <definedName name="mcabb3501i5f">#REF!</definedName>
    <definedName name="mcabb3502i1bc8f">#REF!</definedName>
    <definedName name="mcabb5002i1bc8f">#REF!</definedName>
    <definedName name="MCAR" localSheetId="6">#REF!</definedName>
    <definedName name="MCAR" localSheetId="27">#REF!</definedName>
    <definedName name="MCAR" localSheetId="4">#REF!</definedName>
    <definedName name="MCAR" localSheetId="32">#REF!</definedName>
    <definedName name="MCAR" localSheetId="24">#REF!</definedName>
    <definedName name="MCAR">#REF!</definedName>
    <definedName name="Mcbdo" localSheetId="24">#REF!</definedName>
    <definedName name="Mcbdo">#REF!</definedName>
    <definedName name="MCi" localSheetId="12">#REF!</definedName>
    <definedName name="MCi" localSheetId="6">#REF!</definedName>
    <definedName name="MCi" localSheetId="29">#REF!</definedName>
    <definedName name="MCi" localSheetId="7">#REF!</definedName>
    <definedName name="MCi" localSheetId="26">#REF!</definedName>
    <definedName name="MCi">#REF!</definedName>
    <definedName name="mcl" localSheetId="12">#REF!</definedName>
    <definedName name="mcl" localSheetId="4">#REF!</definedName>
    <definedName name="mcl" localSheetId="32">#REF!</definedName>
    <definedName name="mcl">#REF!</definedName>
    <definedName name="mcl33b1" localSheetId="12">#REF!</definedName>
    <definedName name="mcl33b1" localSheetId="4">#REF!</definedName>
    <definedName name="mcl33b1" localSheetId="32">#REF!</definedName>
    <definedName name="mcl33b1">#REF!</definedName>
    <definedName name="mcl33b2" localSheetId="12">#REF!</definedName>
    <definedName name="mcl33b2" localSheetId="4">#REF!</definedName>
    <definedName name="mcl33b2" localSheetId="32">#REF!</definedName>
    <definedName name="mcl33b2">#REF!</definedName>
    <definedName name="mcl33b3" localSheetId="12">#REF!</definedName>
    <definedName name="mcl33b3" localSheetId="4">#REF!</definedName>
    <definedName name="mcl33b3" localSheetId="32">#REF!</definedName>
    <definedName name="mcl33b3">#REF!</definedName>
    <definedName name="mclo">#REF!</definedName>
    <definedName name="mcmc1i5f" localSheetId="29">#REF!</definedName>
    <definedName name="mcmc1i5f" localSheetId="7">#REF!</definedName>
    <definedName name="mcmc1i5f" localSheetId="26">#REF!</definedName>
    <definedName name="mcmc1i5f" localSheetId="2">#REF!</definedName>
    <definedName name="mcmc1i5f">#REF!</definedName>
    <definedName name="mcmc3502i1bc8f" localSheetId="2">#REF!</definedName>
    <definedName name="mcmc3502i1bc8f">#REF!</definedName>
    <definedName name="mcmc5002i1bc8f" localSheetId="2">#REF!</definedName>
    <definedName name="mcmc5002i1bc8f">#REF!</definedName>
    <definedName name="mcpc1i4f">#REF!</definedName>
    <definedName name="MCS">INDEX(#REF!,MATCH(#REF!,#REF!,0))</definedName>
    <definedName name="Mcwc">#REF!</definedName>
    <definedName name="Mcws">#REF!</definedName>
    <definedName name="MD" localSheetId="12">INDEX(#REF!,MATCH(#REF!,#REF!,0))</definedName>
    <definedName name="MD" localSheetId="6">INDEX(#REF!,MATCH(#REF!,#REF!,0))</definedName>
    <definedName name="Md" localSheetId="27">#REF!</definedName>
    <definedName name="MD" localSheetId="4">INDEX(#REF!,MATCH(#REF!,#REF!,0))</definedName>
    <definedName name="MD" localSheetId="32">INDEX(#REF!,MATCH(#REF!,#REF!,0))</definedName>
    <definedName name="Md">#REF!</definedName>
    <definedName name="Md_v">#REF!</definedName>
    <definedName name="mdp" localSheetId="12">#REF!</definedName>
    <definedName name="mdp" localSheetId="29">#REF!</definedName>
    <definedName name="mdp" localSheetId="26">#REF!</definedName>
    <definedName name="mdp">#REF!</definedName>
    <definedName name="MDS">INDEX(#REF!,MATCH(#REF!,#REF!,0))</definedName>
    <definedName name="MDVT_ABSP" localSheetId="29">#REF!</definedName>
    <definedName name="MDVT_ABSP" localSheetId="26">#REF!</definedName>
    <definedName name="MDVT_ABSP" localSheetId="2">#REF!</definedName>
    <definedName name="MDVT_ABSP">#REF!</definedName>
    <definedName name="ME" localSheetId="12">INDEX(#REF!,MATCH(#REF!,#REF!,0))</definedName>
    <definedName name="ME">#REF!</definedName>
    <definedName name="Me_v">#REF!</definedName>
    <definedName name="MeanDepth_Inclusive_of_cover_sl._thk.">#REF!</definedName>
    <definedName name="Meat">#REF!</definedName>
    <definedName name="MENU">#REF!</definedName>
    <definedName name="merchant">#REF!</definedName>
    <definedName name="merchantsen">#REF!</definedName>
    <definedName name="MES">INDEX(#REF!,MATCH(#REF!,#REF!,0))</definedName>
    <definedName name="MET" localSheetId="6">#REF!</definedName>
    <definedName name="MET" localSheetId="27">#REF!</definedName>
    <definedName name="MET" localSheetId="4">#REF!</definedName>
    <definedName name="MET" localSheetId="32">#REF!</definedName>
    <definedName name="MET" localSheetId="24">#REF!</definedName>
    <definedName name="MET">#REF!</definedName>
    <definedName name="Metal_124" localSheetId="6">#REF!</definedName>
    <definedName name="Metal_124" localSheetId="29">#REF!</definedName>
    <definedName name="Metal_124" localSheetId="27">#REF!</definedName>
    <definedName name="Metal_124" localSheetId="4">#REF!</definedName>
    <definedName name="Metal_124" localSheetId="32">#REF!</definedName>
    <definedName name="Metal_124" localSheetId="24">#REF!</definedName>
    <definedName name="Metal_124" localSheetId="26">#REF!</definedName>
    <definedName name="Metal_124">#REF!</definedName>
    <definedName name="Metal12mm">188*1.5</definedName>
    <definedName name="Metal20mm" localSheetId="12">#REF!</definedName>
    <definedName name="Metal20mm" localSheetId="27">#REF!</definedName>
    <definedName name="Metal20mm">#REF!</definedName>
    <definedName name="Metal40mm" localSheetId="12">#REF!</definedName>
    <definedName name="Metal40mm" localSheetId="27">#REF!</definedName>
    <definedName name="Metal40mm">#REF!</definedName>
    <definedName name="Metal6mm" localSheetId="12">#REF!</definedName>
    <definedName name="Metal6mm" localSheetId="27">#REF!</definedName>
    <definedName name="Metal6mm">#REF!</definedName>
    <definedName name="METTL" localSheetId="29">#REF!</definedName>
    <definedName name="METTL" localSheetId="26">#REF!</definedName>
    <definedName name="METTL">#REF!</definedName>
    <definedName name="mf" localSheetId="12" hidden="1">{"'PROFITABILITY'!$A$1:$F$45"}</definedName>
    <definedName name="mf" localSheetId="6" hidden="1">{"'PROFITABILITY'!$A$1:$F$45"}</definedName>
    <definedName name="mf" localSheetId="29" hidden="1">{"'PROFITABILITY'!$A$1:$F$45"}</definedName>
    <definedName name="mf" localSheetId="27" hidden="1">{"'PROFITABILITY'!$A$1:$F$45"}</definedName>
    <definedName name="mf" localSheetId="4" hidden="1">{"'PROFITABILITY'!$A$1:$F$45"}</definedName>
    <definedName name="mf" localSheetId="32" hidden="1">{"'PROFITABILITY'!$A$1:$F$45"}</definedName>
    <definedName name="mf" localSheetId="24" hidden="1">{"'PROFITABILITY'!$A$1:$F$45"}</definedName>
    <definedName name="mf" localSheetId="26" hidden="1">{"'PROFITABILITY'!$A$1:$F$45"}</definedName>
    <definedName name="mf" hidden="1">{"'PROFITABILITY'!$A$1:$F$45"}</definedName>
    <definedName name="MF___0">#REF!</definedName>
    <definedName name="MF___13">#REF!</definedName>
    <definedName name="MF_ABB_local" localSheetId="2">#REF!</definedName>
    <definedName name="MF_ABB_local">#REF!</definedName>
    <definedName name="MF_ABB_peenya" localSheetId="2">#REF!</definedName>
    <definedName name="MF_ABB_peenya">#REF!</definedName>
    <definedName name="MF_AIC_Imp">#REF!</definedName>
    <definedName name="MF_AIC_local">#REF!</definedName>
    <definedName name="MF_AUTImp_ABB">#REF!</definedName>
    <definedName name="MF_AUTImp_NonABB">#REF!</definedName>
    <definedName name="MF_NonABB_local">#REF!</definedName>
    <definedName name="Mf_v">#REF!</definedName>
    <definedName name="mff">#REF!</definedName>
    <definedName name="MFit">#REF!</definedName>
    <definedName name="Mfour">#REF!</definedName>
    <definedName name="MFS">INDEX(#REF!,MATCH(#REF!,#REF!,0))</definedName>
    <definedName name="MG" localSheetId="12">INDEX(#REF!,MATCH(#REF!,#REF!,0))</definedName>
    <definedName name="MG" localSheetId="29">INDEX(#REF!,MATCH(#REF!,#REF!,0))</definedName>
    <definedName name="MG" localSheetId="27">INDEX(#REF!,MATCH(#REF!,#REF!,0))</definedName>
    <definedName name="MG" localSheetId="4">INDEX(#REF!,MATCH(#REF!,#REF!,0))</definedName>
    <definedName name="MG" localSheetId="32">INDEX(#REF!,MATCH(#REF!,#REF!,0))</definedName>
    <definedName name="Mg" localSheetId="24">#REF!</definedName>
    <definedName name="MG" localSheetId="26">INDEX(#REF!,MATCH(#REF!,#REF!,0))</definedName>
    <definedName name="MG">INDEX(#REF!,MATCH(#REF!,#REF!,0))</definedName>
    <definedName name="Mg_v">#REF!</definedName>
    <definedName name="MGS">INDEX(#REF!,MATCH(#REF!,#REF!,0))</definedName>
    <definedName name="MH" localSheetId="12">INDEX(#REF!,MATCH(#REF!,#REF!,0))</definedName>
    <definedName name="MH" localSheetId="29">INDEX(#REF!,MATCH(#REF!,#REF!,0))</definedName>
    <definedName name="MH" localSheetId="27">INDEX(#REF!,MATCH(#REF!,#REF!,0))</definedName>
    <definedName name="MH" localSheetId="4">INDEX(#REF!,MATCH(#REF!,#REF!,0))</definedName>
    <definedName name="MH" localSheetId="32">INDEX(#REF!,MATCH(#REF!,#REF!,0))</definedName>
    <definedName name="Mh" localSheetId="24">#REF!</definedName>
    <definedName name="MH" localSheetId="26">INDEX(#REF!,MATCH(#REF!,#REF!,0))</definedName>
    <definedName name="MH">INDEX(#REF!,MATCH(#REF!,#REF!,0))</definedName>
    <definedName name="Mh_v">#REF!</definedName>
    <definedName name="Mhpc" localSheetId="6">#REF!:#REF!</definedName>
    <definedName name="Mhpc" localSheetId="29">#REF!:#REF!</definedName>
    <definedName name="Mhpc" localSheetId="4">#REF!:#REF!</definedName>
    <definedName name="Mhpc" localSheetId="32">#REF!:#REF!</definedName>
    <definedName name="Mhpc" localSheetId="24">#REF!:#REF!</definedName>
    <definedName name="Mhpc" localSheetId="26">#REF!:#REF!</definedName>
    <definedName name="Mhpc">#REF!:#REF!</definedName>
    <definedName name="Mhpipd" localSheetId="6">#REF!</definedName>
    <definedName name="Mhpipd" localSheetId="29">#REF!</definedName>
    <definedName name="Mhpipd" localSheetId="27">#REF!</definedName>
    <definedName name="Mhpipd" localSheetId="4">#REF!</definedName>
    <definedName name="Mhpipd" localSheetId="32">#REF!</definedName>
    <definedName name="Mhpipd" localSheetId="24">#REF!</definedName>
    <definedName name="Mhpipd" localSheetId="26">#REF!</definedName>
    <definedName name="Mhpipd">#REF!</definedName>
    <definedName name="Mhps" localSheetId="6">#REF!</definedName>
    <definedName name="Mhps" localSheetId="29">#REF!</definedName>
    <definedName name="Mhps" localSheetId="27">#REF!</definedName>
    <definedName name="Mhps" localSheetId="4">#REF!</definedName>
    <definedName name="Mhps" localSheetId="32">#REF!</definedName>
    <definedName name="Mhps" localSheetId="24">#REF!</definedName>
    <definedName name="Mhps" localSheetId="26">#REF!</definedName>
    <definedName name="Mhps">#REF!</definedName>
    <definedName name="MHR" localSheetId="6">#REF!</definedName>
    <definedName name="MHR" localSheetId="29">#REF!</definedName>
    <definedName name="MHR" localSheetId="26">#REF!</definedName>
    <definedName name="MHR">#REF!</definedName>
    <definedName name="MHS">INDEX(#REF!,MATCH(#REF!,#REF!,0))</definedName>
    <definedName name="MHs_per_MM">#REF!</definedName>
    <definedName name="MI" localSheetId="12">INDEX(#REF!,MATCH(#REF!,#REF!,0))</definedName>
    <definedName name="MI" localSheetId="27">INDEX(#REF!,MATCH(#REF!,#REF!,0))</definedName>
    <definedName name="MI" localSheetId="24">INDEX(#REF!,MATCH(#REF!,#REF!,0))</definedName>
    <definedName name="MI">INDEX(#REF!,MATCH(#REF!,#REF!,0))</definedName>
    <definedName name="microsilica" localSheetId="6">#REF!</definedName>
    <definedName name="microsilica" localSheetId="27">#REF!</definedName>
    <definedName name="microsilica" localSheetId="4">#REF!</definedName>
    <definedName name="microsilica" localSheetId="32">#REF!</definedName>
    <definedName name="microsilica" localSheetId="24">#REF!</definedName>
    <definedName name="microsilica">#REF!</definedName>
    <definedName name="Mid_Downstream">#REF!</definedName>
    <definedName name="Mii">#REF!</definedName>
    <definedName name="Miii">#REF!</definedName>
    <definedName name="Mild_steel" localSheetId="6">#REF!</definedName>
    <definedName name="Mild_steel" localSheetId="27">#REF!</definedName>
    <definedName name="Mild_steel" localSheetId="4">#REF!</definedName>
    <definedName name="Mild_steel" localSheetId="32">#REF!</definedName>
    <definedName name="Mild_steel" localSheetId="24">#REF!</definedName>
    <definedName name="Mild_steel">#REF!</definedName>
    <definedName name="mile">#REF!</definedName>
    <definedName name="mille" localSheetId="6">#REF!</definedName>
    <definedName name="mille" localSheetId="27">#REF!</definedName>
    <definedName name="mille" localSheetId="4">#REF!</definedName>
    <definedName name="mille" localSheetId="32">#REF!</definedName>
    <definedName name="mille" localSheetId="24">#REF!</definedName>
    <definedName name="mille">#REF!</definedName>
    <definedName name="mimim" localSheetId="12" hidden="1">{"CASH FLOW",#N/A,FALSE,"A"}</definedName>
    <definedName name="mimim" hidden="1">{"CASH FLOW",#N/A,FALSE,"A"}</definedName>
    <definedName name="MinSM" localSheetId="29">#REF!</definedName>
    <definedName name="MinSM" localSheetId="24">#REF!</definedName>
    <definedName name="MinSM" localSheetId="26">#REF!</definedName>
    <definedName name="MinSM">#REF!</definedName>
    <definedName name="MinSNo" localSheetId="12">#REF!</definedName>
    <definedName name="MinSNo">#REF!</definedName>
    <definedName name="Mipc" localSheetId="6">#REF!:#REF!</definedName>
    <definedName name="Mipc" localSheetId="29">#REF!:#REF!</definedName>
    <definedName name="Mipc" localSheetId="27">#REF!:#REF!</definedName>
    <definedName name="Mipc" localSheetId="4">#REF!:#REF!</definedName>
    <definedName name="Mipc" localSheetId="32">#REF!:#REF!</definedName>
    <definedName name="Mipc" localSheetId="26">#REF!:#REF!</definedName>
    <definedName name="Mipc">#REF!:#REF!</definedName>
    <definedName name="Mips" localSheetId="6">#REF!</definedName>
    <definedName name="Mips" localSheetId="29">#REF!</definedName>
    <definedName name="Mips" localSheetId="27">#REF!</definedName>
    <definedName name="Mips" localSheetId="4">#REF!</definedName>
    <definedName name="Mips" localSheetId="32">#REF!</definedName>
    <definedName name="Mips" localSheetId="24">#REF!</definedName>
    <definedName name="Mips" localSheetId="26">#REF!</definedName>
    <definedName name="Mips">#REF!</definedName>
    <definedName name="MIS">INDEX(#REF!,MATCH(#REF!,#REF!,0))</definedName>
    <definedName name="MISADN">#REF!</definedName>
    <definedName name="misc" localSheetId="6">#REF!</definedName>
    <definedName name="misc" localSheetId="29">#REF!</definedName>
    <definedName name="misc" localSheetId="26">#REF!</definedName>
    <definedName name="misc">#REF!</definedName>
    <definedName name="Misc_charges" localSheetId="6">#REF!</definedName>
    <definedName name="Misc_charges">#REF!</definedName>
    <definedName name="Misc_Sales">#REF!</definedName>
    <definedName name="Mix_15" localSheetId="6">#REF!</definedName>
    <definedName name="Mix_15" localSheetId="27">#REF!</definedName>
    <definedName name="Mix_15" localSheetId="4">#REF!</definedName>
    <definedName name="Mix_15" localSheetId="32">#REF!</definedName>
    <definedName name="Mix_15" localSheetId="24">#REF!</definedName>
    <definedName name="Mix_15">#REF!</definedName>
    <definedName name="Mix_30" localSheetId="6">#REF!</definedName>
    <definedName name="Mix_30" localSheetId="27">#REF!</definedName>
    <definedName name="Mix_30" localSheetId="4">#REF!</definedName>
    <definedName name="Mix_30" localSheetId="32">#REF!</definedName>
    <definedName name="Mix_30" localSheetId="24">#REF!</definedName>
    <definedName name="Mix_30">#REF!</definedName>
    <definedName name="MJ" localSheetId="12">INDEX(#REF!,MATCH(#REF!,#REF!,0))</definedName>
    <definedName name="MJ" localSheetId="27">INDEX(#REF!,MATCH(#REF!,#REF!,0))</definedName>
    <definedName name="MJ" localSheetId="24">INDEX(#REF!,MATCH(#REF!,#REF!,0))</definedName>
    <definedName name="MJ">INDEX(#REF!,MATCH(#REF!,#REF!,0))</definedName>
    <definedName name="MJS">INDEX(#REF!,MATCH(#REF!,#REF!,0))</definedName>
    <definedName name="MK" localSheetId="12">INDEX(#REF!,MATCH(#REF!,#REF!,0))</definedName>
    <definedName name="MK" localSheetId="27">INDEX(#REF!,MATCH(#REF!,#REF!,0))</definedName>
    <definedName name="MK" localSheetId="4">INDEX(#REF!,MATCH(#REF!,#REF!,0))</definedName>
    <definedName name="MK" localSheetId="32">INDEX(#REF!,MATCH(#REF!,#REF!,0))</definedName>
    <definedName name="MK" localSheetId="24">INDEX(#REF!,MATCH(#REF!,#REF!,0))</definedName>
    <definedName name="MK">INDEX(#REF!,MATCH(#REF!,#REF!,0))</definedName>
    <definedName name="MKP" localSheetId="29">#REF!</definedName>
    <definedName name="MKP" localSheetId="26">#REF!</definedName>
    <definedName name="MKP">#REF!</definedName>
    <definedName name="ML" localSheetId="12">INDEX(#REF!,MATCH(#REF!,#REF!,0))</definedName>
    <definedName name="ML" localSheetId="29">INDEX(#REF!,MATCH(#REF!,#REF!,0))</definedName>
    <definedName name="ML" localSheetId="27">INDEX(#REF!,MATCH(#REF!,#REF!,0))</definedName>
    <definedName name="ML" localSheetId="4">INDEX(#REF!,MATCH(#REF!,#REF!,0))</definedName>
    <definedName name="ML" localSheetId="32">INDEX(#REF!,MATCH(#REF!,#REF!,0))</definedName>
    <definedName name="ml" localSheetId="24">#REF!</definedName>
    <definedName name="ML" localSheetId="26">INDEX(#REF!,MATCH(#REF!,#REF!,0))</definedName>
    <definedName name="ML">INDEX(#REF!,MATCH(#REF!,#REF!,0))</definedName>
    <definedName name="ml33b1" localSheetId="12">#REF!</definedName>
    <definedName name="ml33b1" localSheetId="4">#REF!</definedName>
    <definedName name="ml33b1" localSheetId="32">#REF!</definedName>
    <definedName name="ml33b1">#REF!</definedName>
    <definedName name="ml33b2" localSheetId="12">#REF!</definedName>
    <definedName name="ml33b2" localSheetId="4">#REF!</definedName>
    <definedName name="ml33b2" localSheetId="32">#REF!</definedName>
    <definedName name="ml33b2">#REF!</definedName>
    <definedName name="ml33b3" localSheetId="12">#REF!</definedName>
    <definedName name="ml33b3" localSheetId="4">#REF!</definedName>
    <definedName name="ml33b3" localSheetId="32">#REF!</definedName>
    <definedName name="ml33b3">#REF!</definedName>
    <definedName name="ml33kv" localSheetId="12">#REF!</definedName>
    <definedName name="ml33kv" localSheetId="4">#REF!</definedName>
    <definedName name="ml33kv" localSheetId="32">#REF!</definedName>
    <definedName name="ml33kv">#REF!</definedName>
    <definedName name="mlbs">#REF!</definedName>
    <definedName name="mlc33b1" localSheetId="12">#REF!</definedName>
    <definedName name="mlc33b1" localSheetId="4">#REF!</definedName>
    <definedName name="mlc33b1" localSheetId="32">#REF!</definedName>
    <definedName name="mlc33b1">#REF!</definedName>
    <definedName name="mlc33b2" localSheetId="12">#REF!</definedName>
    <definedName name="mlc33b2" localSheetId="4">#REF!</definedName>
    <definedName name="mlc33b2" localSheetId="32">#REF!</definedName>
    <definedName name="mlc33b2">#REF!</definedName>
    <definedName name="mlc33b3" localSheetId="12">#REF!</definedName>
    <definedName name="mlc33b3" localSheetId="4">#REF!</definedName>
    <definedName name="mlc33b3" localSheetId="32">#REF!</definedName>
    <definedName name="mlc33b3">#REF!</definedName>
    <definedName name="mlclf" localSheetId="12">#REF!</definedName>
    <definedName name="mlclf" localSheetId="4">#REF!</definedName>
    <definedName name="mlclf" localSheetId="32">#REF!</definedName>
    <definedName name="mlclf">#REF!</definedName>
    <definedName name="mld">#REF!</definedName>
    <definedName name="mll">#REF!</definedName>
    <definedName name="mllf" localSheetId="12">#REF!</definedName>
    <definedName name="mllf" localSheetId="4">#REF!</definedName>
    <definedName name="mllf" localSheetId="32">#REF!</definedName>
    <definedName name="mllf">#REF!</definedName>
    <definedName name="Mlpc" localSheetId="6">#REF!</definedName>
    <definedName name="Mlpc" localSheetId="29">#REF!</definedName>
    <definedName name="Mlpc" localSheetId="27">#REF!</definedName>
    <definedName name="Mlpc" localSheetId="4">#REF!</definedName>
    <definedName name="Mlpc" localSheetId="32">#REF!</definedName>
    <definedName name="Mlpc" localSheetId="24">#REF!</definedName>
    <definedName name="Mlpc" localSheetId="26">#REF!</definedName>
    <definedName name="Mlpc">#REF!</definedName>
    <definedName name="Mlpd" localSheetId="6">#REF!</definedName>
    <definedName name="Mlpd" localSheetId="29">#REF!</definedName>
    <definedName name="Mlpd" localSheetId="27">#REF!</definedName>
    <definedName name="Mlpd" localSheetId="4">#REF!</definedName>
    <definedName name="Mlpd" localSheetId="32">#REF!</definedName>
    <definedName name="Mlpd" localSheetId="24">#REF!</definedName>
    <definedName name="Mlpd" localSheetId="26">#REF!</definedName>
    <definedName name="Mlpd">#REF!</definedName>
    <definedName name="Mlps" localSheetId="6">#REF!</definedName>
    <definedName name="Mlps" localSheetId="29">#REF!</definedName>
    <definedName name="Mlps" localSheetId="27">#REF!</definedName>
    <definedName name="Mlps" localSheetId="4">#REF!</definedName>
    <definedName name="Mlps" localSheetId="32">#REF!</definedName>
    <definedName name="Mlps" localSheetId="24">#REF!</definedName>
    <definedName name="Mlps" localSheetId="26">#REF!</definedName>
    <definedName name="Mlps">#REF!</definedName>
    <definedName name="mlt">#REF!</definedName>
    <definedName name="mltf" localSheetId="12">#REF!</definedName>
    <definedName name="mltf" localSheetId="4">#REF!</definedName>
    <definedName name="mltf" localSheetId="32">#REF!</definedName>
    <definedName name="mltf" localSheetId="24">#REF!</definedName>
    <definedName name="mltf">#REF!</definedName>
    <definedName name="MM" localSheetId="12">INDEX(#REF!,MATCH(#REF!,#REF!,0))</definedName>
    <definedName name="MM" localSheetId="29">#REF!</definedName>
    <definedName name="MM" localSheetId="26">#REF!</definedName>
    <definedName name="MM">#REF!</definedName>
    <definedName name="MM3_to_M3">0.000001</definedName>
    <definedName name="MMB">#REF!</definedName>
    <definedName name="MMCHECK">#REF!</definedName>
    <definedName name="MMCOPY">#REF!</definedName>
    <definedName name="mmm" localSheetId="12">#REF!</definedName>
    <definedName name="mmm" localSheetId="6">#REF!</definedName>
    <definedName name="mmm" localSheetId="29">#REF!</definedName>
    <definedName name="mmm" localSheetId="24">#REF!</definedName>
    <definedName name="mmm" localSheetId="26">#REF!</definedName>
    <definedName name="mmm">#REF!</definedName>
    <definedName name="mmmm">#REF!</definedName>
    <definedName name="mmmmmmmmmm">#REF!</definedName>
    <definedName name="MMPASTE">#REF!</definedName>
    <definedName name="MN" localSheetId="6">#REF!</definedName>
    <definedName name="MN">#REF!</definedName>
    <definedName name="mnk">#REF!</definedName>
    <definedName name="mo" localSheetId="6">#REF!</definedName>
    <definedName name="mo">#REF!</definedName>
    <definedName name="modassar">#REF!</definedName>
    <definedName name="mode_list" localSheetId="12">#REF!</definedName>
    <definedName name="mode_list">#REF!</definedName>
    <definedName name="ModelNo" localSheetId="12">#REF!</definedName>
    <definedName name="ModelNo">#REF!</definedName>
    <definedName name="modified" localSheetId="12">#REF!</definedName>
    <definedName name="modified">#REF!</definedName>
    <definedName name="modular">#REF!</definedName>
    <definedName name="Module1.NOTES">#N/A</definedName>
    <definedName name="Module1.UNITOK">#N/A</definedName>
    <definedName name="modvat" localSheetId="29">#REF!</definedName>
    <definedName name="modvat" localSheetId="26">#REF!</definedName>
    <definedName name="modvat" localSheetId="2">#REF!</definedName>
    <definedName name="modvat">#REF!</definedName>
    <definedName name="mohan">#REF!</definedName>
    <definedName name="Mone">#REF!</definedName>
    <definedName name="MONEY" localSheetId="6">#REF!,#REF!</definedName>
    <definedName name="MONEY" localSheetId="29">#REF!,#REF!</definedName>
    <definedName name="MONEY" localSheetId="24">#REF!,#REF!</definedName>
    <definedName name="MONEY" localSheetId="26">#REF!,#REF!</definedName>
    <definedName name="MONEY">#REF!,#REF!</definedName>
    <definedName name="monomode" localSheetId="6">#REF!</definedName>
    <definedName name="monomode" localSheetId="29">#REF!</definedName>
    <definedName name="monomode" localSheetId="24">#REF!</definedName>
    <definedName name="monomode" localSheetId="26">#REF!</definedName>
    <definedName name="monomode">#REF!</definedName>
    <definedName name="Montagesatz" localSheetId="6">#REF!</definedName>
    <definedName name="Montagesatz" localSheetId="24">#REF!</definedName>
    <definedName name="Montagesatz">#REF!</definedName>
    <definedName name="Month" localSheetId="12">#REF!</definedName>
    <definedName name="Month" localSheetId="29">#REF!</definedName>
    <definedName name="Month" localSheetId="4">#REF!</definedName>
    <definedName name="Month" localSheetId="32">#REF!</definedName>
    <definedName name="Month" localSheetId="26">#REF!</definedName>
    <definedName name="Month">#REF!</definedName>
    <definedName name="Monthly" localSheetId="29">#REF!</definedName>
    <definedName name="Monthly" localSheetId="26">#REF!</definedName>
    <definedName name="Monthly">#REF!</definedName>
    <definedName name="monthprogress" localSheetId="12">#REF!</definedName>
    <definedName name="monthprogress">#REF!</definedName>
    <definedName name="months">#REF!</definedName>
    <definedName name="MonthYear" localSheetId="12">#REF!</definedName>
    <definedName name="MonthYear">#REF!</definedName>
    <definedName name="MOO">#REF!</definedName>
    <definedName name="MoreFruit">#REF!</definedName>
    <definedName name="MoreItem">#REF!</definedName>
    <definedName name="MoreItems">#REF!</definedName>
    <definedName name="mortar12" localSheetId="6">#REF!</definedName>
    <definedName name="mortar12" localSheetId="27">#REF!</definedName>
    <definedName name="mortar12" localSheetId="4">#REF!</definedName>
    <definedName name="mortar12" localSheetId="32">#REF!</definedName>
    <definedName name="mortar12" localSheetId="24">#REF!</definedName>
    <definedName name="mortar12">#REF!</definedName>
    <definedName name="Motor_data">#REF!</definedName>
    <definedName name="MP" localSheetId="12" hidden="1">{#N/A,#N/A,FALSE,"CCTV"}</definedName>
    <definedName name="MP" localSheetId="6" hidden="1">{#N/A,#N/A,FALSE,"CCTV"}</definedName>
    <definedName name="MP" localSheetId="29" hidden="1">{#N/A,#N/A,FALSE,"CCTV"}</definedName>
    <definedName name="MP" localSheetId="27" hidden="1">{#N/A,#N/A,FALSE,"CCTV"}</definedName>
    <definedName name="MP" localSheetId="4" hidden="1">{#N/A,#N/A,FALSE,"CCTV"}</definedName>
    <definedName name="MP" localSheetId="32" hidden="1">{#N/A,#N/A,FALSE,"CCTV"}</definedName>
    <definedName name="MP" localSheetId="24" hidden="1">{#N/A,#N/A,FALSE,"CCTV"}</definedName>
    <definedName name="MP" localSheetId="26" hidden="1">{#N/A,#N/A,FALSE,"CCTV"}</definedName>
    <definedName name="MP" hidden="1">{#N/A,#N/A,FALSE,"CCTV"}</definedName>
    <definedName name="MPbackup" localSheetId="6">#REF!</definedName>
    <definedName name="MPbackup" localSheetId="27">#REF!</definedName>
    <definedName name="MPbackup" localSheetId="4">#REF!</definedName>
    <definedName name="MPbackup" localSheetId="32">#REF!</definedName>
    <definedName name="MPbackup" localSheetId="24">#REF!</definedName>
    <definedName name="MPbackup">#REF!</definedName>
    <definedName name="MPMOB" localSheetId="6">#REF!</definedName>
    <definedName name="MPMOB" localSheetId="29">#REF!</definedName>
    <definedName name="MPMOB" localSheetId="24">#REF!</definedName>
    <definedName name="MPMOB" localSheetId="26">#REF!</definedName>
    <definedName name="MPMOB">#REF!</definedName>
    <definedName name="MPwr_Percent" localSheetId="6">#REF!</definedName>
    <definedName name="MPwr_Percent" localSheetId="29">#REF!</definedName>
    <definedName name="MPwr_Percent" localSheetId="26">#REF!</definedName>
    <definedName name="MPwr_Percent">#REF!</definedName>
    <definedName name="Mpwr_Sales" localSheetId="29">#REF!</definedName>
    <definedName name="Mpwr_Sales" localSheetId="26">#REF!</definedName>
    <definedName name="Mpwr_Sales">#REF!</definedName>
    <definedName name="ms" localSheetId="4">125</definedName>
    <definedName name="ms" localSheetId="32">125</definedName>
    <definedName name="ms">125</definedName>
    <definedName name="MS.NO" localSheetId="29">#REF!</definedName>
    <definedName name="MS.NO" localSheetId="26">#REF!</definedName>
    <definedName name="MS.NO">#REF!</definedName>
    <definedName name="MS_Royalty" localSheetId="29">#REF!</definedName>
    <definedName name="MS_Royalty" localSheetId="26">#REF!</definedName>
    <definedName name="MS_Royalty" localSheetId="2">#REF!</definedName>
    <definedName name="MS_Royalty">#REF!</definedName>
    <definedName name="MS200202rev2">#REF!</definedName>
    <definedName name="ms2002may1706">#REF!</definedName>
    <definedName name="Msbdo">#REF!</definedName>
    <definedName name="msc">#REF!</definedName>
    <definedName name="MSC_SA_Transit" localSheetId="12" hidden="1">{#N/A,#N/A,TRUE,"Perm";#N/A,#N/A,TRUE,"Architecture"}</definedName>
    <definedName name="MSC_SA_Transit" hidden="1">{#N/A,#N/A,TRUE,"Perm";#N/A,#N/A,TRUE,"Architecture"}</definedName>
    <definedName name="msj">#REF!</definedName>
    <definedName name="msjune1807">#REF!</definedName>
    <definedName name="MSL">#REF!</definedName>
    <definedName name="mss" localSheetId="12">#REF!</definedName>
    <definedName name="mss" localSheetId="4">#REF!</definedName>
    <definedName name="mss" localSheetId="32">#REF!</definedName>
    <definedName name="mss">#REF!</definedName>
    <definedName name="Mthree">#REF!</definedName>
    <definedName name="MTR">#REF!</definedName>
    <definedName name="Mtwo">#REF!</definedName>
    <definedName name="mu" localSheetId="12">110</definedName>
    <definedName name="mu" localSheetId="29">#REF!</definedName>
    <definedName name="mu" localSheetId="24">110</definedName>
    <definedName name="mu" localSheetId="26">#REF!</definedName>
    <definedName name="mu">#REF!</definedName>
    <definedName name="mue" localSheetId="29">#REF!</definedName>
    <definedName name="mue" localSheetId="24">#REF!</definedName>
    <definedName name="mue" localSheetId="26">#REF!</definedName>
    <definedName name="mue">#REF!</definedName>
    <definedName name="mugab" localSheetId="29">#REF!</definedName>
    <definedName name="mugab" localSheetId="26">#REF!</definedName>
    <definedName name="mugab">#REF!</definedName>
    <definedName name="mullootubnomtau" localSheetId="29">#REF!</definedName>
    <definedName name="mullootubnomtau" localSheetId="26">#REF!</definedName>
    <definedName name="mullootubnomtau">#REF!</definedName>
    <definedName name="mullootubnumcol">#REF!</definedName>
    <definedName name="MultipleSets">#REF!</definedName>
    <definedName name="MultipleSetsArea">#REF!</definedName>
    <definedName name="MultipleSetsLabel">#REF!</definedName>
    <definedName name="MultipleSetsPrice">#REF!</definedName>
    <definedName name="MUNION">#REF!</definedName>
    <definedName name="MUNON">#REF!</definedName>
    <definedName name="MUTP">#REF!</definedName>
    <definedName name="MVAR50">#REF!</definedName>
    <definedName name="MVAR63">#REF!</definedName>
    <definedName name="MVAR80">#REF!</definedName>
    <definedName name="MVP_Total" localSheetId="2">#REF!</definedName>
    <definedName name="MVP_Total">#REF!</definedName>
    <definedName name="MVXMJHH">#REF!</definedName>
    <definedName name="MyList">#REF!</definedName>
    <definedName name="myrtet" localSheetId="12" hidden="1">{"PLANT BREAKUP",#N/A,FALSE,"E"}</definedName>
    <definedName name="myrtet" hidden="1">{"PLANT BREAKUP",#N/A,FALSE,"E"}</definedName>
    <definedName name="n">#REF!</definedName>
    <definedName name="N___0">#REF!</definedName>
    <definedName name="N___13">#REF!</definedName>
    <definedName name="n0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 localSheetId="12">INDEX(#REF!,MATCH(#REF!,#REF!,0))</definedName>
    <definedName name="NA" localSheetId="27">INDEX(#REF!,MATCH(#REF!,#REF!,0))</definedName>
    <definedName name="NA" localSheetId="4">INDEX(#REF!,MATCH(#REF!,#REF!,0))</definedName>
    <definedName name="NA" localSheetId="32">INDEX(#REF!,MATCH(#REF!,#REF!,0))</definedName>
    <definedName name="NA" localSheetId="24">INDEX(#REF!,MATCH(#REF!,#REF!,0))</definedName>
    <definedName name="NA">INDEX(#REF!,MATCH(#REF!,#REF!,0))</definedName>
    <definedName name="NAAC">#REF!</definedName>
    <definedName name="NAAR">#REF!</definedName>
    <definedName name="name">#REF!</definedName>
    <definedName name="Name_Company" localSheetId="12">#REF!</definedName>
    <definedName name="Name_Company" localSheetId="4">#REF!</definedName>
    <definedName name="Name_Company" localSheetId="32">#REF!</definedName>
    <definedName name="Name_Company">#REF!</definedName>
    <definedName name="Name_Project" localSheetId="12">#REF!</definedName>
    <definedName name="Name_Project" localSheetId="4">#REF!</definedName>
    <definedName name="Name_Project" localSheetId="32">#REF!</definedName>
    <definedName name="Name_Project">#REF!</definedName>
    <definedName name="nameofbags">#REF!</definedName>
    <definedName name="NAS">INDEX(#REF!,MATCH(#REF!,#REF!,0))</definedName>
    <definedName name="Nature">#REF!</definedName>
    <definedName name="NB" localSheetId="12">INDEX(#REF!,MATCH(#REF!,#REF!,0))</definedName>
    <definedName name="NB" localSheetId="27">INDEX(#REF!,MATCH(#REF!,#REF!,0))</definedName>
    <definedName name="NB" localSheetId="4">INDEX(#REF!,MATCH(#REF!,#REF!,0))</definedName>
    <definedName name="NB" localSheetId="32">INDEX(#REF!,MATCH(#REF!,#REF!,0))</definedName>
    <definedName name="NB" localSheetId="24">INDEX(#REF!,MATCH(#REF!,#REF!,0))</definedName>
    <definedName name="NB">INDEX(#REF!,MATCH(#REF!,#REF!,0))</definedName>
    <definedName name="NBS">INDEX(#REF!,MATCH(#REF!,#REF!,0))</definedName>
    <definedName name="NC" localSheetId="12">INDEX(#REF!,MATCH(#REF!,#REF!,0))</definedName>
    <definedName name="NC" localSheetId="27">INDEX(#REF!,MATCH(#REF!,#REF!,0))</definedName>
    <definedName name="NC" localSheetId="4">INDEX(#REF!,MATCH(#REF!,#REF!,0))</definedName>
    <definedName name="NC" localSheetId="32">INDEX(#REF!,MATCH(#REF!,#REF!,0))</definedName>
    <definedName name="NC" localSheetId="24">INDEX(#REF!,MATCH(#REF!,#REF!,0))</definedName>
    <definedName name="NC">INDEX(#REF!,MATCH(#REF!,#REF!,0))</definedName>
    <definedName name="ncfnvo" localSheetId="12">#REF!</definedName>
    <definedName name="ncfnvo">#REF!</definedName>
    <definedName name="ncr_001" localSheetId="12" hidden="1">{#N/A,#N/A,FALSE,"CAPTION LIST (As-Built)";#N/A,#N/A,FALSE,"DOCUMENT LIST (As-Built)";#N/A,#N/A,FALSE,"PLANT SPECIFICATION";#N/A,#N/A,FALSE,"PRODUCT LIST"}</definedName>
    <definedName name="ncr_001" hidden="1">{#N/A,#N/A,FALSE,"CAPTION LIST (As-Built)";#N/A,#N/A,FALSE,"DOCUMENT LIST (As-Built)";#N/A,#N/A,FALSE,"PLANT SPECIFICATION";#N/A,#N/A,FALSE,"PRODUCT LIST"}</definedName>
    <definedName name="NCS">INDEX(#REF!,MATCH(#REF!,#REF!,0))</definedName>
    <definedName name="ND" localSheetId="12">INDEX(#REF!,MATCH(#REF!,#REF!,0))</definedName>
    <definedName name="ND" localSheetId="27">INDEX(#REF!,MATCH(#REF!,#REF!,0))</definedName>
    <definedName name="ND" localSheetId="4">INDEX(#REF!,MATCH(#REF!,#REF!,0))</definedName>
    <definedName name="ND" localSheetId="32">INDEX(#REF!,MATCH(#REF!,#REF!,0))</definedName>
    <definedName name="ND" localSheetId="24">INDEX(#REF!,MATCH(#REF!,#REF!,0))</definedName>
    <definedName name="ND">INDEX(#REF!,MATCH(#REF!,#REF!,0))</definedName>
    <definedName name="NDS">INDEX(#REF!,MATCH(#REF!,#REF!,0))</definedName>
    <definedName name="NE" localSheetId="12">INDEX(#REF!,MATCH(#REF!,#REF!,0))</definedName>
    <definedName name="NE" localSheetId="27">INDEX(#REF!,MATCH(#REF!,#REF!,0))</definedName>
    <definedName name="NE" localSheetId="4">INDEX(#REF!,MATCH(#REF!,#REF!,0))</definedName>
    <definedName name="NE" localSheetId="32">INDEX(#REF!,MATCH(#REF!,#REF!,0))</definedName>
    <definedName name="NE" localSheetId="24">INDEX(#REF!,MATCH(#REF!,#REF!,0))</definedName>
    <definedName name="NE">INDEX(#REF!,MATCH(#REF!,#REF!,0))</definedName>
    <definedName name="needle">#REF!</definedName>
    <definedName name="Neg_Margin">#REF!</definedName>
    <definedName name="NEng">#REF!</definedName>
    <definedName name="NERSS">#REF!</definedName>
    <definedName name="NES">INDEX(#REF!,MATCH(#REF!,#REF!,0))</definedName>
    <definedName name="NET">#REF!</definedName>
    <definedName name="New" localSheetId="4">#REF!</definedName>
    <definedName name="New" localSheetId="32">#REF!</definedName>
    <definedName name="New">#REF!</definedName>
    <definedName name="new_1">#REF!</definedName>
    <definedName name="NEWNAME" localSheetId="12" hidden="1">{#N/A,#N/A,FALSE,"CCTV"}</definedName>
    <definedName name="NEWNAME" localSheetId="6" hidden="1">{#N/A,#N/A,FALSE,"CCTV"}</definedName>
    <definedName name="NEWNAME" localSheetId="29" hidden="1">{#N/A,#N/A,FALSE,"CCTV"}</definedName>
    <definedName name="NEWNAME" localSheetId="27" hidden="1">{#N/A,#N/A,FALSE,"CCTV"}</definedName>
    <definedName name="NEWNAME" localSheetId="4" hidden="1">{#N/A,#N/A,FALSE,"CCTV"}</definedName>
    <definedName name="NEWNAME" localSheetId="32" hidden="1">{#N/A,#N/A,FALSE,"CCTV"}</definedName>
    <definedName name="NEWNAME" localSheetId="24" hidden="1">{#N/A,#N/A,FALSE,"CCTV"}</definedName>
    <definedName name="NEWNAME" localSheetId="26" hidden="1">{#N/A,#N/A,FALSE,"CCTV"}</definedName>
    <definedName name="NEWNAME" hidden="1">{#N/A,#N/A,FALSE,"CCTV"}</definedName>
    <definedName name="NEWQTY">#REF!</definedName>
    <definedName name="NF" localSheetId="12">INDEX(#REF!,MATCH(#REF!,#REF!,0))</definedName>
    <definedName name="NF" localSheetId="27">INDEX(#REF!,MATCH(#REF!,#REF!,0))</definedName>
    <definedName name="NF" localSheetId="24">INDEX(#REF!,MATCH(#REF!,#REF!,0))</definedName>
    <definedName name="NF">INDEX(#REF!,MATCH(#REF!,#REF!,0))</definedName>
    <definedName name="NFS">INDEX(#REF!,MATCH(#REF!,#REF!,0))</definedName>
    <definedName name="NG" localSheetId="12">INDEX(#REF!,MATCH(#REF!,#REF!,0))</definedName>
    <definedName name="NG" localSheetId="27">INDEX(#REF!,MATCH(#REF!,#REF!,0))</definedName>
    <definedName name="NG" localSheetId="24">INDEX(#REF!,MATCH(#REF!,#REF!,0))</definedName>
    <definedName name="NG">INDEX(#REF!,MATCH(#REF!,#REF!,0))</definedName>
    <definedName name="Ngan" localSheetId="12">{"Book1"}</definedName>
    <definedName name="Ngan">{"Book1"}</definedName>
    <definedName name="ngcngcvj">#REF!</definedName>
    <definedName name="ngl">#REF!</definedName>
    <definedName name="ngl4tank" localSheetId="6">#REF!</definedName>
    <definedName name="ngl4tank" localSheetId="29">#REF!</definedName>
    <definedName name="ngl4tank" localSheetId="26">#REF!</definedName>
    <definedName name="ngl4tank">#REF!</definedName>
    <definedName name="NGS">INDEX(#REF!,MATCH(#REF!,#REF!,0))</definedName>
    <definedName name="NH" localSheetId="12">INDEX(#REF!,MATCH(#REF!,#REF!,0))</definedName>
    <definedName name="NH" localSheetId="27">INDEX(#REF!,MATCH(#REF!,#REF!,0))</definedName>
    <definedName name="NH" localSheetId="24">INDEX(#REF!,MATCH(#REF!,#REF!,0))</definedName>
    <definedName name="NH">INDEX(#REF!,MATCH(#REF!,#REF!,0))</definedName>
    <definedName name="NHGG" localSheetId="6">#REF!</definedName>
    <definedName name="NHGG" localSheetId="29">#REF!</definedName>
    <definedName name="NHGG" localSheetId="26">#REF!</definedName>
    <definedName name="NHGG">#REF!</definedName>
    <definedName name="NHJK" localSheetId="12">#REF!</definedName>
    <definedName name="NHJK">#REF!</definedName>
    <definedName name="NHP" localSheetId="6">#REF!</definedName>
    <definedName name="NHP">#REF!</definedName>
    <definedName name="NHS">INDEX(#REF!,MATCH(#REF!,#REF!,0))</definedName>
    <definedName name="NI" localSheetId="12">INDEX(#REF!,MATCH(#REF!,#REF!,0))</definedName>
    <definedName name="NI" localSheetId="29">INDEX(#REF!,MATCH(#REF!,#REF!,0))</definedName>
    <definedName name="NI" localSheetId="27">INDEX(#REF!,MATCH(#REF!,#REF!,0))</definedName>
    <definedName name="NI" localSheetId="4">INDEX(#REF!,MATCH(#REF!,#REF!,0))</definedName>
    <definedName name="NI" localSheetId="32">INDEX(#REF!,MATCH(#REF!,#REF!,0))</definedName>
    <definedName name="ni" localSheetId="24">#REF!</definedName>
    <definedName name="NI" localSheetId="26">INDEX(#REF!,MATCH(#REF!,#REF!,0))</definedName>
    <definedName name="NI">INDEX(#REF!,MATCH(#REF!,#REF!,0))</definedName>
    <definedName name="nikhil">#REF!</definedName>
    <definedName name="NIL" localSheetId="2">#REF!</definedName>
    <definedName name="NIL">#REF!</definedName>
    <definedName name="nild">#REF!</definedName>
    <definedName name="NIPP">#REF!</definedName>
    <definedName name="NIS">INDEX(#REF!,MATCH(#REF!,#REF!,0))</definedName>
    <definedName name="nitin">#REF!</definedName>
    <definedName name="NJ" localSheetId="12">INDEX(#REF!,MATCH(#REF!,#REF!,0))</definedName>
    <definedName name="NJ" localSheetId="27">INDEX(#REF!,MATCH(#REF!,#REF!,0))</definedName>
    <definedName name="NJ" localSheetId="24">INDEX(#REF!,MATCH(#REF!,#REF!,0))</definedName>
    <definedName name="NJ">INDEX(#REF!,MATCH(#REF!,#REF!,0))</definedName>
    <definedName name="njn">#REF!</definedName>
    <definedName name="NJPE" localSheetId="12">#REF!</definedName>
    <definedName name="NJPE" localSheetId="29">#REF!</definedName>
    <definedName name="NJPE" localSheetId="26">#REF!</definedName>
    <definedName name="NJPE">#REF!</definedName>
    <definedName name="NJS">INDEX(#REF!,MATCH(#REF!,#REF!,0))</definedName>
    <definedName name="njspsche" localSheetId="12">#REF!</definedName>
    <definedName name="njspsche" localSheetId="29">#REF!</definedName>
    <definedName name="njspsche" localSheetId="26">#REF!</definedName>
    <definedName name="njspsche">#REF!</definedName>
    <definedName name="NK" localSheetId="12">INDEX(#REF!,MATCH(#REF!,#REF!,0))</definedName>
    <definedName name="NK" localSheetId="27">INDEX(#REF!,MATCH(#REF!,#REF!,0))</definedName>
    <definedName name="NK" localSheetId="24">INDEX(#REF!,MATCH(#REF!,#REF!,0))</definedName>
    <definedName name="NK">INDEX(#REF!,MATCH(#REF!,#REF!,0))</definedName>
    <definedName name="NL" localSheetId="12">INDEX(#REF!,MATCH(#REF!,#REF!,0))</definedName>
    <definedName name="NL" localSheetId="27">INDEX(#REF!,MATCH(#REF!,#REF!,0))</definedName>
    <definedName name="NL" localSheetId="24">INDEX(#REF!,MATCH(#REF!,#REF!,0))</definedName>
    <definedName name="NL">INDEX(#REF!,MATCH(#REF!,#REF!,0))</definedName>
    <definedName name="nlg_cd" localSheetId="29">#REF!</definedName>
    <definedName name="nlg_cd" localSheetId="26">#REF!</definedName>
    <definedName name="nlg_cd" localSheetId="2">#REF!</definedName>
    <definedName name="nlg_cd">#REF!</definedName>
    <definedName name="nlg_er" localSheetId="2">#REF!</definedName>
    <definedName name="nlg_er">#REF!</definedName>
    <definedName name="nlg_fi" localSheetId="2">#REF!</definedName>
    <definedName name="nlg_fi">#REF!</definedName>
    <definedName name="nlllk" localSheetId="12" hidden="1">{"'PROFITABILITY'!$A$1:$F$45"}</definedName>
    <definedName name="nlllk" hidden="1">{"'PROFITABILITY'!$A$1:$F$45"}</definedName>
    <definedName name="NM" localSheetId="12">INDEX(#REF!,MATCH(#REF!,#REF!,0))</definedName>
    <definedName name="NM" localSheetId="27">INDEX(#REF!,MATCH(#REF!,#REF!,0))</definedName>
    <definedName name="NM" localSheetId="24">INDEX(#REF!,MATCH(#REF!,#REF!,0))</definedName>
    <definedName name="NM">INDEX(#REF!,MATCH(#REF!,#REF!,0))</definedName>
    <definedName name="nm_1">#REF!</definedName>
    <definedName name="nmk">#REF!</definedName>
    <definedName name="NMPA" localSheetId="6">#REF!</definedName>
    <definedName name="NMPA" localSheetId="27">#REF!</definedName>
    <definedName name="NMPA" localSheetId="4">#REF!</definedName>
    <definedName name="NMPA" localSheetId="32">#REF!</definedName>
    <definedName name="NMPA" localSheetId="24">#REF!</definedName>
    <definedName name="NMPA">#REF!</definedName>
    <definedName name="NN" localSheetId="29">#REF!</definedName>
    <definedName name="nn" localSheetId="24">#REF!</definedName>
    <definedName name="NN" localSheetId="26">#REF!</definedName>
    <definedName name="NN">#REF!</definedName>
    <definedName name="NN___0">#REF!</definedName>
    <definedName name="NN___13">#REF!</definedName>
    <definedName name="NNN">#REF!</definedName>
    <definedName name="nnn_1">#REF!</definedName>
    <definedName name="NNNN" localSheetId="12" hidden="1">{"'PROFITABILITY'!$A$1:$F$45"}</definedName>
    <definedName name="NNNN" localSheetId="6" hidden="1">{"'PROFITABILITY'!$A$1:$F$45"}</definedName>
    <definedName name="NNNN" localSheetId="29" hidden="1">{"'PROFITABILITY'!$A$1:$F$45"}</definedName>
    <definedName name="NNNN" localSheetId="27" hidden="1">{"'PROFITABILITY'!$A$1:$F$45"}</definedName>
    <definedName name="NNNN" localSheetId="4" hidden="1">{"'PROFITABILITY'!$A$1:$F$45"}</definedName>
    <definedName name="NNNN" localSheetId="32" hidden="1">{"'PROFITABILITY'!$A$1:$F$45"}</definedName>
    <definedName name="NNNN" localSheetId="24" hidden="1">{"'PROFITABILITY'!$A$1:$F$45"}</definedName>
    <definedName name="NNNN" localSheetId="26" hidden="1">{"'PROFITABILITY'!$A$1:$F$45"}</definedName>
    <definedName name="NNNN" hidden="1">{"'PROFITABILITY'!$A$1:$F$45"}</definedName>
    <definedName name="no">#REF!</definedName>
    <definedName name="no_name">#REF!</definedName>
    <definedName name="NoABolts" localSheetId="12">#REF!</definedName>
    <definedName name="NoABolts">#REF!</definedName>
    <definedName name="NOK">#REF!</definedName>
    <definedName name="NOMDEVIS">#REF!</definedName>
    <definedName name="non">#REF!</definedName>
    <definedName name="NONSOR">#REF!</definedName>
    <definedName name="noofspan">#REF!</definedName>
    <definedName name="Nos">#REF!</definedName>
    <definedName name="NOZZLE_PRESS">#REF!</definedName>
    <definedName name="NPR_to_USD" comment="NPR to USD">#REF!</definedName>
    <definedName name="NProject" localSheetId="6">#REF!</definedName>
    <definedName name="NProject" localSheetId="27">#REF!</definedName>
    <definedName name="NProject" localSheetId="4">#REF!</definedName>
    <definedName name="NProject" localSheetId="32">#REF!</definedName>
    <definedName name="NProject" localSheetId="24">#REF!</definedName>
    <definedName name="NProject">#REF!</definedName>
    <definedName name="NPS" localSheetId="29">#REF!</definedName>
    <definedName name="NPS" localSheetId="24">#REF!</definedName>
    <definedName name="NPS" localSheetId="26">#REF!</definedName>
    <definedName name="NPS">#REF!</definedName>
    <definedName name="NRegion" localSheetId="6">#REF!</definedName>
    <definedName name="NRegion" localSheetId="27">#REF!</definedName>
    <definedName name="NRegion" localSheetId="4">#REF!</definedName>
    <definedName name="NRegion" localSheetId="32">#REF!</definedName>
    <definedName name="NRegion" localSheetId="24">#REF!</definedName>
    <definedName name="NRegion">#REF!</definedName>
    <definedName name="NS" localSheetId="24">#REF!</definedName>
    <definedName name="NS">#REF!</definedName>
    <definedName name="nsbc">#REF!</definedName>
    <definedName name="nsdf">#REF!</definedName>
    <definedName name="NSS" localSheetId="24">#REF!</definedName>
    <definedName name="NSS">#REF!</definedName>
    <definedName name="Nst" localSheetId="12">#REF!</definedName>
    <definedName name="Nst" localSheetId="4">#REF!</definedName>
    <definedName name="Nst" localSheetId="32">#REF!</definedName>
    <definedName name="Nst">#REF!</definedName>
    <definedName name="Nstr">#REF!</definedName>
    <definedName name="Nsu" localSheetId="12">#REF!</definedName>
    <definedName name="Nsu" localSheetId="4">#REF!</definedName>
    <definedName name="Nsu" localSheetId="32">#REF!</definedName>
    <definedName name="Nsu">#REF!</definedName>
    <definedName name="nt0">#REF!</definedName>
    <definedName name="NTPC">#REF!</definedName>
    <definedName name="nu.1">#REF!</definedName>
    <definedName name="nu.2">#REF!</definedName>
    <definedName name="nu.3">#REF!</definedName>
    <definedName name="nu.4c">#REF!</definedName>
    <definedName name="nu.4nc">#REF!</definedName>
    <definedName name="nu.ec">#REF!</definedName>
    <definedName name="nu.enc">#REF!</definedName>
    <definedName name="nuclisopgw" localSheetId="29">#REF!</definedName>
    <definedName name="nuclisopgw" localSheetId="26">#REF!</definedName>
    <definedName name="nuclisopgw">#REF!</definedName>
    <definedName name="num" localSheetId="29">#REF!</definedName>
    <definedName name="num" localSheetId="26">#REF!</definedName>
    <definedName name="num">#REF!</definedName>
    <definedName name="Num_Pmt_Per_Year">#REF!</definedName>
    <definedName name="num2text" localSheetId="6">#REF!</definedName>
    <definedName name="num2text" localSheetId="27">#REF!</definedName>
    <definedName name="num2text" localSheetId="4">#REF!</definedName>
    <definedName name="num2text" localSheetId="32">#REF!</definedName>
    <definedName name="num2text" localSheetId="24">#REF!</definedName>
    <definedName name="num2text">#REF!</definedName>
    <definedName name="Number" localSheetId="29">#REF!</definedName>
    <definedName name="Number" localSheetId="24">#REF!</definedName>
    <definedName name="Number" localSheetId="26">#REF!</definedName>
    <definedName name="Number">#REF!</definedName>
    <definedName name="Number_of_Payments" localSheetId="12">MATCH(0.01,End_Bal,-1)+1</definedName>
    <definedName name="Number_of_Payments">#N/A</definedName>
    <definedName name="numfib" localSheetId="29">#REF!</definedName>
    <definedName name="numfib" localSheetId="26">#REF!</definedName>
    <definedName name="numfib">#REF!</definedName>
    <definedName name="NW">#REF!</definedName>
    <definedName name="Nx" localSheetId="12">#REF!</definedName>
    <definedName name="Nx">#REF!</definedName>
    <definedName name="Nx___0">#REF!</definedName>
    <definedName name="Nx___13">#REF!</definedName>
    <definedName name="nxs">#REF!</definedName>
    <definedName name="Nxx">#REF!</definedName>
    <definedName name="Ny" localSheetId="12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nzc">#REF!</definedName>
    <definedName name="nzc_1">#REF!</definedName>
    <definedName name="o">#REF!</definedName>
    <definedName name="O.">#REF!</definedName>
    <definedName name="O11FAC">#REF!</definedName>
    <definedName name="O11SUM">#REF!</definedName>
    <definedName name="O12SUM">#REF!</definedName>
    <definedName name="O1SPFAC">#REF!</definedName>
    <definedName name="O1SPMGN">#REF!</definedName>
    <definedName name="O2FAC">#REF!</definedName>
    <definedName name="OA" localSheetId="12">INDEX(#REF!,MATCH(#REF!,#REF!,0))</definedName>
    <definedName name="OA" localSheetId="27">INDEX(#REF!,MATCH(#REF!,#REF!,0))</definedName>
    <definedName name="OA" localSheetId="24">INDEX(#REF!,MATCH(#REF!,#REF!,0))</definedName>
    <definedName name="OA">INDEX(#REF!,MATCH(#REF!,#REF!,0))</definedName>
    <definedName name="OAS">INDEX(#REF!,MATCH(#REF!,#REF!,0))</definedName>
    <definedName name="OB" localSheetId="12">INDEX(#REF!,MATCH(#REF!,#REF!,0))</definedName>
    <definedName name="OB" localSheetId="27">INDEX(#REF!,MATCH(#REF!,#REF!,0))</definedName>
    <definedName name="OB" localSheetId="24">INDEX(#REF!,MATCH(#REF!,#REF!,0))</definedName>
    <definedName name="OB">INDEX(#REF!,MATCH(#REF!,#REF!,0))</definedName>
    <definedName name="OBJ">#REF!</definedName>
    <definedName name="OBS">INDEX(#REF!,MATCH(#REF!,#REF!,0))</definedName>
    <definedName name="OC" localSheetId="12">INDEX(#REF!,MATCH(#REF!,#REF!,0))</definedName>
    <definedName name="OC" localSheetId="27">INDEX(#REF!,MATCH(#REF!,#REF!,0))</definedName>
    <definedName name="OC" localSheetId="24">INDEX(#REF!,MATCH(#REF!,#REF!,0))</definedName>
    <definedName name="OC">INDEX(#REF!,MATCH(#REF!,#REF!,0))</definedName>
    <definedName name="OCNames">#REF!</definedName>
    <definedName name="OCS">INDEX(#REF!,MATCH(#REF!,#REF!,0))</definedName>
    <definedName name="oct" localSheetId="12">#REF!</definedName>
    <definedName name="oct">#REF!</definedName>
    <definedName name="OCTROI">#REF!</definedName>
    <definedName name="OCTROI_HW">#REF!</definedName>
    <definedName name="OCTROI_SW">#REF!</definedName>
    <definedName name="OD" localSheetId="12">INDEX(#REF!,MATCH(#REF!,#REF!,0))</definedName>
    <definedName name="OD" localSheetId="27">INDEX(#REF!,MATCH(#REF!,#REF!,0))</definedName>
    <definedName name="OD" localSheetId="4">INDEX(#REF!,MATCH(#REF!,#REF!,0))</definedName>
    <definedName name="OD" localSheetId="32">INDEX(#REF!,MATCH(#REF!,#REF!,0))</definedName>
    <definedName name="OD" localSheetId="24">INDEX(#REF!,MATCH(#REF!,#REF!,0))</definedName>
    <definedName name="OD">INDEX(#REF!,MATCH(#REF!,#REF!,0))</definedName>
    <definedName name="ODH" hidden="1">#REF!</definedName>
    <definedName name="ODS">INDEX(#REF!,MATCH(#REF!,#REF!,0))</definedName>
    <definedName name="OE" localSheetId="12">INDEX(#REF!,MATCH(#REF!,#REF!,0))</definedName>
    <definedName name="OE" localSheetId="27">INDEX(#REF!,MATCH(#REF!,#REF!,0))</definedName>
    <definedName name="OE" localSheetId="24">INDEX(#REF!,MATCH(#REF!,#REF!,0))</definedName>
    <definedName name="OE">INDEX(#REF!,MATCH(#REF!,#REF!,0))</definedName>
    <definedName name="OES">INDEX(#REF!,MATCH(#REF!,#REF!,0))</definedName>
    <definedName name="OF" localSheetId="12">INDEX(#REF!,MATCH(#REF!,#REF!,0))</definedName>
    <definedName name="OF" localSheetId="27">INDEX(#REF!,MATCH(#REF!,#REF!,0))</definedName>
    <definedName name="OF" localSheetId="24">INDEX(#REF!,MATCH(#REF!,#REF!,0))</definedName>
    <definedName name="OF">INDEX(#REF!,MATCH(#REF!,#REF!,0))</definedName>
    <definedName name="off" localSheetId="6">#REF!</definedName>
    <definedName name="off" localSheetId="27">#REF!</definedName>
    <definedName name="off" localSheetId="4">#REF!</definedName>
    <definedName name="off" localSheetId="32">#REF!</definedName>
    <definedName name="off" localSheetId="24">#REF!</definedName>
    <definedName name="off">#REF!</definedName>
    <definedName name="OFFICE_LIGHTING" localSheetId="29">#REF!</definedName>
    <definedName name="OFFICE_LIGHTING" localSheetId="24">#REF!</definedName>
    <definedName name="OFFICE_LIGHTING" localSheetId="26">#REF!</definedName>
    <definedName name="OFFICE_LIGHTING">#REF!</definedName>
    <definedName name="OFS">INDEX(#REF!,MATCH(#REF!,#REF!,0))</definedName>
    <definedName name="OG" localSheetId="12">INDEX(#REF!,MATCH(#REF!,#REF!,0))</definedName>
    <definedName name="OG" localSheetId="27">INDEX(#REF!,MATCH(#REF!,#REF!,0))</definedName>
    <definedName name="OG" localSheetId="24">INDEX(#REF!,MATCH(#REF!,#REF!,0))</definedName>
    <definedName name="OG">INDEX(#REF!,MATCH(#REF!,#REF!,0))</definedName>
    <definedName name="OGPTL">#REF!</definedName>
    <definedName name="OGS">INDEX(#REF!,MATCH(#REF!,#REF!,0))</definedName>
    <definedName name="OH" localSheetId="12">INDEX(#REF!,MATCH(#REF!,#REF!,0))</definedName>
    <definedName name="oh" localSheetId="29">#REF!</definedName>
    <definedName name="oh" localSheetId="26">#REF!</definedName>
    <definedName name="oh">#REF!</definedName>
    <definedName name="OH_Markup" localSheetId="6">#REF!</definedName>
    <definedName name="OH_Markup" localSheetId="27">#REF!</definedName>
    <definedName name="OH_Markup" localSheetId="4">#REF!</definedName>
    <definedName name="OH_Markup" localSheetId="32">#REF!</definedName>
    <definedName name="OH_Markup" localSheetId="24">#REF!</definedName>
    <definedName name="OH_Markup">#REF!</definedName>
    <definedName name="OH_PM">#REF!</definedName>
    <definedName name="oh_work_sept" localSheetId="29">#REF!</definedName>
    <definedName name="oh_work_sept" localSheetId="24">#REF!</definedName>
    <definedName name="oh_work_sept" localSheetId="26">#REF!</definedName>
    <definedName name="oh_work_sept">#REF!</definedName>
    <definedName name="OH_workings_sept" localSheetId="29">#REF!</definedName>
    <definedName name="OH_workings_sept" localSheetId="26">#REF!</definedName>
    <definedName name="OH_workings_sept">#REF!</definedName>
    <definedName name="ohe">#REF!</definedName>
    <definedName name="OHS">INDEX(#REF!,MATCH(#REF!,#REF!,0))</definedName>
    <definedName name="ohwiohw" localSheetId="12" hidden="1">{"PLANT BREAKUP",#N/A,FALSE,"E"}</definedName>
    <definedName name="ohwiohw" hidden="1">{"PLANT BREAKUP",#N/A,FALSE,"E"}</definedName>
    <definedName name="OI" localSheetId="12">INDEX(#REF!,MATCH(#REF!,#REF!,0))</definedName>
    <definedName name="OI" localSheetId="27">INDEX(#REF!,MATCH(#REF!,#REF!,0))</definedName>
    <definedName name="OI" localSheetId="24">INDEX(#REF!,MATCH(#REF!,#REF!,0))</definedName>
    <definedName name="OI">INDEX(#REF!,MATCH(#REF!,#REF!,0))</definedName>
    <definedName name="OIFHWIOQGH" localSheetId="12" hidden="1">{"SUMMARY",#N/A,FALSE,"C"}</definedName>
    <definedName name="OIFHWIOQGH" hidden="1">{"SUMMARY",#N/A,FALSE,"C"}</definedName>
    <definedName name="Oilpit">#REF!</definedName>
    <definedName name="oirr">#REF!</definedName>
    <definedName name="OIS">INDEX(#REF!,MATCH(#REF!,#REF!,0))</definedName>
    <definedName name="OJ" localSheetId="12">INDEX(#REF!,MATCH(#REF!,#REF!,0))</definedName>
    <definedName name="OJ" localSheetId="27">INDEX(#REF!,MATCH(#REF!,#REF!,0))</definedName>
    <definedName name="OJ" localSheetId="24">INDEX(#REF!,MATCH(#REF!,#REF!,0))</definedName>
    <definedName name="OJ">INDEX(#REF!,MATCH(#REF!,#REF!,0))</definedName>
    <definedName name="OJS">INDEX(#REF!,MATCH(#REF!,#REF!,0))</definedName>
    <definedName name="OK" localSheetId="12">INDEX(#REF!,MATCH(#REF!,#REF!,0))</definedName>
    <definedName name="ok">#REF!</definedName>
    <definedName name="OL" localSheetId="12">INDEX(#REF!,MATCH(#REF!,#REF!,0))</definedName>
    <definedName name="OL" localSheetId="27">INDEX(#REF!,MATCH(#REF!,#REF!,0))</definedName>
    <definedName name="OL" localSheetId="24">INDEX(#REF!,MATCH(#REF!,#REF!,0))</definedName>
    <definedName name="OL">INDEX(#REF!,MATCH(#REF!,#REF!,0))</definedName>
    <definedName name="oldbuliding">#N/A</definedName>
    <definedName name="OLE_LINK1" localSheetId="12">#REF!</definedName>
    <definedName name="OLE_LINK1">"$boq.$"</definedName>
    <definedName name="OLE_LINK1___0" localSheetId="12">#REF!</definedName>
    <definedName name="OLE_LINK1___0">#REF!</definedName>
    <definedName name="OLE_LINK2">"$boq.$"</definedName>
    <definedName name="OM" localSheetId="12">INDEX(#REF!,MATCH(#REF!,#REF!,0))</definedName>
    <definedName name="OM" localSheetId="27">INDEX(#REF!,MATCH(#REF!,#REF!,0))</definedName>
    <definedName name="OM">INDEX(#REF!,MATCH(#REF!,#REF!,0))</definedName>
    <definedName name="onethreetwo">#REF!</definedName>
    <definedName name="OO" localSheetId="6">#REF!</definedName>
    <definedName name="OO" localSheetId="29">#REF!</definedName>
    <definedName name="OO" localSheetId="24">#REF!</definedName>
    <definedName name="OO" localSheetId="26">#REF!</definedName>
    <definedName name="OO">#REF!</definedName>
    <definedName name="op" localSheetId="12" hidden="1">{"PLANT BREAKUP",#N/A,FALSE,"E"}</definedName>
    <definedName name="op" hidden="1">{"PLANT BREAKUP",#N/A,FALSE,"E"}</definedName>
    <definedName name="oper" localSheetId="6">#REF!</definedName>
    <definedName name="oper">#REF!</definedName>
    <definedName name="oper." localSheetId="6">#REF!</definedName>
    <definedName name="oper.">#REF!</definedName>
    <definedName name="operator" localSheetId="6">#REF!</definedName>
    <definedName name="operator" localSheetId="27">#REF!</definedName>
    <definedName name="operator" localSheetId="4">#REF!</definedName>
    <definedName name="operator" localSheetId="32">#REF!</definedName>
    <definedName name="operator" localSheetId="24">#REF!</definedName>
    <definedName name="operator">#REF!</definedName>
    <definedName name="OPEX_BGT7" localSheetId="29">#REF!</definedName>
    <definedName name="OPEX_BGT7" localSheetId="24">#REF!</definedName>
    <definedName name="OPEX_BGT7" localSheetId="26">#REF!</definedName>
    <definedName name="OPEX_BGT7">#REF!</definedName>
    <definedName name="OPEX_M7" localSheetId="29">#REF!</definedName>
    <definedName name="OPEX_M7" localSheetId="26">#REF!</definedName>
    <definedName name="OPEX_M7">#REF!</definedName>
    <definedName name="OPGW">#REF!</definedName>
    <definedName name="opoi">#REF!</definedName>
    <definedName name="Opt" localSheetId="12">#REF!</definedName>
    <definedName name="Opt">#REF!</definedName>
    <definedName name="optio_2">#REF!</definedName>
    <definedName name="optio_22" localSheetId="12">#REF!</definedName>
    <definedName name="optio_22">#REF!</definedName>
    <definedName name="option">#REF!</definedName>
    <definedName name="option_" localSheetId="12">#REF!</definedName>
    <definedName name="option_">#REF!</definedName>
    <definedName name="OPTION4">#N/A</definedName>
    <definedName name="OPTION5">#N/A</definedName>
    <definedName name="OPTION6">#N/A</definedName>
    <definedName name="OPTION7">#N/A</definedName>
    <definedName name="OPTION8">#N/A</definedName>
    <definedName name="option9" localSheetId="12">#REF!</definedName>
    <definedName name="option9">#REF!</definedName>
    <definedName name="Options" localSheetId="12">#REF!</definedName>
    <definedName name="Options">#REF!</definedName>
    <definedName name="Options2" localSheetId="12">#REF!</definedName>
    <definedName name="Options2">#REF!</definedName>
    <definedName name="ord_musd" localSheetId="12">#REF!</definedName>
    <definedName name="ord_musd" localSheetId="29">#REF!</definedName>
    <definedName name="ord_musd" localSheetId="4">#REF!</definedName>
    <definedName name="ord_musd" localSheetId="32">#REF!</definedName>
    <definedName name="ord_musd" localSheetId="26">#REF!</definedName>
    <definedName name="ord_musd">#REF!</definedName>
    <definedName name="order" localSheetId="12">#REF!</definedName>
    <definedName name="order">#REF!</definedName>
    <definedName name="orderbacklog" localSheetId="29">#REF!</definedName>
    <definedName name="orderbacklog" localSheetId="26">#REF!</definedName>
    <definedName name="orderbacklog" localSheetId="2">#REF!</definedName>
    <definedName name="orderbacklog">#REF!</definedName>
    <definedName name="orderbooked98" localSheetId="12">#REF!</definedName>
    <definedName name="orderbooked98" localSheetId="29">#REF!</definedName>
    <definedName name="orderbooked98" localSheetId="4">#REF!</definedName>
    <definedName name="orderbooked98" localSheetId="32">#REF!</definedName>
    <definedName name="orderbooked98" localSheetId="26">#REF!</definedName>
    <definedName name="orderbooked98" localSheetId="2">#REF!</definedName>
    <definedName name="orderbooked98">#REF!</definedName>
    <definedName name="ORDERSTATUS" localSheetId="29">#REF!</definedName>
    <definedName name="ORDERSTATUS" localSheetId="26">#REF!</definedName>
    <definedName name="ORDERSTATUS" localSheetId="2">#REF!</definedName>
    <definedName name="ORDERSTATUS">#REF!</definedName>
    <definedName name="OrderTable" hidden="1">#REF!</definedName>
    <definedName name="ORDREVCOLL" localSheetId="2">#REF!</definedName>
    <definedName name="ORDREVCOLL">#REF!</definedName>
    <definedName name="Origin">#REF!</definedName>
    <definedName name="OSF">#REF!</definedName>
    <definedName name="osm">#REF!</definedName>
    <definedName name="OT">#REF!</definedName>
    <definedName name="oth" localSheetId="29">#REF!</definedName>
    <definedName name="oth" localSheetId="26">#REF!</definedName>
    <definedName name="OTH">#REF!</definedName>
    <definedName name="other_boq" localSheetId="12">#REF!</definedName>
    <definedName name="other_boq">#REF!</definedName>
    <definedName name="OTHERS">#REF!</definedName>
    <definedName name="OTHR_CST_HD">#REF!</definedName>
    <definedName name="OTRY">#REF!</definedName>
    <definedName name="OTRY1">#REF!</definedName>
    <definedName name="OVER_HEADS_ENTRY" localSheetId="6">#REF!</definedName>
    <definedName name="OVER_HEADS_ENTRY" localSheetId="27">#REF!</definedName>
    <definedName name="OVER_HEADS_ENTRY" localSheetId="4">#REF!</definedName>
    <definedName name="OVER_HEADS_ENTRY" localSheetId="32">#REF!</definedName>
    <definedName name="OVER_HEADS_ENTRY" localSheetId="24">#REF!</definedName>
    <definedName name="OVER_HEADS_ENTRY">#REF!</definedName>
    <definedName name="Overall">#REF!</definedName>
    <definedName name="Overall_Mobi_Mth" localSheetId="29">#REF!</definedName>
    <definedName name="Overall_Mobi_Mth" localSheetId="24">#REF!</definedName>
    <definedName name="Overall_Mobi_Mth" localSheetId="26">#REF!</definedName>
    <definedName name="Overall_Mobi_Mth">#REF!</definedName>
    <definedName name="Overall_Mth" localSheetId="29">#REF!</definedName>
    <definedName name="Overall_Mth" localSheetId="26">#REF!</definedName>
    <definedName name="Overall_Mth">#REF!</definedName>
    <definedName name="OVERHEADS" localSheetId="6">#REF!</definedName>
    <definedName name="OVERHEADS" localSheetId="27">#REF!</definedName>
    <definedName name="OVERHEADS" localSheetId="4">#REF!</definedName>
    <definedName name="OVERHEADS" localSheetId="32">#REF!</definedName>
    <definedName name="OVERHEADS" localSheetId="24">#REF!</definedName>
    <definedName name="OVERHEADS">#REF!</definedName>
    <definedName name="OVRFAC">#REF!</definedName>
    <definedName name="p" localSheetId="29">#REF!</definedName>
    <definedName name="p" localSheetId="4">#REF!</definedName>
    <definedName name="p" localSheetId="32">#REF!</definedName>
    <definedName name="p" localSheetId="24">#REF!</definedName>
    <definedName name="p" localSheetId="26">#REF!</definedName>
    <definedName name="p">#REF!</definedName>
    <definedName name="p.s" localSheetId="2">#REF!</definedName>
    <definedName name="p.s">#REF!</definedName>
    <definedName name="p____2___m____p___l_______ln__4___l___d____1___2___K1____l___SQRT_A_____SQRT_m__1__2">"ki1"</definedName>
    <definedName name="p___0" localSheetId="27">#REF!</definedName>
    <definedName name="p___0">#REF!</definedName>
    <definedName name="p___13" localSheetId="27">#REF!</definedName>
    <definedName name="p___13">#REF!</definedName>
    <definedName name="P_1" localSheetId="12">#REF!</definedName>
    <definedName name="P_1" localSheetId="29">#REF!</definedName>
    <definedName name="P_1" localSheetId="4">#REF!</definedName>
    <definedName name="P_1" localSheetId="32">#REF!</definedName>
    <definedName name="P_1" localSheetId="26">#REF!</definedName>
    <definedName name="P_1" localSheetId="2">#REF!</definedName>
    <definedName name="P_1">#REF!</definedName>
    <definedName name="P_3" localSheetId="12">#REF!</definedName>
    <definedName name="P_3" localSheetId="29">#REF!</definedName>
    <definedName name="P_3" localSheetId="4">#REF!</definedName>
    <definedName name="P_3" localSheetId="32">#REF!</definedName>
    <definedName name="P_3" localSheetId="26">#REF!</definedName>
    <definedName name="P_3" localSheetId="2">#REF!</definedName>
    <definedName name="P_3">#REF!</definedName>
    <definedName name="P_4" localSheetId="12">#REF!</definedName>
    <definedName name="P_4" localSheetId="29">#REF!</definedName>
    <definedName name="P_4" localSheetId="4">#REF!</definedName>
    <definedName name="P_4" localSheetId="32">#REF!</definedName>
    <definedName name="P_4" localSheetId="26">#REF!</definedName>
    <definedName name="P_4" localSheetId="2">#REF!</definedName>
    <definedName name="P_4">#REF!</definedName>
    <definedName name="P_5" localSheetId="12">#REF!</definedName>
    <definedName name="P_5" localSheetId="29">#REF!</definedName>
    <definedName name="P_5" localSheetId="4">#REF!</definedName>
    <definedName name="P_5" localSheetId="32">#REF!</definedName>
    <definedName name="P_5" localSheetId="26">#REF!</definedName>
    <definedName name="P_5" localSheetId="2">#REF!</definedName>
    <definedName name="P_5">#REF!</definedName>
    <definedName name="P_6DSO" localSheetId="29">#REF!</definedName>
    <definedName name="P_6DSO" localSheetId="26">#REF!</definedName>
    <definedName name="P_6DSO" localSheetId="2">#REF!</definedName>
    <definedName name="P_6DSO">#REF!</definedName>
    <definedName name="P_7DPO" localSheetId="12">#REF!</definedName>
    <definedName name="P_7DPO" localSheetId="29">#REF!</definedName>
    <definedName name="P_7DPO" localSheetId="4">#REF!</definedName>
    <definedName name="P_7DPO" localSheetId="32">#REF!</definedName>
    <definedName name="P_7DPO" localSheetId="26">#REF!</definedName>
    <definedName name="P_7DPO" localSheetId="2">#REF!</definedName>
    <definedName name="P_7DPO">#REF!</definedName>
    <definedName name="P_A">#REF!</definedName>
    <definedName name="P_Area">#REF!</definedName>
    <definedName name="P_B">#REF!</definedName>
    <definedName name="P_M" localSheetId="12">#REF!</definedName>
    <definedName name="P_M">#REF!</definedName>
    <definedName name="p_shape">#REF!</definedName>
    <definedName name="p_sizes">#REF!</definedName>
    <definedName name="p_w_sizes">#REF!</definedName>
    <definedName name="p11i4f" localSheetId="29">#REF!</definedName>
    <definedName name="p11i4f" localSheetId="26">#REF!</definedName>
    <definedName name="p11i4f" localSheetId="2">#REF!</definedName>
    <definedName name="p11i4f">#REF!</definedName>
    <definedName name="p11i5f" localSheetId="2">#REF!</definedName>
    <definedName name="p11i5f">#REF!</definedName>
    <definedName name="p12i1bc8f" localSheetId="2">#REF!</definedName>
    <definedName name="p12i1bc8f">#REF!</definedName>
    <definedName name="p1350mcbc">#REF!</definedName>
    <definedName name="p1350mcfdr">#REF!</definedName>
    <definedName name="p1350mcic">#REF!</definedName>
    <definedName name="p1350pcfdr">#REF!</definedName>
    <definedName name="p1350pcic">#REF!</definedName>
    <definedName name="p1500mcbc">#REF!</definedName>
    <definedName name="p1500mcfdr">#REF!</definedName>
    <definedName name="p1500mcic">#REF!</definedName>
    <definedName name="p1abbbc">#REF!</definedName>
    <definedName name="p1abbfdr">#REF!</definedName>
    <definedName name="p1abbic">#REF!</definedName>
    <definedName name="p1accp">#REF!</definedName>
    <definedName name="p1acdb1">#REF!</definedName>
    <definedName name="p1acdb2">#REF!</definedName>
    <definedName name="p1acdb3">#REF!</definedName>
    <definedName name="p1amf" localSheetId="12">#REF!</definedName>
    <definedName name="p1amf" localSheetId="29">#REF!</definedName>
    <definedName name="p1amf" localSheetId="26">#REF!</definedName>
    <definedName name="p1amf">#REF!</definedName>
    <definedName name="p1apcc1" localSheetId="29">#REF!</definedName>
    <definedName name="p1apcc1" localSheetId="26">#REF!</definedName>
    <definedName name="p1apcc1" localSheetId="2">#REF!</definedName>
    <definedName name="p1apcc1">#REF!</definedName>
    <definedName name="p1apcc2" localSheetId="2">#REF!</definedName>
    <definedName name="p1apcc2">#REF!</definedName>
    <definedName name="p1apcc3" localSheetId="2">#REF!</definedName>
    <definedName name="p1apcc3">#REF!</definedName>
    <definedName name="p1clp">#REF!</definedName>
    <definedName name="p1csp" localSheetId="12">#REF!</definedName>
    <definedName name="p1csp" localSheetId="29">#REF!</definedName>
    <definedName name="p1csp" localSheetId="26">#REF!</definedName>
    <definedName name="p1csp">#REF!</definedName>
    <definedName name="p1db" localSheetId="12">#REF!</definedName>
    <definedName name="p1db" localSheetId="29">#REF!</definedName>
    <definedName name="p1db" localSheetId="26">#REF!</definedName>
    <definedName name="p1db">#REF!</definedName>
    <definedName name="p1ht" localSheetId="29">#REF!</definedName>
    <definedName name="p1ht" localSheetId="26">#REF!</definedName>
    <definedName name="p1ht" localSheetId="2">#REF!</definedName>
    <definedName name="p1ht">#REF!</definedName>
    <definedName name="p1ksk" localSheetId="12">#REF!</definedName>
    <definedName name="p1ksk" localSheetId="29">#REF!</definedName>
    <definedName name="p1ksk" localSheetId="26">#REF!</definedName>
    <definedName name="p1ksk">#REF!</definedName>
    <definedName name="p1ldb" localSheetId="29">#REF!</definedName>
    <definedName name="p1ldb" localSheetId="26">#REF!</definedName>
    <definedName name="p1ldb" localSheetId="2">#REF!</definedName>
    <definedName name="p1ldb">#REF!</definedName>
    <definedName name="p1lift" localSheetId="2">#REF!</definedName>
    <definedName name="p1lift">#REF!</definedName>
    <definedName name="p1ltsba1" localSheetId="2">#REF!</definedName>
    <definedName name="p1ltsba1">#REF!</definedName>
    <definedName name="p1ltsba2">#REF!</definedName>
    <definedName name="p1ltsbb1">#REF!</definedName>
    <definedName name="p1ltsbb2">#REF!</definedName>
    <definedName name="p1mcc1">#REF!</definedName>
    <definedName name="p1mcc10">#REF!</definedName>
    <definedName name="p1mcc11">#REF!</definedName>
    <definedName name="p1mcc12">#REF!</definedName>
    <definedName name="p1mcc13">#REF!</definedName>
    <definedName name="p1mcc14">#REF!</definedName>
    <definedName name="p1mcc15">#REF!</definedName>
    <definedName name="p1mcc17">#REF!</definedName>
    <definedName name="p1mcc2">#REF!</definedName>
    <definedName name="p1mcc3">#REF!</definedName>
    <definedName name="p1mcc4">#REF!</definedName>
    <definedName name="p1mcc5">#REF!</definedName>
    <definedName name="p1mcc6">#REF!</definedName>
    <definedName name="p1mcc7">#REF!</definedName>
    <definedName name="p1mcc8">#REF!</definedName>
    <definedName name="p1mcc9">#REF!</definedName>
    <definedName name="p1mldb">#REF!</definedName>
    <definedName name="p1mlp">#REF!</definedName>
    <definedName name="p1mltp" localSheetId="12">#REF!</definedName>
    <definedName name="p1mltp" localSheetId="29">#REF!</definedName>
    <definedName name="p1mltp" localSheetId="26">#REF!</definedName>
    <definedName name="p1mltp">#REF!</definedName>
    <definedName name="p1mpcc" localSheetId="29">#REF!</definedName>
    <definedName name="p1mpcc" localSheetId="26">#REF!</definedName>
    <definedName name="p1mpcc" localSheetId="2">#REF!</definedName>
    <definedName name="p1mpcc">#REF!</definedName>
    <definedName name="p1mpdb" localSheetId="2">#REF!</definedName>
    <definedName name="p1mpdb">#REF!</definedName>
    <definedName name="p1mpdp" localSheetId="2">#REF!</definedName>
    <definedName name="p1mpdp">#REF!</definedName>
    <definedName name="p1mrlp">#REF!</definedName>
    <definedName name="p1pcc">#REF!</definedName>
    <definedName name="p1pccm">#REF!</definedName>
    <definedName name="p1pdb">#REF!</definedName>
    <definedName name="P1R" localSheetId="12">#REF!</definedName>
    <definedName name="P1R">#REF!</definedName>
    <definedName name="p1ssb1" localSheetId="12">#REF!</definedName>
    <definedName name="p1ssb1" localSheetId="29">#REF!</definedName>
    <definedName name="p1ssb1" localSheetId="26">#REF!</definedName>
    <definedName name="p1ssb1">#REF!</definedName>
    <definedName name="p1ssb2" localSheetId="12">#REF!</definedName>
    <definedName name="p1ssb2" localSheetId="29">#REF!</definedName>
    <definedName name="p1ssb2" localSheetId="26">#REF!</definedName>
    <definedName name="p1ssb2">#REF!</definedName>
    <definedName name="p1upsdb" localSheetId="12">#REF!</definedName>
    <definedName name="p1upsdb" localSheetId="29">#REF!</definedName>
    <definedName name="p1upsdb" localSheetId="26">#REF!</definedName>
    <definedName name="p1upsdb">#REF!</definedName>
    <definedName name="p1upsip" localSheetId="29">#REF!</definedName>
    <definedName name="p1upsip" localSheetId="26">#REF!</definedName>
    <definedName name="p1upsip" localSheetId="2">#REF!</definedName>
    <definedName name="p1upsip">#REF!</definedName>
    <definedName name="p1upsmdb" localSheetId="2">#REF!</definedName>
    <definedName name="p1upsmdb">#REF!</definedName>
    <definedName name="p1upsop" localSheetId="2">#REF!</definedName>
    <definedName name="p1upsop">#REF!</definedName>
    <definedName name="P2R" localSheetId="12">#REF!</definedName>
    <definedName name="P2R">#REF!</definedName>
    <definedName name="P3R" localSheetId="12">#REF!</definedName>
    <definedName name="P3R">#REF!</definedName>
    <definedName name="P4R" localSheetId="12">#REF!</definedName>
    <definedName name="P4R">#REF!</definedName>
    <definedName name="P5R" localSheetId="12">#REF!</definedName>
    <definedName name="P5R">#REF!</definedName>
    <definedName name="PA" localSheetId="12">INDEX(#REF!,MATCH(#REF!,#REF!,0))</definedName>
    <definedName name="PA">#REF!</definedName>
    <definedName name="pa___0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">#REF!</definedName>
    <definedName name="pad_baywise">#REF!</definedName>
    <definedName name="page">NA()</definedName>
    <definedName name="Page1">#REF!</definedName>
    <definedName name="PAGE1_1">"#REF!"</definedName>
    <definedName name="PAGE1_2">"#REF!"</definedName>
    <definedName name="PAGE10" localSheetId="6">#REF!</definedName>
    <definedName name="PAGE10" localSheetId="29">#REF!</definedName>
    <definedName name="PAGE10" localSheetId="24">#REF!</definedName>
    <definedName name="PAGE10" localSheetId="26">#REF!</definedName>
    <definedName name="PAGE10">#REF!</definedName>
    <definedName name="PAGE11" localSheetId="6">#REF!</definedName>
    <definedName name="PAGE11">#REF!</definedName>
    <definedName name="PAGE2" localSheetId="6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GEA">#REF!</definedName>
    <definedName name="PAGEB">#REF!</definedName>
    <definedName name="PAGEC">#REF!</definedName>
    <definedName name="PAGED">#REF!</definedName>
    <definedName name="painter1" localSheetId="6">#REF!</definedName>
    <definedName name="painter1" localSheetId="27">#REF!</definedName>
    <definedName name="painter1" localSheetId="4">#REF!</definedName>
    <definedName name="painter1" localSheetId="32">#REF!</definedName>
    <definedName name="painter1" localSheetId="24">#REF!</definedName>
    <definedName name="painter1">#REF!</definedName>
    <definedName name="Pal_Workbook_GUID" hidden="1">"E9TT7WTUL973YIQMHP4L53VJ"</definedName>
    <definedName name="PAN" localSheetId="27">#REF!</definedName>
    <definedName name="PAN">#REF!</definedName>
    <definedName name="panch" localSheetId="27">#REF!</definedName>
    <definedName name="panch">#REF!</definedName>
    <definedName name="panch___0">#REF!</definedName>
    <definedName name="panch___0_1">#REF!</definedName>
    <definedName name="panch_1">#REF!</definedName>
    <definedName name="Pancham" localSheetId="29">#REF!</definedName>
    <definedName name="Pancham" localSheetId="26">#REF!</definedName>
    <definedName name="Pancham">#REF!</definedName>
    <definedName name="PANDU">#REF!</definedName>
    <definedName name="pandu123">#REF!</definedName>
    <definedName name="Pane2" localSheetId="29">#REF!</definedName>
    <definedName name="Pane2" localSheetId="26">#REF!</definedName>
    <definedName name="Pane2">#REF!</definedName>
    <definedName name="Pane2___0">#REF!</definedName>
    <definedName name="Pane2___13">#REF!</definedName>
    <definedName name="PANE3">#REF!</definedName>
    <definedName name="PANEL">#REF!</definedName>
    <definedName name="PAR" hidden="1">#REF!</definedName>
    <definedName name="pare" localSheetId="12" hidden="1">{"form-D1",#N/A,FALSE,"FORM-D1";"form-D1_amt",#N/A,FALSE,"FORM-D1"}</definedName>
    <definedName name="pare" localSheetId="6" hidden="1">{"form-D1",#N/A,FALSE,"FORM-D1";"form-D1_amt",#N/A,FALSE,"FORM-D1"}</definedName>
    <definedName name="pare" localSheetId="29" hidden="1">{"form-D1",#N/A,FALSE,"FORM-D1";"form-D1_amt",#N/A,FALSE,"FORM-D1"}</definedName>
    <definedName name="pare" localSheetId="27" hidden="1">{"form-D1",#N/A,FALSE,"FORM-D1";"form-D1_amt",#N/A,FALSE,"FORM-D1"}</definedName>
    <definedName name="pare" localSheetId="4" hidden="1">{"form-D1",#N/A,FALSE,"FORM-D1";"form-D1_amt",#N/A,FALSE,"FORM-D1"}</definedName>
    <definedName name="pare" localSheetId="32" hidden="1">{"form-D1",#N/A,FALSE,"FORM-D1";"form-D1_amt",#N/A,FALSE,"FORM-D1"}</definedName>
    <definedName name="pare" localSheetId="24" hidden="1">{"form-D1",#N/A,FALSE,"FORM-D1";"form-D1_amt",#N/A,FALSE,"FORM-D1"}</definedName>
    <definedName name="pare" localSheetId="26" hidden="1">{"form-D1",#N/A,FALSE,"FORM-D1";"form-D1_amt",#N/A,FALSE,"FORM-D1"}</definedName>
    <definedName name="pare" hidden="1">{"form-D1",#N/A,FALSE,"FORM-D1";"form-D1_amt",#N/A,FALSE,"FORM-D1"}</definedName>
    <definedName name="part" localSheetId="12">#REF!</definedName>
    <definedName name="part" localSheetId="6">#REF!</definedName>
    <definedName name="part" localSheetId="29">#REF!</definedName>
    <definedName name="part" localSheetId="27">#REF!</definedName>
    <definedName name="part" localSheetId="26">#REF!</definedName>
    <definedName name="part">#REF!</definedName>
    <definedName name="part2">0.91</definedName>
    <definedName name="PAS">INDEX(#REF!,MATCH(#REF!,#REF!,0))</definedName>
    <definedName name="PAT_A">#REF!</definedName>
    <definedName name="PAT_B">#REF!</definedName>
    <definedName name="PATH1" localSheetId="12">#REF!</definedName>
    <definedName name="PATH1">#N/A</definedName>
    <definedName name="PATH11" localSheetId="12">#REF!</definedName>
    <definedName name="PATH11">#N/A</definedName>
    <definedName name="PATH111" localSheetId="12">#REF!</definedName>
    <definedName name="PATH111">#N/A</definedName>
    <definedName name="PATH2" localSheetId="12">#REF!</definedName>
    <definedName name="PATH2">#N/A</definedName>
    <definedName name="PATH22" localSheetId="12">#REF!</definedName>
    <definedName name="PATH22">#N/A</definedName>
    <definedName name="PATH222" localSheetId="12">#REF!</definedName>
    <definedName name="PATH222">#N/A</definedName>
    <definedName name="PATH3" localSheetId="12">#REF!</definedName>
    <definedName name="PATH3">#N/A</definedName>
    <definedName name="PATH33" localSheetId="12">#REF!</definedName>
    <definedName name="PATH33">#N/A</definedName>
    <definedName name="PATH333" localSheetId="12">#REF!</definedName>
    <definedName name="PATH333">#N/A</definedName>
    <definedName name="PATH4" localSheetId="12">#REF!</definedName>
    <definedName name="PATH4">#N/A</definedName>
    <definedName name="PATH44" localSheetId="12">#REF!</definedName>
    <definedName name="PATH44">#N/A</definedName>
    <definedName name="PATH444" localSheetId="12">#REF!</definedName>
    <definedName name="PATH444">#N/A</definedName>
    <definedName name="PATH5" localSheetId="12">#REF!</definedName>
    <definedName name="PATH5">#N/A</definedName>
    <definedName name="PATH55" localSheetId="12">#REF!</definedName>
    <definedName name="PATH55">#N/A</definedName>
    <definedName name="PATH555" localSheetId="12">#REF!</definedName>
    <definedName name="PATH555">#N/A</definedName>
    <definedName name="PATHAR1" localSheetId="12">#REF!</definedName>
    <definedName name="PATHAR1">#N/A</definedName>
    <definedName name="PATHAR2" localSheetId="12">#REF!</definedName>
    <definedName name="PATHAR2">#N/A</definedName>
    <definedName name="PATHAR3" localSheetId="12">#REF!</definedName>
    <definedName name="PATHAR3">#N/A</definedName>
    <definedName name="PATHJV1" localSheetId="12">#REF!</definedName>
    <definedName name="PATHJV1">#N/A</definedName>
    <definedName name="PATHJV11" localSheetId="12">#REF!</definedName>
    <definedName name="PATHJV11">#N/A</definedName>
    <definedName name="PATHJV111" localSheetId="12">#REF!</definedName>
    <definedName name="PATHJV111">#N/A</definedName>
    <definedName name="PATHJV2" localSheetId="12">#REF!</definedName>
    <definedName name="PATHJV2">#N/A</definedName>
    <definedName name="PATHJV22" localSheetId="12">#REF!</definedName>
    <definedName name="PATHJV22">#N/A</definedName>
    <definedName name="PATHJV222" localSheetId="12">#REF!</definedName>
    <definedName name="PATHJV222">#N/A</definedName>
    <definedName name="PATHJV3" localSheetId="12">#REF!</definedName>
    <definedName name="PATHJV3">#N/A</definedName>
    <definedName name="PATHJV33" localSheetId="12">#REF!</definedName>
    <definedName name="PATHJV33">#N/A</definedName>
    <definedName name="PATHJV333" localSheetId="12">#REF!</definedName>
    <definedName name="PATHJV333">#N/A</definedName>
    <definedName name="PATHJVPR1" localSheetId="12">#REF!</definedName>
    <definedName name="PATHJVPR1">#N/A</definedName>
    <definedName name="PATHJVPR11" localSheetId="12">#REF!</definedName>
    <definedName name="PATHJVPR11">#N/A</definedName>
    <definedName name="PATHJVPR111" localSheetId="12">#REF!</definedName>
    <definedName name="PATHJVPR111">#N/A</definedName>
    <definedName name="PATHJVPR2" localSheetId="12">#REF!</definedName>
    <definedName name="PATHJVPR2">#N/A</definedName>
    <definedName name="PATHJVPR22" localSheetId="12">#REF!</definedName>
    <definedName name="PATHJVPR22">#N/A</definedName>
    <definedName name="PATHJVPR222" localSheetId="12">#REF!</definedName>
    <definedName name="PATHJVPR222">#N/A</definedName>
    <definedName name="PATHLA1" localSheetId="12">#REF!</definedName>
    <definedName name="PATHLA1">#N/A</definedName>
    <definedName name="PATHLA2" localSheetId="12">#REF!</definedName>
    <definedName name="PATHLA2">#N/A</definedName>
    <definedName name="PATHLA3" localSheetId="12">#REF!</definedName>
    <definedName name="PATHLA3">#N/A</definedName>
    <definedName name="PATHLP1" localSheetId="12">#REF!</definedName>
    <definedName name="PATHLP1">#N/A</definedName>
    <definedName name="PATHLP2" localSheetId="12">#REF!</definedName>
    <definedName name="PATHLP2">#N/A</definedName>
    <definedName name="PATHLP3" localSheetId="12">#REF!</definedName>
    <definedName name="PATHLP3">#N/A</definedName>
    <definedName name="PATHPR1" localSheetId="12">#REF!</definedName>
    <definedName name="PATHPR1">#N/A</definedName>
    <definedName name="PATHPR2" localSheetId="12">#REF!</definedName>
    <definedName name="PATHPR2">#N/A</definedName>
    <definedName name="paverfinisher" localSheetId="6">#REF!</definedName>
    <definedName name="paverfinisher" localSheetId="27">#REF!</definedName>
    <definedName name="paverfinisher" localSheetId="4">#REF!</definedName>
    <definedName name="paverfinisher" localSheetId="32">#REF!</definedName>
    <definedName name="paverfinisher" localSheetId="24">#REF!</definedName>
    <definedName name="paverfinisher">#REF!</definedName>
    <definedName name="Pay_Date">#REF!</definedName>
    <definedName name="Pay_Num">#REF!</definedName>
    <definedName name="Payment_Date" localSheetId="12">DATE(YEAR(Loan_Start),MONTH(Loan_Start)+Payment_Number,DAY(Loan_Start))</definedName>
    <definedName name="Payment_Date">#N/A</definedName>
    <definedName name="PB" localSheetId="12">INDEX(#REF!,MATCH(#REF!,#REF!,0))</definedName>
    <definedName name="PB" localSheetId="6">#REF!</definedName>
    <definedName name="PB" localSheetId="29">#REF!</definedName>
    <definedName name="pb" localSheetId="24">#REF!</definedName>
    <definedName name="PB" localSheetId="26">#REF!</definedName>
    <definedName name="PB">#REF!</definedName>
    <definedName name="pb___0" localSheetId="6">#REF!</definedName>
    <definedName name="pb___0">#REF!</definedName>
    <definedName name="pb___11">#REF!</definedName>
    <definedName name="pb___12">#REF!</definedName>
    <definedName name="PBL" localSheetId="6">#REF!</definedName>
    <definedName name="PBL" localSheetId="27">#REF!</definedName>
    <definedName name="PBL" localSheetId="4">#REF!</definedName>
    <definedName name="PBL" localSheetId="32">#REF!</definedName>
    <definedName name="PBL" localSheetId="24">#REF!</definedName>
    <definedName name="PBL">#REF!</definedName>
    <definedName name="PBS">INDEX(#REF!,MATCH(#REF!,#REF!,0))</definedName>
    <definedName name="Pbx" localSheetId="12">#REF!</definedName>
    <definedName name="Pbx" localSheetId="4">#REF!</definedName>
    <definedName name="Pbx" localSheetId="32">#REF!</definedName>
    <definedName name="Pbx" localSheetId="24">#REF!</definedName>
    <definedName name="Pbx">#REF!</definedName>
    <definedName name="Pby" localSheetId="12">#REF!</definedName>
    <definedName name="Pby" localSheetId="4">#REF!</definedName>
    <definedName name="Pby" localSheetId="32">#REF!</definedName>
    <definedName name="Pby" localSheetId="24">#REF!</definedName>
    <definedName name="Pby">#REF!</definedName>
    <definedName name="PC" localSheetId="12">INDEX(#REF!,MATCH(#REF!,#REF!,0))</definedName>
    <definedName name="PC" localSheetId="6">INDEX(#REF!,MATCH(#REF!,#REF!,0))</definedName>
    <definedName name="pc" localSheetId="29">#REF!</definedName>
    <definedName name="pc" localSheetId="27">#REF!</definedName>
    <definedName name="PC" localSheetId="4">INDEX(#REF!,MATCH(#REF!,#REF!,0))</definedName>
    <definedName name="PC" localSheetId="32">INDEX(#REF!,MATCH(#REF!,#REF!,0))</definedName>
    <definedName name="pc" localSheetId="26">#REF!</definedName>
    <definedName name="pc">#REF!</definedName>
    <definedName name="PC_ED" localSheetId="29">#REF!</definedName>
    <definedName name="PC_ED" localSheetId="7">#REF!</definedName>
    <definedName name="PC_ED" localSheetId="26">#REF!</definedName>
    <definedName name="PC_ED">#REF!</definedName>
    <definedName name="pcc">#REF!</definedName>
    <definedName name="PCC_Offset">#REF!</definedName>
    <definedName name="pccp">#REF!</definedName>
    <definedName name="pccproj">#REF!</definedName>
    <definedName name="pcct">#REF!</definedName>
    <definedName name="pccthk">#REF!</definedName>
    <definedName name="pccut">#REF!</definedName>
    <definedName name="PCD">#REF!</definedName>
    <definedName name="Pclass">#REF!</definedName>
    <definedName name="PCS">INDEX(#REF!,MATCH(#REF!,#REF!,0))</definedName>
    <definedName name="pcsen">#REF!</definedName>
    <definedName name="PD" localSheetId="12">INDEX(#REF!,MATCH(#REF!,#REF!,0))</definedName>
    <definedName name="PD" localSheetId="4" hidden="1">#REF!</definedName>
    <definedName name="PD" localSheetId="32" hidden="1">#REF!</definedName>
    <definedName name="PD" hidden="1">#REF!</definedName>
    <definedName name="PDO" localSheetId="12" hidden="1">{"'Summary'!$A$1:$J$46"}</definedName>
    <definedName name="PDO" hidden="1">{"'Summary'!$A$1:$J$46"}</definedName>
    <definedName name="PDP">#REF!</definedName>
    <definedName name="PDS">INDEX(#REF!,MATCH(#REF!,#REF!,0))</definedName>
    <definedName name="PE" localSheetId="12">INDEX(#REF!,MATCH(#REF!,#REF!,0))</definedName>
    <definedName name="PE" localSheetId="27">INDEX(#REF!,MATCH(#REF!,#REF!,0))</definedName>
    <definedName name="PE" localSheetId="24">INDEX(#REF!,MATCH(#REF!,#REF!,0))</definedName>
    <definedName name="PE">INDEX(#REF!,MATCH(#REF!,#REF!,0))</definedName>
    <definedName name="ped_no">#REF!</definedName>
    <definedName name="PER">#REF!</definedName>
    <definedName name="PERC" localSheetId="6">#REF!</definedName>
    <definedName name="PERC" localSheetId="27">#REF!</definedName>
    <definedName name="PERC" localSheetId="4">#REF!</definedName>
    <definedName name="PERC" localSheetId="32">#REF!</definedName>
    <definedName name="PERC" localSheetId="24">#REF!</definedName>
    <definedName name="PERC">#REF!</definedName>
    <definedName name="PERCENT" localSheetId="24">#REF!</definedName>
    <definedName name="PERCENT">#REF!</definedName>
    <definedName name="PERCENT_1">"#REF!"</definedName>
    <definedName name="Percent_Text">#REF!</definedName>
    <definedName name="Percent_Value">#REF!</definedName>
    <definedName name="PercentComplete" localSheetId="12">PercentCompleteBeyond*PeriodInPlan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ersonal" localSheetId="6">#REF!</definedName>
    <definedName name="Personal" localSheetId="29">#REF!</definedName>
    <definedName name="Personal" localSheetId="24">#REF!</definedName>
    <definedName name="Personal" localSheetId="26">#REF!</definedName>
    <definedName name="Personal">#REF!</definedName>
    <definedName name="PERSONAL_TRANSPORT" localSheetId="6">#REF!</definedName>
    <definedName name="PERSONAL_TRANSPORT" localSheetId="24">#REF!</definedName>
    <definedName name="PERSONAL_TRANSPORT">#REF!</definedName>
    <definedName name="PERSONNEL" localSheetId="6">#REF!</definedName>
    <definedName name="PERSONNEL">#REF!</definedName>
    <definedName name="PES">INDEX(#REF!,MATCH(#REF!,#REF!,0))</definedName>
    <definedName name="PF" localSheetId="12">INDEX(#REF!,MATCH(#REF!,#REF!,0))</definedName>
    <definedName name="PF" localSheetId="29">INDEX(#REF!,MATCH(#REF!,#REF!,0))</definedName>
    <definedName name="PF" localSheetId="27">INDEX(#REF!,MATCH(#REF!,#REF!,0))</definedName>
    <definedName name="PF" localSheetId="4">INDEX(#REF!,MATCH(#REF!,#REF!,0))</definedName>
    <definedName name="PF" localSheetId="32">INDEX(#REF!,MATCH(#REF!,#REF!,0))</definedName>
    <definedName name="PF" localSheetId="24">#REF!</definedName>
    <definedName name="PF" localSheetId="26">INDEX(#REF!,MATCH(#REF!,#REF!,0))</definedName>
    <definedName name="PF">INDEX(#REF!,MATCH(#REF!,#REF!,0))</definedName>
    <definedName name="pfc">#REF!</definedName>
    <definedName name="pfcsen">#REF!</definedName>
    <definedName name="PFS">INDEX(#REF!,MATCH(#REF!,#REF!,0))</definedName>
    <definedName name="PG" localSheetId="12">INDEX(#REF!,MATCH(#REF!,#REF!,0))</definedName>
    <definedName name="PG" localSheetId="27">INDEX(#REF!,MATCH(#REF!,#REF!,0))</definedName>
    <definedName name="PG" localSheetId="24">INDEX(#REF!,MATCH(#REF!,#REF!,0))</definedName>
    <definedName name="PG">INDEX(#REF!,MATCH(#REF!,#REF!,0))</definedName>
    <definedName name="PGS">INDEX(#REF!,MATCH(#REF!,#REF!,0))</definedName>
    <definedName name="PH" localSheetId="12">INDEX(#REF!,MATCH(#REF!,#REF!,0))</definedName>
    <definedName name="PH" localSheetId="6">INDEX(#REF!,MATCH(#REF!,#REF!,0))</definedName>
    <definedName name="pH" localSheetId="27">#REF!</definedName>
    <definedName name="PH" localSheetId="4">INDEX(#REF!,MATCH(#REF!,#REF!,0))</definedName>
    <definedName name="PH" localSheetId="32">INDEX(#REF!,MATCH(#REF!,#REF!,0))</definedName>
    <definedName name="pH">#REF!</definedName>
    <definedName name="pH___0">#REF!</definedName>
    <definedName name="pH___13">#REF!</definedName>
    <definedName name="Phase">#REF!</definedName>
    <definedName name="PhaseCode" localSheetId="12">#REF!</definedName>
    <definedName name="PhaseCode">#REF!</definedName>
    <definedName name="phi">#REF!</definedName>
    <definedName name="phis">#REF!</definedName>
    <definedName name="phit">#REF!</definedName>
    <definedName name="Phone">#REF!</definedName>
    <definedName name="PHS">INDEX(#REF!,MATCH(#REF!,#REF!,0))</definedName>
    <definedName name="PI" localSheetId="12">INDEX(#REF!,MATCH(#REF!,#REF!,0))</definedName>
    <definedName name="PI" localSheetId="27">INDEX(#REF!,MATCH(#REF!,#REF!,0))</definedName>
    <definedName name="PI" localSheetId="4">INDEX(#REF!,MATCH(#REF!,#REF!,0))</definedName>
    <definedName name="PI" localSheetId="32">INDEX(#REF!,MATCH(#REF!,#REF!,0))</definedName>
    <definedName name="PI" localSheetId="24">INDEX(#REF!,MATCH(#REF!,#REF!,0))</definedName>
    <definedName name="PI">INDEX(#REF!,MATCH(#REF!,#REF!,0))</definedName>
    <definedName name="pIaccp" localSheetId="29">#REF!</definedName>
    <definedName name="pIaccp" localSheetId="7">#REF!</definedName>
    <definedName name="pIaccp" localSheetId="26">#REF!</definedName>
    <definedName name="pIaccp">#REF!</definedName>
    <definedName name="picture_1">"Picture 1"</definedName>
    <definedName name="pIecp" localSheetId="6">#REF!</definedName>
    <definedName name="pIecp" localSheetId="29">#REF!</definedName>
    <definedName name="pIecp" localSheetId="7">#REF!</definedName>
    <definedName name="pIecp" localSheetId="26">#REF!</definedName>
    <definedName name="pIecp">#REF!</definedName>
    <definedName name="Pii">#REF!</definedName>
    <definedName name="Piii">#REF!</definedName>
    <definedName name="Pilduration" localSheetId="6">#REF!</definedName>
    <definedName name="Pilduration" localSheetId="27">#REF!</definedName>
    <definedName name="Pilduration" localSheetId="4">#REF!</definedName>
    <definedName name="Pilduration" localSheetId="32">#REF!</definedName>
    <definedName name="Pilduration" localSheetId="24">#REF!</definedName>
    <definedName name="Pilduration">#REF!</definedName>
    <definedName name="Pile" localSheetId="6">#REF!</definedName>
    <definedName name="Pile" localSheetId="27">#REF!</definedName>
    <definedName name="Pile" localSheetId="4">#REF!</definedName>
    <definedName name="Pile" localSheetId="32">#REF!</definedName>
    <definedName name="Pile" localSheetId="24">#REF!</definedName>
    <definedName name="Pile">#REF!</definedName>
    <definedName name="pile_no" localSheetId="29">#REF!</definedName>
    <definedName name="pile_no" localSheetId="24">#REF!</definedName>
    <definedName name="pile_no" localSheetId="26">#REF!</definedName>
    <definedName name="pile_no">#REF!</definedName>
    <definedName name="Piling">#REF!</definedName>
    <definedName name="pImcc.1" localSheetId="29">#REF!</definedName>
    <definedName name="pImcc.1" localSheetId="7">#REF!</definedName>
    <definedName name="pImcc.1" localSheetId="26">#REF!</definedName>
    <definedName name="pImcc.1">#REF!</definedName>
    <definedName name="pImcc.2" localSheetId="29">#REF!</definedName>
    <definedName name="pImcc.2" localSheetId="7">#REF!</definedName>
    <definedName name="pImcc.2" localSheetId="26">#REF!</definedName>
    <definedName name="pImcc.2">#REF!</definedName>
    <definedName name="pImcc.3">#REF!</definedName>
    <definedName name="pImltsb">#REF!</definedName>
    <definedName name="pImsb.ups">#REF!</definedName>
    <definedName name="PIN">#REF!</definedName>
    <definedName name="pinch">#REF!</definedName>
    <definedName name="PIO" localSheetId="12">#REF!</definedName>
    <definedName name="PIO">#REF!</definedName>
    <definedName name="PIPE">#REF!</definedName>
    <definedName name="PIPE_ID">#REF!</definedName>
    <definedName name="PIPE_SIZE">#REF!</definedName>
    <definedName name="pipe150" localSheetId="6">#REF!</definedName>
    <definedName name="pipe150" localSheetId="27">#REF!</definedName>
    <definedName name="pipe150" localSheetId="4">#REF!</definedName>
    <definedName name="pipe150" localSheetId="32">#REF!</definedName>
    <definedName name="pipe150" localSheetId="24">#REF!</definedName>
    <definedName name="pipe150">#REF!</definedName>
    <definedName name="pipe600" localSheetId="6">#REF!</definedName>
    <definedName name="pipe600" localSheetId="27">#REF!</definedName>
    <definedName name="pipe600" localSheetId="4">#REF!</definedName>
    <definedName name="pipe600" localSheetId="32">#REF!</definedName>
    <definedName name="pipe600" localSheetId="24">#REF!</definedName>
    <definedName name="pipe600">#REF!</definedName>
    <definedName name="PIPELENGTH" localSheetId="29">#REF!</definedName>
    <definedName name="PIPELENGTH" localSheetId="24">#REF!</definedName>
    <definedName name="PIPELENGTH" localSheetId="26">#REF!</definedName>
    <definedName name="PIPELENGTH">#REF!</definedName>
    <definedName name="PIS">INDEX(#REF!,MATCH(#REF!,#REF!,0))</definedName>
    <definedName name="pIsmsb.1" localSheetId="29">#REF!</definedName>
    <definedName name="pIsmsb.1" localSheetId="26">#REF!</definedName>
    <definedName name="pIsmsb.1">#REF!</definedName>
    <definedName name="pIsmsb.2">#REF!</definedName>
    <definedName name="pIsmsb.3">#REF!</definedName>
    <definedName name="pIsmsb.b">#REF!</definedName>
    <definedName name="pIsmsb.g">#REF!</definedName>
    <definedName name="pIsmsb.lab">#REF!</definedName>
    <definedName name="pIsmsb.main">#REF!</definedName>
    <definedName name="pIsmsb.t">#REF!</definedName>
    <definedName name="pIsmsb.ups">#REF!</definedName>
    <definedName name="pIup.1">#REF!</definedName>
    <definedName name="pIup.2">#REF!</definedName>
    <definedName name="PJ" localSheetId="12">INDEX(#REF!,MATCH(#REF!,#REF!,0))</definedName>
    <definedName name="PJ" localSheetId="27">INDEX(#REF!,MATCH(#REF!,#REF!,0))</definedName>
    <definedName name="PJ" localSheetId="24">INDEX(#REF!,MATCH(#REF!,#REF!,0))</definedName>
    <definedName name="PJ">INDEX(#REF!,MATCH(#REF!,#REF!,0))</definedName>
    <definedName name="PJS">INDEX(#REF!,MATCH(#REF!,#REF!,0))</definedName>
    <definedName name="PK" localSheetId="12">INDEX(#REF!,MATCH(#REF!,#REF!,0))</definedName>
    <definedName name="PK" localSheetId="27">INDEX(#REF!,MATCH(#REF!,#REF!,0))</definedName>
    <definedName name="PK" localSheetId="24">INDEX(#REF!,MATCH(#REF!,#REF!,0))</definedName>
    <definedName name="PK">INDEX(#REF!,MATCH(#REF!,#REF!,0))</definedName>
    <definedName name="PKG_NO">#REF!</definedName>
    <definedName name="PKGFRD_HW">#REF!</definedName>
    <definedName name="PKGFRD_SW">#REF!</definedName>
    <definedName name="pklkfd">#REF!</definedName>
    <definedName name="PL" localSheetId="12">INDEX(#REF!,MATCH(#REF!,#REF!,0))</definedName>
    <definedName name="PL" localSheetId="27">INDEX(#REF!,MATCH(#REF!,#REF!,0))</definedName>
    <definedName name="PL" localSheetId="24">INDEX(#REF!,MATCH(#REF!,#REF!,0))</definedName>
    <definedName name="PL">INDEX(#REF!,MATCH(#REF!,#REF!,0))</definedName>
    <definedName name="place" localSheetId="6">#REF!</definedName>
    <definedName name="place" localSheetId="27">#REF!</definedName>
    <definedName name="place" localSheetId="4">#REF!</definedName>
    <definedName name="place" localSheetId="32">#REF!</definedName>
    <definedName name="place" localSheetId="24">#REF!</definedName>
    <definedName name="place">#REF!</definedName>
    <definedName name="plan" localSheetId="24">#REF!</definedName>
    <definedName name="plan">#REF!</definedName>
    <definedName name="PLAST" localSheetId="6">#REF!</definedName>
    <definedName name="PLAST" localSheetId="27">#REF!</definedName>
    <definedName name="PLAST" localSheetId="4">#REF!</definedName>
    <definedName name="PLAST" localSheetId="32">#REF!</definedName>
    <definedName name="PLAST" localSheetId="24">#REF!</definedName>
    <definedName name="PLAST">#REF!</definedName>
    <definedName name="PLASTER" localSheetId="24">#REF!</definedName>
    <definedName name="PLASTER">#REF!</definedName>
    <definedName name="plbeams">#REF!</definedName>
    <definedName name="PLC" localSheetId="29">#REF!</definedName>
    <definedName name="PLC" localSheetId="26">#REF!</definedName>
    <definedName name="PLC">#REF!</definedName>
    <definedName name="PLCC">#REF!</definedName>
    <definedName name="PLCUM" localSheetId="29">#REF!</definedName>
    <definedName name="PLCUM" localSheetId="26">#REF!</definedName>
    <definedName name="PLCUM">#REF!</definedName>
    <definedName name="plf">#REF!</definedName>
    <definedName name="plfsen">#REF!</definedName>
    <definedName name="PLMON">#REF!</definedName>
    <definedName name="PLO">#REF!</definedName>
    <definedName name="PLR">#REF!</definedName>
    <definedName name="plsdata">#REF!</definedName>
    <definedName name="PLUG">#REF!</definedName>
    <definedName name="PM" localSheetId="12">INDEX(#REF!,MATCH(#REF!,#REF!,0))</definedName>
    <definedName name="PM" localSheetId="6">INDEX(#REF!,MATCH(#REF!,#REF!,0))</definedName>
    <definedName name="pm" localSheetId="27">#REF!</definedName>
    <definedName name="PM" localSheetId="4">INDEX(#REF!,MATCH(#REF!,#REF!,0))</definedName>
    <definedName name="PM" localSheetId="32">INDEX(#REF!,MATCH(#REF!,#REF!,0))</definedName>
    <definedName name="pm">#REF!</definedName>
    <definedName name="PM_AirCompressor_210cfm" localSheetId="6">#REF!</definedName>
    <definedName name="PM_AirCompressor_210cfm" localSheetId="27">#REF!</definedName>
    <definedName name="PM_AirCompressor_210cfm" localSheetId="4">#REF!</definedName>
    <definedName name="PM_AirCompressor_210cfm" localSheetId="32">#REF!</definedName>
    <definedName name="PM_AirCompressor_210cfm" localSheetId="24">#REF!</definedName>
    <definedName name="PM_AirCompressor_210cfm">#REF!</definedName>
    <definedName name="PM_BitumenBoilerOilFired_1000" localSheetId="6">#REF!</definedName>
    <definedName name="PM_BitumenBoilerOilFired_1000" localSheetId="27">#REF!</definedName>
    <definedName name="PM_BitumenBoilerOilFired_1000" localSheetId="4">#REF!</definedName>
    <definedName name="PM_BitumenBoilerOilFired_1000" localSheetId="32">#REF!</definedName>
    <definedName name="PM_BitumenBoilerOilFired_1000" localSheetId="24">#REF!</definedName>
    <definedName name="PM_BitumenBoilerOilFired_1000">#REF!</definedName>
    <definedName name="PM_BitumenBoilerOilFired_200" localSheetId="6">#REF!</definedName>
    <definedName name="PM_BitumenBoilerOilFired_200" localSheetId="27">#REF!</definedName>
    <definedName name="PM_BitumenBoilerOilFired_200" localSheetId="4">#REF!</definedName>
    <definedName name="PM_BitumenBoilerOilFired_200" localSheetId="32">#REF!</definedName>
    <definedName name="PM_BitumenBoilerOilFired_200" localSheetId="24">#REF!</definedName>
    <definedName name="PM_BitumenBoilerOilFired_200">#REF!</definedName>
    <definedName name="PM_BitumenEmulsionPressureDistributor" localSheetId="6">#REF!</definedName>
    <definedName name="PM_BitumenEmulsionPressureDistributor" localSheetId="27">#REF!</definedName>
    <definedName name="PM_BitumenEmulsionPressureDistributor" localSheetId="4">#REF!</definedName>
    <definedName name="PM_BitumenEmulsionPressureDistributor" localSheetId="32">#REF!</definedName>
    <definedName name="PM_BitumenEmulsionPressureDistributor" localSheetId="24">#REF!</definedName>
    <definedName name="PM_BitumenEmulsionPressureDistributor">#REF!</definedName>
    <definedName name="PM_Crane" localSheetId="6">#REF!</definedName>
    <definedName name="PM_Crane" localSheetId="27">#REF!</definedName>
    <definedName name="PM_Crane" localSheetId="4">#REF!</definedName>
    <definedName name="PM_Crane" localSheetId="32">#REF!</definedName>
    <definedName name="PM_Crane" localSheetId="24">#REF!</definedName>
    <definedName name="PM_Crane">#REF!</definedName>
    <definedName name="PM_Dozer_D50" localSheetId="6">#REF!</definedName>
    <definedName name="PM_Dozer_D50" localSheetId="27">#REF!</definedName>
    <definedName name="PM_Dozer_D50" localSheetId="4">#REF!</definedName>
    <definedName name="PM_Dozer_D50" localSheetId="32">#REF!</definedName>
    <definedName name="PM_Dozer_D50" localSheetId="24">#REF!</definedName>
    <definedName name="PM_Dozer_D50">#REF!</definedName>
    <definedName name="PM_FrontEndLoader_1cum" localSheetId="6">#REF!</definedName>
    <definedName name="PM_FrontEndLoader_1cum" localSheetId="27">#REF!</definedName>
    <definedName name="PM_FrontEndLoader_1cum" localSheetId="4">#REF!</definedName>
    <definedName name="PM_FrontEndLoader_1cum" localSheetId="32">#REF!</definedName>
    <definedName name="PM_FrontEndLoader_1cum" localSheetId="24">#REF!</definedName>
    <definedName name="PM_FrontEndLoader_1cum">#REF!</definedName>
    <definedName name="PM_HydraulicBroom" localSheetId="6">#REF!</definedName>
    <definedName name="PM_HydraulicBroom" localSheetId="27">#REF!</definedName>
    <definedName name="PM_HydraulicBroom" localSheetId="4">#REF!</definedName>
    <definedName name="PM_HydraulicBroom" localSheetId="32">#REF!</definedName>
    <definedName name="PM_HydraulicBroom" localSheetId="24">#REF!</definedName>
    <definedName name="PM_HydraulicBroom">#REF!</definedName>
    <definedName name="PM_HydraulicExcavator_09cum" localSheetId="6">#REF!</definedName>
    <definedName name="PM_HydraulicExcavator_09cum" localSheetId="27">#REF!</definedName>
    <definedName name="PM_HydraulicExcavator_09cum" localSheetId="4">#REF!</definedName>
    <definedName name="PM_HydraulicExcavator_09cum" localSheetId="32">#REF!</definedName>
    <definedName name="PM_HydraulicExcavator_09cum" localSheetId="24">#REF!</definedName>
    <definedName name="PM_HydraulicExcavator_09cum">#REF!</definedName>
    <definedName name="PM_Mixall_6_10t" localSheetId="6">#REF!</definedName>
    <definedName name="PM_Mixall_6_10t" localSheetId="27">#REF!</definedName>
    <definedName name="PM_Mixall_6_10t" localSheetId="4">#REF!</definedName>
    <definedName name="PM_Mixall_6_10t" localSheetId="32">#REF!</definedName>
    <definedName name="PM_Mixall_6_10t" localSheetId="24">#REF!</definedName>
    <definedName name="PM_Mixall_6_10t">#REF!</definedName>
    <definedName name="PM_MotorGrader" localSheetId="12">#REF!</definedName>
    <definedName name="PM_MotorGrader" localSheetId="24">#REF!</definedName>
    <definedName name="PM_MotorGrader">#REF!</definedName>
    <definedName name="pm_size">#REF!</definedName>
    <definedName name="PM_StoneCrusher_200TPH" localSheetId="6">#REF!</definedName>
    <definedName name="PM_StoneCrusher_200TPH" localSheetId="27">#REF!</definedName>
    <definedName name="PM_StoneCrusher_200TPH" localSheetId="4">#REF!</definedName>
    <definedName name="PM_StoneCrusher_200TPH" localSheetId="32">#REF!</definedName>
    <definedName name="PM_StoneCrusher_200TPH" localSheetId="24">#REF!</definedName>
    <definedName name="PM_StoneCrusher_200TPH">#REF!</definedName>
    <definedName name="PM_ThreeWheeled_80_100kN_StaticRoller" localSheetId="12">#REF!</definedName>
    <definedName name="PM_ThreeWheeled_80_100kN_StaticRoller" localSheetId="24">#REF!</definedName>
    <definedName name="PM_ThreeWheeled_80_100kN_StaticRoller">#REF!</definedName>
    <definedName name="PM_Tipper_55" localSheetId="6">#REF!</definedName>
    <definedName name="PM_Tipper_55" localSheetId="27">#REF!</definedName>
    <definedName name="PM_Tipper_55" localSheetId="4">#REF!</definedName>
    <definedName name="PM_Tipper_55" localSheetId="32">#REF!</definedName>
    <definedName name="PM_Tipper_55" localSheetId="24">#REF!</definedName>
    <definedName name="PM_Tipper_55">#REF!</definedName>
    <definedName name="PM_Tractor_Rotavator" localSheetId="12">#REF!</definedName>
    <definedName name="PM_Tractor_Rotavator" localSheetId="24">#REF!</definedName>
    <definedName name="PM_Tractor_Rotavator">#REF!</definedName>
    <definedName name="PM_Tractor_Trolley" localSheetId="6">#REF!</definedName>
    <definedName name="PM_Tractor_Trolley" localSheetId="27">#REF!</definedName>
    <definedName name="PM_Tractor_Trolley" localSheetId="4">#REF!</definedName>
    <definedName name="PM_Tractor_Trolley" localSheetId="32">#REF!</definedName>
    <definedName name="PM_Tractor_Trolley" localSheetId="24">#REF!</definedName>
    <definedName name="PM_Tractor_Trolley">#REF!</definedName>
    <definedName name="PM_Truck" localSheetId="6">#REF!</definedName>
    <definedName name="PM_Truck" localSheetId="27">#REF!</definedName>
    <definedName name="PM_Truck" localSheetId="4">#REF!</definedName>
    <definedName name="PM_Truck" localSheetId="32">#REF!</definedName>
    <definedName name="PM_Truck" localSheetId="24">#REF!</definedName>
    <definedName name="PM_Truck">#REF!</definedName>
    <definedName name="pm_w_size">#REF!</definedName>
    <definedName name="PM_WaterTanker_6kl" localSheetId="12">#REF!</definedName>
    <definedName name="PM_WaterTanker_6kl" localSheetId="24">#REF!</definedName>
    <definedName name="PM_WaterTanker_6kl">#REF!</definedName>
    <definedName name="Pmaxi">#REF!</definedName>
    <definedName name="Pmaxii">#REF!</definedName>
    <definedName name="Pmaxiii">#REF!</definedName>
    <definedName name="Pmini">#REF!</definedName>
    <definedName name="Pminii">#REF!</definedName>
    <definedName name="Pminiii">#REF!</definedName>
    <definedName name="PMS">#REF!</definedName>
    <definedName name="PmtFreq_TL" localSheetId="24">#REF!</definedName>
    <definedName name="PmtFreq_TL">#REF!</definedName>
    <definedName name="pn" localSheetId="12">#REF!</definedName>
    <definedName name="pn">#REF!</definedName>
    <definedName name="PNL">#REF!</definedName>
    <definedName name="PNum" localSheetId="29">#REF!</definedName>
    <definedName name="PNum" localSheetId="26">#REF!</definedName>
    <definedName name="PNum">#REF!</definedName>
    <definedName name="PO" localSheetId="12" hidden="1">{"PLANT BREAKUP",#N/A,FALSE,"E"}</definedName>
    <definedName name="PO" localSheetId="6">#REF!</definedName>
    <definedName name="PO" localSheetId="27">#REF!</definedName>
    <definedName name="PO" localSheetId="4">#REF!</definedName>
    <definedName name="PO" localSheetId="32">#REF!</definedName>
    <definedName name="PO" localSheetId="24">#REF!</definedName>
    <definedName name="PO">#REF!</definedName>
    <definedName name="poipo" localSheetId="12" hidden="1">{"CASH FLOW",#N/A,FALSE,"A"}</definedName>
    <definedName name="poipo" hidden="1">{"CASH FLOW",#N/A,FALSE,"A"}</definedName>
    <definedName name="POL10HPPump" localSheetId="6">#REF!</definedName>
    <definedName name="POL10HPPump" localSheetId="27">#REF!</definedName>
    <definedName name="POL10HPPump" localSheetId="4">#REF!</definedName>
    <definedName name="POL10HPPump" localSheetId="32">#REF!</definedName>
    <definedName name="POL10HPPump" localSheetId="24">#REF!</definedName>
    <definedName name="POL10HPPump">#REF!</definedName>
    <definedName name="POL125KVA" localSheetId="6">#REF!</definedName>
    <definedName name="POL125KVA" localSheetId="27">#REF!</definedName>
    <definedName name="POL125KVA" localSheetId="4">#REF!</definedName>
    <definedName name="POL125KVA" localSheetId="32">#REF!</definedName>
    <definedName name="POL125KVA" localSheetId="24">#REF!</definedName>
    <definedName name="POL125KVA">#REF!</definedName>
    <definedName name="POLConc" localSheetId="6">#REF!</definedName>
    <definedName name="POLConc" localSheetId="27">#REF!</definedName>
    <definedName name="POLConc" localSheetId="4">#REF!</definedName>
    <definedName name="POLConc" localSheetId="32">#REF!</definedName>
    <definedName name="POLConc" localSheetId="24">#REF!</definedName>
    <definedName name="POLConc">#REF!</definedName>
    <definedName name="POLConcPump" localSheetId="6">#REF!</definedName>
    <definedName name="POLConcPump" localSheetId="27">#REF!</definedName>
    <definedName name="POLConcPump" localSheetId="4">#REF!</definedName>
    <definedName name="POLConcPump" localSheetId="32">#REF!</definedName>
    <definedName name="POLConcPump" localSheetId="24">#REF!</definedName>
    <definedName name="POLConcPump">#REF!</definedName>
    <definedName name="POLConcrete" localSheetId="6">#REF!</definedName>
    <definedName name="POLConcrete" localSheetId="27">#REF!</definedName>
    <definedName name="POLConcrete" localSheetId="4">#REF!</definedName>
    <definedName name="POLConcrete" localSheetId="32">#REF!</definedName>
    <definedName name="POLConcrete" localSheetId="24">#REF!</definedName>
    <definedName name="POLConcrete">#REF!</definedName>
    <definedName name="polconcreteproductionyard" localSheetId="6">#REF!</definedName>
    <definedName name="polconcreteproductionyard" localSheetId="27">#REF!</definedName>
    <definedName name="polconcreteproductionyard" localSheetId="4">#REF!</definedName>
    <definedName name="polconcreteproductionyard" localSheetId="32">#REF!</definedName>
    <definedName name="polconcreteproductionyard" localSheetId="24">#REF!</definedName>
    <definedName name="polconcreteproductionyard">#REF!</definedName>
    <definedName name="polconcreteprodviaduct" localSheetId="6">#REF!</definedName>
    <definedName name="polconcreteprodviaduct" localSheetId="27">#REF!</definedName>
    <definedName name="polconcreteprodviaduct" localSheetId="4">#REF!</definedName>
    <definedName name="polconcreteprodviaduct" localSheetId="32">#REF!</definedName>
    <definedName name="polconcreteprodviaduct" localSheetId="24">#REF!</definedName>
    <definedName name="polconcreteprodviaduct">#REF!</definedName>
    <definedName name="POLEmptyTM" localSheetId="6">#REF!</definedName>
    <definedName name="POLEmptyTM" localSheetId="27">#REF!</definedName>
    <definedName name="POLEmptyTM" localSheetId="4">#REF!</definedName>
    <definedName name="POLEmptyTM" localSheetId="32">#REF!</definedName>
    <definedName name="POLEmptyTM" localSheetId="24">#REF!</definedName>
    <definedName name="POLEmptyTM">#REF!</definedName>
    <definedName name="POLExcavation" localSheetId="6">#REF!</definedName>
    <definedName name="POLExcavation" localSheetId="27">#REF!</definedName>
    <definedName name="POLExcavation" localSheetId="4">#REF!</definedName>
    <definedName name="POLExcavation" localSheetId="32">#REF!</definedName>
    <definedName name="POLExcavation" localSheetId="24">#REF!</definedName>
    <definedName name="POLExcavation">#REF!</definedName>
    <definedName name="POLfilling" localSheetId="6">#REF!</definedName>
    <definedName name="POLfilling" localSheetId="27">#REF!</definedName>
    <definedName name="POLfilling" localSheetId="4">#REF!</definedName>
    <definedName name="POLfilling" localSheetId="32">#REF!</definedName>
    <definedName name="POLfilling" localSheetId="24">#REF!</definedName>
    <definedName name="POLfilling">#REF!</definedName>
    <definedName name="POLGsbWMMPlacing" localSheetId="6">#REF!</definedName>
    <definedName name="POLGsbWMMPlacing" localSheetId="27">#REF!</definedName>
    <definedName name="POLGsbWMMPlacing" localSheetId="4">#REF!</definedName>
    <definedName name="POLGsbWMMPlacing" localSheetId="32">#REF!</definedName>
    <definedName name="POLGsbWMMPlacing" localSheetId="24">#REF!</definedName>
    <definedName name="POLGsbWMMPlacing">#REF!</definedName>
    <definedName name="POLGsbWMMProduction" localSheetId="6">#REF!</definedName>
    <definedName name="POLGsbWMMProduction" localSheetId="27">#REF!</definedName>
    <definedName name="POLGsbWMMProduction" localSheetId="4">#REF!</definedName>
    <definedName name="POLGsbWMMProduction" localSheetId="32">#REF!</definedName>
    <definedName name="POLGsbWMMProduction" localSheetId="24">#REF!</definedName>
    <definedName name="POLGsbWMMProduction">#REF!</definedName>
    <definedName name="pollaying" localSheetId="6">#REF!</definedName>
    <definedName name="pollaying" localSheetId="27">#REF!</definedName>
    <definedName name="pollaying" localSheetId="4">#REF!</definedName>
    <definedName name="pollaying" localSheetId="32">#REF!</definedName>
    <definedName name="pollaying" localSheetId="24">#REF!</definedName>
    <definedName name="pollaying">#REF!</definedName>
    <definedName name="POLLoadedTM" localSheetId="6">#REF!</definedName>
    <definedName name="POLLoadedTM" localSheetId="27">#REF!</definedName>
    <definedName name="POLLoadedTM" localSheetId="4">#REF!</definedName>
    <definedName name="POLLoadedTM" localSheetId="32">#REF!</definedName>
    <definedName name="POLLoadedTM" localSheetId="24">#REF!</definedName>
    <definedName name="POLLoadedTM">#REF!</definedName>
    <definedName name="POLPil" localSheetId="6">#REF!</definedName>
    <definedName name="POLPil" localSheetId="27">#REF!</definedName>
    <definedName name="POLPil" localSheetId="4">#REF!</definedName>
    <definedName name="POLPil" localSheetId="32">#REF!</definedName>
    <definedName name="POLPil" localSheetId="24">#REF!</definedName>
    <definedName name="POLPil">#REF!</definedName>
    <definedName name="POLpilecap" localSheetId="6">#REF!</definedName>
    <definedName name="POLpilecap" localSheetId="27">#REF!</definedName>
    <definedName name="POLpilecap" localSheetId="4">#REF!</definedName>
    <definedName name="POLpilecap" localSheetId="32">#REF!</definedName>
    <definedName name="POLpilecap" localSheetId="24">#REF!</definedName>
    <definedName name="POLpilecap">#REF!</definedName>
    <definedName name="POLPiling" localSheetId="6">#REF!</definedName>
    <definedName name="POLPiling" localSheetId="27">#REF!</definedName>
    <definedName name="POLPiling" localSheetId="4">#REF!</definedName>
    <definedName name="POLPiling" localSheetId="32">#REF!</definedName>
    <definedName name="POLPiling" localSheetId="24">#REF!</definedName>
    <definedName name="POLPiling">#REF!</definedName>
    <definedName name="POLpilingSC" localSheetId="6">#REF!</definedName>
    <definedName name="POLpilingSC" localSheetId="27">#REF!</definedName>
    <definedName name="POLpilingSC" localSheetId="4">#REF!</definedName>
    <definedName name="POLpilingSC" localSheetId="32">#REF!</definedName>
    <definedName name="POLpilingSC" localSheetId="24">#REF!</definedName>
    <definedName name="POLpilingSC">#REF!</definedName>
    <definedName name="POLPLACINGVIADUCT" localSheetId="6">#REF!</definedName>
    <definedName name="POLPLACINGVIADUCT" localSheetId="27">#REF!</definedName>
    <definedName name="POLPLACINGVIADUCT" localSheetId="4">#REF!</definedName>
    <definedName name="POLPLACINGVIADUCT" localSheetId="32">#REF!</definedName>
    <definedName name="POLPLACINGVIADUCT" localSheetId="24">#REF!</definedName>
    <definedName name="POLPLACINGVIADUCT">#REF!</definedName>
    <definedName name="polsteel" localSheetId="6">#REF!</definedName>
    <definedName name="polsteel" localSheetId="27">#REF!</definedName>
    <definedName name="polsteel" localSheetId="4">#REF!</definedName>
    <definedName name="polsteel" localSheetId="32">#REF!</definedName>
    <definedName name="polsteel" localSheetId="24">#REF!</definedName>
    <definedName name="polsteel">#REF!</definedName>
    <definedName name="POLSteelPil" localSheetId="6">#REF!</definedName>
    <definedName name="POLSteelPil" localSheetId="27">#REF!</definedName>
    <definedName name="POLSteelPil" localSheetId="4">#REF!</definedName>
    <definedName name="POLSteelPil" localSheetId="32">#REF!</definedName>
    <definedName name="POLSteelPil" localSheetId="24">#REF!</definedName>
    <definedName name="POLSteelPil">#REF!</definedName>
    <definedName name="POLTowerHoist" localSheetId="6">#REF!</definedName>
    <definedName name="POLTowerHoist" localSheetId="27">#REF!</definedName>
    <definedName name="POLTowerHoist" localSheetId="4">#REF!</definedName>
    <definedName name="POLTowerHoist" localSheetId="32">#REF!</definedName>
    <definedName name="POLTowerHoist" localSheetId="24">#REF!</definedName>
    <definedName name="POLTowerHoist">#REF!</definedName>
    <definedName name="POLU" localSheetId="29">#REF!</definedName>
    <definedName name="POLU" localSheetId="24">#REF!</definedName>
    <definedName name="POLU" localSheetId="26">#REF!</definedName>
    <definedName name="POLU">#REF!</definedName>
    <definedName name="polur">NA()</definedName>
    <definedName name="polur_2">NA()</definedName>
    <definedName name="polur_3">NA()</definedName>
    <definedName name="polur_4">NA()</definedName>
    <definedName name="PONDA" localSheetId="29">#REF!</definedName>
    <definedName name="PONDA" localSheetId="26">#REF!</definedName>
    <definedName name="PONDA">#REF!</definedName>
    <definedName name="pooiwut" localSheetId="12" hidden="1">{"PLANNING",#N/A,FALSE,"A"}</definedName>
    <definedName name="pooiwut" hidden="1">{"PLANNING",#N/A,FALSE,"A"}</definedName>
    <definedName name="POOJA" localSheetId="12">#REF!</definedName>
    <definedName name="POOJA">#REF!</definedName>
    <definedName name="pop" localSheetId="12" hidden="1">{"PLANNING",#N/A,FALSE,"A"}</definedName>
    <definedName name="pop" hidden="1">{"PLANNING",#N/A,FALSE,"A"}</definedName>
    <definedName name="popo" hidden="1">#REF!</definedName>
    <definedName name="popop" hidden="1">#REF!</definedName>
    <definedName name="POPUH1IPO" localSheetId="12" hidden="1">{"PLANNING",#N/A,FALSE,"A"}</definedName>
    <definedName name="POPUH1IPO" hidden="1">{"PLANNING",#N/A,FALSE,"A"}</definedName>
    <definedName name="popuoy" localSheetId="12" hidden="1">{"FTS",#N/A,FALSE,"E"}</definedName>
    <definedName name="popuoy" hidden="1">{"FTS",#N/A,FALSE,"E"}</definedName>
    <definedName name="POR">#N/A</definedName>
    <definedName name="POST" localSheetId="6">#REF!</definedName>
    <definedName name="POST" localSheetId="29">#REF!</definedName>
    <definedName name="POST" localSheetId="24">#REF!</definedName>
    <definedName name="POST" localSheetId="7">#REF!</definedName>
    <definedName name="POST" localSheetId="26">#REF!</definedName>
    <definedName name="POST">#REF!</definedName>
    <definedName name="POU">#REF!</definedName>
    <definedName name="pound" localSheetId="29">#REF!</definedName>
    <definedName name="pound" localSheetId="26">#REF!</definedName>
    <definedName name="pound">#REF!</definedName>
    <definedName name="POUNDS" localSheetId="29">#REF!</definedName>
    <definedName name="POUNDS" localSheetId="26">#REF!</definedName>
    <definedName name="POUNDS">#REF!</definedName>
    <definedName name="Powercables">#REF!</definedName>
    <definedName name="pp" localSheetId="12">#REF!</definedName>
    <definedName name="pp" localSheetId="29">#REF!</definedName>
    <definedName name="pp" localSheetId="4">#REF!</definedName>
    <definedName name="pp" localSheetId="32">#REF!</definedName>
    <definedName name="pp" localSheetId="26">#REF!</definedName>
    <definedName name="pp">#REF!</definedName>
    <definedName name="ppo">#REF!</definedName>
    <definedName name="ppp" localSheetId="12">#REF!</definedName>
    <definedName name="ppp" localSheetId="4">#REF!</definedName>
    <definedName name="ppp" localSheetId="32">#REF!</definedName>
    <definedName name="ppp">#REF!</definedName>
    <definedName name="pppp" localSheetId="12">#REF!</definedName>
    <definedName name="pppp">#REF!</definedName>
    <definedName name="pppp2">#REF!</definedName>
    <definedName name="PPPPPP" localSheetId="12" hidden="1">{#N/A,#N/A,FALSE,"COVER1.XLS ";#N/A,#N/A,FALSE,"RACT1.XLS";#N/A,#N/A,FALSE,"RACT2.XLS";#N/A,#N/A,FALSE,"ECCMP";#N/A,#N/A,FALSE,"WELDER.XLS"}</definedName>
    <definedName name="PPPPPP" localSheetId="6" hidden="1">{#N/A,#N/A,FALSE,"COVER1.XLS ";#N/A,#N/A,FALSE,"RACT1.XLS";#N/A,#N/A,FALSE,"RACT2.XLS";#N/A,#N/A,FALSE,"ECCMP";#N/A,#N/A,FALSE,"WELDER.XLS"}</definedName>
    <definedName name="PPPPPP" localSheetId="29" hidden="1">{#N/A,#N/A,FALSE,"COVER1.XLS ";#N/A,#N/A,FALSE,"RACT1.XLS";#N/A,#N/A,FALSE,"RACT2.XLS";#N/A,#N/A,FALSE,"ECCMP";#N/A,#N/A,FALSE,"WELDER.XLS"}</definedName>
    <definedName name="PPPPPP" localSheetId="27" hidden="1">{#N/A,#N/A,FALSE,"COVER1.XLS ";#N/A,#N/A,FALSE,"RACT1.XLS";#N/A,#N/A,FALSE,"RACT2.XLS";#N/A,#N/A,FALSE,"ECCMP";#N/A,#N/A,FALSE,"WELDER.XLS"}</definedName>
    <definedName name="PPPPPP" localSheetId="4" hidden="1">{#N/A,#N/A,FALSE,"COVER1.XLS ";#N/A,#N/A,FALSE,"RACT1.XLS";#N/A,#N/A,FALSE,"RACT2.XLS";#N/A,#N/A,FALSE,"ECCMP";#N/A,#N/A,FALSE,"WELDER.XLS"}</definedName>
    <definedName name="PPPPPP" localSheetId="32" hidden="1">{#N/A,#N/A,FALSE,"COVER1.XLS ";#N/A,#N/A,FALSE,"RACT1.XLS";#N/A,#N/A,FALSE,"RACT2.XLS";#N/A,#N/A,FALSE,"ECCMP";#N/A,#N/A,FALSE,"WELDER.XLS"}</definedName>
    <definedName name="PPPPPP" localSheetId="24" hidden="1">{#N/A,#N/A,FALSE,"COVER1.XLS ";#N/A,#N/A,FALSE,"RACT1.XLS";#N/A,#N/A,FALSE,"RACT2.XLS";#N/A,#N/A,FALSE,"ECCMP";#N/A,#N/A,FALSE,"WELDER.XLS"}</definedName>
    <definedName name="PPPPPP" localSheetId="7" hidden="1">{#N/A,#N/A,FALSE,"COVER1.XLS ";#N/A,#N/A,FALSE,"RACT1.XLS";#N/A,#N/A,FALSE,"RACT2.XLS";#N/A,#N/A,FALSE,"ECCMP";#N/A,#N/A,FALSE,"WELDER.XLS"}</definedName>
    <definedName name="PPPPPP" localSheetId="26" hidden="1">{#N/A,#N/A,FALSE,"COVER1.XLS ";#N/A,#N/A,FALSE,"RACT1.XLS";#N/A,#N/A,FALSE,"RACT2.XLS";#N/A,#N/A,FALSE,"ECCMP";#N/A,#N/A,FALSE,"WELDER.XLS"}</definedName>
    <definedName name="PPPPPP" localSheetId="2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ps">#REF!</definedName>
    <definedName name="PR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3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6">#REF!</definedName>
    <definedName name="PR_BO" localSheetId="29">#REF!</definedName>
    <definedName name="PR_BO" localSheetId="7">#REF!</definedName>
    <definedName name="PR_BO" localSheetId="26">#REF!</definedName>
    <definedName name="PR_BO">#REF!</definedName>
    <definedName name="PR_IDTO" localSheetId="29">#REF!</definedName>
    <definedName name="PR_IDTO" localSheetId="7">#REF!</definedName>
    <definedName name="PR_IDTO" localSheetId="26">#REF!</definedName>
    <definedName name="PR_IDTO">#REF!</definedName>
    <definedName name="PR_IMP" localSheetId="29">#REF!</definedName>
    <definedName name="PR_IMP" localSheetId="7">#REF!</definedName>
    <definedName name="PR_IMP" localSheetId="26">#REF!</definedName>
    <definedName name="PR_IMP">#REF!</definedName>
    <definedName name="PR_TR">#REF!</definedName>
    <definedName name="PRA_DETAILSMAR01">#REF!</definedName>
    <definedName name="pradeep" localSheetId="6">#REF!</definedName>
    <definedName name="pradeep" localSheetId="27">#REF!</definedName>
    <definedName name="pradeep" localSheetId="4">#REF!</definedName>
    <definedName name="pradeep" localSheetId="32">#REF!</definedName>
    <definedName name="pradeep" localSheetId="24">#REF!</definedName>
    <definedName name="pradeep">#REF!</definedName>
    <definedName name="PRADETAILS" localSheetId="29">#REF!</definedName>
    <definedName name="PRADETAILS" localSheetId="24">#REF!</definedName>
    <definedName name="PRADETAILS" localSheetId="26">#REF!</definedName>
    <definedName name="PRADETAILS">#REF!</definedName>
    <definedName name="PRASAD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hant" localSheetId="6">#REF!</definedName>
    <definedName name="prashant" localSheetId="29">#REF!</definedName>
    <definedName name="prashant" localSheetId="24">#REF!</definedName>
    <definedName name="prashant" localSheetId="26">#REF!</definedName>
    <definedName name="prashant">#REF!</definedName>
    <definedName name="pratap" localSheetId="12" hidden="1">{"'Sheet1'!$A$4386:$N$4591"}</definedName>
    <definedName name="pratap" localSheetId="29" hidden="1">{"'Sheet1'!$A$4386:$N$4591"}</definedName>
    <definedName name="pratap" localSheetId="27" hidden="1">{"'Sheet1'!$A$4386:$N$4591"}</definedName>
    <definedName name="pratap" localSheetId="4" hidden="1">{"'Sheet1'!$A$4386:$N$4591"}</definedName>
    <definedName name="pratap" localSheetId="32" hidden="1">{"'Sheet1'!$A$4386:$N$4591"}</definedName>
    <definedName name="pratap" localSheetId="24" hidden="1">{"'Sheet1'!$A$4386:$N$4591"}</definedName>
    <definedName name="pratap" localSheetId="26" hidden="1">{"'Sheet1'!$A$4386:$N$4591"}</definedName>
    <definedName name="pratap" hidden="1">{"'Sheet1'!$A$4386:$N$4591"}</definedName>
    <definedName name="PRDump" localSheetId="6">#REF!</definedName>
    <definedName name="PRDump">#REF!</definedName>
    <definedName name="PREHE" localSheetId="6">#REF!</definedName>
    <definedName name="PREHE">#REF!</definedName>
    <definedName name="PREHP">#REF!</definedName>
    <definedName name="PREHS">#REF!</definedName>
    <definedName name="PREHT">#REF!</definedName>
    <definedName name="PREP">#REF!</definedName>
    <definedName name="Prep_Time_ratio">0.2</definedName>
    <definedName name="PREQTY">#REF!</definedName>
    <definedName name="PrevYears" localSheetId="12">#REF!</definedName>
    <definedName name="PrevYears">#REF!</definedName>
    <definedName name="PRICE">#REF!</definedName>
    <definedName name="PriceCode">#REF!</definedName>
    <definedName name="priced_end" localSheetId="12">#REF!</definedName>
    <definedName name="priced_end" localSheetId="29">#REF!</definedName>
    <definedName name="priced_end" localSheetId="26">#REF!</definedName>
    <definedName name="priced_end">#REF!</definedName>
    <definedName name="PriceEach">#REF!</definedName>
    <definedName name="primer" localSheetId="6">#REF!</definedName>
    <definedName name="primer" localSheetId="27">#REF!</definedName>
    <definedName name="primer" localSheetId="4">#REF!</definedName>
    <definedName name="primer" localSheetId="32">#REF!</definedName>
    <definedName name="primer" localSheetId="24">#REF!</definedName>
    <definedName name="primer">#REF!</definedName>
    <definedName name="Princ">#REF!</definedName>
    <definedName name="print_all">NA()</definedName>
    <definedName name="_xlnm.Print_Area" localSheetId="14">'Aviation Paint'!$A$1:$I$114</definedName>
    <definedName name="_xlnm.Print_Area" localSheetId="9">'Check Survey '!$A$1:$G$57</definedName>
    <definedName name="_xlnm.Print_Area" localSheetId="19">'Crossing status'!$B$1:$M$20</definedName>
    <definedName name="_xlnm.Print_Area" localSheetId="8">'Detailed Survey '!$A$1:$J$66</definedName>
    <definedName name="_xlnm.Print_Area" localSheetId="10">Earthing!$A$1:$J$110</definedName>
    <definedName name="_xlnm.Print_Area" localSheetId="5">Erection!$A$4:$K$18</definedName>
    <definedName name="_xlnm.Print_Area" localSheetId="17">Foundation!$A$1:$Q$293</definedName>
    <definedName name="_xlnm.Print_Area" localSheetId="30">'Foundation Daily Progress'!$A$1:$Y$1318</definedName>
    <definedName name="_xlnm.Print_Area" localSheetId="25">'Hardware Supply'!$A$1:$I$39</definedName>
    <definedName name="_xlnm.Print_Area" localSheetId="6">#NAME?</definedName>
    <definedName name="_xlnm.Print_Area" localSheetId="29">'Location Summary'!$A$1:$P$617</definedName>
    <definedName name="_xlnm.Print_Area" localSheetId="20">'ROW Tracker'!$A$1:$N$14</definedName>
    <definedName name="_xlnm.Print_Area" localSheetId="21">'S-Curve FDN'!$A$1:$T$17</definedName>
    <definedName name="_xlnm.Print_Area" localSheetId="27">'Statutory Proposals'!$A$1:$I$46</definedName>
    <definedName name="_xlnm.Print_Area" localSheetId="4">'Stretch readiness '!$A$1:$L$73</definedName>
    <definedName name="_xlnm.Print_Area" localSheetId="24">'Supply Status'!$A$1:$J$88</definedName>
    <definedName name="_xlnm.Print_Area" localSheetId="0">TA413_PBNTL!$A$1:$M$19</definedName>
    <definedName name="_xlnm.Print_Area" localSheetId="26">'Tower Abstract sheet'!$A$1:$P$310</definedName>
    <definedName name="_xlnm.Print_Area" localSheetId="2">'Visual Chart'!$A$1:$AT$165</definedName>
    <definedName name="_xlnm.Print_Area">#REF!</definedName>
    <definedName name="Print_Area_0">NA()</definedName>
    <definedName name="Print_Area_0_0">NA()</definedName>
    <definedName name="Print_Area_0_0_0">NA()</definedName>
    <definedName name="Print_Area_0_0_0_0">NA()</definedName>
    <definedName name="Print_Area_0_0_0_0_1">NA()</definedName>
    <definedName name="Print_Area_0_0_0_1">NA()</definedName>
    <definedName name="Print_Area_0_0_1">NA()</definedName>
    <definedName name="Print_Area_0_1">NA()</definedName>
    <definedName name="Print_Area_1" localSheetId="6">#REF!</definedName>
    <definedName name="Print_Area_1" localSheetId="29">#REF!</definedName>
    <definedName name="Print_Area_1" localSheetId="24">#REF!</definedName>
    <definedName name="Print_Area_1" localSheetId="26">#REF!</definedName>
    <definedName name="Print_Area_1">#REF!</definedName>
    <definedName name="Print_Area_2" localSheetId="6">#REF!</definedName>
    <definedName name="Print_Area_2" localSheetId="29">#REF!</definedName>
    <definedName name="Print_Area_2" localSheetId="26">#REF!</definedName>
    <definedName name="Print_Area_2">#REF!</definedName>
    <definedName name="Print_Area_3" localSheetId="6">#REF!</definedName>
    <definedName name="Print_Area_3" localSheetId="29">#REF!</definedName>
    <definedName name="Print_Area_3" localSheetId="26">#REF!</definedName>
    <definedName name="Print_Area_3">#REF!</definedName>
    <definedName name="Print_Area_MI" localSheetId="29">#REF!</definedName>
    <definedName name="Print_Area_MI" localSheetId="26">#REF!</definedName>
    <definedName name="PRINT_AREA_MI">#REF!</definedName>
    <definedName name="PRINT_AREA_MI___0">#REF!</definedName>
    <definedName name="print_area_mi_1" localSheetId="12">#REF!</definedName>
    <definedName name="Print_Area_MI_1" localSheetId="4">"#REF!"</definedName>
    <definedName name="Print_Area_MI_1" localSheetId="32">"#REF!"</definedName>
    <definedName name="Print_Area_MI_1">"#REF!"</definedName>
    <definedName name="Print_Area_MI_17" localSheetId="24">#REF!</definedName>
    <definedName name="Print_Area_MI_17">#REF!</definedName>
    <definedName name="Print_Area_MI1" localSheetId="6">#REF!</definedName>
    <definedName name="Print_Area_MI1" localSheetId="29">#REF!</definedName>
    <definedName name="Print_Area_MI1" localSheetId="26">#REF!</definedName>
    <definedName name="Print_Area_MI1">#REF!</definedName>
    <definedName name="Print_Area_Reset" localSheetId="12">OFFSET(Full_Print,0,0,' Final checking'!Last_Row)</definedName>
    <definedName name="Print_Area_Reset">#N/A</definedName>
    <definedName name="PRINT_AREA1" localSheetId="27">#REF!</definedName>
    <definedName name="PRINT_AREA1" localSheetId="4">#REF!</definedName>
    <definedName name="PRINT_AREA1" localSheetId="32">#REF!</definedName>
    <definedName name="PRINT_AREA1">#REF!</definedName>
    <definedName name="PRINT_AREA2" localSheetId="27">#REF!</definedName>
    <definedName name="PRINT_AREA2">#REF!</definedName>
    <definedName name="Print_Range" localSheetId="27">#REF!</definedName>
    <definedName name="Print_Range">#REF!</definedName>
    <definedName name="print_title" localSheetId="6">#REF!</definedName>
    <definedName name="print_title" localSheetId="27">#REF!</definedName>
    <definedName name="print_title" localSheetId="4">#REF!</definedName>
    <definedName name="print_title" localSheetId="32">#REF!</definedName>
    <definedName name="print_title" localSheetId="24">#REF!</definedName>
    <definedName name="print_title">#REF!</definedName>
    <definedName name="_xlnm.Print_Titles" localSheetId="12">' Final checking'!$4:$5</definedName>
    <definedName name="_xlnm.Print_Titles" localSheetId="9">'Check Survey '!$4:$5</definedName>
    <definedName name="_xlnm.Print_Titles" localSheetId="8">'Detailed Survey '!$4:$5</definedName>
    <definedName name="_xlnm.Print_Titles" localSheetId="5">Erection!$4:$4</definedName>
    <definedName name="_xlnm.Print_Titles" localSheetId="17">Foundation!$4:$4</definedName>
    <definedName name="_xlnm.Print_Titles" localSheetId="25">'Hardware Supply'!$5:$5</definedName>
    <definedName name="_xlnm.Print_Titles" localSheetId="6">#NAME?</definedName>
    <definedName name="_xlnm.Print_Titles" localSheetId="29">'Location Summary'!$2:$3</definedName>
    <definedName name="_xlnm.Print_Titles" localSheetId="27">'Statutory Proposals'!$1:$5</definedName>
    <definedName name="_xlnm.Print_Titles" localSheetId="4">'Stretch readiness '!$9:$10</definedName>
    <definedName name="_xlnm.Print_Titles" localSheetId="32">#N/A</definedName>
    <definedName name="_xlnm.Print_Titles" localSheetId="26">'Tower Abstract sheet'!$2:$3</definedName>
    <definedName name="_xlnm.Print_Titles" localSheetId="2">'Visual Chart'!$1:$2</definedName>
    <definedName name="_xlnm.Print_Titles">#REF!</definedName>
    <definedName name="Print_Titles_0">NA()</definedName>
    <definedName name="Print_Titles_0_0">NA()</definedName>
    <definedName name="Print_Titles_0_0_0">NA()</definedName>
    <definedName name="Print_Titles_0_0_0_0">NA()</definedName>
    <definedName name="Print_Titles_0_0_0_0_1">NA()</definedName>
    <definedName name="Print_Titles_0_0_0_1">NA()</definedName>
    <definedName name="Print_Titles_0_0_1">NA()</definedName>
    <definedName name="Print_Titles_0_1">NA()</definedName>
    <definedName name="Print_Titles_1" localSheetId="6">#REF!,#REF!</definedName>
    <definedName name="Print_Titles_1" localSheetId="29">#REF!,#REF!</definedName>
    <definedName name="Print_Titles_1" localSheetId="27">#REF!,#REF!</definedName>
    <definedName name="Print_Titles_1" localSheetId="26">#REF!,#REF!</definedName>
    <definedName name="Print_Titles_1">#REF!,#REF!</definedName>
    <definedName name="Print_Titles_2" localSheetId="6">#REF!</definedName>
    <definedName name="Print_Titles_2" localSheetId="29">#REF!</definedName>
    <definedName name="Print_Titles_2" localSheetId="24">#REF!</definedName>
    <definedName name="Print_Titles_2" localSheetId="26">#REF!</definedName>
    <definedName name="Print_Titles_2">#REF!</definedName>
    <definedName name="PRINT_TITLES_MI" localSheetId="29">#REF!</definedName>
    <definedName name="PRINT_TITLES_MI" localSheetId="26">#REF!</definedName>
    <definedName name="PRINT_TITLES_MI" localSheetId="2">#REF!</definedName>
    <definedName name="PRINT_TITLES_MI">#REF!</definedName>
    <definedName name="print1">#REF!</definedName>
    <definedName name="printarea">#REF!</definedName>
    <definedName name="printarea_201">#REF!</definedName>
    <definedName name="printarea_202">#REF!</definedName>
    <definedName name="PrintArea1">#REF!</definedName>
    <definedName name="printedname" localSheetId="12">#REF!</definedName>
    <definedName name="printedname">#N/A</definedName>
    <definedName name="printn">#REF!</definedName>
    <definedName name="PRMIL_HW" localSheetId="2">#REF!</definedName>
    <definedName name="PRMIL_HW">#REF!</definedName>
    <definedName name="PRMIL_SW">#REF!</definedName>
    <definedName name="PRN">#REF!</definedName>
    <definedName name="pro" hidden="1">#REF!</definedName>
    <definedName name="ProdForm" hidden="1">#REF!</definedName>
    <definedName name="Product" hidden="1">#REF!</definedName>
    <definedName name="Professional___Audit_Fees">#REF!</definedName>
    <definedName name="Proffees">#REF!</definedName>
    <definedName name="Progress" localSheetId="12">#REF!</definedName>
    <definedName name="Progress">#REF!</definedName>
    <definedName name="Progress_data">#REF!</definedName>
    <definedName name="progress01">#REF!</definedName>
    <definedName name="progress1" localSheetId="12">#REF!</definedName>
    <definedName name="progress1">#REF!</definedName>
    <definedName name="progress11">#REF!</definedName>
    <definedName name="progress12">#REF!</definedName>
    <definedName name="progress13">#REF!</definedName>
    <definedName name="progress2" localSheetId="12">#REF!</definedName>
    <definedName name="progress2">#REF!</definedName>
    <definedName name="Progress20">#REF!</definedName>
    <definedName name="progress24">#REF!</definedName>
    <definedName name="progress3" localSheetId="12">#REF!</definedName>
    <definedName name="progress3">#REF!</definedName>
    <definedName name="progress4" localSheetId="12">#REF!</definedName>
    <definedName name="progress4">#REF!</definedName>
    <definedName name="proj">#REF!</definedName>
    <definedName name="project" localSheetId="12">#REF!</definedName>
    <definedName name="PROJECT" localSheetId="4">#REF!</definedName>
    <definedName name="PROJECT" localSheetId="32">#REF!</definedName>
    <definedName name="PROJECT">#REF!</definedName>
    <definedName name="Project_Budget">#REF!</definedName>
    <definedName name="project_lookup">#REF!</definedName>
    <definedName name="ProjectLocation" localSheetId="12">#REF!</definedName>
    <definedName name="ProjectLocation" localSheetId="6">#REF!</definedName>
    <definedName name="ProjectLocation" localSheetId="29">#REF!</definedName>
    <definedName name="ProjectLocation" localSheetId="27">#REF!</definedName>
    <definedName name="ProjectLocation" localSheetId="4">#REF!</definedName>
    <definedName name="ProjectLocation" localSheetId="32">#REF!</definedName>
    <definedName name="ProjectLocation" localSheetId="24">#REF!</definedName>
    <definedName name="ProjectLocation" localSheetId="26">#REF!</definedName>
    <definedName name="ProjectLocation">#REF!</definedName>
    <definedName name="ProjectNumber" localSheetId="12">#REF!</definedName>
    <definedName name="ProjectNumber" localSheetId="6">#REF!</definedName>
    <definedName name="ProjectNumber" localSheetId="29">#REF!</definedName>
    <definedName name="ProjectNumber" localSheetId="27">#REF!</definedName>
    <definedName name="ProjectNumber" localSheetId="4">#REF!</definedName>
    <definedName name="ProjectNumber" localSheetId="32">#REF!</definedName>
    <definedName name="ProjectNumber" localSheetId="24">#REF!</definedName>
    <definedName name="ProjectNumber" localSheetId="26">#REF!</definedName>
    <definedName name="ProjectNumber">#REF!</definedName>
    <definedName name="Projects">#REF!</definedName>
    <definedName name="ProjectSubtitle" localSheetId="12">#REF!</definedName>
    <definedName name="ProjectSubtitle" localSheetId="6">#REF!</definedName>
    <definedName name="ProjectSubtitle" localSheetId="29">#REF!</definedName>
    <definedName name="ProjectSubtitle" localSheetId="27">#REF!</definedName>
    <definedName name="ProjectSubtitle" localSheetId="4">#REF!</definedName>
    <definedName name="ProjectSubtitle" localSheetId="32">#REF!</definedName>
    <definedName name="ProjectSubtitle" localSheetId="24">#REF!</definedName>
    <definedName name="ProjectSubtitle" localSheetId="26">#REF!</definedName>
    <definedName name="ProjectSubtitle">#REF!</definedName>
    <definedName name="ProjectTitle" localSheetId="12">#REF!</definedName>
    <definedName name="ProjectTitle" localSheetId="6">#REF!</definedName>
    <definedName name="ProjectTitle" localSheetId="29">#REF!</definedName>
    <definedName name="ProjectTitle" localSheetId="27">#REF!</definedName>
    <definedName name="ProjectTitle" localSheetId="4">#REF!</definedName>
    <definedName name="ProjectTitle" localSheetId="32">#REF!</definedName>
    <definedName name="ProjectTitle" localSheetId="24">#REF!</definedName>
    <definedName name="ProjectTitle" localSheetId="26">#REF!</definedName>
    <definedName name="ProjectTitle">#REF!</definedName>
    <definedName name="PROPFLOW" localSheetId="6">#REF!</definedName>
    <definedName name="PROPFLOW" localSheetId="27">#REF!</definedName>
    <definedName name="PROPFLOW" localSheetId="4">#REF!</definedName>
    <definedName name="PROPFLOW" localSheetId="32">#REF!</definedName>
    <definedName name="PROPFLOW" localSheetId="24">#REF!</definedName>
    <definedName name="PROPFLOW">#REF!</definedName>
    <definedName name="PROPS" localSheetId="12">#REF!</definedName>
    <definedName name="PROPS" localSheetId="24">#REF!</definedName>
    <definedName name="PROPS">#REF!</definedName>
    <definedName name="Proto">#REF!</definedName>
    <definedName name="Proto_1">#REF!</definedName>
    <definedName name="PROVISIONS" localSheetId="12">#REF!</definedName>
    <definedName name="PROVISIONS" localSheetId="29">#REF!</definedName>
    <definedName name="PROVISIONS" localSheetId="26">#REF!</definedName>
    <definedName name="PROVISIONS">#REF!</definedName>
    <definedName name="PrtA">#REF!</definedName>
    <definedName name="PS" localSheetId="12">#REF!</definedName>
    <definedName name="ps" localSheetId="29">#N/A</definedName>
    <definedName name="ps" localSheetId="4">#N/A</definedName>
    <definedName name="ps" localSheetId="32">#N/A</definedName>
    <definedName name="PS" localSheetId="24">#REF!</definedName>
    <definedName name="ps" localSheetId="26">#N/A</definedName>
    <definedName name="ps">#N/A</definedName>
    <definedName name="PS___0" localSheetId="27">#REF!</definedName>
    <definedName name="PS___0" localSheetId="24">#REF!</definedName>
    <definedName name="PS___0">#REF!</definedName>
    <definedName name="PS___13" localSheetId="24">#REF!</definedName>
    <definedName name="PS___13">#REF!</definedName>
    <definedName name="psi" localSheetId="24">#REF!</definedName>
    <definedName name="psi">#REF!</definedName>
    <definedName name="PSIX">#REF!</definedName>
    <definedName name="pt">#REF!</definedName>
    <definedName name="pti">#REF!</definedName>
    <definedName name="Pu">#REF!</definedName>
    <definedName name="PublicDocuments" localSheetId="29">#REF!</definedName>
    <definedName name="PublicDocuments" localSheetId="26">#REF!</definedName>
    <definedName name="PublicDocuments" localSheetId="2">#REF!</definedName>
    <definedName name="PublicDocuments">#REF!</definedName>
    <definedName name="PUMP" localSheetId="6">#REF!</definedName>
    <definedName name="PUMP" localSheetId="27">#REF!</definedName>
    <definedName name="PUMP" localSheetId="4">#REF!</definedName>
    <definedName name="PUMP" localSheetId="32">#REF!</definedName>
    <definedName name="PUMP" localSheetId="24">#REF!</definedName>
    <definedName name="PUMP">#REF!</definedName>
    <definedName name="PUMPS_DATA" localSheetId="29">#REF!</definedName>
    <definedName name="PUMPS_DATA" localSheetId="24">#REF!</definedName>
    <definedName name="PUMPS_DATA" localSheetId="26">#REF!</definedName>
    <definedName name="PUMPS_DATA">#REF!</definedName>
    <definedName name="putty" localSheetId="6">#REF!</definedName>
    <definedName name="putty" localSheetId="27">#REF!</definedName>
    <definedName name="putty" localSheetId="4">#REF!</definedName>
    <definedName name="putty" localSheetId="32">#REF!</definedName>
    <definedName name="putty" localSheetId="24">#REF!</definedName>
    <definedName name="putty">#REF!</definedName>
    <definedName name="Puz" localSheetId="12">#REF!</definedName>
    <definedName name="Puz" localSheetId="4">#REF!</definedName>
    <definedName name="Puz" localSheetId="32">#REF!</definedName>
    <definedName name="Puz" localSheetId="24">#REF!</definedName>
    <definedName name="Puz">#REF!</definedName>
    <definedName name="pvc_100">#REF!</definedName>
    <definedName name="pvc_15">#REF!</definedName>
    <definedName name="pvc_150">#REF!</definedName>
    <definedName name="pvc_20">#REF!</definedName>
    <definedName name="pvc_200">#REF!</definedName>
    <definedName name="pvc_25">#REF!</definedName>
    <definedName name="pvc_250">#REF!</definedName>
    <definedName name="pvc_300">#REF!</definedName>
    <definedName name="pvc_32">#REF!</definedName>
    <definedName name="pvc_40">#REF!</definedName>
    <definedName name="pvc_400">#REF!</definedName>
    <definedName name="pvc_50">#REF!</definedName>
    <definedName name="pvc_600">#REF!</definedName>
    <definedName name="pvc_65">#REF!</definedName>
    <definedName name="pvc_80">#REF!</definedName>
    <definedName name="PW" localSheetId="12">#REF!</definedName>
    <definedName name="PW">#REF!</definedName>
    <definedName name="Pwl" localSheetId="12">#REF!</definedName>
    <definedName name="Pwl" localSheetId="4">#REF!</definedName>
    <definedName name="Pwl" localSheetId="32">#REF!</definedName>
    <definedName name="Pwl" localSheetId="24">#REF!</definedName>
    <definedName name="Pwl">#REF!</definedName>
    <definedName name="PWr" localSheetId="12">#REF!</definedName>
    <definedName name="PWr">#REF!</definedName>
    <definedName name="Pxxi">#REF!</definedName>
    <definedName name="Pyyi">#REF!</definedName>
    <definedName name="Pyyiii">#REF!</definedName>
    <definedName name="q" localSheetId="2">#REF!</definedName>
    <definedName name="q">#REF!</definedName>
    <definedName name="q23wed1qw3ed" localSheetId="12" hidden="1">{#N/A,#N/A,FALSE,"Main"}</definedName>
    <definedName name="q23wed1qw3ed" hidden="1">{#N/A,#N/A,FALSE,"Main"}</definedName>
    <definedName name="QA" localSheetId="12">INDEX(#REF!,MATCH(#REF!,#REF!,0))</definedName>
    <definedName name="QA" localSheetId="27">INDEX(#REF!,MATCH(#REF!,#REF!,0))</definedName>
    <definedName name="QA" localSheetId="24">INDEX(#REF!,MATCH(#REF!,#REF!,0))</definedName>
    <definedName name="QA">INDEX(#REF!,MATCH(#REF!,#REF!,0))</definedName>
    <definedName name="QAS">INDEX(#REF!,MATCH(#REF!,#REF!,0))</definedName>
    <definedName name="QB" localSheetId="12">INDEX(#REF!,MATCH(#REF!,#REF!,0))</definedName>
    <definedName name="QB" localSheetId="27">INDEX(#REF!,MATCH(#REF!,#REF!,0))</definedName>
    <definedName name="QB" localSheetId="24">INDEX(#REF!,MATCH(#REF!,#REF!,0))</definedName>
    <definedName name="QB">INDEX(#REF!,MATCH(#REF!,#REF!,0))</definedName>
    <definedName name="QBS">INDEX(#REF!,MATCH(#REF!,#REF!,0))</definedName>
    <definedName name="QC" localSheetId="12">INDEX(#REF!,MATCH(#REF!,#REF!,0))</definedName>
    <definedName name="QC" localSheetId="6">INDEX(#REF!,MATCH(#REF!,#REF!,0))</definedName>
    <definedName name="Qc" localSheetId="27">#REF!</definedName>
    <definedName name="QC" localSheetId="4">INDEX(#REF!,MATCH(#REF!,#REF!,0))</definedName>
    <definedName name="QC" localSheetId="32">INDEX(#REF!,MATCH(#REF!,#REF!,0))</definedName>
    <definedName name="Qc">#REF!</definedName>
    <definedName name="Qc___0">#REF!</definedName>
    <definedName name="Qc___13">#REF!</definedName>
    <definedName name="QCS">INDEX(#REF!,MATCH(#REF!,#REF!,0))</definedName>
    <definedName name="QD" localSheetId="12">INDEX(#REF!,MATCH(#REF!,#REF!,0))</definedName>
    <definedName name="QD" localSheetId="27">INDEX(#REF!,MATCH(#REF!,#REF!,0))</definedName>
    <definedName name="QD" localSheetId="24">INDEX(#REF!,MATCH(#REF!,#REF!,0))</definedName>
    <definedName name="QD">INDEX(#REF!,MATCH(#REF!,#REF!,0))</definedName>
    <definedName name="QDS">INDEX(#REF!,MATCH(#REF!,#REF!,0))</definedName>
    <definedName name="QE" localSheetId="12">INDEX(#REF!,MATCH(#REF!,#REF!,0))</definedName>
    <definedName name="QE" localSheetId="27">INDEX(#REF!,MATCH(#REF!,#REF!,0))</definedName>
    <definedName name="QE" localSheetId="24">INDEX(#REF!,MATCH(#REF!,#REF!,0))</definedName>
    <definedName name="QE">INDEX(#REF!,MATCH(#REF!,#REF!,0))</definedName>
    <definedName name="qegweng">#REF!</definedName>
    <definedName name="QES">INDEX(#REF!,MATCH(#REF!,#REF!,0))</definedName>
    <definedName name="QF" localSheetId="12">INDEX(#REF!,MATCH(#REF!,#REF!,0))</definedName>
    <definedName name="QF" localSheetId="6">INDEX(#REF!,MATCH(#REF!,#REF!,0))</definedName>
    <definedName name="Qf" localSheetId="27">#REF!</definedName>
    <definedName name="QF" localSheetId="4">INDEX(#REF!,MATCH(#REF!,#REF!,0))</definedName>
    <definedName name="QF" localSheetId="32">INDEX(#REF!,MATCH(#REF!,#REF!,0))</definedName>
    <definedName name="Qf">#REF!</definedName>
    <definedName name="Qf___0">#REF!</definedName>
    <definedName name="Qf___13">#REF!</definedName>
    <definedName name="qfc" localSheetId="2">#REF!</definedName>
    <definedName name="qfc">#REF!</definedName>
    <definedName name="QFC_AUDh">#REF!</definedName>
    <definedName name="QFC_AUDs">#REF!</definedName>
    <definedName name="QFC_AUDspa">#REF!</definedName>
    <definedName name="QFC_BO">#REF!</definedName>
    <definedName name="QFC_DEMh">#REF!</definedName>
    <definedName name="QFC_DEMs">#REF!</definedName>
    <definedName name="QFC_DEMspa">#REF!</definedName>
    <definedName name="QFC_FIMh">#REF!</definedName>
    <definedName name="QFC_FIMs">#REF!</definedName>
    <definedName name="QFC_FIMspa">#REF!</definedName>
    <definedName name="QFC_FIs">#REF!</definedName>
    <definedName name="QFC_NOKh">#REF!</definedName>
    <definedName name="QFC_NOKs">#REF!</definedName>
    <definedName name="QFC_NOKspa">#REF!</definedName>
    <definedName name="QFC_OWN">#REF!</definedName>
    <definedName name="qfc_s00">#REF!</definedName>
    <definedName name="QFC_S01">#REF!</definedName>
    <definedName name="QFC_S02">#REF!</definedName>
    <definedName name="QFC_S03">#REF!</definedName>
    <definedName name="qfc_s98">#REF!</definedName>
    <definedName name="qfc_s99">#REF!</definedName>
    <definedName name="QFC_SEKh">#REF!</definedName>
    <definedName name="QFC_SEKs">#REF!</definedName>
    <definedName name="QFC_SFRh">#REF!</definedName>
    <definedName name="QFC_SFRs">#REF!</definedName>
    <definedName name="QFC_SPC">#REF!</definedName>
    <definedName name="QFC_TR">#REF!</definedName>
    <definedName name="QFC_UKPh">#REF!</definedName>
    <definedName name="QFC_UKPs">#REF!</definedName>
    <definedName name="QFC_USDh">#REF!</definedName>
    <definedName name="QFC_USDs">#REF!</definedName>
    <definedName name="QFC_USDspa">#REF!</definedName>
    <definedName name="QFS">INDEX(#REF!,MATCH(#REF!,#REF!,0))</definedName>
    <definedName name="QG" localSheetId="12">INDEX(#REF!,MATCH(#REF!,#REF!,0))</definedName>
    <definedName name="QG" localSheetId="27">INDEX(#REF!,MATCH(#REF!,#REF!,0))</definedName>
    <definedName name="QG" localSheetId="24">INDEX(#REF!,MATCH(#REF!,#REF!,0))</definedName>
    <definedName name="QG">INDEX(#REF!,MATCH(#REF!,#REF!,0))</definedName>
    <definedName name="QGS">INDEX(#REF!,MATCH(#REF!,#REF!,0))</definedName>
    <definedName name="QH" localSheetId="12">INDEX(#REF!,MATCH(#REF!,#REF!,0))</definedName>
    <definedName name="QH" localSheetId="27">INDEX(#REF!,MATCH(#REF!,#REF!,0))</definedName>
    <definedName name="QH" localSheetId="24">INDEX(#REF!,MATCH(#REF!,#REF!,0))</definedName>
    <definedName name="QH">INDEX(#REF!,MATCH(#REF!,#REF!,0))</definedName>
    <definedName name="QHS">INDEX(#REF!,MATCH(#REF!,#REF!,0))</definedName>
    <definedName name="QI" localSheetId="12">INDEX(#REF!,MATCH(#REF!,#REF!,0))</definedName>
    <definedName name="QI" localSheetId="6">INDEX(#REF!,MATCH(#REF!,#REF!,0))</definedName>
    <definedName name="Qi" localSheetId="27">#REF!</definedName>
    <definedName name="QI" localSheetId="4">INDEX(#REF!,MATCH(#REF!,#REF!,0))</definedName>
    <definedName name="QI" localSheetId="32">INDEX(#REF!,MATCH(#REF!,#REF!,0))</definedName>
    <definedName name="Qi">#REF!</definedName>
    <definedName name="Qi___0">#REF!</definedName>
    <definedName name="Qi___13">#REF!</definedName>
    <definedName name="QIS">INDEX(#REF!,MATCH(#REF!,#REF!,0))</definedName>
    <definedName name="Qisolatori">#REF!</definedName>
    <definedName name="QJ" localSheetId="12">INDEX(#REF!,MATCH(#REF!,#REF!,0))</definedName>
    <definedName name="QJ" localSheetId="27">INDEX(#REF!,MATCH(#REF!,#REF!,0))</definedName>
    <definedName name="QJ" localSheetId="24">INDEX(#REF!,MATCH(#REF!,#REF!,0))</definedName>
    <definedName name="QJ">INDEX(#REF!,MATCH(#REF!,#REF!,0))</definedName>
    <definedName name="QJS">INDEX(#REF!,MATCH(#REF!,#REF!,0))</definedName>
    <definedName name="QK" localSheetId="12">INDEX(#REF!,MATCH(#REF!,#REF!,0))</definedName>
    <definedName name="QK" localSheetId="27">INDEX(#REF!,MATCH(#REF!,#REF!,0))</definedName>
    <definedName name="QK" localSheetId="24">INDEX(#REF!,MATCH(#REF!,#REF!,0))</definedName>
    <definedName name="QK">INDEX(#REF!,MATCH(#REF!,#REF!,0))</definedName>
    <definedName name="QL" localSheetId="12">INDEX(#REF!,MATCH(#REF!,#REF!,0))</definedName>
    <definedName name="QL" localSheetId="6">INDEX(#REF!,MATCH(#REF!,#REF!,0))</definedName>
    <definedName name="Ql" localSheetId="27">#REF!</definedName>
    <definedName name="QL" localSheetId="4">INDEX(#REF!,MATCH(#REF!,#REF!,0))</definedName>
    <definedName name="QL" localSheetId="32">INDEX(#REF!,MATCH(#REF!,#REF!,0))</definedName>
    <definedName name="Ql">#REF!</definedName>
    <definedName name="Ql___0">#REF!</definedName>
    <definedName name="Ql___13">#REF!</definedName>
    <definedName name="QM" localSheetId="12">INDEX(#REF!,MATCH(#REF!,#REF!,0))</definedName>
    <definedName name="QM" localSheetId="27">INDEX(#REF!,MATCH(#REF!,#REF!,0))</definedName>
    <definedName name="QM" localSheetId="24">INDEX(#REF!,MATCH(#REF!,#REF!,0))</definedName>
    <definedName name="QM">INDEX(#REF!,MATCH(#REF!,#REF!,0))</definedName>
    <definedName name="qq">#REF!</definedName>
    <definedName name="QQ_1">NA()</definedName>
    <definedName name="qqfwegfg">#REF!</definedName>
    <definedName name="QQQ" localSheetId="12">INDEX(#REF!,MATCH(#REF!,#REF!,0))</definedName>
    <definedName name="qqq" localSheetId="4">#N/A</definedName>
    <definedName name="qqq" localSheetId="32">#N/A</definedName>
    <definedName name="qqq">#N/A</definedName>
    <definedName name="QQQQ" localSheetId="12" hidden="1">{"form-D1",#N/A,FALSE,"FORM-D1";"form-D1_amt",#N/A,FALSE,"FORM-D1"}</definedName>
    <definedName name="QQQQ" localSheetId="6" hidden="1">{"form-D1",#N/A,FALSE,"FORM-D1";"form-D1_amt",#N/A,FALSE,"FORM-D1"}</definedName>
    <definedName name="QQQQ" localSheetId="29" hidden="1">{"form-D1",#N/A,FALSE,"FORM-D1";"form-D1_amt",#N/A,FALSE,"FORM-D1"}</definedName>
    <definedName name="QQQQ" localSheetId="27" hidden="1">{"form-D1",#N/A,FALSE,"FORM-D1";"form-D1_amt",#N/A,FALSE,"FORM-D1"}</definedName>
    <definedName name="QQQQ" localSheetId="4" hidden="1">{"form-D1",#N/A,FALSE,"FORM-D1";"form-D1_amt",#N/A,FALSE,"FORM-D1"}</definedName>
    <definedName name="QQQQ" localSheetId="32" hidden="1">{"form-D1",#N/A,FALSE,"FORM-D1";"form-D1_amt",#N/A,FALSE,"FORM-D1"}</definedName>
    <definedName name="QQQQ" localSheetId="24" hidden="1">{"form-D1",#N/A,FALSE,"FORM-D1";"form-D1_amt",#N/A,FALSE,"FORM-D1"}</definedName>
    <definedName name="QQQQ" localSheetId="26" hidden="1">{"form-D1",#N/A,FALSE,"FORM-D1";"form-D1_amt",#N/A,FALSE,"FORM-D1"}</definedName>
    <definedName name="QQQQ" hidden="1">{"form-D1",#N/A,FALSE,"FORM-D1";"form-D1_amt",#N/A,FALSE,"FORM-D1"}</definedName>
    <definedName name="QQQQ_1">NA()</definedName>
    <definedName name="QQQQQQQQQQ" localSheetId="6" hidden="1">#REF!</definedName>
    <definedName name="QQQQQQQQQQ" localSheetId="29" hidden="1">#REF!</definedName>
    <definedName name="QQQQQQQQQQ" localSheetId="24" hidden="1">#REF!</definedName>
    <definedName name="QQQQQQQQQQ" localSheetId="26" hidden="1">#REF!</definedName>
    <definedName name="QQQQQQQQQQ" hidden="1">#REF!</definedName>
    <definedName name="Qr">#REF!</definedName>
    <definedName name="qryEqptOrdDelyETAProfile_byConstrMgr" localSheetId="6">#REF!</definedName>
    <definedName name="qryEqptOrdDelyETAProfile_byConstrMgr">#REF!</definedName>
    <definedName name="qryEqptOrdPODelProfile_ByConstrMgr" localSheetId="6">#REF!</definedName>
    <definedName name="qryEqptOrdPODelProfile_ByConstrMgr">#REF!</definedName>
    <definedName name="Qs">#REF!</definedName>
    <definedName name="Qspan">#REF!</definedName>
    <definedName name="Qt">#REF!</definedName>
    <definedName name="Qtorri">#REF!</definedName>
    <definedName name="QTY" localSheetId="29">#REF!</definedName>
    <definedName name="QTY" localSheetId="4">#REF!</definedName>
    <definedName name="QTY" localSheetId="32">#REF!</definedName>
    <definedName name="QTY" localSheetId="26">#REF!</definedName>
    <definedName name="QTY">#REF!</definedName>
    <definedName name="QTY_1">"#REF!"</definedName>
    <definedName name="QTY_2">"#REF!"</definedName>
    <definedName name="Qty_as_on_apr">#REF!</definedName>
    <definedName name="QTY_AS_ON_APR_1">#REF!</definedName>
    <definedName name="quadFdnWet" comment="400 D/C QUAD VSTL">#REF!</definedName>
    <definedName name="quadTowererection">#REF!</definedName>
    <definedName name="Quantity" localSheetId="27">#REF!</definedName>
    <definedName name="Quantity">#REF!</definedName>
    <definedName name="quao">#REF!</definedName>
    <definedName name="Quote_Rev_No" localSheetId="29">#REF!</definedName>
    <definedName name="Quote_Rev_No" localSheetId="26">#REF!</definedName>
    <definedName name="Quote_Rev_No">#REF!</definedName>
    <definedName name="Qv">#REF!</definedName>
    <definedName name="QV_A">#REF!</definedName>
    <definedName name="QV_K">#REF!</definedName>
    <definedName name="QV_M">#REF!</definedName>
    <definedName name="QV_P">#REF!</definedName>
    <definedName name="QV_PAT">#REF!</definedName>
    <definedName name="qw" localSheetId="12">#REF!</definedName>
    <definedName name="qw" localSheetId="6" hidden="1">{"'PROFITABILITY'!$A$1:$F$45"}</definedName>
    <definedName name="qw" localSheetId="29" hidden="1">{"'PROFITABILITY'!$A$1:$F$45"}</definedName>
    <definedName name="qw" localSheetId="27" hidden="1">{"'PROFITABILITY'!$A$1:$F$45"}</definedName>
    <definedName name="qw" localSheetId="4" hidden="1">{"'PROFITABILITY'!$A$1:$F$45"}</definedName>
    <definedName name="qw" localSheetId="32" hidden="1">{"'PROFITABILITY'!$A$1:$F$45"}</definedName>
    <definedName name="qw" localSheetId="24">#REF!</definedName>
    <definedName name="qw" localSheetId="26" hidden="1">{"'PROFITABILITY'!$A$1:$F$45"}</definedName>
    <definedName name="qw" hidden="1">{"'PROFITABILITY'!$A$1:$F$45"}</definedName>
    <definedName name="qwer" localSheetId="29">#REF!</definedName>
    <definedName name="qwer" localSheetId="26">#REF!</definedName>
    <definedName name="qwer">#REF!</definedName>
    <definedName name="qwerty">#REF!</definedName>
    <definedName name="QWEWEQ" localSheetId="12">#REF!</definedName>
    <definedName name="QWEWEQ">#REF!</definedName>
    <definedName name="qwrqrqwrq" localSheetId="12">#REF!</definedName>
    <definedName name="qwrqrqwrq">#REF!</definedName>
    <definedName name="qwwwee" localSheetId="12">#REF!</definedName>
    <definedName name="qwwwee">#REF!</definedName>
    <definedName name="r_" localSheetId="12">#REF!</definedName>
    <definedName name="r_" localSheetId="29">#REF!</definedName>
    <definedName name="r_" localSheetId="26">#REF!</definedName>
    <definedName name="r_">#REF!</definedName>
    <definedName name="R___variation_factor_in_capacity_per_degree_Celcius">#REF!</definedName>
    <definedName name="R_STUB">#REF!,#REF!,#REF!,#REF!</definedName>
    <definedName name="RA" localSheetId="12">INDEX(#REF!,MATCH(#REF!,#REF!,0))</definedName>
    <definedName name="RA" localSheetId="6">INDEX(#REF!,MATCH(#REF!,#REF!,0))</definedName>
    <definedName name="RA" localSheetId="27">#REF!</definedName>
    <definedName name="RA" localSheetId="4">INDEX(#REF!,MATCH(#REF!,#REF!,0))</definedName>
    <definedName name="RA" localSheetId="32">INDEX(#REF!,MATCH(#REF!,#REF!,0))</definedName>
    <definedName name="RA">#REF!</definedName>
    <definedName name="raaa" localSheetId="12" hidden="1">{"'Sheet1'!$A$4386:$N$4591"}</definedName>
    <definedName name="raaa" localSheetId="29" hidden="1">{"'Sheet1'!$A$4386:$N$4591"}</definedName>
    <definedName name="raaa" localSheetId="27" hidden="1">{"'Sheet1'!$A$4386:$N$4591"}</definedName>
    <definedName name="raaa" localSheetId="4" hidden="1">{"'Sheet1'!$A$4386:$N$4591"}</definedName>
    <definedName name="raaa" localSheetId="32" hidden="1">{"'Sheet1'!$A$4386:$N$4591"}</definedName>
    <definedName name="raaa" localSheetId="24" hidden="1">{"'Sheet1'!$A$4386:$N$4591"}</definedName>
    <definedName name="raaa" localSheetId="26" hidden="1">{"'Sheet1'!$A$4386:$N$4591"}</definedName>
    <definedName name="raaa" hidden="1">{"'Sheet1'!$A$4386:$N$4591"}</definedName>
    <definedName name="RAB_GI_Mranggen">#REF!</definedName>
    <definedName name="Rac" localSheetId="4">#REF!</definedName>
    <definedName name="Rac" localSheetId="32">#REF!</definedName>
    <definedName name="Rac">#REF!</definedName>
    <definedName name="RAD">#REF!</definedName>
    <definedName name="Radio" localSheetId="12" hidden="1">{"'PROFITABILITY'!$A$1:$F$45"}</definedName>
    <definedName name="Radio" localSheetId="6" hidden="1">{"'PROFITABILITY'!$A$1:$F$45"}</definedName>
    <definedName name="Radio" localSheetId="29" hidden="1">{"'PROFITABILITY'!$A$1:$F$45"}</definedName>
    <definedName name="Radio" localSheetId="27" hidden="1">{"'PROFITABILITY'!$A$1:$F$45"}</definedName>
    <definedName name="Radio" localSheetId="4" hidden="1">{"'PROFITABILITY'!$A$1:$F$45"}</definedName>
    <definedName name="Radio" localSheetId="32" hidden="1">{"'PROFITABILITY'!$A$1:$F$45"}</definedName>
    <definedName name="Radio" localSheetId="24" hidden="1">{"'PROFITABILITY'!$A$1:$F$45"}</definedName>
    <definedName name="Radio" localSheetId="26" hidden="1">{"'PROFITABILITY'!$A$1:$F$45"}</definedName>
    <definedName name="Radio" hidden="1">{"'PROFITABILITY'!$A$1:$F$45"}</definedName>
    <definedName name="RaftD">#REF!</definedName>
    <definedName name="RaftSlbThk">#REF!</definedName>
    <definedName name="raghu" localSheetId="29">#REF!</definedName>
    <definedName name="raghu" localSheetId="26">#REF!</definedName>
    <definedName name="raghu" localSheetId="2">#REF!</definedName>
    <definedName name="raghu">#REF!</definedName>
    <definedName name="rahee" localSheetId="12" hidden="1">{#N/A,#N/A,FALSE,"CCTV"}</definedName>
    <definedName name="rahee" localSheetId="6" hidden="1">{#N/A,#N/A,FALSE,"CCTV"}</definedName>
    <definedName name="rahee" localSheetId="29" hidden="1">{#N/A,#N/A,FALSE,"CCTV"}</definedName>
    <definedName name="rahee" localSheetId="27" hidden="1">{#N/A,#N/A,FALSE,"CCTV"}</definedName>
    <definedName name="rahee" localSheetId="4" hidden="1">{#N/A,#N/A,FALSE,"CCTV"}</definedName>
    <definedName name="rahee" localSheetId="32" hidden="1">{#N/A,#N/A,FALSE,"CCTV"}</definedName>
    <definedName name="rahee" localSheetId="24" hidden="1">{#N/A,#N/A,FALSE,"CCTV"}</definedName>
    <definedName name="rahee" localSheetId="26" hidden="1">{#N/A,#N/A,FALSE,"CCTV"}</definedName>
    <definedName name="rahee" hidden="1">{#N/A,#N/A,FALSE,"CCTV"}</definedName>
    <definedName name="rahee2" localSheetId="12" hidden="1">{#N/A,#N/A,FALSE,"CCTV"}</definedName>
    <definedName name="rahee2" localSheetId="6" hidden="1">{#N/A,#N/A,FALSE,"CCTV"}</definedName>
    <definedName name="rahee2" localSheetId="29" hidden="1">{#N/A,#N/A,FALSE,"CCTV"}</definedName>
    <definedName name="rahee2" localSheetId="27" hidden="1">{#N/A,#N/A,FALSE,"CCTV"}</definedName>
    <definedName name="rahee2" localSheetId="4" hidden="1">{#N/A,#N/A,FALSE,"CCTV"}</definedName>
    <definedName name="rahee2" localSheetId="32" hidden="1">{#N/A,#N/A,FALSE,"CCTV"}</definedName>
    <definedName name="rahee2" localSheetId="24" hidden="1">{#N/A,#N/A,FALSE,"CCTV"}</definedName>
    <definedName name="rahee2" localSheetId="26" hidden="1">{#N/A,#N/A,FALSE,"CCTV"}</definedName>
    <definedName name="rahee2" hidden="1">{#N/A,#N/A,FALSE,"CCTV"}</definedName>
    <definedName name="Rahul">#REF!</definedName>
    <definedName name="Rahul1">#REF!</definedName>
    <definedName name="RAIL" localSheetId="27">#REF!</definedName>
    <definedName name="RAIL">#REF!</definedName>
    <definedName name="Raj" localSheetId="12" hidden="1">{"'Sheet1'!$A$4386:$N$4591"}</definedName>
    <definedName name="Raj" localSheetId="29" hidden="1">{"'Sheet1'!$A$4386:$N$4591"}</definedName>
    <definedName name="Raj" localSheetId="27" hidden="1">{"'Sheet1'!$A$4386:$N$4591"}</definedName>
    <definedName name="Raj" localSheetId="4" hidden="1">{"'Sheet1'!$A$4386:$N$4591"}</definedName>
    <definedName name="Raj" localSheetId="32" hidden="1">{"'Sheet1'!$A$4386:$N$4591"}</definedName>
    <definedName name="Raj" localSheetId="24" hidden="1">{"'Sheet1'!$A$4386:$N$4591"}</definedName>
    <definedName name="Raj" localSheetId="26" hidden="1">{"'Sheet1'!$A$4386:$N$4591"}</definedName>
    <definedName name="Raj" hidden="1">{"'Sheet1'!$A$4386:$N$4591"}</definedName>
    <definedName name="raja" localSheetId="6">#REF!</definedName>
    <definedName name="raja" localSheetId="2">#REF!</definedName>
    <definedName name="raja">#REF!</definedName>
    <definedName name="RAJEEV_ERECTORS">#REF!</definedName>
    <definedName name="rakesh">#REF!</definedName>
    <definedName name="RAM">#REF!</definedName>
    <definedName name="RANGE_200BB">#REF!</definedName>
    <definedName name="Range_201ICS">#REF!</definedName>
    <definedName name="range_202ICS">#REF!</definedName>
    <definedName name="Range_203ICS">#REF!</definedName>
    <definedName name="Range_204ICS">#REF!</definedName>
    <definedName name="Range_205ICS">#REF!</definedName>
    <definedName name="Range_206ICS">#REF!</definedName>
    <definedName name="Range_207ICS">#REF!</definedName>
    <definedName name="Range_208ICS">#REF!</definedName>
    <definedName name="Range_209ICS">#REF!</definedName>
    <definedName name="Rango_a_imprimir">#REF!</definedName>
    <definedName name="rani" localSheetId="12">#REF!</definedName>
    <definedName name="rani">#REF!</definedName>
    <definedName name="RAPS" localSheetId="12">#REF!</definedName>
    <definedName name="RAPS">#REF!</definedName>
    <definedName name="rara" localSheetId="6">#REF!</definedName>
    <definedName name="rara" localSheetId="27">#REF!</definedName>
    <definedName name="rara" localSheetId="4">#REF!</definedName>
    <definedName name="rara" localSheetId="32">#REF!</definedName>
    <definedName name="rara" localSheetId="24">#REF!</definedName>
    <definedName name="rara">#REF!</definedName>
    <definedName name="RAS">INDEX(#REF!,MATCH(#REF!,#REF!,0))</definedName>
    <definedName name="RATE" localSheetId="24">#REF!</definedName>
    <definedName name="RATE">#REF!</definedName>
    <definedName name="RATE___0" localSheetId="24">#REF!</definedName>
    <definedName name="RATE___0">#REF!</definedName>
    <definedName name="rate0" localSheetId="6">#REF!</definedName>
    <definedName name="rate0" localSheetId="27">#REF!</definedName>
    <definedName name="rate0" localSheetId="4">#REF!</definedName>
    <definedName name="rate0" localSheetId="32">#REF!</definedName>
    <definedName name="rate0" localSheetId="24">#REF!</definedName>
    <definedName name="rate0">#REF!</definedName>
    <definedName name="rate1">#REF!</definedName>
    <definedName name="rates">#REF!</definedName>
    <definedName name="RATEST" localSheetId="24">#REF!</definedName>
    <definedName name="RATEST">#REF!</definedName>
    <definedName name="ratio1">#REF!</definedName>
    <definedName name="raverage" localSheetId="24">#REF!</definedName>
    <definedName name="raverage">#REF!</definedName>
    <definedName name="RawAgencyPrice" localSheetId="29">#REF!</definedName>
    <definedName name="RawAgencyPrice" localSheetId="26">#REF!</definedName>
    <definedName name="RawAgencyPrice">#REF!</definedName>
    <definedName name="RawData">#REF!</definedName>
    <definedName name="RAWRAR">#REF!</definedName>
    <definedName name="RB" localSheetId="12">INDEX(#REF!,MATCH(#REF!,#REF!,0))</definedName>
    <definedName name="RB" localSheetId="29">INDEX(#REF!,MATCH(#REF!,#REF!,0))</definedName>
    <definedName name="RB" localSheetId="27">INDEX(#REF!,MATCH(#REF!,#REF!,0))</definedName>
    <definedName name="RB" localSheetId="4">INDEX(#REF!,MATCH(#REF!,#REF!,0))</definedName>
    <definedName name="RB" localSheetId="32">INDEX(#REF!,MATCH(#REF!,#REF!,0))</definedName>
    <definedName name="rb" localSheetId="24">#REF!</definedName>
    <definedName name="RB" localSheetId="26">INDEX(#REF!,MATCH(#REF!,#REF!,0))</definedName>
    <definedName name="RB">INDEX(#REF!,MATCH(#REF!,#REF!,0))</definedName>
    <definedName name="RBData">#REF!</definedName>
    <definedName name="RBS">INDEX(#REF!,MATCH(#REF!,#REF!,0))</definedName>
    <definedName name="RC_" localSheetId="12">INDEX(#REF!,MATCH(#REF!,#REF!,0))</definedName>
    <definedName name="RC_" localSheetId="27">INDEX(#REF!,MATCH(#REF!,#REF!,0))</definedName>
    <definedName name="RC_" localSheetId="24">INDEX(#REF!,MATCH(#REF!,#REF!,0))</definedName>
    <definedName name="RC_">INDEX(#REF!,MATCH(#REF!,#REF!,0))</definedName>
    <definedName name="RCArea" hidden="1">#REF!</definedName>
    <definedName name="RCC">#REF!</definedName>
    <definedName name="RCC_Offset">#REF!</definedName>
    <definedName name="RCCpipe300" localSheetId="12">#REF!</definedName>
    <definedName name="RCCpipe300">#REF!</definedName>
    <definedName name="RCCpipe600" localSheetId="12">#REF!</definedName>
    <definedName name="RCCpipe600">#REF!</definedName>
    <definedName name="RCD" localSheetId="12">#REF!</definedName>
    <definedName name="RCD">#REF!</definedName>
    <definedName name="RCS" localSheetId="12">INDEX(#REF!,MATCH(#REF!,#REF!,0))</definedName>
    <definedName name="RCS">#REF!</definedName>
    <definedName name="RCT">#REF!</definedName>
    <definedName name="rcwbgl">#REF!</definedName>
    <definedName name="rcwbgl2">#REF!</definedName>
    <definedName name="RD" localSheetId="12">INDEX(#REF!,MATCH(#REF!,#REF!,0))</definedName>
    <definedName name="RD" localSheetId="27">INDEX(#REF!,MATCH(#REF!,#REF!,0))</definedName>
    <definedName name="RD" localSheetId="24">INDEX(#REF!,MATCH(#REF!,#REF!,0))</definedName>
    <definedName name="RD">INDEX(#REF!,MATCH(#REF!,#REF!,0))</definedName>
    <definedName name="rdc" localSheetId="4">#REF!</definedName>
    <definedName name="rdc" localSheetId="32">#REF!</definedName>
    <definedName name="rdc">#REF!</definedName>
    <definedName name="RDS">INDEX(#REF!,MATCH(#REF!,#REF!,0))</definedName>
    <definedName name="RE" localSheetId="12">INDEX(#REF!,MATCH(#REF!,#REF!,0))</definedName>
    <definedName name="re">#REF!</definedName>
    <definedName name="Re___0">#REF!</definedName>
    <definedName name="Re___13">#REF!</definedName>
    <definedName name="re_bar">#REF!</definedName>
    <definedName name="RE_SIZE">#REF!</definedName>
    <definedName name="REACT220CTL">#REF!</definedName>
    <definedName name="REACT220FIRE">#REF!</definedName>
    <definedName name="REACT500">#REF!</definedName>
    <definedName name="REACT500CTL">#REF!</definedName>
    <definedName name="REACT500FIRE">#REF!</definedName>
    <definedName name="REACTOR">#REF!</definedName>
    <definedName name="reamta" localSheetId="1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reamta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REBAR">#REF!</definedName>
    <definedName name="REC6RD">#REF!</definedName>
    <definedName name="RECAPITUL">#REF!</definedName>
    <definedName name="Receivables_yearwise" localSheetId="12">#REF!</definedName>
    <definedName name="Receivables_yearwise" localSheetId="29">#REF!</definedName>
    <definedName name="Receivables_yearwise" localSheetId="26">#REF!</definedName>
    <definedName name="Receivables_yearwise" localSheetId="2">#REF!</definedName>
    <definedName name="Receivables_yearwise">#REF!</definedName>
    <definedName name="RECON" localSheetId="12" hidden="1">{"form-D1",#N/A,FALSE,"FORM-D1";"form-D1_amt",#N/A,FALSE,"FORM-D1"}</definedName>
    <definedName name="RECON" hidden="1">{"form-D1",#N/A,FALSE,"FORM-D1";"form-D1_amt",#N/A,FALSE,"FORM-D1"}</definedName>
    <definedName name="RECORD">#REF!</definedName>
    <definedName name="_xlnm.Recorder" localSheetId="29">#REF!</definedName>
    <definedName name="_xlnm.Recorder" localSheetId="26">#REF!</definedName>
    <definedName name="_xlnm.Recorder" localSheetId="2">#REF!</definedName>
    <definedName name="_xlnm.Recorder">#REF!</definedName>
    <definedName name="RECOUT">#N/A</definedName>
    <definedName name="rect_4_415" localSheetId="24">#REF!</definedName>
    <definedName name="rect_4_415">#REF!</definedName>
    <definedName name="RED" localSheetId="6">#REF!</definedName>
    <definedName name="RED" localSheetId="29">#REF!</definedName>
    <definedName name="RED" localSheetId="26">#REF!</definedName>
    <definedName name="RED">#REF!</definedName>
    <definedName name="REE">#REF!</definedName>
    <definedName name="ref" localSheetId="12">#REF!</definedName>
    <definedName name="ref">#REF!</definedName>
    <definedName name="Ref__EUS_632_FDN_001" localSheetId="6">#REF!</definedName>
    <definedName name="Ref__EUS_632_FDN_001">#REF!</definedName>
    <definedName name="Ref__EUS_632_FDN_002" localSheetId="6">#REF!</definedName>
    <definedName name="Ref__EUS_632_FDN_002">#REF!</definedName>
    <definedName name="region">#REF!</definedName>
    <definedName name="regionnames">#REF!</definedName>
    <definedName name="regions">#REF!</definedName>
    <definedName name="regr">#REF!</definedName>
    <definedName name="REGULAR_STAFF_ENTRY" localSheetId="6">#REF!</definedName>
    <definedName name="REGULAR_STAFF_ENTRY" localSheetId="27">#REF!</definedName>
    <definedName name="REGULAR_STAFF_ENTRY" localSheetId="4">#REF!</definedName>
    <definedName name="REGULAR_STAFF_ENTRY" localSheetId="32">#REF!</definedName>
    <definedName name="REGULAR_STAFF_ENTRY" localSheetId="24">#REF!</definedName>
    <definedName name="REGULAR_STAFF_ENTRY">#REF!</definedName>
    <definedName name="rel" localSheetId="24">#REF!</definedName>
    <definedName name="rel">#REF!</definedName>
    <definedName name="Rel.per" localSheetId="4">#REF!</definedName>
    <definedName name="Rel.per" localSheetId="32">#REF!</definedName>
    <definedName name="Rel.per" localSheetId="24">#REF!</definedName>
    <definedName name="Rel.per">#REF!</definedName>
    <definedName name="Rel.perm" localSheetId="4">#REF!</definedName>
    <definedName name="Rel.perm" localSheetId="32">#REF!</definedName>
    <definedName name="Rel.perm">#REF!</definedName>
    <definedName name="REN" localSheetId="29">#REF!</definedName>
    <definedName name="REN" localSheetId="26">#REF!</definedName>
    <definedName name="REN">#REF!</definedName>
    <definedName name="RENT" localSheetId="29">#REF!</definedName>
    <definedName name="RENT" localSheetId="26">#REF!</definedName>
    <definedName name="RENT">#REF!</definedName>
    <definedName name="REP">#REF!</definedName>
    <definedName name="Repairs">#REF!</definedName>
    <definedName name="req">#REF!</definedName>
    <definedName name="requi">#REF!</definedName>
    <definedName name="rer" localSheetId="12">#REF!</definedName>
    <definedName name="rer">#REF!</definedName>
    <definedName name="RERE">#REF!</definedName>
    <definedName name="rerere">#REF!</definedName>
    <definedName name="RES">INDEX(#REF!,MATCH(#REF!,#REF!,0))</definedName>
    <definedName name="res_sum" localSheetId="12" hidden="1">{#N/A,#N/A,FALSE,"COVER1.XLS ";#N/A,#N/A,FALSE,"RACT1.XLS";#N/A,#N/A,FALSE,"RACT2.XLS";#N/A,#N/A,FALSE,"ECCMP";#N/A,#N/A,FALSE,"WELDER.XLS"}</definedName>
    <definedName name="res_sum" hidden="1">{#N/A,#N/A,FALSE,"COVER1.XLS ";#N/A,#N/A,FALSE,"RACT1.XLS";#N/A,#N/A,FALSE,"RACT2.XLS";#N/A,#N/A,FALSE,"ECCMP";#N/A,#N/A,FALSE,"WELDER.XLS"}</definedName>
    <definedName name="Reselects">#REF!</definedName>
    <definedName name="resistivite" localSheetId="12">#REF!</definedName>
    <definedName name="resistivite">#REF!</definedName>
    <definedName name="RESULT">#REF!</definedName>
    <definedName name="Result33">#REF!</definedName>
    <definedName name="Result51">#REF!</definedName>
    <definedName name="Result61">#REF!</definedName>
    <definedName name="rety56.">#REF!</definedName>
    <definedName name="Rev" localSheetId="2">#REF!</definedName>
    <definedName name="Rev">#REF!</definedName>
    <definedName name="revconstn" hidden="1">#REF!</definedName>
    <definedName name="REVISION">#REF!</definedName>
    <definedName name="REVSTATUS" localSheetId="2">#REF!</definedName>
    <definedName name="REVSTATUS">#REF!</definedName>
    <definedName name="revstatuspage1">#REF!</definedName>
    <definedName name="revstatuspage2">#REF!</definedName>
    <definedName name="RevTable">#REF!</definedName>
    <definedName name="rewre" localSheetId="12" hidden="1">#REF!</definedName>
    <definedName name="rewre" hidden="1">#REF!</definedName>
    <definedName name="rewrewwre" hidden="1">#REF!</definedName>
    <definedName name="rewrwewe" hidden="1">#REF!</definedName>
    <definedName name="RF" localSheetId="12">INDEX(#REF!,MATCH(#REF!,#REF!,0))</definedName>
    <definedName name="RF" localSheetId="6" hidden="1">{#N/A,#N/A,FALSE,"CCTV"}</definedName>
    <definedName name="RF" localSheetId="29" hidden="1">{#N/A,#N/A,FALSE,"CCTV"}</definedName>
    <definedName name="RF" localSheetId="27" hidden="1">{#N/A,#N/A,FALSE,"CCTV"}</definedName>
    <definedName name="RF" localSheetId="4" hidden="1">{#N/A,#N/A,FALSE,"CCTV"}</definedName>
    <definedName name="RF" localSheetId="32" hidden="1">{#N/A,#N/A,FALSE,"CCTV"}</definedName>
    <definedName name="RF" localSheetId="24" hidden="1">{#N/A,#N/A,FALSE,"CCTV"}</definedName>
    <definedName name="RF" localSheetId="26" hidden="1">{#N/A,#N/A,FALSE,"CCTV"}</definedName>
    <definedName name="RF" hidden="1">{#N/A,#N/A,FALSE,"CCTV"}</definedName>
    <definedName name="RFGF">#REF!</definedName>
    <definedName name="RFP003A" localSheetId="6">#REF!</definedName>
    <definedName name="RFP003A" localSheetId="29">#REF!</definedName>
    <definedName name="RFP003A" localSheetId="24">#REF!</definedName>
    <definedName name="RFP003A" localSheetId="26">#REF!</definedName>
    <definedName name="RFP003A">#REF!</definedName>
    <definedName name="RFP003B" localSheetId="6">#REF!</definedName>
    <definedName name="RFP003B" localSheetId="29">#REF!</definedName>
    <definedName name="RFP003B" localSheetId="26">#REF!</definedName>
    <definedName name="RFP003B">#REF!</definedName>
    <definedName name="RFP003C" localSheetId="6">#REF!</definedName>
    <definedName name="RFP003C" localSheetId="29">#REF!</definedName>
    <definedName name="RFP003C" localSheetId="26">#REF!</definedName>
    <definedName name="RFP003C">#REF!</definedName>
    <definedName name="RFP003D">#REF!</definedName>
    <definedName name="RFP003E">#REF!</definedName>
    <definedName name="RFP003F">#REF!</definedName>
    <definedName name="RFP004Material_Total_LC">#REF!</definedName>
    <definedName name="RFP004Materiall_Total_FC">#REF!</definedName>
    <definedName name="RFP012DL_Total_MM">#REF!</definedName>
    <definedName name="RFS">INDEX(#REF!,MATCH(#REF!,#REF!,0))</definedName>
    <definedName name="rfsaf" localSheetId="12" hidden="1">{"'PROFITABILITY'!$A$1:$F$45"}</definedName>
    <definedName name="rfsaf" localSheetId="6" hidden="1">{"'PROFITABILITY'!$A$1:$F$45"}</definedName>
    <definedName name="rfsaf" localSheetId="29" hidden="1">{"'PROFITABILITY'!$A$1:$F$45"}</definedName>
    <definedName name="rfsaf" localSheetId="27" hidden="1">{"'PROFITABILITY'!$A$1:$F$45"}</definedName>
    <definedName name="rfsaf" localSheetId="4" hidden="1">{"'PROFITABILITY'!$A$1:$F$45"}</definedName>
    <definedName name="rfsaf" localSheetId="32" hidden="1">{"'PROFITABILITY'!$A$1:$F$45"}</definedName>
    <definedName name="rfsaf" localSheetId="24" hidden="1">{"'PROFITABILITY'!$A$1:$F$45"}</definedName>
    <definedName name="rfsaf" localSheetId="26" hidden="1">{"'PROFITABILITY'!$A$1:$F$45"}</definedName>
    <definedName name="rfsaf" hidden="1">{"'PROFITABILITY'!$A$1:$F$45"}</definedName>
    <definedName name="RG" localSheetId="12">INDEX(#REF!,MATCH(#REF!,#REF!,0))</definedName>
    <definedName name="RG" localSheetId="6">INDEX(#REF!,MATCH(#REF!,#REF!,0))</definedName>
    <definedName name="Rg" localSheetId="27">#REF!</definedName>
    <definedName name="RG" localSheetId="4">INDEX(#REF!,MATCH(#REF!,#REF!,0))</definedName>
    <definedName name="RG" localSheetId="32">INDEX(#REF!,MATCH(#REF!,#REF!,0))</definedName>
    <definedName name="Rg">#REF!</definedName>
    <definedName name="rgns">#REF!</definedName>
    <definedName name="RGS" localSheetId="12">INDEX(#REF!,MATCH(#REF!,#REF!,0))</definedName>
    <definedName name="rgs">#REF!</definedName>
    <definedName name="RH" localSheetId="12">INDEX(#REF!,MATCH(#REF!,#REF!,0))</definedName>
    <definedName name="RH" localSheetId="27">INDEX(#REF!,MATCH(#REF!,#REF!,0))</definedName>
    <definedName name="RH" localSheetId="24">INDEX(#REF!,MATCH(#REF!,#REF!,0))</definedName>
    <definedName name="RH">INDEX(#REF!,MATCH(#REF!,#REF!,0))</definedName>
    <definedName name="RHJBSHBFJKWNFJKS">#REF!</definedName>
    <definedName name="rho">#REF!</definedName>
    <definedName name="RHS">INDEX(#REF!,MATCH(#REF!,#REF!,0))</definedName>
    <definedName name="RI" localSheetId="12">INDEX(#REF!,MATCH(#REF!,#REF!,0))</definedName>
    <definedName name="RI" localSheetId="27">INDEX(#REF!,MATCH(#REF!,#REF!,0))</definedName>
    <definedName name="RI" localSheetId="24">INDEX(#REF!,MATCH(#REF!,#REF!,0))</definedName>
    <definedName name="RI">INDEX(#REF!,MATCH(#REF!,#REF!,0))</definedName>
    <definedName name="ric">#REF!</definedName>
    <definedName name="rig">#REF!</definedName>
    <definedName name="RIS">INDEX(#REF!,MATCH(#REF!,#REF!,0))</definedName>
    <definedName name="riser" hidden="1">#REF!</definedName>
    <definedName name="rishraetc">#REF!</definedName>
    <definedName name="Rising_CI" localSheetId="6">#REF!</definedName>
    <definedName name="Rising_CI" localSheetId="27">#REF!</definedName>
    <definedName name="Rising_CI" localSheetId="4">#REF!</definedName>
    <definedName name="Rising_CI" localSheetId="32">#REF!</definedName>
    <definedName name="Rising_CI" localSheetId="24">#REF!</definedName>
    <definedName name="Rising_CI">#REF!</definedName>
    <definedName name="Rising_Design" localSheetId="6">#REF!</definedName>
    <definedName name="Rising_Design" localSheetId="27">#REF!</definedName>
    <definedName name="Rising_Design" localSheetId="4">#REF!</definedName>
    <definedName name="Rising_Design" localSheetId="32">#REF!</definedName>
    <definedName name="Rising_Design" localSheetId="24">#REF!</definedName>
    <definedName name="Rising_Design">#REF!</definedName>
    <definedName name="risk" localSheetId="29">#REF!</definedName>
    <definedName name="risk" localSheetId="4">#REF!</definedName>
    <definedName name="risk" localSheetId="32">#REF!</definedName>
    <definedName name="Risk" localSheetId="24">#REF!</definedName>
    <definedName name="risk" localSheetId="26">#REF!</definedName>
    <definedName name="risk">#REF!</definedName>
    <definedName name="risk1" localSheetId="29">#REF!</definedName>
    <definedName name="risk1" localSheetId="4">#REF!</definedName>
    <definedName name="risk1" localSheetId="32">#REF!</definedName>
    <definedName name="risk1" localSheetId="26">#REF!</definedName>
    <definedName name="risk1">#REF!</definedName>
    <definedName name="risk3" localSheetId="4">#REF!</definedName>
    <definedName name="risk3" localSheetId="32">#REF!</definedName>
    <definedName name="risk3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localSheetId="12" hidden="1">6</definedName>
    <definedName name="RiskHasSettings" localSheetId="6" hidden="1">6</definedName>
    <definedName name="RiskHasSettings" localSheetId="29" hidden="1">5</definedName>
    <definedName name="RiskHasSettings" localSheetId="4" hidden="1">6</definedName>
    <definedName name="RiskHasSettings" localSheetId="32" hidden="1">6</definedName>
    <definedName name="RiskHasSettings" localSheetId="24" hidden="1">6</definedName>
    <definedName name="RiskHasSettings" localSheetId="26" hidden="1">5</definedName>
    <definedName name="RiskHasSettings" hidden="1">5</definedName>
    <definedName name="RiskMinimizeOnStart" hidden="1">FALSE</definedName>
    <definedName name="riskMitigation">#REF!</definedName>
    <definedName name="RiskMonitorConvergence" hidden="1">FALSE</definedName>
    <definedName name="RiskMultipleCPUSupportEnabled" hidden="1">TRUE</definedName>
    <definedName name="RiskNumIterations" localSheetId="12" hidden="1">1000</definedName>
    <definedName name="RiskNumIterations" localSheetId="6" hidden="1">1000</definedName>
    <definedName name="RiskNumIterations" localSheetId="29" hidden="1">500</definedName>
    <definedName name="RiskNumIterations" localSheetId="4" hidden="1">1000</definedName>
    <definedName name="RiskNumIterations" localSheetId="32" hidden="1">1000</definedName>
    <definedName name="RiskNumIterations" localSheetId="24" hidden="1">1000</definedName>
    <definedName name="RiskNumIterations" localSheetId="26" hidden="1">500</definedName>
    <definedName name="RiskNumIterations" hidden="1">500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localSheetId="12" hidden="1">2</definedName>
    <definedName name="RiskSamplingType" localSheetId="6" hidden="1">2</definedName>
    <definedName name="RiskSamplingType" localSheetId="29" hidden="1">3</definedName>
    <definedName name="RiskSamplingType" localSheetId="4" hidden="1">2</definedName>
    <definedName name="RiskSamplingType" localSheetId="32" hidden="1">2</definedName>
    <definedName name="RiskSamplingType" localSheetId="24" hidden="1">2</definedName>
    <definedName name="RiskSamplingType" localSheetId="26" hidden="1">3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localSheetId="12" hidden="1">TRUE</definedName>
    <definedName name="RiskUseMultipleCPUs" localSheetId="6" hidden="1">TRUE</definedName>
    <definedName name="RiskUseMultipleCPUs" localSheetId="29" hidden="1">FALSE</definedName>
    <definedName name="RiskUseMultipleCPUs" localSheetId="4" hidden="1">TRUE</definedName>
    <definedName name="RiskUseMultipleCPUs" localSheetId="32" hidden="1">TRUE</definedName>
    <definedName name="RiskUseMultipleCPUs" localSheetId="24" hidden="1">TRUE</definedName>
    <definedName name="RiskUseMultipleCPUs" localSheetId="26" hidden="1">FALSE</definedName>
    <definedName name="RiskUseMultipleCPUs" hidden="1">FALSE</definedName>
    <definedName name="RiverGodavari" localSheetId="24">#REF!</definedName>
    <definedName name="RiverGodavari">#REF!</definedName>
    <definedName name="RJ" localSheetId="12">INDEX(#REF!,MATCH(#REF!,#REF!,0))</definedName>
    <definedName name="RJ" localSheetId="27">INDEX(#REF!,MATCH(#REF!,#REF!,0))</definedName>
    <definedName name="RJ" localSheetId="24">INDEX(#REF!,MATCH(#REF!,#REF!,0))</definedName>
    <definedName name="RJ">INDEX(#REF!,MATCH(#REF!,#REF!,0))</definedName>
    <definedName name="rjrj" localSheetId="12" hidden="1">{"'PROFITABILITY'!$A$1:$F$45"}</definedName>
    <definedName name="rjrj" hidden="1">{"'PROFITABILITY'!$A$1:$F$45"}</definedName>
    <definedName name="rjrjj" localSheetId="12" hidden="1">{"'PROFITABILITY'!$A$1:$F$45"}</definedName>
    <definedName name="rjrjj" hidden="1">{"'PROFITABILITY'!$A$1:$F$45"}</definedName>
    <definedName name="RJS">INDEX(#REF!,MATCH(#REF!,#REF!,0))</definedName>
    <definedName name="RK" localSheetId="12">INDEX(#REF!,MATCH(#REF!,#REF!,0))</definedName>
    <definedName name="RK" localSheetId="27">INDEX(#REF!,MATCH(#REF!,#REF!,0))</definedName>
    <definedName name="RK" localSheetId="24">INDEX(#REF!,MATCH(#REF!,#REF!,0))</definedName>
    <definedName name="RK">INDEX(#REF!,MATCH(#REF!,#REF!,0))</definedName>
    <definedName name="RL" localSheetId="12">INDEX(#REF!,MATCH(#REF!,#REF!,0))</definedName>
    <definedName name="RL" localSheetId="6">INDEX(#REF!,MATCH(#REF!,#REF!,0))</definedName>
    <definedName name="Rl" localSheetId="27">#REF!</definedName>
    <definedName name="RL" localSheetId="4">INDEX(#REF!,MATCH(#REF!,#REF!,0))</definedName>
    <definedName name="RL" localSheetId="32">INDEX(#REF!,MATCH(#REF!,#REF!,0))</definedName>
    <definedName name="Rl">#REF!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LPS" localSheetId="12">#REF!</definedName>
    <definedName name="RLPS">#REF!</definedName>
    <definedName name="RM" localSheetId="12">INDEX(#REF!,MATCH(#REF!,#REF!,0))</definedName>
    <definedName name="RM" localSheetId="27">INDEX(#REF!,MATCH(#REF!,#REF!,0))</definedName>
    <definedName name="RM" localSheetId="4">INDEX(#REF!,MATCH(#REF!,#REF!,0))</definedName>
    <definedName name="RM" localSheetId="32">INDEX(#REF!,MATCH(#REF!,#REF!,0))</definedName>
    <definedName name="RM" localSheetId="24">INDEX(#REF!,MATCH(#REF!,#REF!,0))</definedName>
    <definedName name="RM">INDEX(#REF!,MATCH(#REF!,#REF!,0))</definedName>
    <definedName name="rmcaccp" localSheetId="12">#REF!</definedName>
    <definedName name="rmcaccp" localSheetId="29">#REF!</definedName>
    <definedName name="rmcaccp" localSheetId="26">#REF!</definedName>
    <definedName name="rmcaccp">#REF!</definedName>
    <definedName name="rmcecp" localSheetId="12">#REF!</definedName>
    <definedName name="rmcecp" localSheetId="29">#REF!</definedName>
    <definedName name="rmcecp" localSheetId="26">#REF!</definedName>
    <definedName name="rmcecp">#REF!</definedName>
    <definedName name="rmcmcc.1" localSheetId="12">#REF!</definedName>
    <definedName name="rmcmcc.1" localSheetId="29">#REF!</definedName>
    <definedName name="rmcmcc.1" localSheetId="26">#REF!</definedName>
    <definedName name="rmcmcc.1">#REF!</definedName>
    <definedName name="rmcmcc.2" localSheetId="12">#REF!</definedName>
    <definedName name="rmcmcc.2" localSheetId="29">#REF!</definedName>
    <definedName name="rmcmcc.2" localSheetId="26">#REF!</definedName>
    <definedName name="rmcmcc.2">#REF!</definedName>
    <definedName name="rmcmcc.3" localSheetId="12">#REF!</definedName>
    <definedName name="rmcmcc.3" localSheetId="29">#REF!</definedName>
    <definedName name="rmcmcc.3" localSheetId="26">#REF!</definedName>
    <definedName name="rmcmcc.3">#REF!</definedName>
    <definedName name="rmcmltsb" localSheetId="12">#REF!</definedName>
    <definedName name="rmcmltsb" localSheetId="29">#REF!</definedName>
    <definedName name="rmcmltsb" localSheetId="26">#REF!</definedName>
    <definedName name="rmcmltsb">#REF!</definedName>
    <definedName name="rmcmsb.ups" localSheetId="12">#REF!</definedName>
    <definedName name="rmcmsb.ups" localSheetId="29">#REF!</definedName>
    <definedName name="rmcmsb.ups" localSheetId="26">#REF!</definedName>
    <definedName name="rmcmsb.ups">#REF!</definedName>
    <definedName name="rmcsmsb.1" localSheetId="12">#REF!</definedName>
    <definedName name="rmcsmsb.1" localSheetId="29">#REF!</definedName>
    <definedName name="rmcsmsb.1" localSheetId="26">#REF!</definedName>
    <definedName name="rmcsmsb.1">#REF!</definedName>
    <definedName name="rmcsmsb.2" localSheetId="12">#REF!</definedName>
    <definedName name="rmcsmsb.2" localSheetId="29">#REF!</definedName>
    <definedName name="rmcsmsb.2" localSheetId="26">#REF!</definedName>
    <definedName name="rmcsmsb.2">#REF!</definedName>
    <definedName name="rmcsmsb.3" localSheetId="12">#REF!</definedName>
    <definedName name="rmcsmsb.3" localSheetId="29">#REF!</definedName>
    <definedName name="rmcsmsb.3" localSheetId="26">#REF!</definedName>
    <definedName name="rmcsmsb.3">#REF!</definedName>
    <definedName name="rmcsmsb.b" localSheetId="12">#REF!</definedName>
    <definedName name="rmcsmsb.b" localSheetId="29">#REF!</definedName>
    <definedName name="rmcsmsb.b" localSheetId="26">#REF!</definedName>
    <definedName name="rmcsmsb.b">#REF!</definedName>
    <definedName name="rmcsmsb.g" localSheetId="12">#REF!</definedName>
    <definedName name="rmcsmsb.g" localSheetId="29">#REF!</definedName>
    <definedName name="rmcsmsb.g" localSheetId="26">#REF!</definedName>
    <definedName name="rmcsmsb.g">#REF!</definedName>
    <definedName name="rmcsmsb.lab" localSheetId="12">#REF!</definedName>
    <definedName name="rmcsmsb.lab" localSheetId="29">#REF!</definedName>
    <definedName name="rmcsmsb.lab" localSheetId="26">#REF!</definedName>
    <definedName name="rmcsmsb.lab">#REF!</definedName>
    <definedName name="rmcsmsb.main" localSheetId="12">#REF!</definedName>
    <definedName name="rmcsmsb.main" localSheetId="29">#REF!</definedName>
    <definedName name="rmcsmsb.main" localSheetId="26">#REF!</definedName>
    <definedName name="rmcsmsb.main">#REF!</definedName>
    <definedName name="rmcsmsb.t" localSheetId="12">#REF!</definedName>
    <definedName name="rmcsmsb.t" localSheetId="29">#REF!</definedName>
    <definedName name="rmcsmsb.t" localSheetId="26">#REF!</definedName>
    <definedName name="rmcsmsb.t">#REF!</definedName>
    <definedName name="rmcsmsb.ups" localSheetId="12">#REF!</definedName>
    <definedName name="rmcsmsb.ups" localSheetId="29">#REF!</definedName>
    <definedName name="rmcsmsb.ups" localSheetId="26">#REF!</definedName>
    <definedName name="rmcsmsb.ups">#REF!</definedName>
    <definedName name="rmcup.1" localSheetId="12">#REF!</definedName>
    <definedName name="rmcup.1" localSheetId="29">#REF!</definedName>
    <definedName name="rmcup.1" localSheetId="26">#REF!</definedName>
    <definedName name="rmcup.1">#REF!</definedName>
    <definedName name="rmcup.2" localSheetId="12">#REF!</definedName>
    <definedName name="rmcup.2" localSheetId="29">#REF!</definedName>
    <definedName name="rmcup.2" localSheetId="26">#REF!</definedName>
    <definedName name="rmcup.2">#REF!</definedName>
    <definedName name="RNG1500S">#REF!</definedName>
    <definedName name="RNG150S">#REF!</definedName>
    <definedName name="RNG2500S">#REF!</definedName>
    <definedName name="RNG300S">#REF!</definedName>
    <definedName name="RNG400S">#REF!</definedName>
    <definedName name="RNG4500S">#REF!</definedName>
    <definedName name="RNG600S">#REF!</definedName>
    <definedName name="RNG900S">#REF!</definedName>
    <definedName name="ro">#REF!</definedName>
    <definedName name="robot">#REF!</definedName>
    <definedName name="ROCE">#REF!</definedName>
    <definedName name="ROCE.R" localSheetId="6">#REF!</definedName>
    <definedName name="ROCE.R" localSheetId="27">#REF!</definedName>
    <definedName name="ROCE.R" localSheetId="4">#REF!</definedName>
    <definedName name="ROCE.R" localSheetId="32">#REF!</definedName>
    <definedName name="ROCE.R" localSheetId="24">#REF!</definedName>
    <definedName name="ROCE.R">#REF!</definedName>
    <definedName name="rockexcavation" localSheetId="6">#REF!</definedName>
    <definedName name="rockexcavation" localSheetId="27">#REF!</definedName>
    <definedName name="rockexcavation" localSheetId="4">#REF!</definedName>
    <definedName name="rockexcavation" localSheetId="32">#REF!</definedName>
    <definedName name="rockexcavation" localSheetId="24">#REF!</definedName>
    <definedName name="rockexcavation">#REF!</definedName>
    <definedName name="RODS" localSheetId="29">#REF!</definedName>
    <definedName name="RODS" localSheetId="24">#REF!</definedName>
    <definedName name="RODS" localSheetId="26">#REF!</definedName>
    <definedName name="RODS">#REF!</definedName>
    <definedName name="roller8MT" localSheetId="6">#REF!</definedName>
    <definedName name="roller8MT" localSheetId="27">#REF!</definedName>
    <definedName name="roller8MT" localSheetId="4">#REF!</definedName>
    <definedName name="roller8MT" localSheetId="32">#REF!</definedName>
    <definedName name="roller8MT" localSheetId="24">#REF!</definedName>
    <definedName name="roller8MT">#REF!</definedName>
    <definedName name="ROLLFCCASHFLOW" localSheetId="29">#REF!</definedName>
    <definedName name="ROLLFCCASHFLOW" localSheetId="26">#REF!</definedName>
    <definedName name="ROLLFCCASHFLOW" localSheetId="2">#REF!</definedName>
    <definedName name="ROLLFCCASHFLOW">#REF!</definedName>
    <definedName name="ROLLFCWKGS" localSheetId="2">#REF!</definedName>
    <definedName name="ROLLFCWKGS">#REF!</definedName>
    <definedName name="ROLLGFC" localSheetId="2">#REF!</definedName>
    <definedName name="ROLLGFC">#REF!</definedName>
    <definedName name="rone">#REF!</definedName>
    <definedName name="root1">#REF!</definedName>
    <definedName name="root2">#REF!</definedName>
    <definedName name="root3">#REF!</definedName>
    <definedName name="rorp">#REF!</definedName>
    <definedName name="rosid">#REF!</definedName>
    <definedName name="ROTARY" localSheetId="6">#REF!</definedName>
    <definedName name="ROTARY" localSheetId="27">#REF!</definedName>
    <definedName name="ROTARY" localSheetId="4">#REF!</definedName>
    <definedName name="ROTARY" localSheetId="32">#REF!</definedName>
    <definedName name="ROTARY" localSheetId="24">#REF!</definedName>
    <definedName name="ROTARY">#REF!</definedName>
    <definedName name="rousd" localSheetId="29">#REF!</definedName>
    <definedName name="rousd" localSheetId="24">#REF!</definedName>
    <definedName name="rousd" localSheetId="26">#REF!</definedName>
    <definedName name="rousd">#REF!</definedName>
    <definedName name="rout_t" localSheetId="29">#REF!</definedName>
    <definedName name="rout_t" localSheetId="26">#REF!</definedName>
    <definedName name="rout_t">#REF!</definedName>
    <definedName name="ROW">#REF!</definedName>
    <definedName name="ROW_STRESS">#REF!</definedName>
    <definedName name="Roxy">#REF!</definedName>
    <definedName name="rp">#REF!</definedName>
    <definedName name="RPROT220">#REF!</definedName>
    <definedName name="RPROT500">#REF!</definedName>
    <definedName name="RPRTO500">#REF!</definedName>
    <definedName name="RPRTOT500">#REF!</definedName>
    <definedName name="rr">#REF!</definedName>
    <definedName name="rrammv">#REF!</definedName>
    <definedName name="RRecorderecorder">#REF!</definedName>
    <definedName name="Rrelay">#REF!</definedName>
    <definedName name="RRR" hidden="1">#REF!</definedName>
    <definedName name="rrrr">#REF!</definedName>
    <definedName name="RRRRRRRRRRRRRRRRRRRRRR">#REF!</definedName>
    <definedName name="rrrrtrt">#REF!</definedName>
    <definedName name="RRstones">#REF!</definedName>
    <definedName name="RS" localSheetId="12">IFERROR(LEFT(INDEX(#REF!,MATCH(#REF!,#REF!,0)),3),"")</definedName>
    <definedName name="Rs">#REF!</definedName>
    <definedName name="Rs___0">#REF!</definedName>
    <definedName name="Rs___13">#REF!</definedName>
    <definedName name="rsat">#REF!</definedName>
    <definedName name="Rse" localSheetId="12">#REF!</definedName>
    <definedName name="Rse">#REF!</definedName>
    <definedName name="Rse___0">#REF!</definedName>
    <definedName name="Rse___13">#REF!</definedName>
    <definedName name="RSP" localSheetId="12">#REF!</definedName>
    <definedName name="RSP" localSheetId="4">#REF!</definedName>
    <definedName name="RSP" localSheetId="32">#REF!</definedName>
    <definedName name="RSP">#REF!</definedName>
    <definedName name="Rt" localSheetId="4">#REF!</definedName>
    <definedName name="Rt" localSheetId="32">#REF!</definedName>
    <definedName name="Rt">#REF!</definedName>
    <definedName name="rt6gf">#REF!</definedName>
    <definedName name="rtferty">#REF!</definedName>
    <definedName name="rtfr">#REF!</definedName>
    <definedName name="rts">#REF!</definedName>
    <definedName name="rttj" localSheetId="12" hidden="1">{"'PROFITABILITY'!$A$1:$F$45"}</definedName>
    <definedName name="rttj" hidden="1">{"'PROFITABILITY'!$A$1:$F$45"}</definedName>
    <definedName name="rttrt" localSheetId="12" hidden="1">{"form-D1",#N/A,FALSE,"FORM-D1";"form-D1_amt",#N/A,FALSE,"FORM-D1"}</definedName>
    <definedName name="rttrt" hidden="1">{"form-D1",#N/A,FALSE,"FORM-D1";"form-D1_amt",#N/A,FALSE,"FORM-D1"}</definedName>
    <definedName name="RTU1_AI">#REF!</definedName>
    <definedName name="RTU1_DI">#REF!</definedName>
    <definedName name="RTU1_DO">#REF!</definedName>
    <definedName name="RTU1_PC">#REF!</definedName>
    <definedName name="RTU2_AI">#REF!</definedName>
    <definedName name="RTU2_DI">#REF!</definedName>
    <definedName name="RTU2_DO">#REF!</definedName>
    <definedName name="RTU2_PC">#REF!</definedName>
    <definedName name="rty" localSheetId="12" hidden="1">{#N/A,#N/A,TRUE,"Projektierung";#N/A,#N/A,TRUE,"Grundgerät";#N/A,#N/A,TRUE,"Baugruppen"}</definedName>
    <definedName name="rty" hidden="1">{#N/A,#N/A,TRUE,"Projektierung";#N/A,#N/A,TRUE,"Grundgerät";#N/A,#N/A,TRUE,"Baugruppen"}</definedName>
    <definedName name="rty566768u">#REF!</definedName>
    <definedName name="RUPEES">#REF!</definedName>
    <definedName name="RUPEES_1">#REF!</definedName>
    <definedName name="ruyu">#REF!</definedName>
    <definedName name="rvfdd">#REF!</definedName>
    <definedName name="rwere" localSheetId="12" hidden="1">{#N/A,#N/A,FALSE,"COVER1.XLS ";#N/A,#N/A,FALSE,"RACT1.XLS";#N/A,#N/A,FALSE,"RACT2.XLS";#N/A,#N/A,FALSE,"ECCMP";#N/A,#N/A,FALSE,"WELDER.XLS"}</definedName>
    <definedName name="rwere" hidden="1">{#N/A,#N/A,FALSE,"COVER1.XLS ";#N/A,#N/A,FALSE,"RACT1.XLS";#N/A,#N/A,FALSE,"RACT2.XLS";#N/A,#N/A,FALSE,"ECCMP";#N/A,#N/A,FALSE,"WELDER.XLS"}</definedName>
    <definedName name="rwerewre" hidden="1">#REF!</definedName>
    <definedName name="RWPH">#REF!</definedName>
    <definedName name="rwrqwr" localSheetId="12">#REF!</definedName>
    <definedName name="rwrqwr">#REF!</definedName>
    <definedName name="rx">#REF!</definedName>
    <definedName name="rxearthing">#REF!</definedName>
    <definedName name="ry" localSheetId="6">#REF!</definedName>
    <definedName name="ry" localSheetId="27">#REF!</definedName>
    <definedName name="ry" localSheetId="4">#REF!</definedName>
    <definedName name="ry" localSheetId="32">#REF!</definedName>
    <definedName name="ry" localSheetId="24">#REF!</definedName>
    <definedName name="ry">#REF!</definedName>
    <definedName name="rzgymj">#REF!</definedName>
    <definedName name="s" localSheetId="12">#REF!</definedName>
    <definedName name="s" localSheetId="29">#REF!</definedName>
    <definedName name="s" localSheetId="24">#REF!</definedName>
    <definedName name="s" localSheetId="26">#REF!</definedName>
    <definedName name="s">#REF!</definedName>
    <definedName name="s.f" localSheetId="12">#REF!</definedName>
    <definedName name="s.f">#REF!</definedName>
    <definedName name="s_1" localSheetId="12" hidden="1">{"'PROFITABILITY'!$A$1:$F$45"}</definedName>
    <definedName name="s_1" localSheetId="6" hidden="1">{"'PROFITABILITY'!$A$1:$F$45"}</definedName>
    <definedName name="s_1" localSheetId="29" hidden="1">{"'PROFITABILITY'!$A$1:$F$45"}</definedName>
    <definedName name="s_1" localSheetId="27" hidden="1">{"'PROFITABILITY'!$A$1:$F$45"}</definedName>
    <definedName name="s_1" localSheetId="4" hidden="1">{"'PROFITABILITY'!$A$1:$F$45"}</definedName>
    <definedName name="s_1" localSheetId="32" hidden="1">{"'PROFITABILITY'!$A$1:$F$45"}</definedName>
    <definedName name="s_1" localSheetId="24" hidden="1">{"'PROFITABILITY'!$A$1:$F$45"}</definedName>
    <definedName name="s_1" localSheetId="26" hidden="1">{"'PROFITABILITY'!$A$1:$F$45"}</definedName>
    <definedName name="s_1" hidden="1">{"'PROFITABILITY'!$A$1:$F$45"}</definedName>
    <definedName name="S_41" localSheetId="12" hidden="1">{0,0,0,0;0,#N/A,FALSE,0}</definedName>
    <definedName name="S_41" hidden="1">{0,0,0,0;0,#N/A,FALSE,0}</definedName>
    <definedName name="S_S_Name">#REF!</definedName>
    <definedName name="S_STUB">#REF!,#REF!,#REF!,#REF!,#REF!</definedName>
    <definedName name="S_T_Q_E_MI">#REF!</definedName>
    <definedName name="S0">#REF!</definedName>
    <definedName name="s0.2">#REF!</definedName>
    <definedName name="s0ne">#REF!</definedName>
    <definedName name="SA" localSheetId="12">INDEX(#REF!,MATCH(#REF!,#REF!,0))</definedName>
    <definedName name="SA" localSheetId="4">#REF!</definedName>
    <definedName name="SA" localSheetId="32">#REF!</definedName>
    <definedName name="SA">#REF!</definedName>
    <definedName name="saa" localSheetId="12" hidden="1">{"form-D1",#N/A,FALSE,"FORM-D1";"form-D1_amt",#N/A,FALSE,"FORM-D1"}</definedName>
    <definedName name="saa" hidden="1">{"form-D1",#N/A,FALSE,"FORM-D1";"form-D1_amt",#N/A,FALSE,"FORM-D1"}</definedName>
    <definedName name="saaa" localSheetId="12" hidden="1">{"CASH FLOW",#N/A,FALSE,"A"}</definedName>
    <definedName name="saaa" hidden="1">{"CASH FLOW",#N/A,FALSE,"A"}</definedName>
    <definedName name="saaas" localSheetId="12" hidden="1">{"PLANNING",#N/A,FALSE,"A"}</definedName>
    <definedName name="saaas" hidden="1">{"PLANNING",#N/A,FALSE,"A"}</definedName>
    <definedName name="sadafas">#REF!</definedName>
    <definedName name="sadgasdg">#REF!</definedName>
    <definedName name="Sagar">#REF!</definedName>
    <definedName name="Saharanpur">#REF!</definedName>
    <definedName name="sak">#REF!</definedName>
    <definedName name="sal" localSheetId="12" hidden="1">{"CASH FLOW",#N/A,FALSE,"A"}</definedName>
    <definedName name="sal">#REF!</definedName>
    <definedName name="salar">#REF!</definedName>
    <definedName name="SALARIES___WAGES">#REF!</definedName>
    <definedName name="salary" localSheetId="12">#REF!</definedName>
    <definedName name="salary">#REF!</definedName>
    <definedName name="SALEFACT" localSheetId="29">#REF!</definedName>
    <definedName name="SALEFACT" localSheetId="26">#REF!</definedName>
    <definedName name="SALEFACT" localSheetId="2">#REF!</definedName>
    <definedName name="SALEFACT">#REF!</definedName>
    <definedName name="sales">#REF!</definedName>
    <definedName name="Sales_Per_Manday">#REF!</definedName>
    <definedName name="SALESPLAN">#REF!</definedName>
    <definedName name="sam" localSheetId="12" hidden="1">{"PLANT BREAKUP",#N/A,FALSE,"E"}</definedName>
    <definedName name="sam" hidden="1">{"PLANT BREAKUP",#N/A,FALSE,"E"}</definedName>
    <definedName name="same">#REF!</definedName>
    <definedName name="san">#REF!</definedName>
    <definedName name="san_1">#REF!</definedName>
    <definedName name="Sand_124" localSheetId="6">#REF!</definedName>
    <definedName name="Sand_124" localSheetId="29">#REF!</definedName>
    <definedName name="Sand_124" localSheetId="27">#REF!</definedName>
    <definedName name="Sand_124" localSheetId="4">#REF!</definedName>
    <definedName name="Sand_124" localSheetId="32">#REF!</definedName>
    <definedName name="Sand_124" localSheetId="24">#REF!</definedName>
    <definedName name="Sand_124" localSheetId="26">#REF!</definedName>
    <definedName name="Sand_124">#REF!</definedName>
    <definedName name="sand124" localSheetId="6">#REF!</definedName>
    <definedName name="sand124" localSheetId="27">#REF!</definedName>
    <definedName name="sand124" localSheetId="4">#REF!</definedName>
    <definedName name="sand124" localSheetId="32">#REF!</definedName>
    <definedName name="sand124" localSheetId="24">#REF!</definedName>
    <definedName name="sand124">#REF!</definedName>
    <definedName name="Sandeep">#REF!</definedName>
    <definedName name="SandI_Mobi_Mth" localSheetId="29">#REF!</definedName>
    <definedName name="SandI_Mobi_Mth" localSheetId="24">#REF!</definedName>
    <definedName name="SandI_Mobi_Mth" localSheetId="26">#REF!</definedName>
    <definedName name="SandI_Mobi_Mth">#REF!</definedName>
    <definedName name="SandI_Mth" localSheetId="29">#REF!</definedName>
    <definedName name="SandI_Mth" localSheetId="26">#REF!</definedName>
    <definedName name="SandI_Mth">#REF!</definedName>
    <definedName name="SandMT" localSheetId="6">#REF!</definedName>
    <definedName name="SandMT" localSheetId="27">#REF!</definedName>
    <definedName name="SandMT" localSheetId="4">#REF!</definedName>
    <definedName name="SandMT" localSheetId="32">#REF!</definedName>
    <definedName name="SandMT" localSheetId="24">#REF!</definedName>
    <definedName name="SandMT">#REF!</definedName>
    <definedName name="Sanitary" localSheetId="24">#REF!</definedName>
    <definedName name="Sanitary">#REF!</definedName>
    <definedName name="sanjuuu">#REF!</definedName>
    <definedName name="SAP_SUMM" localSheetId="2">#REF!</definedName>
    <definedName name="SAP_SUMM">#REF!</definedName>
    <definedName name="sarava">#N/A</definedName>
    <definedName name="sarita" localSheetId="27">#REF!</definedName>
    <definedName name="sarita" localSheetId="24">#REF!</definedName>
    <definedName name="sarita" localSheetId="2">#REF!</definedName>
    <definedName name="sarita">#REF!</definedName>
    <definedName name="sary" localSheetId="6">#REF!</definedName>
    <definedName name="sary" localSheetId="27">#REF!</definedName>
    <definedName name="sary" localSheetId="4">#REF!</definedName>
    <definedName name="sary" localSheetId="32">#REF!</definedName>
    <definedName name="sary" localSheetId="24">#REF!</definedName>
    <definedName name="sary">#REF!</definedName>
    <definedName name="SAS">INDEX(#REF!,MATCH(#REF!,#REF!,0))</definedName>
    <definedName name="sasi">#REF!</definedName>
    <definedName name="sastry">#REF!</definedName>
    <definedName name="SATYA" localSheetId="24">#REF!</definedName>
    <definedName name="SATYA">#REF!</definedName>
    <definedName name="SAUMAJIT">#REF!</definedName>
    <definedName name="SAUN" localSheetId="24">#REF!</definedName>
    <definedName name="SAUN">#REF!</definedName>
    <definedName name="SB" localSheetId="12">INDEX(#REF!,MATCH(#REF!,#REF!,0))</definedName>
    <definedName name="SB" localSheetId="29">INDEX(#REF!,MATCH(#REF!,#REF!,0))</definedName>
    <definedName name="SB" localSheetId="27">INDEX(#REF!,MATCH(#REF!,#REF!,0))</definedName>
    <definedName name="SB" localSheetId="4">INDEX(#REF!,MATCH(#REF!,#REF!,0))</definedName>
    <definedName name="SB" localSheetId="32">INDEX(#REF!,MATCH(#REF!,#REF!,0))</definedName>
    <definedName name="sb" localSheetId="24">#REF!</definedName>
    <definedName name="SB" localSheetId="26">INDEX(#REF!,MATCH(#REF!,#REF!,0))</definedName>
    <definedName name="SB">INDEX(#REF!,MATCH(#REF!,#REF!,0))</definedName>
    <definedName name="sbc">#REF!</definedName>
    <definedName name="SBS">INDEX(#REF!,MATCH(#REF!,#REF!,0))</definedName>
    <definedName name="sbt">#REF!</definedName>
    <definedName name="SBU1NAMES">#REF!</definedName>
    <definedName name="SBU2NAMES">#REF!</definedName>
    <definedName name="SC" localSheetId="12">INDEX(#REF!,MATCH(#REF!,#REF!,0))</definedName>
    <definedName name="SC" localSheetId="29">INDEX(#REF!,MATCH(#REF!,#REF!,0))</definedName>
    <definedName name="SC" localSheetId="27">INDEX(#REF!,MATCH(#REF!,#REF!,0))</definedName>
    <definedName name="SC" localSheetId="24">#REF!</definedName>
    <definedName name="SC" localSheetId="26">INDEX(#REF!,MATCH(#REF!,#REF!,0))</definedName>
    <definedName name="SC">INDEX(#REF!,MATCH(#REF!,#REF!,0))</definedName>
    <definedName name="SC_Ave" localSheetId="29">#REF!</definedName>
    <definedName name="SC_Ave" localSheetId="26">#REF!</definedName>
    <definedName name="SC_Ave">#REF!</definedName>
    <definedName name="SC_Mobi_Mth">#REF!</definedName>
    <definedName name="SC_MP_Peak">#REF!</definedName>
    <definedName name="SC_Mth">#REF!</definedName>
    <definedName name="SC_percentage">#REF!</definedName>
    <definedName name="SC_SALE_FACT">#REF!</definedName>
    <definedName name="SC_Sales">#REF!</definedName>
    <definedName name="SCADA">#REF!</definedName>
    <definedName name="SCADA220">#REF!</definedName>
    <definedName name="SCADA220SS">#REF!</definedName>
    <definedName name="scale">#REF!</definedName>
    <definedName name="scbc">#REF!</definedName>
    <definedName name="scbwo">#REF!</definedName>
    <definedName name="SCC">#REF!</definedName>
    <definedName name="scf">#REF!</definedName>
    <definedName name="SCH" localSheetId="4">#REF!</definedName>
    <definedName name="SCH" localSheetId="32">#REF!</definedName>
    <definedName name="SCH">#REF!</definedName>
    <definedName name="sch.40">#REF!</definedName>
    <definedName name="SCH_CON">#REF!</definedName>
    <definedName name="SCH_CSH_OF">#REF!</definedName>
    <definedName name="SCH_DIRSTAF">#REF!</definedName>
    <definedName name="SCH_INDIRSTAF">#REF!</definedName>
    <definedName name="SCH_PM">#REF!</definedName>
    <definedName name="SCH_WC_CF">#REF!</definedName>
    <definedName name="sCHE4">#REF!</definedName>
    <definedName name="Sched_Pay">#REF!</definedName>
    <definedName name="schedule" localSheetId="12" hidden="1">{"form-D1",#N/A,FALSE,"FORM-D1";"form-D1_amt",#N/A,FALSE,"FORM-D1"}</definedName>
    <definedName name="schedule" localSheetId="6" hidden="1">{"form-D1",#N/A,FALSE,"FORM-D1";"form-D1_amt",#N/A,FALSE,"FORM-D1"}</definedName>
    <definedName name="schedule" localSheetId="29" hidden="1">{"form-D1",#N/A,FALSE,"FORM-D1";"form-D1_amt",#N/A,FALSE,"FORM-D1"}</definedName>
    <definedName name="schedule" localSheetId="27" hidden="1">{"form-D1",#N/A,FALSE,"FORM-D1";"form-D1_amt",#N/A,FALSE,"FORM-D1"}</definedName>
    <definedName name="schedule" localSheetId="4" hidden="1">{"form-D1",#N/A,FALSE,"FORM-D1";"form-D1_amt",#N/A,FALSE,"FORM-D1"}</definedName>
    <definedName name="schedule" localSheetId="32" hidden="1">{"form-D1",#N/A,FALSE,"FORM-D1";"form-D1_amt",#N/A,FALSE,"FORM-D1"}</definedName>
    <definedName name="schedule" localSheetId="24" hidden="1">{"form-D1",#N/A,FALSE,"FORM-D1";"form-D1_amt",#N/A,FALSE,"FORM-D1"}</definedName>
    <definedName name="schedule" localSheetId="26" hidden="1">{"form-D1",#N/A,FALSE,"FORM-D1";"form-D1_amt",#N/A,FALSE,"FORM-D1"}</definedName>
    <definedName name="schedule" hidden="1">{"form-D1",#N/A,FALSE,"FORM-D1";"form-D1_amt",#N/A,FALSE,"FORM-D1"}</definedName>
    <definedName name="SCHEDULE_NO._1" localSheetId="6">#REF!</definedName>
    <definedName name="SCHEDULE_NO._1" localSheetId="29">#REF!</definedName>
    <definedName name="SCHEDULE_NO._1" localSheetId="24">#REF!</definedName>
    <definedName name="SCHEDULE_NO._1" localSheetId="26">#REF!</definedName>
    <definedName name="SCHEDULE_NO._1">#REF!</definedName>
    <definedName name="SCHEDULE_NO._10___Loans___Advances" localSheetId="6">#REF!</definedName>
    <definedName name="SCHEDULE_NO._10___Loans___Advances" localSheetId="24">#REF!</definedName>
    <definedName name="SCHEDULE_NO._10___Loans___Advances">#REF!</definedName>
    <definedName name="SCHEDULE_NO._11a___Current_Liabilities" localSheetId="6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Area">#REF!</definedName>
    <definedName name="Scheduled_Extra_Payments">#REF!</definedName>
    <definedName name="Scheduled_Interest_Rate">#REF!</definedName>
    <definedName name="Scheduled_Monthly_Payment">#REF!</definedName>
    <definedName name="ScheduleName">#REF!</definedName>
    <definedName name="ScheduleReference">#REF!</definedName>
    <definedName name="schedules">#REF!</definedName>
    <definedName name="schefin">#REF!</definedName>
    <definedName name="SchList" localSheetId="12">#REF!</definedName>
    <definedName name="SchList">#REF!</definedName>
    <definedName name="schools">#REF!</definedName>
    <definedName name="SCIENCE">#REF!</definedName>
    <definedName name="Scope" localSheetId="6">#REF!</definedName>
    <definedName name="Scope" localSheetId="27">#REF!</definedName>
    <definedName name="Scope" localSheetId="4">#REF!</definedName>
    <definedName name="Scope" localSheetId="32">#REF!</definedName>
    <definedName name="Scope" localSheetId="24">#REF!</definedName>
    <definedName name="Scope">#REF!</definedName>
    <definedName name="scrb" localSheetId="24">#REF!</definedName>
    <definedName name="scrb">#REF!</definedName>
    <definedName name="SCS">INDEX(#REF!,MATCH(#REF!,#REF!,0))</definedName>
    <definedName name="SD" localSheetId="12">INDEX(#REF!,MATCH(#REF!,#REF!,0))</definedName>
    <definedName name="Sd" localSheetId="29">#REF!</definedName>
    <definedName name="Sd" localSheetId="26">#REF!</definedName>
    <definedName name="Sd">#REF!</definedName>
    <definedName name="sd_1">#REF!</definedName>
    <definedName name="sda" localSheetId="12" hidden="1">{"form-D1",#N/A,FALSE,"FORM-D1";"form-D1_amt",#N/A,FALSE,"FORM-D1"}</definedName>
    <definedName name="sda" hidden="1">{"form-D1",#N/A,FALSE,"FORM-D1";"form-D1_amt",#N/A,FALSE,"FORM-D1"}</definedName>
    <definedName name="sdaa" localSheetId="12">#REF!</definedName>
    <definedName name="sdaa">#REF!</definedName>
    <definedName name="SDASRAR">#REF!</definedName>
    <definedName name="Sdate">#REF!</definedName>
    <definedName name="sdc">#REF!</definedName>
    <definedName name="sdezrfgfg">#REF!</definedName>
    <definedName name="sdf" localSheetId="29">#REF!</definedName>
    <definedName name="sdf" localSheetId="26">#REF!</definedName>
    <definedName name="sdf">#REF!</definedName>
    <definedName name="SDF2A" localSheetId="12">#REF!</definedName>
    <definedName name="SDF2A">#REF!</definedName>
    <definedName name="sdfasf">#REF!</definedName>
    <definedName name="sdfd" localSheetId="12" hidden="1">{#N/A,#N/A,TRUE,"Projektierung";#N/A,#N/A,TRUE,"Grundgerät";#N/A,#N/A,TRUE,"Baugruppen"}</definedName>
    <definedName name="sdfd" hidden="1">{#N/A,#N/A,TRUE,"Projektierung";#N/A,#N/A,TRUE,"Grundgerät";#N/A,#N/A,TRUE,"Baugruppen"}</definedName>
    <definedName name="sdfds" localSheetId="12" hidden="1">{"'PROFITABILITY'!$A$1:$F$45"}</definedName>
    <definedName name="sdfds" hidden="1">{"'PROFITABILITY'!$A$1:$F$45"}</definedName>
    <definedName name="sdfgdfg">#REF!</definedName>
    <definedName name="sdfgdsafg">#REF!</definedName>
    <definedName name="sdfghdf">#REF!</definedName>
    <definedName name="sdfgsfdgh">#REF!</definedName>
    <definedName name="sdfgsfg">#REF!</definedName>
    <definedName name="sdfgtd">#REF!</definedName>
    <definedName name="sdfhsdfh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sdfhsdfh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sdfhsdfhg">#REF!</definedName>
    <definedName name="sdfhsdhds">#REF!</definedName>
    <definedName name="sdfhszdfh">#REF!</definedName>
    <definedName name="sdfsdf">#REF!</definedName>
    <definedName name="sdfsdfdsfsd">#REF!</definedName>
    <definedName name="sdfwdd">#REF!</definedName>
    <definedName name="SDGDSHGD" localSheetId="12" hidden="1">{"'PROFITABILITY'!$A$1:$F$45"}</definedName>
    <definedName name="SDGDSHGD" hidden="1">{"'PROFITABILITY'!$A$1:$F$45"}</definedName>
    <definedName name="SDGSDG" localSheetId="12" hidden="1">{"'PROFITABILITY'!$A$1:$F$45"}</definedName>
    <definedName name="SDGSDG" hidden="1">{"'PROFITABILITY'!$A$1:$F$45"}</definedName>
    <definedName name="SDGSG" localSheetId="12" hidden="1">{"'PROFITABILITY'!$A$1:$F$45"}</definedName>
    <definedName name="SDGSG" hidden="1">{"'PROFITABILITY'!$A$1:$F$45"}</definedName>
    <definedName name="sdif">#REF!</definedName>
    <definedName name="sdjghkkjhg" hidden="1">#REF!</definedName>
    <definedName name="sdr">#REF!</definedName>
    <definedName name="sdrfg">#REF!</definedName>
    <definedName name="sdrfgsdfg">#REF!</definedName>
    <definedName name="sdrfgsdfghb">#REF!</definedName>
    <definedName name="sdrgsdrgs">#REF!</definedName>
    <definedName name="SDS" localSheetId="12">INDEX(#REF!,MATCH(#REF!,#REF!,0))</definedName>
    <definedName name="sds">#REF!</definedName>
    <definedName name="SDSD" localSheetId="12" hidden="1">{"form-D1",#N/A,FALSE,"FORM-D1";"form-D1_amt",#N/A,FALSE,"FORM-D1"}</definedName>
    <definedName name="SDSD" hidden="1">{"form-D1",#N/A,FALSE,"FORM-D1";"form-D1_amt",#N/A,FALSE,"FORM-D1"}</definedName>
    <definedName name="sdsdsd">#REF!</definedName>
    <definedName name="sdthsdhgs">#REF!</definedName>
    <definedName name="sdzrfg">#REF!</definedName>
    <definedName name="SE" localSheetId="12">INDEX(#REF!,MATCH(#REF!,#REF!,0))</definedName>
    <definedName name="SE" localSheetId="6">INDEX(#REF!,MATCH(#REF!,#REF!,0))</definedName>
    <definedName name="se" localSheetId="27">#REF!</definedName>
    <definedName name="SE" localSheetId="4">INDEX(#REF!,MATCH(#REF!,#REF!,0))</definedName>
    <definedName name="SE" localSheetId="32">INDEX(#REF!,MATCH(#REF!,#REF!,0))</definedName>
    <definedName name="se">#REF!</definedName>
    <definedName name="se_" localSheetId="12">#REF!</definedName>
    <definedName name="se_">#REF!</definedName>
    <definedName name="SEAL">#REF!</definedName>
    <definedName name="SEAL1">#REF!</definedName>
    <definedName name="sect_table" localSheetId="24">#REF!:#REF!</definedName>
    <definedName name="sect_table">#REF!:#REF!</definedName>
    <definedName name="SECTAB" localSheetId="24">#REF!:#REF!</definedName>
    <definedName name="SECTAB">#REF!:#REF!</definedName>
    <definedName name="SECTION" localSheetId="27">#REF!</definedName>
    <definedName name="SECTION">#REF!</definedName>
    <definedName name="sedf" localSheetId="12" hidden="1">{"Cost Summary",#N/A,FALSE,"B";"Cost Detail 1",#N/A,FALSE,"C";"Cost Detail 2",#N/A,FALSE,"C"}</definedName>
    <definedName name="sedf" localSheetId="6" hidden="1">{"Cost Summary",#N/A,FALSE,"B";"Cost Detail 1",#N/A,FALSE,"C";"Cost Detail 2",#N/A,FALSE,"C"}</definedName>
    <definedName name="sedf" localSheetId="29" hidden="1">{"Cost Summary",#N/A,FALSE,"B";"Cost Detail 1",#N/A,FALSE,"C";"Cost Detail 2",#N/A,FALSE,"C"}</definedName>
    <definedName name="sedf" localSheetId="27" hidden="1">{"Cost Summary",#N/A,FALSE,"B";"Cost Detail 1",#N/A,FALSE,"C";"Cost Detail 2",#N/A,FALSE,"C"}</definedName>
    <definedName name="sedf" localSheetId="4" hidden="1">{"Cost Summary",#N/A,FALSE,"B";"Cost Detail 1",#N/A,FALSE,"C";"Cost Detail 2",#N/A,FALSE,"C"}</definedName>
    <definedName name="sedf" localSheetId="32" hidden="1">{"Cost Summary",#N/A,FALSE,"B";"Cost Detail 1",#N/A,FALSE,"C";"Cost Detail 2",#N/A,FALSE,"C"}</definedName>
    <definedName name="sedf" localSheetId="24" hidden="1">{"Cost Summary",#N/A,FALSE,"B";"Cost Detail 1",#N/A,FALSE,"C";"Cost Detail 2",#N/A,FALSE,"C"}</definedName>
    <definedName name="sedf" localSheetId="26" hidden="1">{"Cost Summary",#N/A,FALSE,"B";"Cost Detail 1",#N/A,FALSE,"C";"Cost Detail 2",#N/A,FALSE,"C"}</definedName>
    <definedName name="sedf" hidden="1">{"Cost Summary",#N/A,FALSE,"B";"Cost Detail 1",#N/A,FALSE,"C";"Cost Detail 2",#N/A,FALSE,"C"}</definedName>
    <definedName name="sedrfgtsre">#REF!</definedName>
    <definedName name="see">#REF!</definedName>
    <definedName name="sek" localSheetId="6">#REF!</definedName>
    <definedName name="sek" localSheetId="29">#REF!</definedName>
    <definedName name="sek" localSheetId="24">#REF!</definedName>
    <definedName name="sek" localSheetId="26">#REF!</definedName>
    <definedName name="sek">#REF!</definedName>
    <definedName name="SEK_C" localSheetId="6">#REF!</definedName>
    <definedName name="SEK_C">#REF!</definedName>
    <definedName name="Sel_Choice_Rail_OHE" localSheetId="12">#REF!</definedName>
    <definedName name="Sel_Choice_Rail_OHE">#REF!</definedName>
    <definedName name="Sel_SiteInfra_Rail_OHE" localSheetId="12">#REF!</definedName>
    <definedName name="Sel_SiteInfra_Rail_OHE">#REF!</definedName>
    <definedName name="Select">#REF!</definedName>
    <definedName name="SelectD1OrC1">#REF!</definedName>
    <definedName name="SelectLessOrExcess">#REF!</definedName>
    <definedName name="semiskill" localSheetId="6">#REF!</definedName>
    <definedName name="semiskill" localSheetId="27">#REF!</definedName>
    <definedName name="semiskill" localSheetId="4">#REF!</definedName>
    <definedName name="semiskill" localSheetId="32">#REF!</definedName>
    <definedName name="semiskill" localSheetId="24">#REF!</definedName>
    <definedName name="semiskill">#REF!</definedName>
    <definedName name="SemiSkilledMonth">#REF!</definedName>
    <definedName name="sencount">1</definedName>
    <definedName name="SEPT">#REF!</definedName>
    <definedName name="SER_TAX" localSheetId="29">#REF!</definedName>
    <definedName name="SER_TAX" localSheetId="24">#REF!</definedName>
    <definedName name="SER_TAX" localSheetId="26">#REF!</definedName>
    <definedName name="SER_TAX">#REF!</definedName>
    <definedName name="serdgdafg">#REF!</definedName>
    <definedName name="sergsdrgsde">#REF!</definedName>
    <definedName name="serkad">NA()</definedName>
    <definedName name="Service">#REF!</definedName>
    <definedName name="ServiceTax">#REF!</definedName>
    <definedName name="SES">INDEX(#REF!,MATCH(#REF!,#REF!,0))</definedName>
    <definedName name="SESHA_SAI_CONSTRUCTION" localSheetId="29">#REF!</definedName>
    <definedName name="SESHA_SAI_CONSTRUCTION" localSheetId="26">#REF!</definedName>
    <definedName name="SESHA_SAI_CONSTRUCTION">#REF!</definedName>
    <definedName name="SF" localSheetId="12">INDEX(#REF!,MATCH(#REF!,#REF!,0))</definedName>
    <definedName name="sf" localSheetId="4">#REF!</definedName>
    <definedName name="sf" localSheetId="32">#REF!</definedName>
    <definedName name="sf">#REF!</definedName>
    <definedName name="sfcon_idr">#REF!</definedName>
    <definedName name="sfcon_usd">#REF!</definedName>
    <definedName name="sfd">#REF!</definedName>
    <definedName name="sfdf">#REF!</definedName>
    <definedName name="sfdg">#REF!</definedName>
    <definedName name="sfdism">#REF!</definedName>
    <definedName name="sfdism_idr">#REF!</definedName>
    <definedName name="sfdism_usd">#REF!</definedName>
    <definedName name="sfearthing_idr">#REF!</definedName>
    <definedName name="sfearthing_usd">#REF!</definedName>
    <definedName name="sfew_idr">#REF!</definedName>
    <definedName name="sfew_usd">#REF!</definedName>
    <definedName name="sffew_idr">#REF!</definedName>
    <definedName name="sffg">#REF!</definedName>
    <definedName name="sffitting_idr">#REF!</definedName>
    <definedName name="sffitting_usd">#REF!</definedName>
    <definedName name="sffound_idr">#REF!</definedName>
    <definedName name="sffound_usd">#REF!</definedName>
    <definedName name="sfinstall">#REF!</definedName>
    <definedName name="sfinsul_idr">#REF!</definedName>
    <definedName name="sfinsul_usd">#REF!</definedName>
    <definedName name="sfjk">#REF!</definedName>
    <definedName name="sfmisc">#REF!</definedName>
    <definedName name="sfmisc_idr">#REF!</definedName>
    <definedName name="sfmisc_usd">#REF!</definedName>
    <definedName name="sfmisce_idr">#REF!</definedName>
    <definedName name="sfnumplate_idr">#REF!</definedName>
    <definedName name="sfnumplate_usd">#REF!</definedName>
    <definedName name="SFR">#REF!</definedName>
    <definedName name="sfrdhgsdfhg">#REF!</definedName>
    <definedName name="SFS">INDEX(#REF!,MATCH(#REF!,#REF!,0))</definedName>
    <definedName name="sfsurvey_idr">#REF!</definedName>
    <definedName name="sfsurvey_usd">#REF!</definedName>
    <definedName name="sftest_idr">#REF!</definedName>
    <definedName name="sftest_usd">#REF!</definedName>
    <definedName name="sftower_idr">#REF!</definedName>
    <definedName name="sftower_usd">#REF!</definedName>
    <definedName name="sftransport">#REF!</definedName>
    <definedName name="SG" localSheetId="12">INDEX(#REF!,MATCH(#REF!,#REF!,0))</definedName>
    <definedName name="SG">#REF!</definedName>
    <definedName name="sg_304L">7.945</definedName>
    <definedName name="sg_316L">7.945</definedName>
    <definedName name="sg_317L">7.945</definedName>
    <definedName name="sg_70_30">8.921</definedName>
    <definedName name="sg_90_10">8.927</definedName>
    <definedName name="sg_brass">8.41</definedName>
    <definedName name="sg_bronze">7.78</definedName>
    <definedName name="sg_titanium">4.51</definedName>
    <definedName name="SGS">INDEX(#REF!,MATCH(#REF!,#REF!,0))</definedName>
    <definedName name="SH" localSheetId="12">INDEX(#REF!,MATCH(#REF!,#REF!,0))</definedName>
    <definedName name="SH" localSheetId="6">#REF!</definedName>
    <definedName name="SH" localSheetId="29">#REF!</definedName>
    <definedName name="sh" localSheetId="24">#REF!</definedName>
    <definedName name="SH" localSheetId="26">#REF!</definedName>
    <definedName name="SH">#REF!</definedName>
    <definedName name="sh0.5">#REF!</definedName>
    <definedName name="sh0.6">#REF!</definedName>
    <definedName name="sh0.8">#REF!</definedName>
    <definedName name="sh1.0">#REF!</definedName>
    <definedName name="sh1.2">#REF!</definedName>
    <definedName name="SHAB">#REF!</definedName>
    <definedName name="shaeff" localSheetId="6">#REF!</definedName>
    <definedName name="shaeff" localSheetId="27">#REF!</definedName>
    <definedName name="shaeff" localSheetId="4">#REF!</definedName>
    <definedName name="shaeff" localSheetId="32">#REF!</definedName>
    <definedName name="shaeff" localSheetId="24">#REF!</definedName>
    <definedName name="shaeff">#REF!</definedName>
    <definedName name="shajee" localSheetId="6" hidden="1">#REF!</definedName>
    <definedName name="shajee" localSheetId="27" hidden="1">#REF!</definedName>
    <definedName name="shajee" localSheetId="4" hidden="1">#REF!</definedName>
    <definedName name="shajee" localSheetId="32" hidden="1">#REF!</definedName>
    <definedName name="shajee" localSheetId="24" hidden="1">#REF!</definedName>
    <definedName name="shajee" hidden="1">#REF!</definedName>
    <definedName name="Shakti" localSheetId="24">#REF!</definedName>
    <definedName name="Shakti">#REF!</definedName>
    <definedName name="sharad">#REF!</definedName>
    <definedName name="sharad.">#REF!</definedName>
    <definedName name="sharada">185</definedName>
    <definedName name="SHEET">#N/A</definedName>
    <definedName name="sheet1" localSheetId="24">#REF!</definedName>
    <definedName name="sheet1">#REF!</definedName>
    <definedName name="sheet1___0" localSheetId="27">#REF!</definedName>
    <definedName name="sheet1___0">#REF!</definedName>
    <definedName name="sheet1___13">#REF!</definedName>
    <definedName name="SHEET2">#REF!</definedName>
    <definedName name="sheet3" localSheetId="12">#REF!</definedName>
    <definedName name="sheet3">#REF!</definedName>
    <definedName name="SHEET8">#N/A</definedName>
    <definedName name="SHELL___TUBE_DATA">#REF!</definedName>
    <definedName name="shi">#REF!</definedName>
    <definedName name="SHIELDING_PROTECTION_OF_400KV_SWITCHYARD_AT_BOISAR">#REF!</definedName>
    <definedName name="Shipping" localSheetId="1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29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27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3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2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2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s" localSheetId="12">#REF!</definedName>
    <definedName name="shis">#REF!</definedName>
    <definedName name="shit1">#REF!</definedName>
    <definedName name="SHOT" localSheetId="6">#REF!</definedName>
    <definedName name="SHOT" localSheetId="27">#REF!</definedName>
    <definedName name="SHOT" localSheetId="4">#REF!</definedName>
    <definedName name="SHOT" localSheetId="32">#REF!</definedName>
    <definedName name="SHOT" localSheetId="24">#REF!</definedName>
    <definedName name="SHOT">#REF!</definedName>
    <definedName name="shpe" localSheetId="6">#REF!</definedName>
    <definedName name="shpe" localSheetId="29">#REF!</definedName>
    <definedName name="shpe" localSheetId="26">#REF!</definedName>
    <definedName name="shpe">#REF!</definedName>
    <definedName name="Shri1">#REF!</definedName>
    <definedName name="SHS" localSheetId="12">INDEX(#REF!,MATCH(#REF!,#REF!,0))</definedName>
    <definedName name="SHS" localSheetId="6">#REF!</definedName>
    <definedName name="SHS">#REF!</definedName>
    <definedName name="shsadfhg">#REF!</definedName>
    <definedName name="SHTA">#REF!</definedName>
    <definedName name="Shuttering">#REF!</definedName>
    <definedName name="SHV">#REF!</definedName>
    <definedName name="SI" localSheetId="12">INDEX(#REF!,MATCH(#REF!,#REF!,0))</definedName>
    <definedName name="SI" localSheetId="6">INDEX(#REF!,MATCH(#REF!,#REF!,0))</definedName>
    <definedName name="si" localSheetId="27">#REF!</definedName>
    <definedName name="SI" localSheetId="4">INDEX(#REF!,MATCH(#REF!,#REF!,0))</definedName>
    <definedName name="SI" localSheetId="32">INDEX(#REF!,MATCH(#REF!,#REF!,0))</definedName>
    <definedName name="si">#REF!</definedName>
    <definedName name="Side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C2">#REF!</definedName>
    <definedName name="sinq">#REF!</definedName>
    <definedName name="SIS" localSheetId="12">INDEX(#REF!,MATCH(#REF!,#REF!,0))</definedName>
    <definedName name="sis">#REF!</definedName>
    <definedName name="sit">#REF!</definedName>
    <definedName name="sit0">#REF!</definedName>
    <definedName name="SITE">#REF!</definedName>
    <definedName name="Site_est">#REF!</definedName>
    <definedName name="Site_office_rev_24.05.2005">#N/A</definedName>
    <definedName name="SIZE" localSheetId="6">#REF!</definedName>
    <definedName name="SIZE" localSheetId="29">#REF!</definedName>
    <definedName name="SIZE" localSheetId="24">#REF!</definedName>
    <definedName name="SIZE" localSheetId="26">#REF!</definedName>
    <definedName name="SIZE">#REF!</definedName>
    <definedName name="size0125">#REF!</definedName>
    <definedName name="size025">#REF!</definedName>
    <definedName name="size0375">#REF!</definedName>
    <definedName name="size05">#REF!</definedName>
    <definedName name="size075">#REF!</definedName>
    <definedName name="size1">#REF!</definedName>
    <definedName name="size10">#REF!</definedName>
    <definedName name="size12">#REF!</definedName>
    <definedName name="size125">#REF!</definedName>
    <definedName name="size14">#REF!</definedName>
    <definedName name="size15">#REF!</definedName>
    <definedName name="size16">#REF!</definedName>
    <definedName name="size18">#REF!</definedName>
    <definedName name="size2">#REF!</definedName>
    <definedName name="size20">#REF!</definedName>
    <definedName name="size22">#REF!</definedName>
    <definedName name="size24">#REF!</definedName>
    <definedName name="size25">#REF!</definedName>
    <definedName name="size26">#REF!</definedName>
    <definedName name="size28">#REF!</definedName>
    <definedName name="size3">#REF!</definedName>
    <definedName name="size30">#REF!</definedName>
    <definedName name="size32">#REF!</definedName>
    <definedName name="size34">#REF!</definedName>
    <definedName name="size35">#REF!</definedName>
    <definedName name="size36">#REF!</definedName>
    <definedName name="size38">#REF!</definedName>
    <definedName name="size4">#REF!</definedName>
    <definedName name="size40">#REF!</definedName>
    <definedName name="size42">#REF!</definedName>
    <definedName name="size44">#REF!</definedName>
    <definedName name="size46">#REF!</definedName>
    <definedName name="size48">#REF!</definedName>
    <definedName name="size5">#REF!</definedName>
    <definedName name="size6">#REF!</definedName>
    <definedName name="size8">#REF!</definedName>
    <definedName name="SIZEC" localSheetId="6">#REF!</definedName>
    <definedName name="SIZEC" localSheetId="29">#REF!</definedName>
    <definedName name="SIZEC" localSheetId="26">#REF!</definedName>
    <definedName name="SIZEC">#REF!</definedName>
    <definedName name="SIZES">#REF!</definedName>
    <definedName name="SJ" localSheetId="12">INDEX(#REF!,MATCH(#REF!,#REF!,0))</definedName>
    <definedName name="SJ" localSheetId="27">INDEX(#REF!,MATCH(#REF!,#REF!,0))</definedName>
    <definedName name="SJ" localSheetId="24">INDEX(#REF!,MATCH(#REF!,#REF!,0))</definedName>
    <definedName name="SJ">INDEX(#REF!,MATCH(#REF!,#REF!,0))</definedName>
    <definedName name="SJS">INDEX(#REF!,MATCH(#REF!,#REF!,0))</definedName>
    <definedName name="SK" localSheetId="12">INDEX(#REF!,MATCH(#REF!,#REF!,0))</definedName>
    <definedName name="SK" localSheetId="27">INDEX(#REF!,MATCH(#REF!,#REF!,0))</definedName>
    <definedName name="SK" localSheetId="24">INDEX(#REF!,MATCH(#REF!,#REF!,0))</definedName>
    <definedName name="SK">INDEX(#REF!,MATCH(#REF!,#REF!,0))</definedName>
    <definedName name="Skill" localSheetId="6">#REF!</definedName>
    <definedName name="Skill" localSheetId="27">#REF!</definedName>
    <definedName name="Skill" localSheetId="4">#REF!</definedName>
    <definedName name="Skill" localSheetId="32">#REF!</definedName>
    <definedName name="Skill" localSheetId="24">#REF!</definedName>
    <definedName name="Skill">#REF!</definedName>
    <definedName name="skilled" localSheetId="24">#REF!</definedName>
    <definedName name="skilled">#REF!</definedName>
    <definedName name="SkilledMonth">#REF!</definedName>
    <definedName name="skirting" localSheetId="6">#REF!</definedName>
    <definedName name="skirting" localSheetId="27">#REF!</definedName>
    <definedName name="skirting" localSheetId="4">#REF!</definedName>
    <definedName name="skirting" localSheetId="32">#REF!</definedName>
    <definedName name="skirting" localSheetId="24">#REF!</definedName>
    <definedName name="skirting">#REF!</definedName>
    <definedName name="SL" localSheetId="12">INDEX(#REF!,MATCH(#REF!,#REF!,0))</definedName>
    <definedName name="SL" localSheetId="27">INDEX(#REF!,MATCH(#REF!,#REF!,0))</definedName>
    <definedName name="SL" localSheetId="24">INDEX(#REF!,MATCH(#REF!,#REF!,0))</definedName>
    <definedName name="SL">INDEX(#REF!,MATCH(#REF!,#REF!,0))</definedName>
    <definedName name="slab" localSheetId="12" hidden="1">{"form-D1",#N/A,FALSE,"FORM-D1";"form-D1_amt",#N/A,FALSE,"FORM-D1"}</definedName>
    <definedName name="slab" hidden="1">{"form-D1",#N/A,FALSE,"FORM-D1";"form-D1_amt",#N/A,FALSE,"FORM-D1"}</definedName>
    <definedName name="slab_p" localSheetId="12" hidden="1">{"form-D1",#N/A,FALSE,"FORM-D1";"form-D1_amt",#N/A,FALSE,"FORM-D1"}</definedName>
    <definedName name="slab_p" localSheetId="6" hidden="1">{"form-D1",#N/A,FALSE,"FORM-D1";"form-D1_amt",#N/A,FALSE,"FORM-D1"}</definedName>
    <definedName name="slab_p" localSheetId="29" hidden="1">{"form-D1",#N/A,FALSE,"FORM-D1";"form-D1_amt",#N/A,FALSE,"FORM-D1"}</definedName>
    <definedName name="slab_p" localSheetId="27" hidden="1">{"form-D1",#N/A,FALSE,"FORM-D1";"form-D1_amt",#N/A,FALSE,"FORM-D1"}</definedName>
    <definedName name="slab_p" localSheetId="4" hidden="1">{"form-D1",#N/A,FALSE,"FORM-D1";"form-D1_amt",#N/A,FALSE,"FORM-D1"}</definedName>
    <definedName name="slab_p" localSheetId="32" hidden="1">{"form-D1",#N/A,FALSE,"FORM-D1";"form-D1_amt",#N/A,FALSE,"FORM-D1"}</definedName>
    <definedName name="slab_p" localSheetId="24" hidden="1">{"form-D1",#N/A,FALSE,"FORM-D1";"form-D1_amt",#N/A,FALSE,"FORM-D1"}</definedName>
    <definedName name="slab_p" localSheetId="26" hidden="1">{"form-D1",#N/A,FALSE,"FORM-D1";"form-D1_amt",#N/A,FALSE,"FORM-D1"}</definedName>
    <definedName name="slab_p" hidden="1">{"form-D1",#N/A,FALSE,"FORM-D1";"form-D1_amt",#N/A,FALSE,"FORM-D1"}</definedName>
    <definedName name="slab_p_1">NA()</definedName>
    <definedName name="SlabD" localSheetId="27">#REF!</definedName>
    <definedName name="SlabD">#REF!</definedName>
    <definedName name="slope" localSheetId="6">#REF!</definedName>
    <definedName name="slope" localSheetId="29">#REF!</definedName>
    <definedName name="SLOPE" localSheetId="24">#REF!</definedName>
    <definedName name="slope" localSheetId="26">#REF!</definedName>
    <definedName name="slope">#REF!</definedName>
    <definedName name="SlopeAreaQ" localSheetId="6">#REF!</definedName>
    <definedName name="SlopeAreaQ">#REF!</definedName>
    <definedName name="SlopeAreaQ___0" localSheetId="6">#REF!</definedName>
    <definedName name="SlopeAreaQ___0" localSheetId="27">#REF!</definedName>
    <definedName name="SlopeAreaQ___0" localSheetId="4">#REF!</definedName>
    <definedName name="SlopeAreaQ___0" localSheetId="32">#REF!</definedName>
    <definedName name="SlopeAreaQ___0" localSheetId="24">#REF!</definedName>
    <definedName name="SlopeAreaQ___0">#REF!</definedName>
    <definedName name="SLSAMT">#REF!</definedName>
    <definedName name="SLSRT">#REF!</definedName>
    <definedName name="SM" localSheetId="12">INDEX(#REF!,MATCH(#REF!,#REF!,0))</definedName>
    <definedName name="SM" localSheetId="29">INDEX(#REF!,MATCH(#REF!,#REF!,0))</definedName>
    <definedName name="SM" localSheetId="27">INDEX(#REF!,MATCH(#REF!,#REF!,0))</definedName>
    <definedName name="SM" localSheetId="4">INDEX(#REF!,MATCH(#REF!,#REF!,0))</definedName>
    <definedName name="SM" localSheetId="32">INDEX(#REF!,MATCH(#REF!,#REF!,0))</definedName>
    <definedName name="sm" localSheetId="24">#REF!</definedName>
    <definedName name="SM" localSheetId="26">INDEX(#REF!,MATCH(#REF!,#REF!,0))</definedName>
    <definedName name="SM">INDEX(#REF!,MATCH(#REF!,#REF!,0))</definedName>
    <definedName name="SMP" localSheetId="12">INDEX(#REF!,MATCH(#REF!,#REF!,0))</definedName>
    <definedName name="SMP" localSheetId="27">INDEX(#REF!,MATCH(#REF!,#REF!,0))</definedName>
    <definedName name="SMP" localSheetId="24">INDEX(#REF!,MATCH(#REF!,#REF!,0))</definedName>
    <definedName name="SMP">INDEX(#REF!,MATCH(#REF!,#REF!,0))</definedName>
    <definedName name="SMPL" localSheetId="12">INDEX(#REF!,MATCH(#REF!,#REF!,0))</definedName>
    <definedName name="SMPL" localSheetId="27">INDEX(#REF!,MATCH(#REF!,#REF!,0))</definedName>
    <definedName name="SMPL" localSheetId="24">INDEX(#REF!,MATCH(#REF!,#REF!,0))</definedName>
    <definedName name="SMPL">INDEX(#REF!,MATCH(#REF!,#REF!,0))</definedName>
    <definedName name="smsb" localSheetId="12">#REF!</definedName>
    <definedName name="smsb" localSheetId="29">#REF!</definedName>
    <definedName name="smsb" localSheetId="26">#REF!</definedName>
    <definedName name="smsb">#REF!</definedName>
    <definedName name="SN" localSheetId="12" hidden="1">{#N/A,#N/A,FALSE,"MODULE3"}</definedName>
    <definedName name="SN" hidden="1">{#N/A,#N/A,FALSE,"MODULE3"}</definedName>
    <definedName name="snlkjhsljbhdsjbkj">#REF!</definedName>
    <definedName name="SNS">"Picture 2"</definedName>
    <definedName name="soh" localSheetId="4">0%</definedName>
    <definedName name="soh" localSheetId="32">0%</definedName>
    <definedName name="soh">0%</definedName>
    <definedName name="Soil" localSheetId="6">#REF!</definedName>
    <definedName name="Soil" localSheetId="27">#REF!</definedName>
    <definedName name="Soil" localSheetId="4">#REF!</definedName>
    <definedName name="Soil" localSheetId="32">#REF!</definedName>
    <definedName name="Soil" localSheetId="24">#REF!</definedName>
    <definedName name="Soil">#REF!</definedName>
    <definedName name="SoilClass">#REF!</definedName>
    <definedName name="SOL" localSheetId="6">#REF!</definedName>
    <definedName name="SOL" localSheetId="29">#REF!</definedName>
    <definedName name="SOL" localSheetId="26">#REF!</definedName>
    <definedName name="SOL">#REF!</definedName>
    <definedName name="solver_adj" hidden="1">#REF!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in" hidden="1">2</definedName>
    <definedName name="solver_neg" hidden="1">2</definedName>
    <definedName name="solver_num" hidden="1">0</definedName>
    <definedName name="solver_nwt" hidden="1">1</definedName>
    <definedName name="solver_opt" hidden="1">#REF!</definedName>
    <definedName name="solver_pre" hidden="1">0.000001</definedName>
    <definedName name="solver_scl" hidden="1">2</definedName>
    <definedName name="solver_sho" hidden="1">2</definedName>
    <definedName name="solver_tim" hidden="1">100</definedName>
    <definedName name="solver_tol" hidden="1">0.05</definedName>
    <definedName name="solver_typ" hidden="1">3</definedName>
    <definedName name="solver_val" hidden="1">119121</definedName>
    <definedName name="son">#REF!</definedName>
    <definedName name="son_1">#REF!</definedName>
    <definedName name="sone" localSheetId="12">#REF!</definedName>
    <definedName name="sone">#REF!</definedName>
    <definedName name="SOR">#REF!</definedName>
    <definedName name="sort1" hidden="1">#REF!</definedName>
    <definedName name="SortAREA" localSheetId="6">#REF!</definedName>
    <definedName name="SortAREA" localSheetId="29">#REF!</definedName>
    <definedName name="SortAREA" localSheetId="26">#REF!</definedName>
    <definedName name="SortAREA">#REF!</definedName>
    <definedName name="source">#REF!</definedName>
    <definedName name="Source_Price">#REF!</definedName>
    <definedName name="sourceF">#REF!</definedName>
    <definedName name="SourceV">#REF!</definedName>
    <definedName name="sp" localSheetId="4">4%</definedName>
    <definedName name="sp" localSheetId="32">4%</definedName>
    <definedName name="sp">4%</definedName>
    <definedName name="Spacer">#REF!</definedName>
    <definedName name="SpacerDamper" localSheetId="12" hidden="1">{"'PROFITABILITY'!$A$1:$F$45"}</definedName>
    <definedName name="SpacerDamper" localSheetId="6" hidden="1">{"'PROFITABILITY'!$A$1:$F$45"}</definedName>
    <definedName name="SpacerDamper" localSheetId="29" hidden="1">{"'PROFITABILITY'!$A$1:$F$45"}</definedName>
    <definedName name="SpacerDamper" localSheetId="27" hidden="1">{"'PROFITABILITY'!$A$1:$F$45"}</definedName>
    <definedName name="SpacerDamper" localSheetId="4" hidden="1">{"'PROFITABILITY'!$A$1:$F$45"}</definedName>
    <definedName name="SpacerDamper" localSheetId="32" hidden="1">{"'PROFITABILITY'!$A$1:$F$45"}</definedName>
    <definedName name="SpacerDamper" localSheetId="24" hidden="1">{"'PROFITABILITY'!$A$1:$F$45"}</definedName>
    <definedName name="SpacerDamper" localSheetId="26" hidden="1">{"'PROFITABILITY'!$A$1:$F$45"}</definedName>
    <definedName name="SpacerDamper" hidden="1">{"'PROFITABILITY'!$A$1:$F$45"}</definedName>
    <definedName name="Spalls">#REF!</definedName>
    <definedName name="SPAN" localSheetId="12">VLOOKUP(#REF!&amp;#REF!,#REF!,4,FALSE)</definedName>
    <definedName name="SPAN" localSheetId="27">VLOOKUP(#REF!&amp;#REF!,#REF!,4,FALSE)</definedName>
    <definedName name="SPAN" localSheetId="24">VLOOKUP(#REF!&amp;#REF!,#REF!,4,FALSE)</definedName>
    <definedName name="SPAN">VLOOKUP(#REF!&amp;#REF!,#REF!,4,FALSE)</definedName>
    <definedName name="SpanL">#REF!</definedName>
    <definedName name="Spanner_Auto_File">"C:\Documents and Settings\pcsai\My Documents\DRAIN_De.x2a"</definedName>
    <definedName name="spantype">#REF!</definedName>
    <definedName name="SPAR" localSheetId="29">#REF!</definedName>
    <definedName name="SPAR" localSheetId="26">#REF!</definedName>
    <definedName name="SPAR">#REF!</definedName>
    <definedName name="Spare" localSheetId="12" hidden="1">{"'PROFITABILITY'!$A$1:$F$45"}</definedName>
    <definedName name="Spare" localSheetId="6" hidden="1">{"'PROFITABILITY'!$A$1:$F$45"}</definedName>
    <definedName name="Spare" localSheetId="29" hidden="1">{"'PROFITABILITY'!$A$1:$F$45"}</definedName>
    <definedName name="Spare" localSheetId="27" hidden="1">{"'PROFITABILITY'!$A$1:$F$45"}</definedName>
    <definedName name="Spare" localSheetId="4" hidden="1">{"'PROFITABILITY'!$A$1:$F$45"}</definedName>
    <definedName name="Spare" localSheetId="32" hidden="1">{"'PROFITABILITY'!$A$1:$F$45"}</definedName>
    <definedName name="Spare" localSheetId="24" hidden="1">{"'PROFITABILITY'!$A$1:$F$45"}</definedName>
    <definedName name="Spare" localSheetId="26" hidden="1">{"'PROFITABILITY'!$A$1:$F$45"}</definedName>
    <definedName name="Spare" hidden="1">{"'PROFITABILITY'!$A$1:$F$45"}</definedName>
    <definedName name="SPAVER" localSheetId="6">#REF!</definedName>
    <definedName name="SPAVER" localSheetId="27">#REF!</definedName>
    <definedName name="SPAVER" localSheetId="4">#REF!</definedName>
    <definedName name="SPAVER" localSheetId="32">#REF!</definedName>
    <definedName name="SPAVER" localSheetId="24">#REF!</definedName>
    <definedName name="SPAVER">#REF!</definedName>
    <definedName name="SPEC_13" localSheetId="29">#REF!</definedName>
    <definedName name="SPEC_13" localSheetId="24">#REF!</definedName>
    <definedName name="SPEC_13" localSheetId="26">#REF!</definedName>
    <definedName name="SPEC_13">#REF!</definedName>
    <definedName name="SPEC_14" localSheetId="29">#REF!</definedName>
    <definedName name="SPEC_14" localSheetId="26">#REF!</definedName>
    <definedName name="SPEC_14">#REF!</definedName>
    <definedName name="SPEC_15">#REF!</definedName>
    <definedName name="SPEC_16">#REF!</definedName>
    <definedName name="SPEC_17">#REF!</definedName>
    <definedName name="SPEC_18">#REF!</definedName>
    <definedName name="SPEC_19">#REF!</definedName>
    <definedName name="SPEC_20">#REF!</definedName>
    <definedName name="SPEC_21">#REF!</definedName>
    <definedName name="SPEC_22">#REF!</definedName>
    <definedName name="SPEC_23">#REF!</definedName>
    <definedName name="SPEC_24">#REF!</definedName>
    <definedName name="SPEC_25">#REF!</definedName>
    <definedName name="SPEC2">#REF!</definedName>
    <definedName name="SpecialPrice" hidden="1">#REF!</definedName>
    <definedName name="SPFAC">#REF!</definedName>
    <definedName name="spfactor" localSheetId="12">#REF!</definedName>
    <definedName name="spfactor" localSheetId="29">#REF!</definedName>
    <definedName name="spfactor" localSheetId="26">#REF!</definedName>
    <definedName name="spfactor">#REF!</definedName>
    <definedName name="SPFIN">#REF!</definedName>
    <definedName name="Spl">#REF!</definedName>
    <definedName name="spp">#REF!</definedName>
    <definedName name="SPRINK" localSheetId="6">#REF!</definedName>
    <definedName name="SPRINK" localSheetId="27">#REF!</definedName>
    <definedName name="SPRINK" localSheetId="4">#REF!</definedName>
    <definedName name="SPRINK" localSheetId="32">#REF!</definedName>
    <definedName name="SPRINK" localSheetId="24">#REF!</definedName>
    <definedName name="SPRINK">#REF!</definedName>
    <definedName name="SPSUM">#REF!</definedName>
    <definedName name="SPTNP" localSheetId="12">#REF!</definedName>
    <definedName name="SPTNP" localSheetId="6">#REF!</definedName>
    <definedName name="SPTNP" localSheetId="29">#REF!</definedName>
    <definedName name="SPTNP" localSheetId="27">#REF!</definedName>
    <definedName name="SPTNP" localSheetId="4">#REF!</definedName>
    <definedName name="SPTNP" localSheetId="32">#REF!</definedName>
    <definedName name="SPTNP" localSheetId="24">#REF!</definedName>
    <definedName name="SPTNP" localSheetId="26">#REF!</definedName>
    <definedName name="SPTNP">#REF!</definedName>
    <definedName name="SQRT__1___0.6___1.0" localSheetId="12">#REF!</definedName>
    <definedName name="SQRT__1___0.6___1.0" localSheetId="29">#REF!</definedName>
    <definedName name="SQRT__1___0.6___1.0" localSheetId="26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cem" localSheetId="6">#REF!</definedName>
    <definedName name="srcem" localSheetId="27">#REF!</definedName>
    <definedName name="srcem" localSheetId="4">#REF!</definedName>
    <definedName name="srcem" localSheetId="32">#REF!</definedName>
    <definedName name="srcem" localSheetId="24">#REF!</definedName>
    <definedName name="srcem">#REF!</definedName>
    <definedName name="sri">#REF!</definedName>
    <definedName name="srk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3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6">#REF!</definedName>
    <definedName name="ss" localSheetId="29">#REF!</definedName>
    <definedName name="ss" localSheetId="7">#REF!</definedName>
    <definedName name="ss" localSheetId="26">#REF!</definedName>
    <definedName name="ss">#REF!</definedName>
    <definedName name="SS_Adv" localSheetId="12">#REF!</definedName>
    <definedName name="SS_Adv">#REF!</definedName>
    <definedName name="SS_AGWC" localSheetId="12">#REF!</definedName>
    <definedName name="SS_AGWC">#REF!</definedName>
    <definedName name="SS_AM" localSheetId="12">#REF!</definedName>
    <definedName name="SS_AM">#REF!</definedName>
    <definedName name="SS_ANFA" localSheetId="12">#REF!</definedName>
    <definedName name="SS_ANFA">#REF!</definedName>
    <definedName name="SS_ANFE" localSheetId="12">#REF!</definedName>
    <definedName name="SS_ANFE">#REF!</definedName>
    <definedName name="SS_ANFEBG" localSheetId="12">#REF!</definedName>
    <definedName name="SS_ANFEBG">#REF!</definedName>
    <definedName name="SS_ANWC" localSheetId="12">#REF!</definedName>
    <definedName name="SS_ANWC">#REF!</definedName>
    <definedName name="SS_Apr" localSheetId="12">#REF!</definedName>
    <definedName name="SS_Apr">#REF!</definedName>
    <definedName name="SS_Aug" localSheetId="12">#REF!</definedName>
    <definedName name="SS_Aug">#REF!</definedName>
    <definedName name="SS_Avg_Adv" localSheetId="12">#REF!</definedName>
    <definedName name="SS_Avg_Adv">#REF!</definedName>
    <definedName name="SS_Avg_COI" localSheetId="12">#REF!</definedName>
    <definedName name="SS_Avg_COI">#REF!</definedName>
    <definedName name="SS_Avg_OCA" localSheetId="12">#REF!</definedName>
    <definedName name="SS_Avg_OCA">#REF!</definedName>
    <definedName name="SS_Avg_OCL" localSheetId="12">#REF!</definedName>
    <definedName name="SS_Avg_OCL">#REF!</definedName>
    <definedName name="SS_Avg_OS" localSheetId="12">#REF!</definedName>
    <definedName name="SS_Avg_OS">#REF!</definedName>
    <definedName name="SS_Avg_Stk" localSheetId="12">#REF!</definedName>
    <definedName name="SS_Avg_Stk">#REF!</definedName>
    <definedName name="SS_Avg_VC" localSheetId="12">#REF!</definedName>
    <definedName name="SS_Avg_VC">#REF!</definedName>
    <definedName name="SS_Avg_WC_Key">#REF!</definedName>
    <definedName name="ss_coi" localSheetId="12">#REF!</definedName>
    <definedName name="ss_coi">#REF!</definedName>
    <definedName name="SS_COU" localSheetId="12">#REF!</definedName>
    <definedName name="SS_COU">#REF!</definedName>
    <definedName name="SS_Dec" localSheetId="12">#REF!</definedName>
    <definedName name="SS_Dec">#REF!</definedName>
    <definedName name="SS_Deprn" localSheetId="12">#REF!</definedName>
    <definedName name="SS_Deprn">#REF!</definedName>
    <definedName name="SS_Feb" localSheetId="12">#REF!</definedName>
    <definedName name="SS_Feb">#REF!</definedName>
    <definedName name="SS_GM" localSheetId="12">#REF!</definedName>
    <definedName name="SS_GM">#REF!</definedName>
    <definedName name="SS_Jan" localSheetId="12">#REF!</definedName>
    <definedName name="SS_Jan">#REF!</definedName>
    <definedName name="SS_Jul" localSheetId="12">#REF!</definedName>
    <definedName name="SS_Jul">#REF!</definedName>
    <definedName name="SS_Jun" localSheetId="12">#REF!</definedName>
    <definedName name="SS_Jun">#REF!</definedName>
    <definedName name="SS_Key" localSheetId="12">#REF!</definedName>
    <definedName name="SS_Key">#REF!</definedName>
    <definedName name="SS_Mar" localSheetId="12">#REF!</definedName>
    <definedName name="SS_Mar">#REF!</definedName>
    <definedName name="SS_MAT_Sales" localSheetId="12">#REF!</definedName>
    <definedName name="SS_MAT_Sales">#REF!</definedName>
    <definedName name="SS_May" localSheetId="12">#REF!</definedName>
    <definedName name="SS_May">#REF!</definedName>
    <definedName name="SS_Nov" localSheetId="12">#REF!</definedName>
    <definedName name="SS_Nov">#REF!</definedName>
    <definedName name="SS_NWC" localSheetId="12">#REF!</definedName>
    <definedName name="SS_NWC">#REF!</definedName>
    <definedName name="SS_OB_Cust" localSheetId="12">#REF!</definedName>
    <definedName name="SS_OB_Cust">#REF!</definedName>
    <definedName name="SS_OB_IU" localSheetId="12">#REF!</definedName>
    <definedName name="SS_OB_IU">#REF!</definedName>
    <definedName name="SS_OCA" localSheetId="12">#REF!</definedName>
    <definedName name="SS_OCA">#REF!</definedName>
    <definedName name="SS_OCL" localSheetId="12">#REF!</definedName>
    <definedName name="SS_OCL">#REF!</definedName>
    <definedName name="SS_Oct" localSheetId="12">#REF!</definedName>
    <definedName name="SS_Oct">#REF!</definedName>
    <definedName name="SS_OD_Common" localSheetId="12">#REF!</definedName>
    <definedName name="SS_OD_Common">#REF!</definedName>
    <definedName name="SS_OI_Cust" localSheetId="12">#REF!</definedName>
    <definedName name="SS_OI_Cust">#REF!</definedName>
    <definedName name="SS_OI_IU" localSheetId="12">#REF!</definedName>
    <definedName name="SS_OI_IU">#REF!</definedName>
    <definedName name="SS_OS" localSheetId="12">#REF!</definedName>
    <definedName name="SS_OS">#REF!</definedName>
    <definedName name="SS_PBDIT" localSheetId="12">#REF!</definedName>
    <definedName name="SS_PBDIT">#REF!</definedName>
    <definedName name="SS_PBIT" localSheetId="12">#REF!</definedName>
    <definedName name="SS_PBIT">#REF!</definedName>
    <definedName name="SS_Per_Key">#REF!</definedName>
    <definedName name="SS_Res_Key">#REF!</definedName>
    <definedName name="SS_Sales_Cust" localSheetId="12">#REF!</definedName>
    <definedName name="SS_Sales_Cust">#REF!</definedName>
    <definedName name="SS_Sales_IU" localSheetId="12">#REF!</definedName>
    <definedName name="SS_Sales_IU">#REF!</definedName>
    <definedName name="SS_Sep" localSheetId="12">#REF!</definedName>
    <definedName name="SS_Sep">#REF!</definedName>
    <definedName name="SS_Stk" localSheetId="12">#REF!</definedName>
    <definedName name="SS_Stk">#REF!</definedName>
    <definedName name="SS_Top_Key">#REF!</definedName>
    <definedName name="SS_VC" localSheetId="12">#REF!</definedName>
    <definedName name="SS_VC">#REF!</definedName>
    <definedName name="SS_WC_Key">#REF!</definedName>
    <definedName name="SS400_401" localSheetId="29">#REF!</definedName>
    <definedName name="SS400_401" localSheetId="7">#REF!</definedName>
    <definedName name="SS400_401" localSheetId="26">#REF!</definedName>
    <definedName name="SS400_401">#REF!</definedName>
    <definedName name="ss401_404" localSheetId="29">#REF!</definedName>
    <definedName name="ss401_404" localSheetId="7">#REF!</definedName>
    <definedName name="ss401_404" localSheetId="26">#REF!</definedName>
    <definedName name="ss401_404">#REF!</definedName>
    <definedName name="ss405_408">#REF!</definedName>
    <definedName name="SS421_422">#REF!</definedName>
    <definedName name="ss421_424">#REF!</definedName>
    <definedName name="ss6_bop_f">#REF!</definedName>
    <definedName name="ss6_bop_v">#REF!</definedName>
    <definedName name="ss6_bop_w">#REF!</definedName>
    <definedName name="ss6_civ_f">#REF!</definedName>
    <definedName name="ss6_civ_v">#REF!</definedName>
    <definedName name="ss6_civ_w">#REF!</definedName>
    <definedName name="ss6_cond_f">#REF!</definedName>
    <definedName name="ss6_cond_v">#REF!</definedName>
    <definedName name="ss6_cond_w">#REF!</definedName>
    <definedName name="ss6_ct_f">#REF!</definedName>
    <definedName name="ss6_ct_v">#REF!</definedName>
    <definedName name="ss6_ct_w">#REF!</definedName>
    <definedName name="ss6_e_f">#REF!</definedName>
    <definedName name="ss6_e_v">#REF!</definedName>
    <definedName name="ss6_e_w">#REF!</definedName>
    <definedName name="ss6_ec_f">#REF!</definedName>
    <definedName name="ss6_ec_v">#REF!</definedName>
    <definedName name="ss6_ec_w">#REF!</definedName>
    <definedName name="ss6_fuel_f">#REF!</definedName>
    <definedName name="ss6_fuel_v">#REF!</definedName>
    <definedName name="ss6_fuel_w">#REF!</definedName>
    <definedName name="ss6_geno_f">#REF!</definedName>
    <definedName name="ss6_geno_v">#REF!</definedName>
    <definedName name="ss6_geno_w">#REF!</definedName>
    <definedName name="ss6_gt_f">#REF!</definedName>
    <definedName name="ss6_gt_v">#REF!</definedName>
    <definedName name="ss6_gt_w">#REF!</definedName>
    <definedName name="ss6_gtax_f">#REF!</definedName>
    <definedName name="ss6_gtax_v">#REF!</definedName>
    <definedName name="ss6_gtax_w">#REF!</definedName>
    <definedName name="ss6_hrsg_f">#REF!</definedName>
    <definedName name="ss6_hrsg_v">#REF!</definedName>
    <definedName name="ss6_hrsg_w">#REF!</definedName>
    <definedName name="ss6_ic_f">#REF!</definedName>
    <definedName name="ss6_ic_v">#REF!</definedName>
    <definedName name="ss6_ic_w">#REF!</definedName>
    <definedName name="ss6_st_f">#REF!</definedName>
    <definedName name="ss6_st_v">#REF!</definedName>
    <definedName name="ss6_st_w">#REF!</definedName>
    <definedName name="ss8_bop_f">#REF!</definedName>
    <definedName name="ss8_bop_v">#REF!</definedName>
    <definedName name="ss8_bop_w">#REF!</definedName>
    <definedName name="ss8_civ_f">#REF!</definedName>
    <definedName name="ss8_civ_v">#REF!</definedName>
    <definedName name="ss8_civ_w">#REF!</definedName>
    <definedName name="ss8_cond_f">#REF!</definedName>
    <definedName name="ss8_cond_v">#REF!</definedName>
    <definedName name="ss8_cond_w">#REF!</definedName>
    <definedName name="ss8_ct_f">#REF!</definedName>
    <definedName name="ss8_ct_v">#REF!</definedName>
    <definedName name="ss8_ct_w">#REF!</definedName>
    <definedName name="ss8_e_f">#REF!</definedName>
    <definedName name="ss8_e_v">#REF!</definedName>
    <definedName name="ss8_e_w">#REF!</definedName>
    <definedName name="ss8_ec_f">#REF!</definedName>
    <definedName name="ss8_ec_v">#REF!</definedName>
    <definedName name="ss8_ec_w">#REF!</definedName>
    <definedName name="ss8_fuel_f">#REF!</definedName>
    <definedName name="ss8_fuel_v">#REF!</definedName>
    <definedName name="ss8_fuel_w">#REF!</definedName>
    <definedName name="ss8_geno_f">#REF!</definedName>
    <definedName name="ss8_geno_v">#REF!</definedName>
    <definedName name="ss8_geno_w">#REF!</definedName>
    <definedName name="ss8_gt_f">#REF!</definedName>
    <definedName name="ss8_gt_v">#REF!</definedName>
    <definedName name="ss8_gt_w">#REF!</definedName>
    <definedName name="ss8_gtax_f">#REF!</definedName>
    <definedName name="ss8_gtax_v">#REF!</definedName>
    <definedName name="ss8_gtax_w">#REF!</definedName>
    <definedName name="ss8_hrsg_f">#REF!</definedName>
    <definedName name="ss8_hrsg_v">#REF!</definedName>
    <definedName name="ss8_hrsg_w">#REF!</definedName>
    <definedName name="ss8_ic_f">#REF!</definedName>
    <definedName name="ss8_ic_v">#REF!</definedName>
    <definedName name="ss8_ic_w">#REF!</definedName>
    <definedName name="ss8_st_f">#REF!</definedName>
    <definedName name="ss8_st_v">#REF!</definedName>
    <definedName name="ss8_st_w">#REF!</definedName>
    <definedName name="ss9_bop_f">#REF!</definedName>
    <definedName name="ss9_bop_v">#REF!</definedName>
    <definedName name="ss9_bop_w">#REF!</definedName>
    <definedName name="ss9_civ_f">#REF!</definedName>
    <definedName name="ss9_civ_v">#REF!</definedName>
    <definedName name="ss9_civ_w">#REF!</definedName>
    <definedName name="ss9_cond_f">#REF!</definedName>
    <definedName name="ss9_cond_v">#REF!</definedName>
    <definedName name="ss9_cond_w">#REF!</definedName>
    <definedName name="ss9_ct_f">#REF!</definedName>
    <definedName name="ss9_ct_v">#REF!</definedName>
    <definedName name="ss9_ct_w">#REF!</definedName>
    <definedName name="ss9_e_f">#REF!</definedName>
    <definedName name="ss9_e_v">#REF!</definedName>
    <definedName name="ss9_e_w">#REF!</definedName>
    <definedName name="ss9_ec_f">#REF!</definedName>
    <definedName name="ss9_ec_v">#REF!</definedName>
    <definedName name="ss9_ec_w">#REF!</definedName>
    <definedName name="ss9_fuel_f">#REF!</definedName>
    <definedName name="ss9_fuel_v">#REF!</definedName>
    <definedName name="ss9_fuel_w">#REF!</definedName>
    <definedName name="ss9_geno_f">#REF!</definedName>
    <definedName name="ss9_geno_v">#REF!</definedName>
    <definedName name="ss9_geno_w">#REF!</definedName>
    <definedName name="ss9_gt_f">#REF!</definedName>
    <definedName name="ss9_gt_v">#REF!</definedName>
    <definedName name="ss9_gt_w">#REF!</definedName>
    <definedName name="ss9_gtax_f">#REF!</definedName>
    <definedName name="ss9_gtax_v">#REF!</definedName>
    <definedName name="ss9_gtax_w">#REF!</definedName>
    <definedName name="ss9_hrsg_f">#REF!</definedName>
    <definedName name="ss9_hrsg_v">#REF!</definedName>
    <definedName name="ss9_hrsg_w">#REF!</definedName>
    <definedName name="ss9_ic_f">#REF!</definedName>
    <definedName name="ss9_ic_v">#REF!</definedName>
    <definedName name="ss9_ic_w">#REF!</definedName>
    <definedName name="ss9_st_f">#REF!</definedName>
    <definedName name="ss9_st_v">#REF!</definedName>
    <definedName name="ss9_st_w">#REF!</definedName>
    <definedName name="ssa" localSheetId="12">#REF!</definedName>
    <definedName name="ssa">#REF!</definedName>
    <definedName name="ssb" localSheetId="12">#REF!</definedName>
    <definedName name="ssb">#REF!</definedName>
    <definedName name="SSD">#REF!</definedName>
    <definedName name="SSDFF" localSheetId="12">#REF!</definedName>
    <definedName name="SSDFF">#REF!</definedName>
    <definedName name="ssf">#REF!</definedName>
    <definedName name="ssfdd" localSheetId="12" hidden="1">{#N/A,#N/A,TRUE,"Vergabe-Regeln";#N/A,#N/A,TRUE,"Baugruppen";#N/A,#N/A,TRUE,"Geräte";#N/A,#N/A,TRUE,"PC-Software";#N/A,#N/A,TRUE,"Software";#N/A,#N/A,TRUE,"SW-Reg";#N/A,#N/A,TRUE,"Dokumentation"}</definedName>
    <definedName name="ssfdd" hidden="1">{#N/A,#N/A,TRUE,"Vergabe-Regeln";#N/A,#N/A,TRUE,"Baugruppen";#N/A,#N/A,TRUE,"Geräte";#N/A,#N/A,TRUE,"PC-Software";#N/A,#N/A,TRUE,"Software";#N/A,#N/A,TRUE,"SW-Reg";#N/A,#N/A,TRUE,"Dokumentation"}</definedName>
    <definedName name="ssfsd" localSheetId="12">#REF!</definedName>
    <definedName name="ssfsd">#REF!</definedName>
    <definedName name="ssl">#REF!</definedName>
    <definedName name="Ssm" localSheetId="12">#REF!</definedName>
    <definedName name="Ssm">#REF!</definedName>
    <definedName name="sss" localSheetId="12">#REF!</definedName>
    <definedName name="sss" localSheetId="29">#REF!</definedName>
    <definedName name="sss" localSheetId="26">#REF!</definedName>
    <definedName name="sss">#REF!</definedName>
    <definedName name="sss_1">#REF!</definedName>
    <definedName name="ssss">#REF!</definedName>
    <definedName name="sssss">#REF!</definedName>
    <definedName name="SSSSSS" localSheetId="6">#REF!</definedName>
    <definedName name="SSSSSS" localSheetId="27">#REF!</definedName>
    <definedName name="SSSSSS" localSheetId="4">#REF!</definedName>
    <definedName name="SSSSSS" localSheetId="32">#REF!</definedName>
    <definedName name="SSSSSS" localSheetId="24">#REF!</definedName>
    <definedName name="SSSSSS">#REF!</definedName>
    <definedName name="sssssssss" localSheetId="12" hidden="1">{"form-D1",#N/A,FALSE,"FORM-D1";"form-D1_amt",#N/A,FALSE,"FORM-D1"}</definedName>
    <definedName name="sssssssss" localSheetId="29">#REF!</definedName>
    <definedName name="sssssssss" localSheetId="4">#REF!</definedName>
    <definedName name="sssssssss" localSheetId="32">#REF!</definedName>
    <definedName name="sssssssss" localSheetId="24">#REF!</definedName>
    <definedName name="sssssssss" localSheetId="26">#REF!</definedName>
    <definedName name="sssssssss">#REF!</definedName>
    <definedName name="SSSSSSSSSSSS" localSheetId="29" hidden="1">#REF!</definedName>
    <definedName name="SSSSSSSSSSSS" localSheetId="26" hidden="1">#REF!</definedName>
    <definedName name="SSSSSSSSSSSS" hidden="1">#REF!</definedName>
    <definedName name="sssssssssssss" localSheetId="12" hidden="1">{"form-D1",#N/A,FALSE,"FORM-D1";"form-D1_amt",#N/A,FALSE,"FORM-D1"}</definedName>
    <definedName name="sssssssssssss" hidden="1">{"form-D1",#N/A,FALSE,"FORM-D1";"form-D1_amt",#N/A,FALSE,"FORM-D1"}</definedName>
    <definedName name="sssssssssssssas" localSheetId="12" hidden="1">{"form-D1",#N/A,FALSE,"FORM-D1";"form-D1_amt",#N/A,FALSE,"FORM-D1"}</definedName>
    <definedName name="sssssssssssssas" hidden="1">{"form-D1",#N/A,FALSE,"FORM-D1";"form-D1_amt",#N/A,FALSE,"FORM-D1"}</definedName>
    <definedName name="sssssssssssssssssssssss">#REF!</definedName>
    <definedName name="sst">#REF!</definedName>
    <definedName name="ST" localSheetId="29">#REF!</definedName>
    <definedName name="ST" localSheetId="26">#REF!</definedName>
    <definedName name="ST" localSheetId="2">#REF!</definedName>
    <definedName name="ST">#REF!</definedName>
    <definedName name="st_100">#REF!</definedName>
    <definedName name="st_150">#REF!</definedName>
    <definedName name="st_200">#REF!</definedName>
    <definedName name="st_25">#REF!</definedName>
    <definedName name="st_250">#REF!</definedName>
    <definedName name="st_300">#REF!</definedName>
    <definedName name="st_32">#REF!</definedName>
    <definedName name="st_40">#REF!</definedName>
    <definedName name="st_400">#REF!</definedName>
    <definedName name="st_50">#REF!</definedName>
    <definedName name="st_500">#REF!</definedName>
    <definedName name="st_65">#REF!</definedName>
    <definedName name="st_80">#REF!</definedName>
    <definedName name="st_list">#REF!</definedName>
    <definedName name="ST220CTL">#REF!</definedName>
    <definedName name="STA">#REF!</definedName>
    <definedName name="STA22SCADA">#REF!</definedName>
    <definedName name="STA2SCADA">#REF!</definedName>
    <definedName name="STA2STCTL">#REF!</definedName>
    <definedName name="STAFF" localSheetId="6">#REF!</definedName>
    <definedName name="STAFF" localSheetId="29">#REF!</definedName>
    <definedName name="STAFF" localSheetId="27">#REF!</definedName>
    <definedName name="STAFF" localSheetId="4">#REF!</definedName>
    <definedName name="STAFF" localSheetId="32">#REF!</definedName>
    <definedName name="staff" localSheetId="24">#REF!</definedName>
    <definedName name="STAFF" localSheetId="26">#REF!</definedName>
    <definedName name="STAFF">#REF!</definedName>
    <definedName name="Staff_and_IDL_Ave" localSheetId="29">#REF!</definedName>
    <definedName name="Staff_and_IDL_Ave" localSheetId="26">#REF!</definedName>
    <definedName name="Staff_and_IDL_Ave">#REF!</definedName>
    <definedName name="StaffGrades">#REF!</definedName>
    <definedName name="Stage" localSheetId="12">#REF!</definedName>
    <definedName name="Stage" localSheetId="6">#REF!</definedName>
    <definedName name="Stage" localSheetId="29">#REF!</definedName>
    <definedName name="Stage" localSheetId="27">#REF!</definedName>
    <definedName name="Stage" localSheetId="4">#REF!</definedName>
    <definedName name="Stage" localSheetId="32">#REF!</definedName>
    <definedName name="Stage" localSheetId="24">#REF!</definedName>
    <definedName name="Stage" localSheetId="26">#REF!</definedName>
    <definedName name="Stage">#REF!</definedName>
    <definedName name="Staircase" localSheetId="24">#REF!</definedName>
    <definedName name="Staircase">#REF!</definedName>
    <definedName name="Staircase2">#REF!</definedName>
    <definedName name="Standard_Contingency">0.1</definedName>
    <definedName name="Standard_Procurement_Contingency">0.03</definedName>
    <definedName name="StartLine">#REF!</definedName>
    <definedName name="State">#REF!</definedName>
    <definedName name="STATEMENT_1" localSheetId="29">#REF!</definedName>
    <definedName name="STATEMENT_1" localSheetId="26">#REF!</definedName>
    <definedName name="STATEMENT_1">#REF!</definedName>
    <definedName name="STATEMENT_2" localSheetId="29">#REF!</definedName>
    <definedName name="STATEMENT_2" localSheetId="26">#REF!</definedName>
    <definedName name="STATEMENT_2">#REF!</definedName>
    <definedName name="STATEMENT_3">#REF!</definedName>
    <definedName name="STATEMENT_4">#REF!</definedName>
    <definedName name="Status">#REF!</definedName>
    <definedName name="Statutory" localSheetId="12" hidden="1">{"'Sheet1'!$A$4386:$N$4591"}</definedName>
    <definedName name="Statutory" hidden="1">{"'Sheet1'!$A$4386:$N$4591"}</definedName>
    <definedName name="STCTL">#REF!</definedName>
    <definedName name="STCTL2">#REF!</definedName>
    <definedName name="STCTL220">#REF!</definedName>
    <definedName name="STD" localSheetId="2">#REF!</definedName>
    <definedName name="STD">#REF!</definedName>
    <definedName name="ste">#REF!</definedName>
    <definedName name="steam_props">#REF!</definedName>
    <definedName name="steam_trap">#REF!</definedName>
    <definedName name="STEEL">#REF!</definedName>
    <definedName name="STEEL220">#REF!</definedName>
    <definedName name="steelgrades">#REF!</definedName>
    <definedName name="stfr">#REF!</definedName>
    <definedName name="Stg_Sub">#REF!</definedName>
    <definedName name="Stg_Super">#REF!</definedName>
    <definedName name="stock">#REF!</definedName>
    <definedName name="STR" localSheetId="12">#REF!</definedName>
    <definedName name="STR" localSheetId="29">IFERROR(LEFT(INDEX(#REF!,MATCH(#REF!,#REF!,0)),3),"")</definedName>
    <definedName name="STR" localSheetId="27">IFERROR(LEFT(INDEX(#REF!,MATCH(#REF!,#REF!,0)),3),"")</definedName>
    <definedName name="STR" localSheetId="4">IFERROR(LEFT(INDEX(#REF!,MATCH(#REF!,#REF!,0)),3),"")</definedName>
    <definedName name="STR" localSheetId="32">IFERROR(LEFT(INDEX(#REF!,MATCH(#REF!,#REF!,0)),3),"")</definedName>
    <definedName name="STR" localSheetId="24">#REF!</definedName>
    <definedName name="STR" localSheetId="26">IFERROR(LEFT(INDEX(#REF!,MATCH(#REF!,#REF!,0)),3),"")</definedName>
    <definedName name="STR">IFERROR(LEFT(INDEX(#REF!,MATCH(#REF!,#REF!,0)),3),"")</definedName>
    <definedName name="Str.1" localSheetId="12" hidden="1">{"form-D1",#N/A,FALSE,"FORM-D1";"form-D1_amt",#N/A,FALSE,"FORM-D1"}</definedName>
    <definedName name="Str.1" localSheetId="6" hidden="1">{"form-D1",#N/A,FALSE,"FORM-D1";"form-D1_amt",#N/A,FALSE,"FORM-D1"}</definedName>
    <definedName name="Str.1" localSheetId="29" hidden="1">{"form-D1",#N/A,FALSE,"FORM-D1";"form-D1_amt",#N/A,FALSE,"FORM-D1"}</definedName>
    <definedName name="Str.1" localSheetId="27" hidden="1">{"form-D1",#N/A,FALSE,"FORM-D1";"form-D1_amt",#N/A,FALSE,"FORM-D1"}</definedName>
    <definedName name="Str.1" localSheetId="4" hidden="1">{"form-D1",#N/A,FALSE,"FORM-D1";"form-D1_amt",#N/A,FALSE,"FORM-D1"}</definedName>
    <definedName name="Str.1" localSheetId="32" hidden="1">{"form-D1",#N/A,FALSE,"FORM-D1";"form-D1_amt",#N/A,FALSE,"FORM-D1"}</definedName>
    <definedName name="Str.1" localSheetId="24" hidden="1">{"form-D1",#N/A,FALSE,"FORM-D1";"form-D1_amt",#N/A,FALSE,"FORM-D1"}</definedName>
    <definedName name="Str.1" localSheetId="26" hidden="1">{"form-D1",#N/A,FALSE,"FORM-D1";"form-D1_amt",#N/A,FALSE,"FORM-D1"}</definedName>
    <definedName name="Str.1" hidden="1">{"form-D1",#N/A,FALSE,"FORM-D1";"form-D1_amt",#N/A,FALSE,"FORM-D1"}</definedName>
    <definedName name="STRESS">#REF!</definedName>
    <definedName name="Stretch" localSheetId="12">#REF!</definedName>
    <definedName name="Stretch" localSheetId="6">#REF!</definedName>
    <definedName name="Stretch" localSheetId="29">#REF!</definedName>
    <definedName name="Stretch" localSheetId="24">#REF!</definedName>
    <definedName name="Stretch" localSheetId="26">#REF!</definedName>
    <definedName name="Stretch">#REF!</definedName>
    <definedName name="StrID">#REF!</definedName>
    <definedName name="STRINGING">#REF!</definedName>
    <definedName name="StringingTool" localSheetId="24">OFFSET(#REF!,0,0,COUNTA(#REF!),1)</definedName>
    <definedName name="StringingTool">OFFSET(#REF!,0,0,COUNTA(#REF!),1)</definedName>
    <definedName name="stru_det" localSheetId="12">#REF!</definedName>
    <definedName name="stru_det" localSheetId="27">#REF!</definedName>
    <definedName name="stru_det">#REF!</definedName>
    <definedName name="Structure" localSheetId="29">#REF!</definedName>
    <definedName name="Structure" localSheetId="4">#REF!</definedName>
    <definedName name="Structure" localSheetId="32">#REF!</definedName>
    <definedName name="Structure" localSheetId="26">#REF!</definedName>
    <definedName name="Structure" localSheetId="2">#REF!</definedName>
    <definedName name="Structure">#REF!</definedName>
    <definedName name="StructureType" localSheetId="12">#REF!</definedName>
    <definedName name="StructureType">#REF!</definedName>
    <definedName name="stub400">#REF!</definedName>
    <definedName name="stubtype">#REF!</definedName>
    <definedName name="stubtype1">#REF!</definedName>
    <definedName name="stubweight">#REF!</definedName>
    <definedName name="Su" localSheetId="12" hidden="1">{#N/A,#N/A,TRUE,"Vergabe-Regeln";#N/A,#N/A,TRUE,"Baugruppen";#N/A,#N/A,TRUE,"Geräte";#N/A,#N/A,TRUE,"PC-Software";#N/A,#N/A,TRUE,"Software";#N/A,#N/A,TRUE,"SW-Reg";#N/A,#N/A,TRUE,"Dokumentation"}</definedName>
    <definedName name="su">#REF!</definedName>
    <definedName name="Subcontract">#REF!</definedName>
    <definedName name="subh" localSheetId="12" hidden="1">{#N/A,#N/A,TRUE,"Vergabe-Regeln";#N/A,#N/A,TRUE,"Baugruppen";#N/A,#N/A,TRUE,"Geräte";#N/A,#N/A,TRUE,"PC-Software";#N/A,#N/A,TRUE,"Software";#N/A,#N/A,TRUE,"SW-Reg";#N/A,#N/A,TRUE,"Dokumentation"}</definedName>
    <definedName name="subh" hidden="1">{#N/A,#N/A,TRUE,"Vergabe-Regeln";#N/A,#N/A,TRUE,"Baugruppen";#N/A,#N/A,TRUE,"Geräte";#N/A,#N/A,TRUE,"PC-Software";#N/A,#N/A,TRUE,"Software";#N/A,#N/A,TRUE,"SW-Reg";#N/A,#N/A,TRUE,"Dokumentation"}</definedName>
    <definedName name="Subject">#REF!</definedName>
    <definedName name="substation">#REF!</definedName>
    <definedName name="SUBSTN_LST">#REF!</definedName>
    <definedName name="SubTotalArea">#REF!</definedName>
    <definedName name="SubTotalPrice">#REF!</definedName>
    <definedName name="sum">#REF!</definedName>
    <definedName name="sum_of_same_item_qty">SUMIF(#REF!,#REF!,#REF!)</definedName>
    <definedName name="sumana">#REF!</definedName>
    <definedName name="SUMExtraCredit">#REF!</definedName>
    <definedName name="sumi">#REF!</definedName>
    <definedName name="SUMIF">#REF!</definedName>
    <definedName name="SUMIFExtraCredit">#REF!</definedName>
    <definedName name="Summ" localSheetId="12">#REF!</definedName>
    <definedName name="SUMM" localSheetId="4">#REF!</definedName>
    <definedName name="SUMM" localSheetId="32">#REF!</definedName>
    <definedName name="SUMM">#REF!</definedName>
    <definedName name="Summary" localSheetId="12">#REF!</definedName>
    <definedName name="SUMMARY" localSheetId="2">#REF!</definedName>
    <definedName name="SUMMARY">#REF!</definedName>
    <definedName name="summary_1">#REF!</definedName>
    <definedName name="SUMMARY_OTHER_EXPS" localSheetId="2">#REF!</definedName>
    <definedName name="SUMMARY_OTHER_EXPS">#REF!</definedName>
    <definedName name="Summary1">#REF!</definedName>
    <definedName name="SUMMARY3" localSheetId="12" hidden="1">{"'Sheet1'!$A$4386:$N$4591"}</definedName>
    <definedName name="SUMMARY3" hidden="1">{"'Sheet1'!$A$4386:$N$4591"}</definedName>
    <definedName name="SummaryNew" hidden="1">#REF!</definedName>
    <definedName name="SUMMARYR" localSheetId="12">#REF!</definedName>
    <definedName name="SUMMARYR" localSheetId="4">#REF!</definedName>
    <definedName name="SUMMARYR" localSheetId="32">#REF!</definedName>
    <definedName name="SUMMARYR">#REF!</definedName>
    <definedName name="Summaryy">#REF!</definedName>
    <definedName name="sump">#REF!</definedName>
    <definedName name="sumtotal">#REF!</definedName>
    <definedName name="sun">#REF!</definedName>
    <definedName name="sUNDR">#REF!</definedName>
    <definedName name="sunjay">#REF!</definedName>
    <definedName name="sunjay_1">#REF!</definedName>
    <definedName name="supb" localSheetId="6">#REF!</definedName>
    <definedName name="supb" localSheetId="27">#REF!</definedName>
    <definedName name="supb" localSheetId="4">#REF!</definedName>
    <definedName name="supb" localSheetId="32">#REF!</definedName>
    <definedName name="supb" localSheetId="24">#REF!</definedName>
    <definedName name="supb">#REF!</definedName>
    <definedName name="supc" localSheetId="6">#REF!</definedName>
    <definedName name="supc" localSheetId="27">#REF!</definedName>
    <definedName name="supc" localSheetId="4">#REF!</definedName>
    <definedName name="supc" localSheetId="32">#REF!</definedName>
    <definedName name="supc" localSheetId="24">#REF!</definedName>
    <definedName name="supc">#REF!</definedName>
    <definedName name="supervisor" localSheetId="6">#REF!</definedName>
    <definedName name="supervisor" localSheetId="27">#REF!</definedName>
    <definedName name="supervisor" localSheetId="4">#REF!</definedName>
    <definedName name="supervisor" localSheetId="32">#REF!</definedName>
    <definedName name="supervisor" localSheetId="24">#REF!</definedName>
    <definedName name="supervisor">#REF!</definedName>
    <definedName name="Supervisors" localSheetId="6">#REF!</definedName>
    <definedName name="Supervisors" localSheetId="27">#REF!</definedName>
    <definedName name="Supervisors" localSheetId="4">#REF!</definedName>
    <definedName name="Supervisors" localSheetId="32">#REF!</definedName>
    <definedName name="Supervisors" localSheetId="24">#REF!</definedName>
    <definedName name="Supervisors">#REF!</definedName>
    <definedName name="supht" localSheetId="6">#REF!</definedName>
    <definedName name="supht" localSheetId="27">#REF!</definedName>
    <definedName name="supht" localSheetId="4">#REF!</definedName>
    <definedName name="supht" localSheetId="32">#REF!</definedName>
    <definedName name="supht" localSheetId="24">#REF!</definedName>
    <definedName name="supht">#REF!</definedName>
    <definedName name="Supplies" localSheetId="29">#REF!</definedName>
    <definedName name="Supplies" localSheetId="24">#REF!</definedName>
    <definedName name="Supplies" localSheetId="26">#REF!</definedName>
    <definedName name="Supplies">#REF!</definedName>
    <definedName name="supply" localSheetId="29">#REF!</definedName>
    <definedName name="supply" localSheetId="26">#REF!</definedName>
    <definedName name="supply">#REF!</definedName>
    <definedName name="Supplykalpaka160714">#REF!</definedName>
    <definedName name="supplysch">#REF!</definedName>
    <definedName name="supporttype">#REF!</definedName>
    <definedName name="suproject">#REF!</definedName>
    <definedName name="surcharge">#REF!</definedName>
    <definedName name="suresh123">#REF!</definedName>
    <definedName name="Survey">#REF!</definedName>
    <definedName name="SurveyTool" localSheetId="27">OFFSET(#REF!,0,0,COUNTA(#REF!),1)</definedName>
    <definedName name="SurveyTool">OFFSET(#REF!,0,0,COUNTA(#REF!),1)</definedName>
    <definedName name="Sv" localSheetId="12">#REF!</definedName>
    <definedName name="Sv" localSheetId="27">#REF!</definedName>
    <definedName name="Sv" localSheetId="4">#REF!</definedName>
    <definedName name="Sv" localSheetId="32">#REF!</definedName>
    <definedName name="Sv">#REF!</definedName>
    <definedName name="sw" localSheetId="12">#REF!</definedName>
    <definedName name="sw">#REF!</definedName>
    <definedName name="swd_Adl_dis" localSheetId="27">#REF!</definedName>
    <definedName name="swd_Adl_dis" localSheetId="24">#REF!</definedName>
    <definedName name="swd_Adl_dis">#REF!</definedName>
    <definedName name="swd_cd" localSheetId="24">#REF!</definedName>
    <definedName name="swd_cd">#REF!</definedName>
    <definedName name="swd_er">#REF!</definedName>
    <definedName name="swd_fi">#REF!</definedName>
    <definedName name="SWGR12">#REF!</definedName>
    <definedName name="SWGR345">#REF!</definedName>
    <definedName name="SWH">#REF!</definedName>
    <definedName name="SWH_" localSheetId="12">#REF!</definedName>
    <definedName name="SWH_">#REF!</definedName>
    <definedName name="swi">#REF!</definedName>
    <definedName name="sws">#REF!</definedName>
    <definedName name="swt" localSheetId="12">#REF!</definedName>
    <definedName name="swt">#REF!</definedName>
    <definedName name="sxfghnsfdhs">#REF!</definedName>
    <definedName name="szdczsxf">#REF!</definedName>
    <definedName name="szdfszfgvzxdc">#REF!</definedName>
    <definedName name="szdrfgfd">#REF!</definedName>
    <definedName name="szdrfgzdf">#REF!</definedName>
    <definedName name="t" localSheetId="12">#REF!</definedName>
    <definedName name="t" localSheetId="29">#REF!</definedName>
    <definedName name="t" localSheetId="26">#REF!</definedName>
    <definedName name="t">#REF!</definedName>
    <definedName name="t___0">#REF!</definedName>
    <definedName name="t___13">#REF!</definedName>
    <definedName name="T_STUB">#REF!,#REF!,#REF!,#REF!,#REF!</definedName>
    <definedName name="T_Type" localSheetId="12">IFERROR(VLOOKUP(#REF!,#REF!,2,FALSE)," ")</definedName>
    <definedName name="T_Type" localSheetId="27">IFERROR(VLOOKUP(#REF!,#REF!,2,FALSE)," ")</definedName>
    <definedName name="T_Type">IFERROR(VLOOKUP(#REF!,#REF!,2,FALSE)," ")</definedName>
    <definedName name="T0">#REF!</definedName>
    <definedName name="t1_" localSheetId="12">#REF!</definedName>
    <definedName name="T1_" localSheetId="4">#N/A</definedName>
    <definedName name="T1_" localSheetId="32">#N/A</definedName>
    <definedName name="T1_">#N/A</definedName>
    <definedName name="T2_">#N/A</definedName>
    <definedName name="T3_">#N/A</definedName>
    <definedName name="T4_">#N/A</definedName>
    <definedName name="TA" localSheetId="12">INDEX(#REF!,MATCH(#REF!,#REF!,0))</definedName>
    <definedName name="Ta" localSheetId="4">#REF!</definedName>
    <definedName name="Ta" localSheetId="32">#REF!</definedName>
    <definedName name="Ta" localSheetId="24">#REF!</definedName>
    <definedName name="Ta">#REF!</definedName>
    <definedName name="taa" localSheetId="12">#REF!</definedName>
    <definedName name="taa">#REF!</definedName>
    <definedName name="TAB" localSheetId="24">#REF!</definedName>
    <definedName name="TAB">#REF!</definedName>
    <definedName name="tabl">#REF!</definedName>
    <definedName name="Table" localSheetId="12">#REF!</definedName>
    <definedName name="Table" localSheetId="6">#REF!</definedName>
    <definedName name="Table" localSheetId="29">#REF!</definedName>
    <definedName name="Table" localSheetId="26">#REF!</definedName>
    <definedName name="Table">#REF!</definedName>
    <definedName name="TABLE_4">#REF!</definedName>
    <definedName name="table0">#REF!</definedName>
    <definedName name="table0.2">#REF!</definedName>
    <definedName name="table0.4">#REF!</definedName>
    <definedName name="table0.6">#REF!</definedName>
    <definedName name="table0.8">#REF!</definedName>
    <definedName name="Table1" localSheetId="6">#REF!</definedName>
    <definedName name="Table1">#REF!</definedName>
    <definedName name="TABLE2">#REF!</definedName>
    <definedName name="table3">#REF!</definedName>
    <definedName name="table4">#REF!</definedName>
    <definedName name="table5">#REF!</definedName>
    <definedName name="table6">#REF!</definedName>
    <definedName name="table7">#REF!</definedName>
    <definedName name="table8">#REF!</definedName>
    <definedName name="table9">#REF!</definedName>
    <definedName name="tableau1" localSheetId="6">#REF!</definedName>
    <definedName name="tableau1">#REF!</definedName>
    <definedName name="TableRange">#REF!</definedName>
    <definedName name="tables">#REF!</definedName>
    <definedName name="Taf" localSheetId="4">#REF!</definedName>
    <definedName name="Taf" localSheetId="32">#REF!</definedName>
    <definedName name="Taf">#REF!</definedName>
    <definedName name="tala" localSheetId="12" hidden="1">#REF!</definedName>
    <definedName name="tala" hidden="1">#REF!</definedName>
    <definedName name="tala_1">#N/A</definedName>
    <definedName name="tala_1_1">"#N/A"</definedName>
    <definedName name="tala_2">#N/A</definedName>
    <definedName name="tamil" localSheetId="27">#REF!</definedName>
    <definedName name="tamil">#REF!</definedName>
    <definedName name="Target" localSheetId="29">#REF!</definedName>
    <definedName name="Target" localSheetId="26">#REF!</definedName>
    <definedName name="Target" localSheetId="2">#REF!</definedName>
    <definedName name="Target">#REF!</definedName>
    <definedName name="Target_Fuction">#REF!</definedName>
    <definedName name="tariff">#REF!</definedName>
    <definedName name="tariffsen">#REF!</definedName>
    <definedName name="TAS">INDEX(#REF!,MATCH(#REF!,#REF!,0))</definedName>
    <definedName name="TASK">#REF!</definedName>
    <definedName name="Task_Code">#REF!</definedName>
    <definedName name="Tav" localSheetId="4">#REF!</definedName>
    <definedName name="Tav" localSheetId="32">#REF!</definedName>
    <definedName name="Tav">#REF!</definedName>
    <definedName name="Tax">#REF!</definedName>
    <definedName name="taxcheck">#REF!</definedName>
    <definedName name="TaxTV">10%</definedName>
    <definedName name="TaxXL">5%</definedName>
    <definedName name="TB" localSheetId="12">INDEX(#REF!,MATCH(#REF!,#REF!,0))</definedName>
    <definedName name="TB" localSheetId="6">#REF!</definedName>
    <definedName name="TB" localSheetId="29">#REF!</definedName>
    <definedName name="tb" localSheetId="24">#REF!</definedName>
    <definedName name="TB" localSheetId="26">#REF!</definedName>
    <definedName name="TB">#REF!</definedName>
    <definedName name="Tbf" localSheetId="12">#REF!</definedName>
    <definedName name="Tbf">#REF!</definedName>
    <definedName name="TBL" localSheetId="6">#REF!</definedName>
    <definedName name="TBL">#REF!</definedName>
    <definedName name="tbl_ProdInfo" localSheetId="6" hidden="1">#REF!</definedName>
    <definedName name="tbl_ProdInfo" hidden="1">#REF!</definedName>
    <definedName name="TBo">#REF!</definedName>
    <definedName name="TBS">INDEX(#REF!,MATCH(#REF!,#REF!,0))</definedName>
    <definedName name="TC" localSheetId="12">INDEX(#REF!,MATCH(#REF!,#REF!,0))</definedName>
    <definedName name="tc" localSheetId="4">#REF!</definedName>
    <definedName name="tc" localSheetId="32">#REF!</definedName>
    <definedName name="tc">#REF!</definedName>
    <definedName name="tcap">#REF!</definedName>
    <definedName name="tcol">#REF!</definedName>
    <definedName name="tcr">#REF!</definedName>
    <definedName name="TCS">INDEX(#REF!,MATCH(#REF!,#REF!,0))</definedName>
    <definedName name="TD" localSheetId="12">INDEX(#REF!,MATCH(#REF!,#REF!,0))</definedName>
    <definedName name="TD" localSheetId="4">INDEX(#REF!,MATCH(#REF!,#REF!,0))</definedName>
    <definedName name="TD" localSheetId="32">INDEX(#REF!,MATCH(#REF!,#REF!,0))</definedName>
    <definedName name="TD">INDEX(#REF!,MATCH(#REF!,#REF!,0))</definedName>
    <definedName name="TDS">INDEX(#REF!,MATCH(#REF!,#REF!,0))</definedName>
    <definedName name="tdytryu">#REF!</definedName>
    <definedName name="TE" localSheetId="12">INDEX(#REF!,MATCH(#REF!,#REF!,0))</definedName>
    <definedName name="te">#REF!</definedName>
    <definedName name="TE_Rate" localSheetId="12">IFERROR(_xlfn.XLOOKUP(#REF!,#REF!,#REF!),"")</definedName>
    <definedName name="TE_Rate" localSheetId="27">IFERROR(_xlfn.XLOOKUP(#REF!,#REF!,#REF!),"")</definedName>
    <definedName name="TE_Rate">IFERROR(_xlfn.XLOOKUP(#REF!,#REF!,#REF!),"")</definedName>
    <definedName name="TEC_Inquiry_No">#REF!</definedName>
    <definedName name="tedge">#REF!</definedName>
    <definedName name="TEE">#REF!</definedName>
    <definedName name="teesta">#REF!,#REF!,#REF!,#REF!,#REF!,#REF!,#REF!,#REF!,#REF!</definedName>
    <definedName name="tel" localSheetId="2">#REF!</definedName>
    <definedName name="tel">#REF!</definedName>
    <definedName name="temp" localSheetId="4">#REF!</definedName>
    <definedName name="temp" localSheetId="32">#REF!</definedName>
    <definedName name="temp">#REF!</definedName>
    <definedName name="temp_strainer">#REF!</definedName>
    <definedName name="TEMP_STRESS">#REF!</definedName>
    <definedName name="temp1" localSheetId="4">#REF!</definedName>
    <definedName name="temp1" localSheetId="32">#REF!</definedName>
    <definedName name="temp1">#REF!</definedName>
    <definedName name="tempcoeff" localSheetId="4">#REF!</definedName>
    <definedName name="tempcoeff" localSheetId="32">#REF!</definedName>
    <definedName name="tempcoeff">#REF!</definedName>
    <definedName name="Ten">#REF!</definedName>
    <definedName name="TenderNumberPS">#REF!</definedName>
    <definedName name="ter_vapi">#REF!</definedName>
    <definedName name="TerCAT">#REF!</definedName>
    <definedName name="TERM">#REF!</definedName>
    <definedName name="TES" localSheetId="12">INDEX(#REF!,MATCH(#REF!,#REF!,0))</definedName>
    <definedName name="TEs">#REF!</definedName>
    <definedName name="TEs___0">#REF!</definedName>
    <definedName name="TEs___13">#REF!</definedName>
    <definedName name="test" localSheetId="2">#REF!</definedName>
    <definedName name="test">#REF!</definedName>
    <definedName name="TEST_1">"#REF!"</definedName>
    <definedName name="TEST0" localSheetId="6">#REF!</definedName>
    <definedName name="TEST0" localSheetId="29">#REF!</definedName>
    <definedName name="TEST0" localSheetId="24">#REF!</definedName>
    <definedName name="TEST0" localSheetId="26">#REF!</definedName>
    <definedName name="TEST0">#REF!</definedName>
    <definedName name="TEST1" localSheetId="6">#REF!</definedName>
    <definedName name="TEST1">#REF!</definedName>
    <definedName name="TEST10" localSheetId="6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ep">#REF!</definedName>
    <definedName name="TESTHKEY">#REF!</definedName>
    <definedName name="TESTKEYS">#REF!</definedName>
    <definedName name="TestTest">#REF!</definedName>
    <definedName name="TESTVKEY">#REF!</definedName>
    <definedName name="TEt" localSheetId="12">#REF!</definedName>
    <definedName name="TEt">#REF!</definedName>
    <definedName name="TEt___0">#REF!</definedName>
    <definedName name="TEt___13">#REF!</definedName>
    <definedName name="TEtouch">#REF!</definedName>
    <definedName name="textmach" localSheetId="6">#REF!</definedName>
    <definedName name="textmach" localSheetId="27">#REF!</definedName>
    <definedName name="textmach" localSheetId="4">#REF!</definedName>
    <definedName name="textmach" localSheetId="32">#REF!</definedName>
    <definedName name="textmach" localSheetId="24">#REF!</definedName>
    <definedName name="textmach">#REF!</definedName>
    <definedName name="TextRefCopyRangeCount" hidden="1">1</definedName>
    <definedName name="TF" localSheetId="12">INDEX(#REF!,MATCH(#REF!,#REF!,0))</definedName>
    <definedName name="TF" localSheetId="6">#REF!</definedName>
    <definedName name="TF" localSheetId="29">#REF!</definedName>
    <definedName name="TF" localSheetId="4">#REF!</definedName>
    <definedName name="TF" localSheetId="32">#REF!</definedName>
    <definedName name="TF" localSheetId="24">#REF!</definedName>
    <definedName name="TF" localSheetId="26">#REF!</definedName>
    <definedName name="TF">#REF!</definedName>
    <definedName name="tfbf">#REF!</definedName>
    <definedName name="Tfc">#REF!</definedName>
    <definedName name="Tfd" localSheetId="4">#REF!</definedName>
    <definedName name="Tfd" localSheetId="32">#REF!</definedName>
    <definedName name="Tfd">#REF!</definedName>
    <definedName name="TFS">INDEX(#REF!,MATCH(#REF!,#REF!,0))</definedName>
    <definedName name="tfvtf">#REF!</definedName>
    <definedName name="TG" localSheetId="12">INDEX(#REF!,MATCH(#REF!,#REF!,0))</definedName>
    <definedName name="TG" localSheetId="6">#REF!</definedName>
    <definedName name="TG">#REF!</definedName>
    <definedName name="TGS">INDEX(#REF!,MATCH(#REF!,#REF!,0))</definedName>
    <definedName name="TH" localSheetId="12">INDEX(#REF!,MATCH(#REF!,#REF!,0))</definedName>
    <definedName name="TH" localSheetId="4">INDEX(#REF!,MATCH(#REF!,#REF!,0))</definedName>
    <definedName name="TH" localSheetId="32">INDEX(#REF!,MATCH(#REF!,#REF!,0))</definedName>
    <definedName name="TH">INDEX(#REF!,MATCH(#REF!,#REF!,0))</definedName>
    <definedName name="Thickness_of_base_slab">#REF!</definedName>
    <definedName name="Thickness_of_cover_slab">#REF!</definedName>
    <definedName name="Thickness_of_cover_slab_end">#REF!</definedName>
    <definedName name="Thickness_of_PCC">#REF!</definedName>
    <definedName name="Thickness_of_side_wall">#REF!</definedName>
    <definedName name="THK" localSheetId="6">#REF!</definedName>
    <definedName name="THK">#REF!</definedName>
    <definedName name="ThreeD">#REF!</definedName>
    <definedName name="ThreeTd">#REF!</definedName>
    <definedName name="ThreeTn">#REF!</definedName>
    <definedName name="THS">INDEX(#REF!,MATCH(#REF!,#REF!,0))</definedName>
    <definedName name="TI" localSheetId="12">INDEX(#REF!,MATCH(#REF!,#REF!,0))</definedName>
    <definedName name="TI">INDEX(#REF!,MATCH(#REF!,#REF!,0))</definedName>
    <definedName name="tii">#REF!</definedName>
    <definedName name="TIL">#REF!</definedName>
    <definedName name="timber" localSheetId="6">#REF!</definedName>
    <definedName name="timber" localSheetId="27">#REF!</definedName>
    <definedName name="timber" localSheetId="4">#REF!</definedName>
    <definedName name="timber" localSheetId="32">#REF!</definedName>
    <definedName name="timber" localSheetId="24">#REF!</definedName>
    <definedName name="timber">#REF!</definedName>
    <definedName name="timedmd">#REF!</definedName>
    <definedName name="Tin">#REF!</definedName>
    <definedName name="Tip" localSheetId="12">#REF!</definedName>
    <definedName name="Tip" localSheetId="24">#REF!</definedName>
    <definedName name="Tip">#REF!</definedName>
    <definedName name="TipHr" localSheetId="6">#REF!</definedName>
    <definedName name="TipHr" localSheetId="27">#REF!</definedName>
    <definedName name="TipHr" localSheetId="4">#REF!</definedName>
    <definedName name="TipHr" localSheetId="32">#REF!</definedName>
    <definedName name="TipHr" localSheetId="24">#REF!</definedName>
    <definedName name="TipHr">#REF!</definedName>
    <definedName name="Tipper10MTPOL" localSheetId="6">#REF!</definedName>
    <definedName name="Tipper10MTPOL" localSheetId="27">#REF!</definedName>
    <definedName name="Tipper10MTPOL" localSheetId="4">#REF!</definedName>
    <definedName name="Tipper10MTPOL" localSheetId="32">#REF!</definedName>
    <definedName name="Tipper10MTPOL" localSheetId="24">#REF!</definedName>
    <definedName name="Tipper10MTPOL">#REF!</definedName>
    <definedName name="Tipper14MTPOL" localSheetId="6">#REF!</definedName>
    <definedName name="Tipper14MTPOL" localSheetId="27">#REF!</definedName>
    <definedName name="Tipper14MTPOL" localSheetId="4">#REF!</definedName>
    <definedName name="Tipper14MTPOL" localSheetId="32">#REF!</definedName>
    <definedName name="Tipper14MTPOL" localSheetId="24">#REF!</definedName>
    <definedName name="Tipper14MTPOL">#REF!</definedName>
    <definedName name="TipperDiesel" localSheetId="6">#REF!</definedName>
    <definedName name="TipperDiesel" localSheetId="27">#REF!</definedName>
    <definedName name="TipperDiesel" localSheetId="4">#REF!</definedName>
    <definedName name="TipperDiesel" localSheetId="32">#REF!</definedName>
    <definedName name="TipperDiesel" localSheetId="24">#REF!</definedName>
    <definedName name="TipperDiesel">#REF!</definedName>
    <definedName name="tippertkm" localSheetId="6">#REF!</definedName>
    <definedName name="tippertkm" localSheetId="27">#REF!</definedName>
    <definedName name="tippertkm" localSheetId="4">#REF!</definedName>
    <definedName name="tippertkm" localSheetId="32">#REF!</definedName>
    <definedName name="tippertkm" localSheetId="24">#REF!</definedName>
    <definedName name="tippertkm">#REF!</definedName>
    <definedName name="tirunelveli118">#REF!</definedName>
    <definedName name="tirunelvelii1rr">#REF!</definedName>
    <definedName name="TIS">INDEX(#REF!,MATCH(#REF!,#REF!,0))</definedName>
    <definedName name="TITL" localSheetId="24">#REF!</definedName>
    <definedName name="TITL">#REF!</definedName>
    <definedName name="TITLE" localSheetId="29">#REF!</definedName>
    <definedName name="TITLE" localSheetId="26">#REF!</definedName>
    <definedName name="TITLE">#REF!</definedName>
    <definedName name="Title1">#REF!</definedName>
    <definedName name="Title2">#REF!</definedName>
    <definedName name="TJ" localSheetId="12">INDEX(#REF!,MATCH(#REF!,#REF!,0))</definedName>
    <definedName name="TJ">INDEX(#REF!,MATCH(#REF!,#REF!,0))</definedName>
    <definedName name="TJS">INDEX(#REF!,MATCH(#REF!,#REF!,0))</definedName>
    <definedName name="TK" localSheetId="12">INDEX(#REF!,MATCH(#REF!,#REF!,0))</definedName>
    <definedName name="Tk" localSheetId="29">#REF!</definedName>
    <definedName name="Tk" localSheetId="26">#REF!</definedName>
    <definedName name="Tk">#REF!</definedName>
    <definedName name="Tkl">#REF!</definedName>
    <definedName name="TL" localSheetId="12">INDEX(#REF!,MATCH(#REF!,#REF!,0))</definedName>
    <definedName name="TL">INDEX(#REF!,MATCH(#REF!,#REF!,0))</definedName>
    <definedName name="TL_Adv" localSheetId="12">#REF!</definedName>
    <definedName name="TL_Adv">#REF!</definedName>
    <definedName name="TL_AGWC" localSheetId="12">#REF!</definedName>
    <definedName name="TL_AGWC">#REF!</definedName>
    <definedName name="TL_AM" localSheetId="12">#REF!</definedName>
    <definedName name="TL_AM">#REF!</definedName>
    <definedName name="TL_ANFA" localSheetId="12">#REF!</definedName>
    <definedName name="TL_ANFA">#REF!</definedName>
    <definedName name="TL_ANFE" localSheetId="12">#REF!</definedName>
    <definedName name="TL_ANFE">#REF!</definedName>
    <definedName name="TL_ANFEBG" localSheetId="12">#REF!</definedName>
    <definedName name="TL_ANFEBG">#REF!</definedName>
    <definedName name="TL_ANWC" localSheetId="12">#REF!</definedName>
    <definedName name="TL_ANWC">#REF!</definedName>
    <definedName name="TL_APr" localSheetId="12">#REF!</definedName>
    <definedName name="TL_APr">#REF!</definedName>
    <definedName name="TL_Aug" localSheetId="12">#REF!</definedName>
    <definedName name="TL_Aug">#REF!</definedName>
    <definedName name="TL_Avg_Adv" localSheetId="12">#REF!</definedName>
    <definedName name="TL_Avg_Adv">#REF!</definedName>
    <definedName name="TL_Avg_COI" localSheetId="12">#REF!</definedName>
    <definedName name="TL_Avg_COI">#REF!</definedName>
    <definedName name="TL_Avg_OCA" localSheetId="12">#REF!</definedName>
    <definedName name="TL_Avg_OCA">#REF!</definedName>
    <definedName name="TL_Avg_OCL" localSheetId="12">#REF!</definedName>
    <definedName name="TL_Avg_OCL">#REF!</definedName>
    <definedName name="TL_Avg_OS" localSheetId="12">#REF!</definedName>
    <definedName name="TL_Avg_OS">#REF!</definedName>
    <definedName name="TL_Avg_Stk" localSheetId="12">#REF!</definedName>
    <definedName name="TL_Avg_Stk">#REF!</definedName>
    <definedName name="TL_Avg_VC" localSheetId="12">#REF!</definedName>
    <definedName name="TL_Avg_VC">#REF!</definedName>
    <definedName name="TL_Avg_WC_Key">#REF!</definedName>
    <definedName name="TL_COI" localSheetId="12">#REF!</definedName>
    <definedName name="TL_COI">#REF!</definedName>
    <definedName name="TL_Dec" localSheetId="12">#REF!</definedName>
    <definedName name="TL_Dec">#REF!</definedName>
    <definedName name="TL_Deprn" localSheetId="12">#REF!</definedName>
    <definedName name="TL_Deprn">#REF!</definedName>
    <definedName name="TL_Feb" localSheetId="12">#REF!</definedName>
    <definedName name="TL_Feb">#REF!</definedName>
    <definedName name="TL_GM" localSheetId="12">#REF!</definedName>
    <definedName name="TL_GM">#REF!</definedName>
    <definedName name="TL_Jan" localSheetId="12">#REF!</definedName>
    <definedName name="TL_Jan">#REF!</definedName>
    <definedName name="TL_Jul" localSheetId="12">#REF!</definedName>
    <definedName name="TL_Jul">#REF!</definedName>
    <definedName name="TL_Jun" localSheetId="12">#REF!</definedName>
    <definedName name="TL_Jun">#REF!</definedName>
    <definedName name="TL_Key" localSheetId="12">#REF!</definedName>
    <definedName name="TL_Key">#REF!</definedName>
    <definedName name="TL_Mar" localSheetId="12">#REF!</definedName>
    <definedName name="TL_Mar">#REF!</definedName>
    <definedName name="TL_MAT_Sales" localSheetId="12">#REF!</definedName>
    <definedName name="TL_MAT_Sales">#REF!</definedName>
    <definedName name="TL_May" localSheetId="12">#REF!</definedName>
    <definedName name="TL_May">#REF!</definedName>
    <definedName name="TL_Nov" localSheetId="12">#REF!</definedName>
    <definedName name="TL_Nov">#REF!</definedName>
    <definedName name="TL_NWC" localSheetId="12">#REF!</definedName>
    <definedName name="TL_NWC">#REF!</definedName>
    <definedName name="TL_OB_Cust" localSheetId="12">#REF!</definedName>
    <definedName name="TL_OB_Cust">#REF!</definedName>
    <definedName name="TL_OB_IU" localSheetId="12">#REF!</definedName>
    <definedName name="TL_OB_IU">#REF!</definedName>
    <definedName name="TL_OCA" localSheetId="12">#REF!</definedName>
    <definedName name="TL_OCA">#REF!</definedName>
    <definedName name="TL_OCL" localSheetId="12">#REF!</definedName>
    <definedName name="TL_OCL">#REF!</definedName>
    <definedName name="TL_Oct" localSheetId="12">#REF!</definedName>
    <definedName name="TL_Oct">#REF!</definedName>
    <definedName name="TL_OD_Common" localSheetId="12">#REF!</definedName>
    <definedName name="TL_OD_Common">#REF!</definedName>
    <definedName name="TL_OI_Cust" localSheetId="12">#REF!</definedName>
    <definedName name="TL_OI_Cust">#REF!</definedName>
    <definedName name="TL_OI_IU" localSheetId="12">#REF!</definedName>
    <definedName name="TL_OI_IU">#REF!</definedName>
    <definedName name="TL_OS" localSheetId="12">#REF!</definedName>
    <definedName name="TL_OS">#REF!</definedName>
    <definedName name="TL_PBDIT" localSheetId="12">#REF!</definedName>
    <definedName name="TL_PBDIT">#REF!</definedName>
    <definedName name="TL_PBIT" localSheetId="12">#REF!</definedName>
    <definedName name="TL_PBIT">#REF!</definedName>
    <definedName name="TL_Per_Key">#REF!</definedName>
    <definedName name="TL_Res_Key">#REF!</definedName>
    <definedName name="TL_Sales_Cust" localSheetId="12">#REF!</definedName>
    <definedName name="TL_Sales_Cust">#REF!</definedName>
    <definedName name="TL_Sales_IU" localSheetId="12">#REF!</definedName>
    <definedName name="TL_Sales_IU">#REF!</definedName>
    <definedName name="TL_Sep" localSheetId="12">#REF!</definedName>
    <definedName name="TL_Sep">#REF!</definedName>
    <definedName name="TL_Stk" localSheetId="12">#REF!</definedName>
    <definedName name="TL_Stk">#REF!</definedName>
    <definedName name="TL_Top_Key">#REF!</definedName>
    <definedName name="TL_VC" localSheetId="12">#REF!</definedName>
    <definedName name="TL_VC">#REF!</definedName>
    <definedName name="TL_WC_Key">#REF!</definedName>
    <definedName name="TM" localSheetId="12">INDEX(#REF!,MATCH(#REF!,#REF!,0))</definedName>
    <definedName name="Tm">#REF!</definedName>
    <definedName name="TMBPLA" localSheetId="12">#REF!</definedName>
    <definedName name="TMBPLA">#REF!</definedName>
    <definedName name="TMBSCA" localSheetId="12">#REF!</definedName>
    <definedName name="TMBSCA">#REF!</definedName>
    <definedName name="TMD" localSheetId="12">#REF!</definedName>
    <definedName name="TMD">#REF!</definedName>
    <definedName name="Tmin">#REF!</definedName>
    <definedName name="TMTbars">#REF!</definedName>
    <definedName name="TNEBJSR">#REF!</definedName>
    <definedName name="tnr">#REF!</definedName>
    <definedName name="TnSWindSpeed" localSheetId="12">#REF!</definedName>
    <definedName name="TnSWindSpeed">#REF!</definedName>
    <definedName name="ToE_MATRIX">#REF!</definedName>
    <definedName name="TOL">#REF!</definedName>
    <definedName name="TOOL">#REF!</definedName>
    <definedName name="top">#REF!</definedName>
    <definedName name="top_ser">#REF!</definedName>
    <definedName name="TOP_SHT">#REF!</definedName>
    <definedName name="TOP_SUP">#REF!</definedName>
    <definedName name="topl">#REF!</definedName>
    <definedName name="TopMgmtGrades">#REF!</definedName>
    <definedName name="topn">#REF!</definedName>
    <definedName name="TopSlbThk">#REF!</definedName>
    <definedName name="TOT" localSheetId="6">#REF!,#REF!,#REF!,#REF!,#REF!,#REF!,#REF!,#REF!,#REF!,#REF!,#REF!</definedName>
    <definedName name="TOT" localSheetId="29">#REF!,#REF!,#REF!,#REF!,#REF!,#REF!,#REF!,#REF!,#REF!,#REF!,#REF!</definedName>
    <definedName name="TOT" localSheetId="27">#REF!,#REF!,#REF!,#REF!,#REF!,#REF!,#REF!,#REF!,#REF!,#REF!,#REF!</definedName>
    <definedName name="TOT" localSheetId="4">#REF!,#REF!,#REF!,#REF!,#REF!,#REF!,#REF!,#REF!,#REF!,#REF!,#REF!</definedName>
    <definedName name="TOT" localSheetId="32">#REF!,#REF!,#REF!,#REF!,#REF!,#REF!,#REF!,#REF!,#REF!,#REF!,#REF!</definedName>
    <definedName name="TOT" localSheetId="26">#REF!,#REF!,#REF!,#REF!,#REF!,#REF!,#REF!,#REF!,#REF!,#REF!,#REF!</definedName>
    <definedName name="TOT">#REF!,#REF!,#REF!,#REF!,#REF!,#REF!,#REF!,#REF!,#REF!,#REF!,#REF!</definedName>
    <definedName name="TOT_ST" localSheetId="12">#REF!</definedName>
    <definedName name="TOT_ST" localSheetId="24">#REF!</definedName>
    <definedName name="TOT_ST">#REF!</definedName>
    <definedName name="total" localSheetId="6">#REF!</definedName>
    <definedName name="total" localSheetId="29">#REF!</definedName>
    <definedName name="total" localSheetId="7">#REF!</definedName>
    <definedName name="total" localSheetId="26">#REF!</definedName>
    <definedName name="total">#REF!</definedName>
    <definedName name="TOTAL_1">"#REF!"</definedName>
    <definedName name="total_days">DATEDIF(#REF!+1,#REF!,"d")</definedName>
    <definedName name="Total_EB" localSheetId="6">#REF!</definedName>
    <definedName name="Total_EB" localSheetId="29">#REF!</definedName>
    <definedName name="Total_EB" localSheetId="27">#REF!</definedName>
    <definedName name="Total_EB" localSheetId="26">#REF!</definedName>
    <definedName name="Total_EB">#REF!</definedName>
    <definedName name="Total_Interest">#REF!</definedName>
    <definedName name="Total_Mandays">#REF!</definedName>
    <definedName name="Total_MP_Peak" localSheetId="6">#REF!</definedName>
    <definedName name="Total_MP_Peak">#REF!</definedName>
    <definedName name="Total_Mth" localSheetId="6">#REF!</definedName>
    <definedName name="Total_Mth">#REF!</definedName>
    <definedName name="Total_Pay">#REF!</definedName>
    <definedName name="Total_Payment">#REF!+#REF!</definedName>
    <definedName name="Total_YTD">#REF!</definedName>
    <definedName name="TOTAL1RP">#REF!</definedName>
    <definedName name="TOTAL2RP">#REF!</definedName>
    <definedName name="totalmc">#REF!</definedName>
    <definedName name="totalmc1">#REF!</definedName>
    <definedName name="TotalValueForOffer">#REF!</definedName>
    <definedName name="TOTCDWSSM">#REF!</definedName>
    <definedName name="TOTCDWSSP">#REF!</definedName>
    <definedName name="TOTQTY">#REF!</definedName>
    <definedName name="totwd" localSheetId="6">#REF!</definedName>
    <definedName name="totwd" localSheetId="27">#REF!</definedName>
    <definedName name="totwd" localSheetId="4">#REF!</definedName>
    <definedName name="totwd" localSheetId="32">#REF!</definedName>
    <definedName name="totwd" localSheetId="24">#REF!</definedName>
    <definedName name="totwd">#REF!</definedName>
    <definedName name="tower" localSheetId="12" hidden="1">{"'PROFITABILITY'!$A$1:$F$45"}</definedName>
    <definedName name="tower" localSheetId="6" hidden="1">{"'PROFITABILITY'!$A$1:$F$45"}</definedName>
    <definedName name="tower" localSheetId="29" hidden="1">{"'PROFITABILITY'!$A$1:$F$45"}</definedName>
    <definedName name="tower" localSheetId="27" hidden="1">{"'PROFITABILITY'!$A$1:$F$45"}</definedName>
    <definedName name="tower" localSheetId="4" hidden="1">{"'PROFITABILITY'!$A$1:$F$45"}</definedName>
    <definedName name="tower" localSheetId="32" hidden="1">{"'PROFITABILITY'!$A$1:$F$45"}</definedName>
    <definedName name="tower" localSheetId="24" hidden="1">{"'PROFITABILITY'!$A$1:$F$45"}</definedName>
    <definedName name="tower" localSheetId="26" hidden="1">{"'PROFITABILITY'!$A$1:$F$45"}</definedName>
    <definedName name="tower" hidden="1">{"'PROFITABILITY'!$A$1:$F$45"}</definedName>
    <definedName name="tower400">#REF!</definedName>
    <definedName name="TowerBaseShear" localSheetId="12">#REF!</definedName>
    <definedName name="TowerBaseShear">#REF!</definedName>
    <definedName name="TowerBaseWeight" localSheetId="12">#REF!</definedName>
    <definedName name="TowerBaseWeight">#REF!</definedName>
    <definedName name="TowerBottomFaceWidth" localSheetId="12">#REF!</definedName>
    <definedName name="TowerBottomFaceWidth">#REF!</definedName>
    <definedName name="towercosting" localSheetId="12" hidden="1">{"'PROFITABILITY'!$A$1:$F$45"}</definedName>
    <definedName name="towercosting" localSheetId="6" hidden="1">{"'PROFITABILITY'!$A$1:$F$45"}</definedName>
    <definedName name="towercosting" localSheetId="29" hidden="1">{"'PROFITABILITY'!$A$1:$F$45"}</definedName>
    <definedName name="towercosting" localSheetId="27" hidden="1">{"'PROFITABILITY'!$A$1:$F$45"}</definedName>
    <definedName name="towercosting" localSheetId="4" hidden="1">{"'PROFITABILITY'!$A$1:$F$45"}</definedName>
    <definedName name="towercosting" localSheetId="32" hidden="1">{"'PROFITABILITY'!$A$1:$F$45"}</definedName>
    <definedName name="towercosting" localSheetId="24" hidden="1">{"'PROFITABILITY'!$A$1:$F$45"}</definedName>
    <definedName name="towercosting" localSheetId="26" hidden="1">{"'PROFITABILITY'!$A$1:$F$45"}</definedName>
    <definedName name="towercosting" hidden="1">{"'PROFITABILITY'!$A$1:$F$45"}</definedName>
    <definedName name="Towererection" localSheetId="12">#REF!</definedName>
    <definedName name="Towererection">#REF!</definedName>
    <definedName name="TowerOverturningMoment" localSheetId="12">#REF!</definedName>
    <definedName name="TowerOverturningMoment">#REF!</definedName>
    <definedName name="towerschedule">#REF!</definedName>
    <definedName name="TOWERTYPE">#REF!</definedName>
    <definedName name="toweweight">#REF!</definedName>
    <definedName name="TPROT220">#REF!</definedName>
    <definedName name="TPROT500">#REF!</definedName>
    <definedName name="tr" localSheetId="12">#N/A</definedName>
    <definedName name="TR" localSheetId="4">#REF!</definedName>
    <definedName name="TR" localSheetId="32">#REF!</definedName>
    <definedName name="TR">#REF!</definedName>
    <definedName name="tr0">#REF!</definedName>
    <definedName name="TR220CTL">#REF!</definedName>
    <definedName name="TR220FIRE">#REF!</definedName>
    <definedName name="TR500CTL">#REF!</definedName>
    <definedName name="TR500FIRE">#REF!</definedName>
    <definedName name="TRAD" localSheetId="6">#REF!</definedName>
    <definedName name="TRAD" localSheetId="27">#REF!</definedName>
    <definedName name="TRAD" localSheetId="4">#REF!</definedName>
    <definedName name="TRAD" localSheetId="32">#REF!</definedName>
    <definedName name="TRAD" localSheetId="24">#REF!</definedName>
    <definedName name="TRAD">#REF!</definedName>
    <definedName name="Training_Admn_ratio">0.5</definedName>
    <definedName name="TRANS" localSheetId="24">#REF!</definedName>
    <definedName name="TRANS">#REF!</definedName>
    <definedName name="Transport" localSheetId="24">#REF!</definedName>
    <definedName name="Transport">#REF!</definedName>
    <definedName name="TransportCharge">#REF!</definedName>
    <definedName name="TransportTypeName">#REF!</definedName>
    <definedName name="TRAV" localSheetId="29">#REF!</definedName>
    <definedName name="TRAV" localSheetId="26">#REF!</definedName>
    <definedName name="TRAV">#REF!</definedName>
    <definedName name="TRAY_DATA" localSheetId="29">#REF!</definedName>
    <definedName name="TRAY_DATA" localSheetId="26">#REF!</definedName>
    <definedName name="TRAY_DATA">#REF!</definedName>
    <definedName name="tredf.">#REF!</definedName>
    <definedName name="tree" localSheetId="12" hidden="1">{"'TP-SUMMARY'!$I$11:$K$11"}</definedName>
    <definedName name="tree" hidden="1">{"'TP-SUMMARY'!$I$11:$K$11"}</definedName>
    <definedName name="Tres">#REF!</definedName>
    <definedName name="tres4">#REF!</definedName>
    <definedName name="trial">#N/A</definedName>
    <definedName name="trialdn">#REF!</definedName>
    <definedName name="trolley" localSheetId="6">#REF!</definedName>
    <definedName name="trolley" localSheetId="27">#REF!</definedName>
    <definedName name="trolley" localSheetId="4">#REF!</definedName>
    <definedName name="trolley" localSheetId="32">#REF!</definedName>
    <definedName name="trolley" localSheetId="24">#REF!</definedName>
    <definedName name="trolley">#REF!</definedName>
    <definedName name="trrrrrrrrrrrrr" localSheetId="12" hidden="1">{"form-D1",#N/A,FALSE,"FORM-D1";"form-D1_amt",#N/A,FALSE,"FORM-D1"}</definedName>
    <definedName name="trrrrrrrrrrrrr" hidden="1">{"form-D1",#N/A,FALSE,"FORM-D1";"form-D1_amt",#N/A,FALSE,"FORM-D1"}</definedName>
    <definedName name="Trs">#REF!</definedName>
    <definedName name="Trt">#REF!</definedName>
    <definedName name="trt0">#REF!</definedName>
    <definedName name="trttt" localSheetId="12">#REF!</definedName>
    <definedName name="trttt">#REF!</definedName>
    <definedName name="try" localSheetId="12">#REF!</definedName>
    <definedName name="try" localSheetId="29">#REF!</definedName>
    <definedName name="try" localSheetId="4">#REF!</definedName>
    <definedName name="try" localSheetId="32">#REF!</definedName>
    <definedName name="try" localSheetId="24">#REF!</definedName>
    <definedName name="try" localSheetId="26">#REF!</definedName>
    <definedName name="try">#REF!</definedName>
    <definedName name="ts" localSheetId="29">#REF!</definedName>
    <definedName name="ts" localSheetId="26">#REF!</definedName>
    <definedName name="ts" localSheetId="2">#REF!</definedName>
    <definedName name="ts">#REF!</definedName>
    <definedName name="tS___0">#REF!</definedName>
    <definedName name="tS___13">#REF!</definedName>
    <definedName name="tsc">#REF!</definedName>
    <definedName name="TSD" localSheetId="12">#REF!</definedName>
    <definedName name="TSD">#REF!</definedName>
    <definedName name="TSE">IFERROR(INDEX(#REF!,MATCH(#REF!,#REF!,0)),"")</definedName>
    <definedName name="TSERT">IFERROR(INDEX(#REF!,MATCH(#REF!,#REF!,0)),"")</definedName>
    <definedName name="TSF">IFERROR(INDEX(#REF!,MATCH(#REF!,#REF!,0)),"")</definedName>
    <definedName name="TSK">#REF!</definedName>
    <definedName name="TSS" localSheetId="12">#REF!</definedName>
    <definedName name="TSS">#REF!</definedName>
    <definedName name="tst" localSheetId="12">#REF!</definedName>
    <definedName name="tst">#REF!</definedName>
    <definedName name="tt" localSheetId="2">#REF!</definedName>
    <definedName name="tt">#REF!</definedName>
    <definedName name="TTA">#REF!</definedName>
    <definedName name="TTB">#REF!</definedName>
    <definedName name="TTDI">#REF!</definedName>
    <definedName name="TTE" localSheetId="12">IFERROR(VLOOKUP(#REF!,#REF!,2,FALSE)," ")</definedName>
    <definedName name="TTE" localSheetId="27">IFERROR(VLOOKUP(#REF!,#REF!,2,FALSE)," ")</definedName>
    <definedName name="TTE" localSheetId="24">IFERROR(VLOOKUP(#REF!,#REF!,2,FALSE)," ")</definedName>
    <definedName name="TTE">IFERROR(VLOOKUP(#REF!,#REF!,2,FALSE)," ")</definedName>
    <definedName name="TTMH">#REF!</definedName>
    <definedName name="TTMT">#REF!</definedName>
    <definedName name="ttp">#REF!</definedName>
    <definedName name="ttrrr" localSheetId="12">#REF!</definedName>
    <definedName name="ttrrr">#REF!</definedName>
    <definedName name="ttt">#REF!</definedName>
    <definedName name="ttttrrrrrrrr" localSheetId="12">#REF!</definedName>
    <definedName name="ttttrrrrrrrr">#REF!</definedName>
    <definedName name="TTWT">#REF!</definedName>
    <definedName name="TTX">#REF!</definedName>
    <definedName name="tube_test_press1_12">#REF!</definedName>
    <definedName name="TUES1">#REF!</definedName>
    <definedName name="tvr">#REF!</definedName>
    <definedName name="tvtv">#REF!</definedName>
    <definedName name="tw" localSheetId="12">#REF!</definedName>
    <definedName name="tw">#REF!</definedName>
    <definedName name="twelve" localSheetId="6">#REF!</definedName>
    <definedName name="twelve" localSheetId="27">#REF!</definedName>
    <definedName name="twelve" localSheetId="4">#REF!</definedName>
    <definedName name="twelve" localSheetId="32">#REF!</definedName>
    <definedName name="twelve" localSheetId="24">#REF!</definedName>
    <definedName name="twelve">#REF!</definedName>
    <definedName name="twenty" localSheetId="6">#REF!</definedName>
    <definedName name="twenty" localSheetId="27">#REF!</definedName>
    <definedName name="twenty" localSheetId="4">#REF!</definedName>
    <definedName name="twenty" localSheetId="32">#REF!</definedName>
    <definedName name="twenty" localSheetId="24">#REF!</definedName>
    <definedName name="twenty">#REF!</definedName>
    <definedName name="twer">#REF!</definedName>
    <definedName name="TWLEVE">#REF!</definedName>
    <definedName name="twotwenty">#REF!</definedName>
    <definedName name="Twr" localSheetId="29">#REF!</definedName>
    <definedName name="Twr" localSheetId="4">#REF!</definedName>
    <definedName name="Twr" localSheetId="32">#REF!</definedName>
    <definedName name="Twr" localSheetId="24">#REF!</definedName>
    <definedName name="Twr" localSheetId="26">#REF!</definedName>
    <definedName name="Twr">#REF!</definedName>
    <definedName name="TWR_WT" localSheetId="12">IFERROR(VLOOKUP(#REF!,#REF!,2,FALSE),"")</definedName>
    <definedName name="TWR_WT" localSheetId="27">IFERROR(VLOOKUP(#REF!,#REF!,2,FALSE),"")</definedName>
    <definedName name="TWR_WT" localSheetId="24">IFERROR(VLOOKUP(#REF!,#REF!,2,FALSE),"")</definedName>
    <definedName name="TWR_WT">IFERROR(VLOOKUP(#REF!,#REF!,2,FALSE),"")</definedName>
    <definedName name="TWRNO">#REF!</definedName>
    <definedName name="TWRNO1">#REF!</definedName>
    <definedName name="TWRNO2">#REF!</definedName>
    <definedName name="TWRTYPE">#REF!</definedName>
    <definedName name="TWTOTAL">#REF!</definedName>
    <definedName name="TY" localSheetId="12">#N/A</definedName>
    <definedName name="TY" localSheetId="29" hidden="1">#REF!</definedName>
    <definedName name="TY" localSheetId="26" hidden="1">#REF!</definedName>
    <definedName name="TY" hidden="1">#REF!</definedName>
    <definedName name="ty67u.">#REF!</definedName>
    <definedName name="tyh">#REF!</definedName>
    <definedName name="tyjyj" localSheetId="12" hidden="1">{"'PROFITABILITY'!$A$1:$F$45"}</definedName>
    <definedName name="tyjyj" hidden="1">{"'PROFITABILITY'!$A$1:$F$45"}</definedName>
    <definedName name="type">#REF!</definedName>
    <definedName name="TYPE_OF_LINE">#REF!</definedName>
    <definedName name="TYPE1">#REF!</definedName>
    <definedName name="TYPE2">#REF!</definedName>
    <definedName name="Type3">#REF!</definedName>
    <definedName name="typeofbidder" localSheetId="12">#REF!</definedName>
    <definedName name="typeofbidder">#N/A</definedName>
    <definedName name="TypeofFdn">#REF!</definedName>
    <definedName name="TypeofTower">#REF!</definedName>
    <definedName name="Typerate">#REF!</definedName>
    <definedName name="TYPICALARRAY" localSheetId="12">#REF!</definedName>
    <definedName name="TYPICALARRAY">#REF!</definedName>
    <definedName name="tyr" localSheetId="12" hidden="1">{"FTS",#N/A,FALSE,"E"}</definedName>
    <definedName name="tyr" hidden="1">{"FTS",#N/A,FALSE,"E"}</definedName>
    <definedName name="u" localSheetId="12">#REF!</definedName>
    <definedName name="u" localSheetId="29">#REF!</definedName>
    <definedName name="u" localSheetId="26">#REF!</definedName>
    <definedName name="u" localSheetId="2">#REF!</definedName>
    <definedName name="u">#REF!</definedName>
    <definedName name="UA" localSheetId="12">INDEX(#REF!,MATCH(#REF!,#REF!,0))</definedName>
    <definedName name="UA">INDEX(#REF!,MATCH(#REF!,#REF!,0))</definedName>
    <definedName name="UÀ1576">#REF!</definedName>
    <definedName name="UAS">INDEX(#REF!,MATCH(#REF!,#REF!,0))</definedName>
    <definedName name="UB" localSheetId="12">INDEX(#REF!,MATCH(#REF!,#REF!,0))</definedName>
    <definedName name="UB">INDEX(#REF!,MATCH(#REF!,#REF!,0))</definedName>
    <definedName name="UBAI">#REF!</definedName>
    <definedName name="UBS">INDEX(#REF!,MATCH(#REF!,#REF!,0))</definedName>
    <definedName name="UC" localSheetId="12">INDEX(#REF!,MATCH(#REF!,#REF!,0))</definedName>
    <definedName name="UC">INDEX(#REF!,MATCH(#REF!,#REF!,0))</definedName>
    <definedName name="UCS">INDEX(#REF!,MATCH(#REF!,#REF!,0))</definedName>
    <definedName name="UD" localSheetId="12">INDEX(#REF!,MATCH(#REF!,#REF!,0))</definedName>
    <definedName name="UD">INDEX(#REF!,MATCH(#REF!,#REF!,0))</definedName>
    <definedName name="UDS">INDEX(#REF!,MATCH(#REF!,#REF!,0))</definedName>
    <definedName name="UE" localSheetId="12">INDEX(#REF!,MATCH(#REF!,#REF!,0))</definedName>
    <definedName name="UE">INDEX(#REF!,MATCH(#REF!,#REF!,0))</definedName>
    <definedName name="ueber">#REF!</definedName>
    <definedName name="UES">INDEX(#REF!,MATCH(#REF!,#REF!,0))</definedName>
    <definedName name="UF" localSheetId="12">INDEX(#REF!,MATCH(#REF!,#REF!,0))</definedName>
    <definedName name="UF">INDEX(#REF!,MATCH(#REF!,#REF!,0))</definedName>
    <definedName name="UFS">INDEX(#REF!,MATCH(#REF!,#REF!,0))</definedName>
    <definedName name="UG" localSheetId="12">INDEX(#REF!,MATCH(#REF!,#REF!,0))</definedName>
    <definedName name="UG">INDEX(#REF!,MATCH(#REF!,#REF!,0))</definedName>
    <definedName name="ughhuj">#REF!</definedName>
    <definedName name="UGS">INDEX(#REF!,MATCH(#REF!,#REF!,0))</definedName>
    <definedName name="UH" localSheetId="12">INDEX(#REF!,MATCH(#REF!,#REF!,0))</definedName>
    <definedName name="UH">INDEX(#REF!,MATCH(#REF!,#REF!,0))</definedName>
    <definedName name="UHS">INDEX(#REF!,MATCH(#REF!,#REF!,0))</definedName>
    <definedName name="UI" localSheetId="12">INDEX(#REF!,MATCH(#REF!,#REF!,0))</definedName>
    <definedName name="UI" hidden="1">#REF!</definedName>
    <definedName name="uifsyi">#REF!</definedName>
    <definedName name="UIS">INDEX(#REF!,MATCH(#REF!,#REF!,0))</definedName>
    <definedName name="UJ" localSheetId="12">INDEX(#REF!,MATCH(#REF!,#REF!,0))</definedName>
    <definedName name="UJ">INDEX(#REF!,MATCH(#REF!,#REF!,0))</definedName>
    <definedName name="ujj">#REF!</definedName>
    <definedName name="UJS">INDEX(#REF!,MATCH(#REF!,#REF!,0))</definedName>
    <definedName name="UKP" localSheetId="29">#REF!</definedName>
    <definedName name="UKP" localSheetId="26">#REF!</definedName>
    <definedName name="UKP" localSheetId="2">#REF!</definedName>
    <definedName name="UKP">#REF!</definedName>
    <definedName name="UMD" localSheetId="12">#REF!</definedName>
    <definedName name="UMD">#REF!</definedName>
    <definedName name="un">#REF!</definedName>
    <definedName name="UNION">#REF!</definedName>
    <definedName name="unit" localSheetId="12">#REF!</definedName>
    <definedName name="Unit" localSheetId="29">"D1"</definedName>
    <definedName name="Unit" localSheetId="4">"D1"</definedName>
    <definedName name="Unit" localSheetId="32">"D1"</definedName>
    <definedName name="unit" localSheetId="24">#REF!</definedName>
    <definedName name="Unit" localSheetId="26">"D1"</definedName>
    <definedName name="Unit">"D1"</definedName>
    <definedName name="UNIT_PRICE_SCHEDULE" localSheetId="6">#REF!</definedName>
    <definedName name="UNIT_PRICE_SCHEDULE" localSheetId="24">#REF!</definedName>
    <definedName name="UNIT_PRICE_SCHEDULE" localSheetId="2">#REF!</definedName>
    <definedName name="UNIT_PRICE_SCHEDULE">#REF!</definedName>
    <definedName name="Unit_Rate">"E1"</definedName>
    <definedName name="UNITA">#REF!</definedName>
    <definedName name="UNITB">#REF!</definedName>
    <definedName name="UNITC">#REF!</definedName>
    <definedName name="unitD">#REF!</definedName>
    <definedName name="unitdisc" localSheetId="6">#REF!</definedName>
    <definedName name="unitdisc" localSheetId="24">#REF!</definedName>
    <definedName name="unitdisc" localSheetId="2">#REF!</definedName>
    <definedName name="unitdisc">#REF!</definedName>
    <definedName name="UNITOK">#N/A</definedName>
    <definedName name="UNITS" localSheetId="24">#REF!</definedName>
    <definedName name="UNITS">#REF!</definedName>
    <definedName name="unnamed">#REF!</definedName>
    <definedName name="unnamed_1">#REF!</definedName>
    <definedName name="unnamed_2">#N/A</definedName>
    <definedName name="unnamed_3">#N/A</definedName>
    <definedName name="unnamed_4">#N/A</definedName>
    <definedName name="Unskilledday">#REF!</definedName>
    <definedName name="Unskilledmazdoor" localSheetId="27">#REF!</definedName>
    <definedName name="Unskilledmazdoor">#REF!</definedName>
    <definedName name="UnskilledMonth">#REF!</definedName>
    <definedName name="Uo" localSheetId="27">#REF!</definedName>
    <definedName name="Uo">#REF!</definedName>
    <definedName name="uot" localSheetId="12" hidden="1">{"SUMMARY",#N/A,FALSE,"C"}</definedName>
    <definedName name="uot" hidden="1">{"SUMMARY",#N/A,FALSE,"C"}</definedName>
    <definedName name="UP" localSheetId="6">#REF!</definedName>
    <definedName name="UP" localSheetId="29">#REF!</definedName>
    <definedName name="UP" localSheetId="26">#REF!</definedName>
    <definedName name="UP">#REF!</definedName>
    <definedName name="UPS" localSheetId="12">#REF!</definedName>
    <definedName name="UPS">#REF!</definedName>
    <definedName name="Upstream">#REF!</definedName>
    <definedName name="us_cd" localSheetId="6">#REF!</definedName>
    <definedName name="us_cd">#REF!</definedName>
    <definedName name="us_er" localSheetId="6">#REF!</definedName>
    <definedName name="us_er">#REF!</definedName>
    <definedName name="us_fi">#REF!</definedName>
    <definedName name="us_n">#REF!</definedName>
    <definedName name="USD">#REF!</definedName>
    <definedName name="USD_BDT">#REF!</definedName>
    <definedName name="USD_CNY">#REF!</definedName>
    <definedName name="USD_EUR" localSheetId="12">#REF!</definedName>
    <definedName name="USD_EUR">#REF!</definedName>
    <definedName name="USDproEUR">#REF!</definedName>
    <definedName name="usn">#REF!</definedName>
    <definedName name="Ut">#REF!</definedName>
    <definedName name="uta" localSheetId="12" hidden="1">{#N/A,#N/A,TRUE,"Perm";#N/A,#N/A,TRUE,"Architecture"}</definedName>
    <definedName name="uta" hidden="1">{#N/A,#N/A,TRUE,"Perm";#N/A,#N/A,TRUE,"Architecture"}</definedName>
    <definedName name="UTS">#REF!</definedName>
    <definedName name="utu">#REF!</definedName>
    <definedName name="uu">#REF!</definedName>
    <definedName name="uuu" localSheetId="12">#REF!</definedName>
    <definedName name="uuu">#N/A</definedName>
    <definedName name="v">#REF!</definedName>
    <definedName name="v.K.Ramavaram">#N/A</definedName>
    <definedName name="VA" localSheetId="12">INDEX(#REF!,MATCH(#REF!,#REF!,0))</definedName>
    <definedName name="va">#REF!</definedName>
    <definedName name="va___0">#REF!</definedName>
    <definedName name="va___13">#REF!</definedName>
    <definedName name="vaa">#REF!</definedName>
    <definedName name="vaib">#REF!</definedName>
    <definedName name="VAIRAMANI">#REF!</definedName>
    <definedName name="Valn_File">#REF!</definedName>
    <definedName name="Valuation_Date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lues_Entered" localSheetId="12">IF(Loan_Amount*Interest_Rate*Loan_Years*Loan_Start&gt;0,1,0)</definedName>
    <definedName name="Values_Entered">#N/A</definedName>
    <definedName name="VANDEMATARAM">#REF!</definedName>
    <definedName name="vapi_baywise">#REF!</definedName>
    <definedName name="Var._IGP_M_Dez_00">#REF!</definedName>
    <definedName name="VAS">INDEX(#REF!,MATCH(#REF!,#REF!,0))</definedName>
    <definedName name="Vavs">#REF!</definedName>
    <definedName name="VB" localSheetId="12">INDEX(#REF!,MATCH(#REF!,#REF!,0))</definedName>
    <definedName name="VB">#REF!</definedName>
    <definedName name="VBS">INDEX(#REF!,MATCH(#REF!,#REF!,0))</definedName>
    <definedName name="VC" localSheetId="12">INDEX(#REF!,MATCH(#REF!,#REF!,0))</definedName>
    <definedName name="Vc">#REF!</definedName>
    <definedName name="Vc0">#REF!</definedName>
    <definedName name="vcp">#REF!</definedName>
    <definedName name="VCS">INDEX(#REF!,MATCH(#REF!,#REF!,0))</definedName>
    <definedName name="vct" localSheetId="12">INDEX(#REF!,MATCH(#REF!,#REF!,0))</definedName>
    <definedName name="vct" localSheetId="27">INDEX(#REF!,MATCH(#REF!,#REF!,0))</definedName>
    <definedName name="vct" localSheetId="24">INDEX(#REF!,MATCH(#REF!,#REF!,0))</definedName>
    <definedName name="vct">INDEX(#REF!,MATCH(#REF!,#REF!,0))</definedName>
    <definedName name="VD" localSheetId="12">INDEX(#REF!,MATCH(#REF!,#REF!,0))</definedName>
    <definedName name="VD" localSheetId="27">#REF!</definedName>
    <definedName name="VD">#REF!</definedName>
    <definedName name="Vdes" localSheetId="12">#REF!</definedName>
    <definedName name="Vdes" localSheetId="4">#REF!</definedName>
    <definedName name="Vdes" localSheetId="32">#REF!</definedName>
    <definedName name="Vdes">#REF!</definedName>
    <definedName name="VDS">INDEX(#REF!,MATCH(#REF!,#REF!,0))</definedName>
    <definedName name="VE">INDEX(#REF!,MATCH(#REF!,#REF!,0))</definedName>
    <definedName name="vea" localSheetId="12">#REF!</definedName>
    <definedName name="vea">#REF!</definedName>
    <definedName name="VehicleList" localSheetId="27">OFFSET(#REF!,0,0,COUNTA(#REF!),1)</definedName>
    <definedName name="VehicleList">OFFSET(#REF!,0,0,COUNTA(#REF!),1)</definedName>
    <definedName name="VehicleLookUp">OFFSET(#REF!,0,0,COUNTA(#REF!),8)</definedName>
    <definedName name="velocity1">#REF!</definedName>
    <definedName name="VELOKAL" localSheetId="27">#REF!</definedName>
    <definedName name="VELOKAL">#REF!</definedName>
    <definedName name="Vend" localSheetId="29">#REF!</definedName>
    <definedName name="Vend" localSheetId="27">#REF!</definedName>
    <definedName name="Vend" localSheetId="26">#REF!</definedName>
    <definedName name="Vend">#REF!</definedName>
    <definedName name="venu">150</definedName>
    <definedName name="vertical_col_and_corner_walls" localSheetId="29">#REF!</definedName>
    <definedName name="vertical_col_and_corner_walls" localSheetId="26">#REF!</definedName>
    <definedName name="vertical_col_and_corner_walls">#REF!</definedName>
    <definedName name="VertPltWt" localSheetId="12">#REF!</definedName>
    <definedName name="VertPltWt" localSheetId="24">#REF!</definedName>
    <definedName name="VertPltWt">#REF!</definedName>
    <definedName name="VES">INDEX(#REF!,MATCH(#REF!,#REF!,0))</definedName>
    <definedName name="VESWH">#REF!</definedName>
    <definedName name="VETRI">#REF!</definedName>
    <definedName name="VF" localSheetId="12">INDEX(#REF!,MATCH(#REF!,#REF!,0))</definedName>
    <definedName name="Vf">#REF!</definedName>
    <definedName name="vfdzx">#REF!</definedName>
    <definedName name="VFG">#REF!</definedName>
    <definedName name="Vfour">#REF!</definedName>
    <definedName name="vfourc">#REF!</definedName>
    <definedName name="VFS">INDEX(#REF!,MATCH(#REF!,#REF!,0))</definedName>
    <definedName name="VG">INDEX(#REF!,MATCH(#REF!,#REF!,0))</definedName>
    <definedName name="vgchjgiulhviguihij">#REF!</definedName>
    <definedName name="vggfd" localSheetId="12" hidden="1">{"'Sheet1'!$A$4386:$N$4591"}</definedName>
    <definedName name="vggfd" localSheetId="29" hidden="1">{"'Sheet1'!$A$4386:$N$4591"}</definedName>
    <definedName name="vggfd" localSheetId="27" hidden="1">{"'Sheet1'!$A$4386:$N$4591"}</definedName>
    <definedName name="vggfd" localSheetId="4" hidden="1">{"'Sheet1'!$A$4386:$N$4591"}</definedName>
    <definedName name="vggfd" localSheetId="32" hidden="1">{"'Sheet1'!$A$4386:$N$4591"}</definedName>
    <definedName name="vggfd" localSheetId="24" hidden="1">{"'Sheet1'!$A$4386:$N$4591"}</definedName>
    <definedName name="vggfd" localSheetId="26" hidden="1">{"'Sheet1'!$A$4386:$N$4591"}</definedName>
    <definedName name="vggfd" hidden="1">{"'Sheet1'!$A$4386:$N$4591"}</definedName>
    <definedName name="VGS">INDEX(#REF!,MATCH(#REF!,#REF!,0))</definedName>
    <definedName name="vgwer">#REF!</definedName>
    <definedName name="VH">INDEX(#REF!,MATCH(#REF!,#REF!,0))</definedName>
    <definedName name="VHS">INDEX(#REF!,MATCH(#REF!,#REF!,0))</definedName>
    <definedName name="VI">INDEX(#REF!,MATCH(#REF!,#REF!,0))</definedName>
    <definedName name="vibroroller" localSheetId="6">#REF!</definedName>
    <definedName name="vibroroller" localSheetId="27">#REF!</definedName>
    <definedName name="vibroroller" localSheetId="4">#REF!</definedName>
    <definedName name="vibroroller" localSheetId="32">#REF!</definedName>
    <definedName name="vibroroller" localSheetId="24">#REF!</definedName>
    <definedName name="vibroroller">#REF!</definedName>
    <definedName name="view" localSheetId="12" hidden="1">{"'PROFITABILITY'!$A$1:$F$45"}</definedName>
    <definedName name="view" localSheetId="29" hidden="1">{"'PROFITABILITY'!$A$1:$F$45"}</definedName>
    <definedName name="view" localSheetId="27" hidden="1">{"'PROFITABILITY'!$A$1:$F$45"}</definedName>
    <definedName name="view" localSheetId="4" hidden="1">{"'PROFITABILITY'!$A$1:$F$45"}</definedName>
    <definedName name="view" localSheetId="32" hidden="1">{"'PROFITABILITY'!$A$1:$F$45"}</definedName>
    <definedName name="view" localSheetId="24" hidden="1">{"'PROFITABILITY'!$A$1:$F$45"}</definedName>
    <definedName name="view" localSheetId="26" hidden="1">{"'PROFITABILITY'!$A$1:$F$45"}</definedName>
    <definedName name="view" hidden="1">{"'PROFITABILITY'!$A$1:$F$45"}</definedName>
    <definedName name="vij">#REF!</definedName>
    <definedName name="vinod" localSheetId="12" hidden="1">{#N/A,#N/A,FALSE,"MODULE3"}</definedName>
    <definedName name="vinod" hidden="1">{#N/A,#N/A,FALSE,"MODULE3"}</definedName>
    <definedName name="vinoth">#REF!</definedName>
    <definedName name="VIS" localSheetId="12">INDEX(#REF!,MATCH(#REF!,#REF!,0))</definedName>
    <definedName name="vis">#REF!</definedName>
    <definedName name="Viscosity">#REF!</definedName>
    <definedName name="VITRIFIED" localSheetId="6">#REF!</definedName>
    <definedName name="VITRIFIED" localSheetId="27">#REF!</definedName>
    <definedName name="VITRIFIED" localSheetId="4">#REF!</definedName>
    <definedName name="VITRIFIED" localSheetId="32">#REF!</definedName>
    <definedName name="VITRIFIED" localSheetId="24">#REF!</definedName>
    <definedName name="VITRIFIED">#REF!</definedName>
    <definedName name="VitrifiedTiles" localSheetId="6">#REF!</definedName>
    <definedName name="VitrifiedTiles" localSheetId="27">#REF!</definedName>
    <definedName name="VitrifiedTiles" localSheetId="4">#REF!</definedName>
    <definedName name="VitrifiedTiles" localSheetId="32">#REF!</definedName>
    <definedName name="VitrifiedTiles" localSheetId="24">#REF!</definedName>
    <definedName name="VitrifiedTiles">#REF!</definedName>
    <definedName name="VIVEKANANDA" localSheetId="24">#REF!</definedName>
    <definedName name="VIVEKANANDA">#REF!</definedName>
    <definedName name="viz" localSheetId="24">#REF!</definedName>
    <definedName name="viz">#REF!</definedName>
    <definedName name="VJ">INDEX(#REF!,MATCH(#REF!,#REF!,0))</definedName>
    <definedName name="VJS">INDEX(#REF!,MATCH(#REF!,#REF!,0))</definedName>
    <definedName name="vk" localSheetId="12">#REF!</definedName>
    <definedName name="vk">#REF!</definedName>
    <definedName name="VKTLBoltNut" comment="Tackwelding B&amp;N for 765 KV D/C Tower" localSheetId="12">#REF!</definedName>
    <definedName name="VKTLBoltNut" comment="Tackwelding B&amp;N for 765 KV D/C Tower">#REF!</definedName>
    <definedName name="vktlfdnwetdetails" comment="765 KV VKTL WET FDN details">#REF!</definedName>
    <definedName name="vktltowerweight" comment="765 KV D/C Tower Weight details">#REF!</definedName>
    <definedName name="Vl">#REF!</definedName>
    <definedName name="Vm">#REF!</definedName>
    <definedName name="Vmax" localSheetId="12">#REF!</definedName>
    <definedName name="Vmax">#REF!</definedName>
    <definedName name="Vmin" localSheetId="12">#REF!</definedName>
    <definedName name="Vmin">#REF!</definedName>
    <definedName name="Vms">#REF!</definedName>
    <definedName name="vo" localSheetId="29">#REF!</definedName>
    <definedName name="vo" localSheetId="26">#REF!</definedName>
    <definedName name="vo">#REF!</definedName>
    <definedName name="Vone">#REF!</definedName>
    <definedName name="VPer">#REF!</definedName>
    <definedName name="Vph">#REF!</definedName>
    <definedName name="Vphcal">#REF!</definedName>
    <definedName name="VPN">#REF!</definedName>
    <definedName name="VPOPO" localSheetId="12" hidden="1">{"PLANT BREAKUP",#N/A,FALSE,"E"}</definedName>
    <definedName name="VPOPO" hidden="1">{"PLANT BREAKUP",#N/A,FALSE,"E"}</definedName>
    <definedName name="vr">#REF!</definedName>
    <definedName name="VR10T" localSheetId="6">#REF!</definedName>
    <definedName name="VR10T" localSheetId="27">#REF!</definedName>
    <definedName name="VR10T" localSheetId="4">#REF!</definedName>
    <definedName name="VR10T" localSheetId="32">#REF!</definedName>
    <definedName name="VR10T" localSheetId="24">#REF!</definedName>
    <definedName name="VR10T">#REF!</definedName>
    <definedName name="vraaf">NA()</definedName>
    <definedName name="VRALL">NA()</definedName>
    <definedName name="vrbf">NA()</definedName>
    <definedName name="Vref" localSheetId="12">#REF!</definedName>
    <definedName name="Vref" localSheetId="4">#REF!</definedName>
    <definedName name="Vref" localSheetId="32">#REF!</definedName>
    <definedName name="Vref" localSheetId="24">#REF!</definedName>
    <definedName name="Vref">#REF!</definedName>
    <definedName name="vrr" localSheetId="24">#REF!</definedName>
    <definedName name="vrr">#REF!</definedName>
    <definedName name="Vs" localSheetId="12">#REF!</definedName>
    <definedName name="vs" localSheetId="6" hidden="1">{"'PROFITABILITY'!$A$1:$F$45"}</definedName>
    <definedName name="vs" localSheetId="29" hidden="1">{"'PROFITABILITY'!$A$1:$F$45"}</definedName>
    <definedName name="vs" localSheetId="27" hidden="1">{"'PROFITABILITY'!$A$1:$F$45"}</definedName>
    <definedName name="vs" localSheetId="4" hidden="1">{"'PROFITABILITY'!$A$1:$F$45"}</definedName>
    <definedName name="vs" localSheetId="32" hidden="1">{"'PROFITABILITY'!$A$1:$F$45"}</definedName>
    <definedName name="vs" localSheetId="24" hidden="1">{"'PROFITABILITY'!$A$1:$F$45"}</definedName>
    <definedName name="vs" localSheetId="26" hidden="1">{"'PROFITABILITY'!$A$1:$F$45"}</definedName>
    <definedName name="vs" hidden="1">{"'PROFITABILITY'!$A$1:$F$45"}</definedName>
    <definedName name="Vsigma">#REF!</definedName>
    <definedName name="Vsigma1">#REF!</definedName>
    <definedName name="vsp">#REF!</definedName>
    <definedName name="vspatelkvp">#REF!</definedName>
    <definedName name="vspatreeee">#REF!</definedName>
    <definedName name="vspkvp">#REF!</definedName>
    <definedName name="VSTLBoltNut">#REF!</definedName>
    <definedName name="vstlfdnwetdetails" comment="400 KV D/C VSTL Foundation Details">#REF!</definedName>
    <definedName name="VSTLKARAMTARAWEIGHT" comment="KARAMTARA TOWER WEIGHT ">#REF!</definedName>
    <definedName name="VSTLTOWERWEIGHTKARAMTARA" comment="VSTL TOWER WEIGHT OF KARAMTARA">#REF!</definedName>
    <definedName name="vthree">#REF!</definedName>
    <definedName name="vtw">#REF!</definedName>
    <definedName name="Vtwo">#REF!</definedName>
    <definedName name="Vtwo1">#REF!</definedName>
    <definedName name="VUTP">#REF!</definedName>
    <definedName name="vv">#REF!</definedName>
    <definedName name="vvv">#REF!</definedName>
    <definedName name="VVVV" localSheetId="12">#REF!</definedName>
    <definedName name="VVVV">#REF!</definedName>
    <definedName name="vwo">#REF!</definedName>
    <definedName name="vxz">#REF!:#REF!</definedName>
    <definedName name="vyankatesh" localSheetId="1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vyankatesh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Vz">#REF!</definedName>
    <definedName name="w" localSheetId="12">#REF!</definedName>
    <definedName name="w" localSheetId="4">#REF!</definedName>
    <definedName name="w" localSheetId="32">#REF!</definedName>
    <definedName name="w">#REF!</definedName>
    <definedName name="w1_w2">#REF!</definedName>
    <definedName name="WA">INDEX(#REF!,MATCH(#REF!,#REF!,0))</definedName>
    <definedName name="WAG" localSheetId="6">#REF!</definedName>
    <definedName name="WAG" localSheetId="27">#REF!</definedName>
    <definedName name="WAG" localSheetId="4">#REF!</definedName>
    <definedName name="WAG" localSheetId="32">#REF!</definedName>
    <definedName name="WAG" localSheetId="24">#REF!</definedName>
    <definedName name="WAG">#REF!</definedName>
    <definedName name="WAHAB_ALI">#REF!</definedName>
    <definedName name="Waiting">"Picture 1"</definedName>
    <definedName name="wall0125">#REF!</definedName>
    <definedName name="wall025">#REF!</definedName>
    <definedName name="wall0375">#REF!</definedName>
    <definedName name="wall05">#REF!</definedName>
    <definedName name="wall075">#REF!</definedName>
    <definedName name="wall1">#REF!</definedName>
    <definedName name="wall10">#REF!</definedName>
    <definedName name="wall12">#REF!</definedName>
    <definedName name="wall125">#REF!</definedName>
    <definedName name="wall14">#REF!</definedName>
    <definedName name="wall15">#REF!</definedName>
    <definedName name="wall16">#REF!</definedName>
    <definedName name="wall18">#REF!</definedName>
    <definedName name="wall2">#REF!</definedName>
    <definedName name="wall20">#REF!</definedName>
    <definedName name="wall22">#REF!</definedName>
    <definedName name="wall24">#REF!</definedName>
    <definedName name="wall25">#REF!</definedName>
    <definedName name="wall26">#REF!</definedName>
    <definedName name="wall28">#REF!</definedName>
    <definedName name="wall3">#REF!</definedName>
    <definedName name="wall30">#REF!</definedName>
    <definedName name="wall32">#REF!</definedName>
    <definedName name="wall34">#REF!</definedName>
    <definedName name="wall35">#REF!</definedName>
    <definedName name="wall36">#REF!</definedName>
    <definedName name="wall38">#REF!</definedName>
    <definedName name="wall4">#REF!</definedName>
    <definedName name="wall40">#REF!</definedName>
    <definedName name="wall42">#REF!</definedName>
    <definedName name="wall44">#REF!</definedName>
    <definedName name="wall46">#REF!</definedName>
    <definedName name="wall48">#REF!</definedName>
    <definedName name="wall5">#REF!</definedName>
    <definedName name="wall6">#REF!</definedName>
    <definedName name="wall8">#REF!</definedName>
    <definedName name="wallht" localSheetId="27">#REF!</definedName>
    <definedName name="wallht">#REF!</definedName>
    <definedName name="wallthk" localSheetId="27">#REF!</definedName>
    <definedName name="wallthk">#REF!</definedName>
    <definedName name="WAS">INDEX(#REF!,MATCH(#REF!,#REF!,0))</definedName>
    <definedName name="wat" localSheetId="6">#REF!</definedName>
    <definedName name="wat" localSheetId="27">#REF!</definedName>
    <definedName name="wat" localSheetId="4">#REF!</definedName>
    <definedName name="wat" localSheetId="32">#REF!</definedName>
    <definedName name="wat" localSheetId="24">#REF!</definedName>
    <definedName name="wat">#REF!</definedName>
    <definedName name="water" localSheetId="6">#REF!</definedName>
    <definedName name="water" localSheetId="29">#REF!</definedName>
    <definedName name="water" localSheetId="27">#REF!</definedName>
    <definedName name="water" localSheetId="4">#REF!</definedName>
    <definedName name="water" localSheetId="32">#REF!</definedName>
    <definedName name="Water" localSheetId="24">#REF!</definedName>
    <definedName name="water" localSheetId="26">#REF!</definedName>
    <definedName name="water">#REF!</definedName>
    <definedName name="water_funds" localSheetId="12" hidden="1">{"'Sheet1'!$A$4386:$N$4591"}</definedName>
    <definedName name="water_funds" localSheetId="29" hidden="1">{"'Sheet1'!$A$4386:$N$4591"}</definedName>
    <definedName name="water_funds" localSheetId="27" hidden="1">{"'Sheet1'!$A$4386:$N$4591"}</definedName>
    <definedName name="water_funds" localSheetId="4" hidden="1">{"'Sheet1'!$A$4386:$N$4591"}</definedName>
    <definedName name="water_funds" localSheetId="32" hidden="1">{"'Sheet1'!$A$4386:$N$4591"}</definedName>
    <definedName name="water_funds" localSheetId="24" hidden="1">{"'Sheet1'!$A$4386:$N$4591"}</definedName>
    <definedName name="water_funds" localSheetId="26" hidden="1">{"'Sheet1'!$A$4386:$N$4591"}</definedName>
    <definedName name="water_funds" hidden="1">{"'Sheet1'!$A$4386:$N$4591"}</definedName>
    <definedName name="WB">INDEX(#REF!,MATCH(#REF!,#REF!,0))</definedName>
    <definedName name="WBS">INDEX(#REF!,MATCH(#REF!,#REF!,0))</definedName>
    <definedName name="WBT">#REF!</definedName>
    <definedName name="WC" localSheetId="12">INDEX(#REF!,MATCH(#REF!,#REF!,0))</definedName>
    <definedName name="Wc" localSheetId="4">#REF!</definedName>
    <definedName name="Wc" localSheetId="32">#REF!</definedName>
    <definedName name="Wc">#REF!</definedName>
    <definedName name="wcl" localSheetId="12">#REF!</definedName>
    <definedName name="wcl" localSheetId="29">#REF!</definedName>
    <definedName name="wcl" localSheetId="7">#REF!</definedName>
    <definedName name="wcl" localSheetId="26">#REF!</definedName>
    <definedName name="wcl">#REF!</definedName>
    <definedName name="WCS">INDEX(#REF!,MATCH(#REF!,#REF!,0))</definedName>
    <definedName name="WCT" localSheetId="12">#REF!</definedName>
    <definedName name="WCT" localSheetId="6">#REF!</definedName>
    <definedName name="WCT" localSheetId="29">#REF!</definedName>
    <definedName name="WCT" localSheetId="7">#REF!</definedName>
    <definedName name="WCT" localSheetId="26">#REF!</definedName>
    <definedName name="WCT">#REF!</definedName>
    <definedName name="WD">INDEX(#REF!,MATCH(#REF!,#REF!,0))</definedName>
    <definedName name="WDS" localSheetId="12">INDEX(#REF!,MATCH(#REF!,#REF!,0))</definedName>
    <definedName name="wds" localSheetId="6" hidden="1">{"Cost Summary",#N/A,FALSE,"B";"Cost Detail 1",#N/A,FALSE,"C";"Cost Detail 2",#N/A,FALSE,"C"}</definedName>
    <definedName name="wds" localSheetId="29" hidden="1">{"Cost Summary",#N/A,FALSE,"B";"Cost Detail 1",#N/A,FALSE,"C";"Cost Detail 2",#N/A,FALSE,"C"}</definedName>
    <definedName name="wds" localSheetId="27" hidden="1">{"Cost Summary",#N/A,FALSE,"B";"Cost Detail 1",#N/A,FALSE,"C";"Cost Detail 2",#N/A,FALSE,"C"}</definedName>
    <definedName name="wds" localSheetId="4" hidden="1">{"Cost Summary",#N/A,FALSE,"B";"Cost Detail 1",#N/A,FALSE,"C";"Cost Detail 2",#N/A,FALSE,"C"}</definedName>
    <definedName name="wds" localSheetId="32" hidden="1">{"Cost Summary",#N/A,FALSE,"B";"Cost Detail 1",#N/A,FALSE,"C";"Cost Detail 2",#N/A,FALSE,"C"}</definedName>
    <definedName name="wds" localSheetId="24" hidden="1">{"Cost Summary",#N/A,FALSE,"B";"Cost Detail 1",#N/A,FALSE,"C";"Cost Detail 2",#N/A,FALSE,"C"}</definedName>
    <definedName name="wds" localSheetId="26" hidden="1">{"Cost Summary",#N/A,FALSE,"B";"Cost Detail 1",#N/A,FALSE,"C";"Cost Detail 2",#N/A,FALSE,"C"}</definedName>
    <definedName name="wds" hidden="1">{"Cost Summary",#N/A,FALSE,"B";"Cost Detail 1",#N/A,FALSE,"C";"Cost Detail 2",#N/A,FALSE,"C"}</definedName>
    <definedName name="wdwed">#REF!</definedName>
    <definedName name="wdwewe">#REF!</definedName>
    <definedName name="WE" localSheetId="12">INDEX(#REF!,MATCH(#REF!,#REF!,0))</definedName>
    <definedName name="WE" localSheetId="6" hidden="1">{#N/A,#N/A,FALSE,"CCTV"}</definedName>
    <definedName name="WE" localSheetId="29" hidden="1">{#N/A,#N/A,FALSE,"CCTV"}</definedName>
    <definedName name="WE" localSheetId="27" hidden="1">{#N/A,#N/A,FALSE,"CCTV"}</definedName>
    <definedName name="WE" localSheetId="4" hidden="1">{#N/A,#N/A,FALSE,"CCTV"}</definedName>
    <definedName name="WE" localSheetId="32" hidden="1">{#N/A,#N/A,FALSE,"CCTV"}</definedName>
    <definedName name="we" localSheetId="24">#REF!</definedName>
    <definedName name="WE" localSheetId="26" hidden="1">{#N/A,#N/A,FALSE,"CCTV"}</definedName>
    <definedName name="WE" hidden="1">{#N/A,#N/A,FALSE,"CCTV"}</definedName>
    <definedName name="WEF">#REF!</definedName>
    <definedName name="WEIGHT_FACTORS_drums" localSheetId="6">#REF!</definedName>
    <definedName name="WEIGHT_FACTORS_drums" localSheetId="29">#REF!</definedName>
    <definedName name="WEIGHT_FACTORS_drums" localSheetId="24">#REF!</definedName>
    <definedName name="WEIGHT_FACTORS_drums" localSheetId="26">#REF!</definedName>
    <definedName name="WEIGHT_FACTORS_drums">#REF!</definedName>
    <definedName name="WeightRange" localSheetId="12">#REF!</definedName>
    <definedName name="WeightRange">#REF!</definedName>
    <definedName name="WELDERS">#REF!</definedName>
    <definedName name="well">#REF!</definedName>
    <definedName name="wem">#REF!</definedName>
    <definedName name="weqweqw">#REF!</definedName>
    <definedName name="weqwerw">#REF!</definedName>
    <definedName name="wer" localSheetId="12" hidden="1">{"form-D1",#N/A,FALSE,"FORM-D1";"form-D1_amt",#N/A,FALSE,"FORM-D1"}</definedName>
    <definedName name="wer" localSheetId="6">#REF!</definedName>
    <definedName name="wer" localSheetId="4">#REF!</definedName>
    <definedName name="wer" localSheetId="32">#REF!</definedName>
    <definedName name="wer">#REF!</definedName>
    <definedName name="wertt" localSheetId="12" hidden="1">{#N/A,#N/A,FALSE,"COVER1.XLS ";#N/A,#N/A,FALSE,"RACT1.XLS";#N/A,#N/A,FALSE,"RACT2.XLS";#N/A,#N/A,FALSE,"ECCMP";#N/A,#N/A,FALSE,"WELDER.XLS"}</definedName>
    <definedName name="wertt" localSheetId="6" hidden="1">{#N/A,#N/A,FALSE,"COVER1.XLS ";#N/A,#N/A,FALSE,"RACT1.XLS";#N/A,#N/A,FALSE,"RACT2.XLS";#N/A,#N/A,FALSE,"ECCMP";#N/A,#N/A,FALSE,"WELDER.XLS"}</definedName>
    <definedName name="wertt" localSheetId="29" hidden="1">{#N/A,#N/A,FALSE,"COVER1.XLS ";#N/A,#N/A,FALSE,"RACT1.XLS";#N/A,#N/A,FALSE,"RACT2.XLS";#N/A,#N/A,FALSE,"ECCMP";#N/A,#N/A,FALSE,"WELDER.XLS"}</definedName>
    <definedName name="wertt" localSheetId="27" hidden="1">{#N/A,#N/A,FALSE,"COVER1.XLS ";#N/A,#N/A,FALSE,"RACT1.XLS";#N/A,#N/A,FALSE,"RACT2.XLS";#N/A,#N/A,FALSE,"ECCMP";#N/A,#N/A,FALSE,"WELDER.XLS"}</definedName>
    <definedName name="wertt" localSheetId="4" hidden="1">{#N/A,#N/A,FALSE,"COVER1.XLS ";#N/A,#N/A,FALSE,"RACT1.XLS";#N/A,#N/A,FALSE,"RACT2.XLS";#N/A,#N/A,FALSE,"ECCMP";#N/A,#N/A,FALSE,"WELDER.XLS"}</definedName>
    <definedName name="wertt" localSheetId="32" hidden="1">{#N/A,#N/A,FALSE,"COVER1.XLS ";#N/A,#N/A,FALSE,"RACT1.XLS";#N/A,#N/A,FALSE,"RACT2.XLS";#N/A,#N/A,FALSE,"ECCMP";#N/A,#N/A,FALSE,"WELDER.XLS"}</definedName>
    <definedName name="wertt" localSheetId="24" hidden="1">{#N/A,#N/A,FALSE,"COVER1.XLS ";#N/A,#N/A,FALSE,"RACT1.XLS";#N/A,#N/A,FALSE,"RACT2.XLS";#N/A,#N/A,FALSE,"ECCMP";#N/A,#N/A,FALSE,"WELDER.XLS"}</definedName>
    <definedName name="wertt" localSheetId="7" hidden="1">{#N/A,#N/A,FALSE,"COVER1.XLS ";#N/A,#N/A,FALSE,"RACT1.XLS";#N/A,#N/A,FALSE,"RACT2.XLS";#N/A,#N/A,FALSE,"ECCMP";#N/A,#N/A,FALSE,"WELDER.XLS"}</definedName>
    <definedName name="wertt" localSheetId="26" hidden="1">{#N/A,#N/A,FALSE,"COVER1.XLS ";#N/A,#N/A,FALSE,"RACT1.XLS";#N/A,#N/A,FALSE,"RACT2.XLS";#N/A,#N/A,FALSE,"ECCMP";#N/A,#N/A,FALSE,"WELDER.XLS"}</definedName>
    <definedName name="wertt" localSheetId="2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erw" localSheetId="6">#REF!</definedName>
    <definedName name="werw" localSheetId="29">#REF!</definedName>
    <definedName name="werw" localSheetId="24">#REF!</definedName>
    <definedName name="werw" localSheetId="26">#REF!</definedName>
    <definedName name="werw">#REF!</definedName>
    <definedName name="werwer" localSheetId="6">#REF!</definedName>
    <definedName name="werwer" localSheetId="29">#REF!</definedName>
    <definedName name="werwer" localSheetId="26">#REF!</definedName>
    <definedName name="werwer">#REF!</definedName>
    <definedName name="werwere" hidden="1">#REF!</definedName>
    <definedName name="WES">INDEX(#REF!,MATCH(#REF!,#REF!,0))</definedName>
    <definedName name="wetg" localSheetId="12" hidden="1">{"form-D1",#N/A,FALSE,"FORM-D1";"form-D1_amt",#N/A,FALSE,"FORM-D1"}</definedName>
    <definedName name="wetg" hidden="1">{"form-D1",#N/A,FALSE,"FORM-D1";"form-D1_amt",#N/A,FALSE,"FORM-D1"}</definedName>
    <definedName name="wewe" localSheetId="12">#REF!</definedName>
    <definedName name="wewe">#REF!</definedName>
    <definedName name="WF">INDEX(#REF!,MATCH(#REF!,#REF!,0))</definedName>
    <definedName name="wfqhofoo" localSheetId="12" hidden="1">{"PLANT BREAKUP",#N/A,FALSE,"E"}</definedName>
    <definedName name="wfqhofoo" hidden="1">{"PLANT BREAKUP",#N/A,FALSE,"E"}</definedName>
    <definedName name="WFR">#REF!</definedName>
    <definedName name="WFS">INDEX(#REF!,MATCH(#REF!,#REF!,0))</definedName>
    <definedName name="WG" localSheetId="12">INDEX(#REF!,MATCH(#REF!,#REF!,0))</definedName>
    <definedName name="Wg">#REF!</definedName>
    <definedName name="wgkjqklgw" localSheetId="12" hidden="1">{"PLANT BREAKUP",#N/A,FALSE,"E"}</definedName>
    <definedName name="wgkjqklgw" hidden="1">{"PLANT BREAKUP",#N/A,FALSE,"E"}</definedName>
    <definedName name="WGS">INDEX(#REF!,MATCH(#REF!,#REF!,0))</definedName>
    <definedName name="WH">INDEX(#REF!,MATCH(#REF!,#REF!,0))</definedName>
    <definedName name="WHS">INDEX(#REF!,MATCH(#REF!,#REF!,0))</definedName>
    <definedName name="WI">INDEX(#REF!,MATCH(#REF!,#REF!,0))</definedName>
    <definedName name="wid" localSheetId="6">#REF!</definedName>
    <definedName name="wid">#REF!</definedName>
    <definedName name="width_of_cover_slab">#REF!</definedName>
    <definedName name="Width_of_projection_of_cover_slab">#REF!</definedName>
    <definedName name="wil">#REF!</definedName>
    <definedName name="wind.m">#REF!</definedName>
    <definedName name="wind_pressure">#REF!</definedName>
    <definedName name="WindP">#REF!</definedName>
    <definedName name="Winform" localSheetId="29">#REF!</definedName>
    <definedName name="Winform" localSheetId="7">#REF!</definedName>
    <definedName name="Winform" localSheetId="26">#REF!</definedName>
    <definedName name="Winform">#REF!</definedName>
    <definedName name="WIS">INDEX(#REF!,MATCH(#REF!,#REF!,0))</definedName>
    <definedName name="WJ">INDEX(#REF!,MATCH(#REF!,#REF!,0))</definedName>
    <definedName name="WJS">INDEX(#REF!,MATCH(#REF!,#REF!,0))</definedName>
    <definedName name="wkarea">#REF!</definedName>
    <definedName name="WKS">#REF!</definedName>
    <definedName name="wktable">#REF!</definedName>
    <definedName name="WLP" localSheetId="6">#REF!</definedName>
    <definedName name="WLP" localSheetId="29">#REF!</definedName>
    <definedName name="WLP" localSheetId="27">#REF!</definedName>
    <definedName name="WLP" localSheetId="4">#REF!</definedName>
    <definedName name="WLP" localSheetId="32">#REF!</definedName>
    <definedName name="WLP" localSheetId="24">#REF!</definedName>
    <definedName name="WLP" localSheetId="26">#REF!</definedName>
    <definedName name="WLP">#REF!</definedName>
    <definedName name="Wm_50_kg" localSheetId="24">#REF!</definedName>
    <definedName name="Wm_50_kg">#REF!</definedName>
    <definedName name="Wm_70_kg">#REF!</definedName>
    <definedName name="wmm75tph" localSheetId="6">#REF!</definedName>
    <definedName name="wmm75tph" localSheetId="27">#REF!</definedName>
    <definedName name="wmm75tph" localSheetId="4">#REF!</definedName>
    <definedName name="wmm75tph" localSheetId="32">#REF!</definedName>
    <definedName name="wmm75tph" localSheetId="24">#REF!</definedName>
    <definedName name="wmm75tph">#REF!</definedName>
    <definedName name="WMP60T" localSheetId="6">#REF!</definedName>
    <definedName name="WMP60T" localSheetId="27">#REF!</definedName>
    <definedName name="WMP60T" localSheetId="4">#REF!</definedName>
    <definedName name="WMP60T" localSheetId="32">#REF!</definedName>
    <definedName name="WMP60T" localSheetId="24">#REF!</definedName>
    <definedName name="WMP60T">#REF!</definedName>
    <definedName name="wndf" localSheetId="24">#REF!</definedName>
    <definedName name="wndf">#REF!</definedName>
    <definedName name="WOL" localSheetId="29">#REF!</definedName>
    <definedName name="WOL" localSheetId="26">#REF!</definedName>
    <definedName name="WOL">#REF!</definedName>
    <definedName name="women">#REF!</definedName>
    <definedName name="word" localSheetId="12">#REF!</definedName>
    <definedName name="word">#REF!</definedName>
    <definedName name="wordings" localSheetId="29">#REF!</definedName>
    <definedName name="wordings" localSheetId="7">#REF!</definedName>
    <definedName name="wordings" localSheetId="26">#REF!</definedName>
    <definedName name="wordings">#REF!</definedName>
    <definedName name="work">#REF!</definedName>
    <definedName name="WORKCAPTAL_BGT2">#REF!</definedName>
    <definedName name="workeq" localSheetId="6">#REF!</definedName>
    <definedName name="workeq" localSheetId="27">#REF!</definedName>
    <definedName name="workeq" localSheetId="4">#REF!</definedName>
    <definedName name="workeq" localSheetId="32">#REF!</definedName>
    <definedName name="workeq" localSheetId="24">#REF!</definedName>
    <definedName name="workeq">#REF!</definedName>
    <definedName name="WORKING_BGT2" localSheetId="29">#REF!</definedName>
    <definedName name="WORKING_BGT2" localSheetId="24">#REF!</definedName>
    <definedName name="WORKING_BGT2" localSheetId="26">#REF!</definedName>
    <definedName name="WORKING_BGT2">#REF!</definedName>
    <definedName name="WorkingDays" localSheetId="6">#REF!</definedName>
    <definedName name="WorkingDays" localSheetId="27">#REF!</definedName>
    <definedName name="WorkingDays" localSheetId="4">#REF!</definedName>
    <definedName name="WorkingDays" localSheetId="32">#REF!</definedName>
    <definedName name="WorkingDays" localSheetId="24">#REF!</definedName>
    <definedName name="WorkingDays">#REF!</definedName>
    <definedName name="WORKINGS">#REF!</definedName>
    <definedName name="WP" localSheetId="29">#REF!</definedName>
    <definedName name="wp" localSheetId="24">#REF!</definedName>
    <definedName name="WP" localSheetId="26">#REF!</definedName>
    <definedName name="WP">#REF!</definedName>
    <definedName name="Wpc">#REF!</definedName>
    <definedName name="WPR">#REF!</definedName>
    <definedName name="Wpt">#REF!</definedName>
    <definedName name="wqadwq">#REF!</definedName>
    <definedName name="WQEW">#REF!</definedName>
    <definedName name="wqewe" localSheetId="12">#REF!</definedName>
    <definedName name="wqewe">#REF!</definedName>
    <definedName name="wqwqe" localSheetId="29">#REF!</definedName>
    <definedName name="wqwqe" localSheetId="26">#REF!</definedName>
    <definedName name="wqwqe">#REF!</definedName>
    <definedName name="wqwrwrqwrqr" localSheetId="12">#REF!</definedName>
    <definedName name="wqwrwrqwrqr">#REF!</definedName>
    <definedName name="wr" localSheetId="12" hidden="1">{#N/A,#N/A,FALSE,"COVER1.XLS ";#N/A,#N/A,FALSE,"RACT1.XLS";#N/A,#N/A,FALSE,"RACT2.XLS";#N/A,#N/A,FALSE,"ECCMP";#N/A,#N/A,FALSE,"WELDER.XLS"}</definedName>
    <definedName name="wr" hidden="1">{#N/A,#N/A,FALSE,"COVER1.XLS ";#N/A,#N/A,FALSE,"RACT1.XLS";#N/A,#N/A,FALSE,"RACT2.XLS";#N/A,#N/A,FALSE,"ECCMP";#N/A,#N/A,FALSE,"WELDER.XLS"}</definedName>
    <definedName name="wrd" localSheetId="12" hidden="1">{#N/A,#N/A,FALSE,"WRSUMMARY";#N/A,#N/A,FALSE,"ANNEX-1";#N/A,#N/A,FALSE,"ANNEX-2";#N/A,#N/A,FALSE,"ANNEX-3";#N/A,#N/A,FALSE,"WORKING"}</definedName>
    <definedName name="wrd" localSheetId="6" hidden="1">{#N/A,#N/A,FALSE,"WRSUMMARY";#N/A,#N/A,FALSE,"ANNEX-1";#N/A,#N/A,FALSE,"ANNEX-2";#N/A,#N/A,FALSE,"ANNEX-3";#N/A,#N/A,FALSE,"WORKING"}</definedName>
    <definedName name="wrd" localSheetId="29" hidden="1">{#N/A,#N/A,FALSE,"WRSUMMARY";#N/A,#N/A,FALSE,"ANNEX-1";#N/A,#N/A,FALSE,"ANNEX-2";#N/A,#N/A,FALSE,"ANNEX-3";#N/A,#N/A,FALSE,"WORKING"}</definedName>
    <definedName name="wrd" localSheetId="27" hidden="1">{#N/A,#N/A,FALSE,"WRSUMMARY";#N/A,#N/A,FALSE,"ANNEX-1";#N/A,#N/A,FALSE,"ANNEX-2";#N/A,#N/A,FALSE,"ANNEX-3";#N/A,#N/A,FALSE,"WORKING"}</definedName>
    <definedName name="wrd" localSheetId="4" hidden="1">{#N/A,#N/A,FALSE,"WRSUMMARY";#N/A,#N/A,FALSE,"ANNEX-1";#N/A,#N/A,FALSE,"ANNEX-2";#N/A,#N/A,FALSE,"ANNEX-3";#N/A,#N/A,FALSE,"WORKING"}</definedName>
    <definedName name="wrd" localSheetId="32" hidden="1">{#N/A,#N/A,FALSE,"WRSUMMARY";#N/A,#N/A,FALSE,"ANNEX-1";#N/A,#N/A,FALSE,"ANNEX-2";#N/A,#N/A,FALSE,"ANNEX-3";#N/A,#N/A,FALSE,"WORKING"}</definedName>
    <definedName name="wrd" localSheetId="24" hidden="1">{#N/A,#N/A,FALSE,"WRSUMMARY";#N/A,#N/A,FALSE,"ANNEX-1";#N/A,#N/A,FALSE,"ANNEX-2";#N/A,#N/A,FALSE,"ANNEX-3";#N/A,#N/A,FALSE,"WORKING"}</definedName>
    <definedName name="wrd" localSheetId="26" hidden="1">{#N/A,#N/A,FALSE,"WRSUMMARY";#N/A,#N/A,FALSE,"ANNEX-1";#N/A,#N/A,FALSE,"ANNEX-2";#N/A,#N/A,FALSE,"ANNEX-3";#N/A,#N/A,FALSE,"WORKING"}</definedName>
    <definedName name="wrd" hidden="1">{#N/A,#N/A,FALSE,"WRSUMMARY";#N/A,#N/A,FALSE,"ANNEX-1";#N/A,#N/A,FALSE,"ANNEX-2";#N/A,#N/A,FALSE,"ANNEX-3";#N/A,#N/A,FALSE,"WORKING"}</definedName>
    <definedName name="WRITE" localSheetId="12" hidden="1">{#N/A,#N/A,FALSE,"CCTV"}</definedName>
    <definedName name="WRITE" localSheetId="6" hidden="1">{#N/A,#N/A,FALSE,"CCTV"}</definedName>
    <definedName name="WRITE" localSheetId="29" hidden="1">{#N/A,#N/A,FALSE,"CCTV"}</definedName>
    <definedName name="WRITE" localSheetId="27" hidden="1">{#N/A,#N/A,FALSE,"CCTV"}</definedName>
    <definedName name="WRITE" localSheetId="4" hidden="1">{#N/A,#N/A,FALSE,"CCTV"}</definedName>
    <definedName name="WRITE" localSheetId="32" hidden="1">{#N/A,#N/A,FALSE,"CCTV"}</definedName>
    <definedName name="WRITE" localSheetId="24" hidden="1">{#N/A,#N/A,FALSE,"CCTV"}</definedName>
    <definedName name="WRITE" localSheetId="26" hidden="1">{#N/A,#N/A,FALSE,"CCTV"}</definedName>
    <definedName name="WRITE" hidden="1">{#N/A,#N/A,FALSE,"CCTV"}</definedName>
    <definedName name="wrn" localSheetId="12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localSheetId="12" hidden="1">{#N/A,#N/A,FALSE,"17MAY";#N/A,#N/A,FALSE,"24MAY"}</definedName>
    <definedName name="wrn.1." hidden="1">{#N/A,#N/A,FALSE,"17MAY";#N/A,#N/A,FALSE,"24MAY"}</definedName>
    <definedName name="wrn.abc." localSheetId="12" hidden="1">{"Execavation",#N/A,FALSE,"furniture (employer)"}</definedName>
    <definedName name="wrn.abc." localSheetId="6" hidden="1">{"Execavation",#N/A,FALSE,"furniture (employer)"}</definedName>
    <definedName name="wrn.abc." localSheetId="29" hidden="1">{"Execavation",#N/A,FALSE,"furniture (employer)"}</definedName>
    <definedName name="wrn.abc." localSheetId="27" hidden="1">{"Execavation",#N/A,FALSE,"furniture (employer)"}</definedName>
    <definedName name="wrn.abc." localSheetId="4" hidden="1">{"Execavation",#N/A,FALSE,"furniture (employer)"}</definedName>
    <definedName name="wrn.abc." localSheetId="32" hidden="1">{"Execavation",#N/A,FALSE,"furniture (employer)"}</definedName>
    <definedName name="wrn.abc." localSheetId="24" hidden="1">{"Execavation",#N/A,FALSE,"furniture (employer)"}</definedName>
    <definedName name="wrn.abc." localSheetId="26" hidden="1">{"Execavation",#N/A,FALSE,"furniture (employer)"}</definedName>
    <definedName name="wrn.abc." hidden="1">{"Execavation",#N/A,FALSE,"furniture (employer)"}</definedName>
    <definedName name="wrn.alle." localSheetId="12" hidden="1">{#N/A,#N/A,TRUE,"Vergabe-Regeln";#N/A,#N/A,TRUE,"Baugruppen";#N/A,#N/A,TRUE,"Geräte";#N/A,#N/A,TRUE,"PC-Software";#N/A,#N/A,TRUE,"Software";#N/A,#N/A,TRUE,"SW-Reg";#N/A,#N/A,TRUE,"Dokumentation"}</definedName>
    <definedName name="wrn.alle." hidden="1">{#N/A,#N/A,TRUE,"Vergabe-Regeln";#N/A,#N/A,TRUE,"Baugruppen";#N/A,#N/A,TRUE,"Geräte";#N/A,#N/A,TRUE,"PC-Software";#N/A,#N/A,TRUE,"Software";#N/A,#N/A,TRUE,"SW-Reg";#N/A,#N/A,TRUE,"Dokumentation"}</definedName>
    <definedName name="wrn.BM." localSheetId="12" hidden="1">{#N/A,#N/A,FALSE,"CCTV"}</definedName>
    <definedName name="wrn.BM." localSheetId="6" hidden="1">{#N/A,#N/A,FALSE,"CCTV"}</definedName>
    <definedName name="wrn.BM." localSheetId="29" hidden="1">{#N/A,#N/A,FALSE,"CCTV"}</definedName>
    <definedName name="wrn.BM." localSheetId="27" hidden="1">{#N/A,#N/A,FALSE,"CCTV"}</definedName>
    <definedName name="wrn.BM." localSheetId="4" hidden="1">{#N/A,#N/A,FALSE,"CCTV"}</definedName>
    <definedName name="wrn.BM." localSheetId="32" hidden="1">{#N/A,#N/A,FALSE,"CCTV"}</definedName>
    <definedName name="wrn.BM." localSheetId="24" hidden="1">{#N/A,#N/A,FALSE,"CCTV"}</definedName>
    <definedName name="wrn.BM." localSheetId="26" hidden="1">{#N/A,#N/A,FALSE,"CCTV"}</definedName>
    <definedName name="wrn.BM." hidden="1">{#N/A,#N/A,FALSE,"CCTV"}</definedName>
    <definedName name="wrn.BSS.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loc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loc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TS." localSheetId="12" hidden="1">{#N/A,#N/A,TRUE,"Config1";#N/A,#N/A,TRUE,"Config2";#N/A,#N/A,TRUE,"Config3";#N/A,#N/A,TRUE,"Config4";#N/A,#N/A,TRUE,"Config5";#N/A,#N/A,TRUE,"Config6";#N/A,#N/A,TRUE,"Config7"}</definedName>
    <definedName name="wrn.BTS." hidden="1">{#N/A,#N/A,TRUE,"Config1";#N/A,#N/A,TRUE,"Config2";#N/A,#N/A,TRUE,"Config3";#N/A,#N/A,TRUE,"Config4";#N/A,#N/A,TRUE,"Config5";#N/A,#N/A,TRUE,"Config6";#N/A,#N/A,TRUE,"Config7"}</definedName>
    <definedName name="wrn.budget." localSheetId="12" hidden="1">{"form-D1",#N/A,FALSE,"FORM-D1";"form-D1_amt",#N/A,FALSE,"FORM-D1"}</definedName>
    <definedName name="wrn.budget." localSheetId="6" hidden="1">{"form-D1",#N/A,FALSE,"FORM-D1";"form-D1_amt",#N/A,FALSE,"FORM-D1"}</definedName>
    <definedName name="wrn.budget." localSheetId="29" hidden="1">{"form-D1",#N/A,FALSE,"FORM-D1";"form-D1_amt",#N/A,FALSE,"FORM-D1"}</definedName>
    <definedName name="wrn.budget." localSheetId="27" hidden="1">{"form-D1",#N/A,FALSE,"FORM-D1";"form-D1_amt",#N/A,FALSE,"FORM-D1"}</definedName>
    <definedName name="wrn.budget." localSheetId="4" hidden="1">{"form-D1",#N/A,FALSE,"FORM-D1";"form-D1_amt",#N/A,FALSE,"FORM-D1"}</definedName>
    <definedName name="wrn.budget." localSheetId="32" hidden="1">{"form-D1",#N/A,FALSE,"FORM-D1";"form-D1_amt",#N/A,FALSE,"FORM-D1"}</definedName>
    <definedName name="wrn.budget." localSheetId="24" hidden="1">{"form-D1",#N/A,FALSE,"FORM-D1";"form-D1_amt",#N/A,FALSE,"FORM-D1"}</definedName>
    <definedName name="wrn.budget." localSheetId="26" hidden="1">{"form-D1",#N/A,FALSE,"FORM-D1";"form-D1_amt",#N/A,FALSE,"FORM-D1"}</definedName>
    <definedName name="wrn.budget." hidden="1">{"form-D1",#N/A,FALSE,"FORM-D1";"form-D1_amt",#N/A,FALSE,"FORM-D1"}</definedName>
    <definedName name="wrn.budget._1">NA()</definedName>
    <definedName name="wrn.CASH._.FLOW." localSheetId="12" hidden="1">{"CASH FLOW",#N/A,FALSE,"A"}</definedName>
    <definedName name="wrn.CASH._.FLOW." hidden="1">{"CASH FLOW",#N/A,FALSE,"A"}</definedName>
    <definedName name="wrn.Co." localSheetId="12" hidden="1">{#N/A,#N/A,TRUE,"GW-Cond";#N/A,#N/A,TRUE,"HW"}</definedName>
    <definedName name="wrn.Co." localSheetId="29" hidden="1">{#N/A,#N/A,TRUE,"GW-Cond";#N/A,#N/A,TRUE,"HW"}</definedName>
    <definedName name="wrn.Co." localSheetId="27" hidden="1">{#N/A,#N/A,TRUE,"GW-Cond";#N/A,#N/A,TRUE,"HW"}</definedName>
    <definedName name="wrn.Co." localSheetId="4" hidden="1">{#N/A,#N/A,TRUE,"GW-Cond";#N/A,#N/A,TRUE,"HW"}</definedName>
    <definedName name="wrn.Co." localSheetId="32" hidden="1">{#N/A,#N/A,TRUE,"GW-Cond";#N/A,#N/A,TRUE,"HW"}</definedName>
    <definedName name="wrn.Co." localSheetId="24" hidden="1">{#N/A,#N/A,TRUE,"GW-Cond";#N/A,#N/A,TRUE,"HW"}</definedName>
    <definedName name="wrn.Co." localSheetId="26" hidden="1">{#N/A,#N/A,TRUE,"GW-Cond";#N/A,#N/A,TRUE,"HW"}</definedName>
    <definedName name="wrn.Co." hidden="1">{#N/A,#N/A,TRUE,"GW-Cond";#N/A,#N/A,TRUE,"HW"}</definedName>
    <definedName name="wrn.Complete._.Cost._.Sheet." localSheetId="12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29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27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32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2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2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nsumable." localSheetId="12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st." localSheetId="12" hidden="1">{#N/A,#N/A,FALSE,"abs";#N/A,#N/A,FALSE,"Annex-I";#N/A,#N/A,FALSE,"Annex-II";#N/A,#N/A,FALSE,"Annex-III";#N/A,#N/A,FALSE,"Annex-IV";#N/A,#N/A,FALSE,"Annex-V";#N/A,#N/A,FALSE,"Annex-VI"}</definedName>
    <definedName name="wrn.cost." localSheetId="6" hidden="1">{#N/A,#N/A,FALSE,"abs";#N/A,#N/A,FALSE,"Annex-I";#N/A,#N/A,FALSE,"Annex-II";#N/A,#N/A,FALSE,"Annex-III";#N/A,#N/A,FALSE,"Annex-IV";#N/A,#N/A,FALSE,"Annex-V";#N/A,#N/A,FALSE,"Annex-VI"}</definedName>
    <definedName name="wrn.cost." localSheetId="29" hidden="1">{#N/A,#N/A,FALSE,"abs";#N/A,#N/A,FALSE,"Annex-I";#N/A,#N/A,FALSE,"Annex-II";#N/A,#N/A,FALSE,"Annex-III";#N/A,#N/A,FALSE,"Annex-IV";#N/A,#N/A,FALSE,"Annex-V";#N/A,#N/A,FALSE,"Annex-VI"}</definedName>
    <definedName name="wrn.cost." localSheetId="27" hidden="1">{#N/A,#N/A,FALSE,"abs";#N/A,#N/A,FALSE,"Annex-I";#N/A,#N/A,FALSE,"Annex-II";#N/A,#N/A,FALSE,"Annex-III";#N/A,#N/A,FALSE,"Annex-IV";#N/A,#N/A,FALSE,"Annex-V";#N/A,#N/A,FALSE,"Annex-VI"}</definedName>
    <definedName name="wrn.cost." localSheetId="4" hidden="1">{#N/A,#N/A,FALSE,"abs";#N/A,#N/A,FALSE,"Annex-I";#N/A,#N/A,FALSE,"Annex-II";#N/A,#N/A,FALSE,"Annex-III";#N/A,#N/A,FALSE,"Annex-IV";#N/A,#N/A,FALSE,"Annex-V";#N/A,#N/A,FALSE,"Annex-VI"}</definedName>
    <definedName name="wrn.cost." localSheetId="32" hidden="1">{#N/A,#N/A,FALSE,"abs";#N/A,#N/A,FALSE,"Annex-I";#N/A,#N/A,FALSE,"Annex-II";#N/A,#N/A,FALSE,"Annex-III";#N/A,#N/A,FALSE,"Annex-IV";#N/A,#N/A,FALSE,"Annex-V";#N/A,#N/A,FALSE,"Annex-VI"}</definedName>
    <definedName name="wrn.cost." localSheetId="24" hidden="1">{#N/A,#N/A,FALSE,"abs";#N/A,#N/A,FALSE,"Annex-I";#N/A,#N/A,FALSE,"Annex-II";#N/A,#N/A,FALSE,"Annex-III";#N/A,#N/A,FALSE,"Annex-IV";#N/A,#N/A,FALSE,"Annex-V";#N/A,#N/A,FALSE,"Annex-VI"}</definedName>
    <definedName name="wrn.cost." localSheetId="26" hidden="1">{#N/A,#N/A,FALSE,"abs";#N/A,#N/A,FALSE,"Annex-I";#N/A,#N/A,FALSE,"Annex-II";#N/A,#N/A,FALSE,"Annex-III";#N/A,#N/A,FALSE,"Annex-IV";#N/A,#N/A,FALSE,"Annex-V";#N/A,#N/A,FALSE,"Annex-VI"}</definedName>
    <definedName name="wrn.cost." hidden="1">{#N/A,#N/A,FALSE,"abs";#N/A,#N/A,FALSE,"Annex-I";#N/A,#N/A,FALSE,"Annex-II";#N/A,#N/A,FALSE,"Annex-III";#N/A,#N/A,FALSE,"Annex-IV";#N/A,#N/A,FALSE,"Annex-V";#N/A,#N/A,FALSE,"Annex-VI"}</definedName>
    <definedName name="wrn.Cost._.Summary." localSheetId="12" hidden="1">{"Cost Summary",#N/A,FALSE,"B";"Cost Detail 1",#N/A,FALSE,"C";"Cost Detail 2",#N/A,FALSE,"C"}</definedName>
    <definedName name="wrn.Cost._.Summary." localSheetId="6" hidden="1">{"Cost Summary",#N/A,FALSE,"B";"Cost Detail 1",#N/A,FALSE,"C";"Cost Detail 2",#N/A,FALSE,"C"}</definedName>
    <definedName name="wrn.Cost._.Summary." localSheetId="29" hidden="1">{"Cost Summary",#N/A,FALSE,"B";"Cost Detail 1",#N/A,FALSE,"C";"Cost Detail 2",#N/A,FALSE,"C"}</definedName>
    <definedName name="wrn.Cost._.Summary." localSheetId="27" hidden="1">{"Cost Summary",#N/A,FALSE,"B";"Cost Detail 1",#N/A,FALSE,"C";"Cost Detail 2",#N/A,FALSE,"C"}</definedName>
    <definedName name="wrn.Cost._.Summary." localSheetId="4" hidden="1">{"Cost Summary",#N/A,FALSE,"B";"Cost Detail 1",#N/A,FALSE,"C";"Cost Detail 2",#N/A,FALSE,"C"}</definedName>
    <definedName name="wrn.Cost._.Summary." localSheetId="32" hidden="1">{"Cost Summary",#N/A,FALSE,"B";"Cost Detail 1",#N/A,FALSE,"C";"Cost Detail 2",#N/A,FALSE,"C"}</definedName>
    <definedName name="wrn.Cost._.Summary." localSheetId="24" hidden="1">{"Cost Summary",#N/A,FALSE,"B";"Cost Detail 1",#N/A,FALSE,"C";"Cost Detail 2",#N/A,FALSE,"C"}</definedName>
    <definedName name="wrn.Cost._.Summary." localSheetId="26" hidden="1">{"Cost Summary",#N/A,FALSE,"B";"Cost Detail 1",#N/A,FALSE,"C";"Cost Detail 2",#N/A,FALSE,"C"}</definedName>
    <definedName name="wrn.Cost._.Summary." hidden="1">{"Cost Summary",#N/A,FALSE,"B";"Cost Detail 1",#N/A,FALSE,"C";"Cost Detail 2",#N/A,FALSE,"C"}</definedName>
    <definedName name="wrn.costprint." localSheetId="12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29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27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4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32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24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2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12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29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27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4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32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24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2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ustomerVersion1." localSheetId="12" hidden="1">{#N/A,#N/A,TRUE,"Perm";#N/A,#N/A,TRUE,"Architecture"}</definedName>
    <definedName name="wrn.CustomerVersion1." hidden="1">{#N/A,#N/A,TRUE,"Perm";#N/A,#N/A,TRUE,"Architecture"}</definedName>
    <definedName name="wrn.DEV_SYNTHESE." localSheetId="12" hidden="1">{"COST",#N/A,FALSE,"SYNTHESE";"MARGIN",#N/A,FALSE,"SYNTHESE";"LOT_COM",#N/A,FALSE,"SYNTHESE"}</definedName>
    <definedName name="wrn.DEV_SYNTHESE." hidden="1">{"COST",#N/A,FALSE,"SYNTHESE";"MARGIN",#N/A,FALSE,"SYNTHESE";"LOT_COM",#N/A,FALSE,"SYNTHESE"}</definedName>
    <definedName name="wrn.DRB._.CLAIMS._.FOR._.BILL._.A3._.SIZE.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4._.SIZE." localSheetId="1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29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27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3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2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2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elect." localSheetId="12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TS." localSheetId="12" hidden="1">{"FTS",#N/A,FALSE,"E"}</definedName>
    <definedName name="wrn.FTS." hidden="1">{"FTS",#N/A,FALSE,"E"}</definedName>
    <definedName name="wrn.FTS._.PLANT._.BREAKUP." localSheetId="12" hidden="1">{"PLANT BREAKUP",#N/A,FALSE,"E"}</definedName>
    <definedName name="wrn.FTS._.PLANT._.BREAKUP." hidden="1">{"PLANT BREAKUP",#N/A,FALSE,"E"}</definedName>
    <definedName name="wrn.full." localSheetId="12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6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29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27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4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32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24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26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_.Report.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2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3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2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2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item1." localSheetId="12" hidden="1">{#N/A,#N/A,FALSE,"Wadhal";#N/A,#N/A,FALSE,"Manglad U-S";#N/A,#N/A,FALSE,"Manglad D-S";#N/A,#N/A,FALSE,"Ratanpur U-S";#N/A,#N/A,FALSE,"Ratanpur D-S";#N/A,#N/A,FALSE,"VI Face"}</definedName>
    <definedName name="wrn.item1." localSheetId="6" hidden="1">{#N/A,#N/A,FALSE,"Wadhal";#N/A,#N/A,FALSE,"Manglad U-S";#N/A,#N/A,FALSE,"Manglad D-S";#N/A,#N/A,FALSE,"Ratanpur U-S";#N/A,#N/A,FALSE,"Ratanpur D-S";#N/A,#N/A,FALSE,"VI Face"}</definedName>
    <definedName name="wrn.item1." localSheetId="29" hidden="1">{#N/A,#N/A,FALSE,"Wadhal";#N/A,#N/A,FALSE,"Manglad U-S";#N/A,#N/A,FALSE,"Manglad D-S";#N/A,#N/A,FALSE,"Ratanpur U-S";#N/A,#N/A,FALSE,"Ratanpur D-S";#N/A,#N/A,FALSE,"VI Face"}</definedName>
    <definedName name="wrn.item1." localSheetId="27" hidden="1">{#N/A,#N/A,FALSE,"Wadhal";#N/A,#N/A,FALSE,"Manglad U-S";#N/A,#N/A,FALSE,"Manglad D-S";#N/A,#N/A,FALSE,"Ratanpur U-S";#N/A,#N/A,FALSE,"Ratanpur D-S";#N/A,#N/A,FALSE,"VI Face"}</definedName>
    <definedName name="wrn.item1." localSheetId="4" hidden="1">{#N/A,#N/A,FALSE,"Wadhal";#N/A,#N/A,FALSE,"Manglad U-S";#N/A,#N/A,FALSE,"Manglad D-S";#N/A,#N/A,FALSE,"Ratanpur U-S";#N/A,#N/A,FALSE,"Ratanpur D-S";#N/A,#N/A,FALSE,"VI Face"}</definedName>
    <definedName name="wrn.item1." localSheetId="32" hidden="1">{#N/A,#N/A,FALSE,"Wadhal";#N/A,#N/A,FALSE,"Manglad U-S";#N/A,#N/A,FALSE,"Manglad D-S";#N/A,#N/A,FALSE,"Ratanpur U-S";#N/A,#N/A,FALSE,"Ratanpur D-S";#N/A,#N/A,FALSE,"VI Face"}</definedName>
    <definedName name="wrn.item1." localSheetId="24" hidden="1">{#N/A,#N/A,FALSE,"Wadhal";#N/A,#N/A,FALSE,"Manglad U-S";#N/A,#N/A,FALSE,"Manglad D-S";#N/A,#N/A,FALSE,"Ratanpur U-S";#N/A,#N/A,FALSE,"Ratanpur D-S";#N/A,#N/A,FALSE,"VI Face"}</definedName>
    <definedName name="wrn.item1." localSheetId="26" hidden="1">{#N/A,#N/A,FALSE,"Wadhal";#N/A,#N/A,FALSE,"Manglad U-S";#N/A,#N/A,FALSE,"Manglad D-S";#N/A,#N/A,FALSE,"Ratanpur U-S";#N/A,#N/A,FALSE,"Ratanpur D-S";#N/A,#N/A,FALSE,"VI Face"}</definedName>
    <definedName name="wrn.item1." hidden="1">{#N/A,#N/A,FALSE,"Wadhal";#N/A,#N/A,FALSE,"Manglad U-S";#N/A,#N/A,FALSE,"Manglad D-S";#N/A,#N/A,FALSE,"Ratanpur U-S";#N/A,#N/A,FALSE,"Ratanpur D-S";#N/A,#N/A,FALSE,"VI Face"}</definedName>
    <definedName name="wrn.LPU._.MG." localSheetId="12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Manpower._.Details." localSheetId="1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29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27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3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2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2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ual." localSheetId="12" hidden="1">{#N/A,#N/A,FALSE,"CAPTION LIST (As-Built)";#N/A,#N/A,FALSE,"DOCUMENT LIST (As-Built)";#N/A,#N/A,FALSE,"PLANT SPECIFICATION";#N/A,#N/A,FALSE,"PRODUCT LIST"}</definedName>
    <definedName name="wrn.Manual." hidden="1">{#N/A,#N/A,FALSE,"CAPTION LIST (As-Built)";#N/A,#N/A,FALSE,"DOCUMENT LIST (As-Built)";#N/A,#N/A,FALSE,"PLANT SPECIFICATION";#N/A,#N/A,FALSE,"PRODUCT LIST"}</definedName>
    <definedName name="wrn.Monthly._.Report." localSheetId="12" hidden="1">{#N/A,#N/A,TRUE,"STEEL";#N/A,#N/A,TRUE,"OUTSIDE FAB.";#N/A,#N/A,TRUE,"WIP";#N/A,#N/A,TRUE,"FINISHED GOODS";#N/A,#N/A,TRUE,"SCRAP"}</definedName>
    <definedName name="wrn.Monthly._.Report." localSheetId="6" hidden="1">{#N/A,#N/A,TRUE,"STEEL";#N/A,#N/A,TRUE,"OUTSIDE FAB.";#N/A,#N/A,TRUE,"WIP";#N/A,#N/A,TRUE,"FINISHED GOODS";#N/A,#N/A,TRUE,"SCRAP"}</definedName>
    <definedName name="wrn.Monthly._.Report." localSheetId="29" hidden="1">{#N/A,#N/A,TRUE,"STEEL";#N/A,#N/A,TRUE,"OUTSIDE FAB.";#N/A,#N/A,TRUE,"WIP";#N/A,#N/A,TRUE,"FINISHED GOODS";#N/A,#N/A,TRUE,"SCRAP"}</definedName>
    <definedName name="wrn.Monthly._.Report." localSheetId="27" hidden="1">{#N/A,#N/A,TRUE,"STEEL";#N/A,#N/A,TRUE,"OUTSIDE FAB.";#N/A,#N/A,TRUE,"WIP";#N/A,#N/A,TRUE,"FINISHED GOODS";#N/A,#N/A,TRUE,"SCRAP"}</definedName>
    <definedName name="wrn.Monthly._.Report." localSheetId="4" hidden="1">{#N/A,#N/A,TRUE,"STEEL";#N/A,#N/A,TRUE,"OUTSIDE FAB.";#N/A,#N/A,TRUE,"WIP";#N/A,#N/A,TRUE,"FINISHED GOODS";#N/A,#N/A,TRUE,"SCRAP"}</definedName>
    <definedName name="wrn.Monthly._.Report." localSheetId="32" hidden="1">{#N/A,#N/A,TRUE,"STEEL";#N/A,#N/A,TRUE,"OUTSIDE FAB.";#N/A,#N/A,TRUE,"WIP";#N/A,#N/A,TRUE,"FINISHED GOODS";#N/A,#N/A,TRUE,"SCRAP"}</definedName>
    <definedName name="wrn.Monthly._.Report." localSheetId="24" hidden="1">{#N/A,#N/A,TRUE,"STEEL";#N/A,#N/A,TRUE,"OUTSIDE FAB.";#N/A,#N/A,TRUE,"WIP";#N/A,#N/A,TRUE,"FINISHED GOODS";#N/A,#N/A,TRUE,"SCRAP"}</definedName>
    <definedName name="wrn.Monthly._.Report." localSheetId="26" hidden="1">{#N/A,#N/A,TRUE,"STEEL";#N/A,#N/A,TRUE,"OUTSIDE FAB.";#N/A,#N/A,TRUE,"WIP";#N/A,#N/A,TRUE,"FINISHED GOODS";#N/A,#N/A,TRUE,"SCRAP"}</definedName>
    <definedName name="wrn.Monthly._.Report." hidden="1">{#N/A,#N/A,TRUE,"STEEL";#N/A,#N/A,TRUE,"OUTSIDE FAB.";#N/A,#N/A,TRUE,"WIP";#N/A,#N/A,TRUE,"FINISHED GOODS";#N/A,#N/A,TRUE,"SCRAP"}</definedName>
    <definedName name="wrn.piping.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3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ANNING." localSheetId="12" hidden="1">{"PLANNING",#N/A,FALSE,"A"}</definedName>
    <definedName name="wrn.PLANNING." localSheetId="6" hidden="1">{"PLANNING",#N/A,FALSE,"A"}</definedName>
    <definedName name="wrn.PLANNING." localSheetId="29" hidden="1">{"PLANNING",#N/A,FALSE,"A"}</definedName>
    <definedName name="wrn.PLANNING." localSheetId="27" hidden="1">{"PLANNING",#N/A,FALSE,"A"}</definedName>
    <definedName name="wrn.PLANNING." localSheetId="4" hidden="1">{"PLANNING",#N/A,FALSE,"A"}</definedName>
    <definedName name="wrn.PLANNING." localSheetId="32" hidden="1">{"PLANNING",#N/A,FALSE,"A"}</definedName>
    <definedName name="wrn.PLANNING." localSheetId="24" hidden="1">{"PLANNING",#N/A,FALSE,"A"}</definedName>
    <definedName name="wrn.PLANNING." localSheetId="26" hidden="1">{"PLANNING",#N/A,FALSE,"A"}</definedName>
    <definedName name="wrn.PLANNING." hidden="1">{"PLANNING",#N/A,FALSE,"A"}</definedName>
    <definedName name="wrn.RCC." localSheetId="1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9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7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3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7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12" hidden="1">{#N/A,#N/A,FALSE,"COVER.XLS";#N/A,#N/A,FALSE,"RACT1.XLS";#N/A,#N/A,FALSE,"RACT2.XLS";#N/A,#N/A,FALSE,"ECCMP";#N/A,#N/A,FALSE,"WELDER.XLS"}</definedName>
    <definedName name="wrn.report." localSheetId="6" hidden="1">{#N/A,#N/A,FALSE,"COVER.XLS";#N/A,#N/A,FALSE,"RACT1.XLS";#N/A,#N/A,FALSE,"RACT2.XLS";#N/A,#N/A,FALSE,"ECCMP";#N/A,#N/A,FALSE,"WELDER.XLS"}</definedName>
    <definedName name="wrn.report." localSheetId="29" hidden="1">{#N/A,#N/A,FALSE,"COVER.XLS";#N/A,#N/A,FALSE,"RACT1.XLS";#N/A,#N/A,FALSE,"RACT2.XLS";#N/A,#N/A,FALSE,"ECCMP";#N/A,#N/A,FALSE,"WELDER.XLS"}</definedName>
    <definedName name="wrn.report." localSheetId="27" hidden="1">{#N/A,#N/A,FALSE,"COVER.XLS";#N/A,#N/A,FALSE,"RACT1.XLS";#N/A,#N/A,FALSE,"RACT2.XLS";#N/A,#N/A,FALSE,"ECCMP";#N/A,#N/A,FALSE,"WELDER.XLS"}</definedName>
    <definedName name="wrn.report." localSheetId="4" hidden="1">{#N/A,#N/A,FALSE,"COVER.XLS";#N/A,#N/A,FALSE,"RACT1.XLS";#N/A,#N/A,FALSE,"RACT2.XLS";#N/A,#N/A,FALSE,"ECCMP";#N/A,#N/A,FALSE,"WELDER.XLS"}</definedName>
    <definedName name="wrn.report." localSheetId="32" hidden="1">{#N/A,#N/A,FALSE,"COVER.XLS";#N/A,#N/A,FALSE,"RACT1.XLS";#N/A,#N/A,FALSE,"RACT2.XLS";#N/A,#N/A,FALSE,"ECCMP";#N/A,#N/A,FALSE,"WELDER.XLS"}</definedName>
    <definedName name="wrn.report." localSheetId="24" hidden="1">{#N/A,#N/A,FALSE,"COVER.XLS";#N/A,#N/A,FALSE,"RACT1.XLS";#N/A,#N/A,FALSE,"RACT2.XLS";#N/A,#N/A,FALSE,"ECCMP";#N/A,#N/A,FALSE,"WELDER.XLS"}</definedName>
    <definedName name="wrn.report." localSheetId="7" hidden="1">{#N/A,#N/A,FALSE,"COVER.XLS";#N/A,#N/A,FALSE,"RACT1.XLS";#N/A,#N/A,FALSE,"RACT2.XLS";#N/A,#N/A,FALSE,"ECCMP";#N/A,#N/A,FALSE,"WELDER.XLS"}</definedName>
    <definedName name="wrn.report." localSheetId="26" hidden="1">{#N/A,#N/A,FALSE,"COVER.XLS";#N/A,#N/A,FALSE,"RACT1.XLS";#N/A,#N/A,FALSE,"RACT2.XLS";#N/A,#N/A,FALSE,"ECCMP";#N/A,#N/A,FALSE,"WELDER.XLS"}</definedName>
    <definedName name="wrn.report." localSheetId="2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9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3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s." localSheetId="12" hidden="1">{#N/A,#N/A,FALSE,"MODULE3"}</definedName>
    <definedName name="wrn.ss." hidden="1">{#N/A,#N/A,FALSE,"MODULE3"}</definedName>
    <definedName name="wrn.ss1." localSheetId="12" hidden="1">{"ss",#N/A,FALSE,"MODULE3"}</definedName>
    <definedName name="wrn.ss1." hidden="1">{"ss",#N/A,FALSE,"MODULE3"}</definedName>
    <definedName name="wrn.summary." localSheetId="12" hidden="1">{#N/A,#N/A,FALSE,"COVER1.XLS ";#N/A,#N/A,FALSE,"RACT1.XLS";#N/A,#N/A,FALSE,"RACT2.XLS";#N/A,#N/A,FALSE,"ECCMP";#N/A,#N/A,FALSE,"WELDER.XLS"}</definedName>
    <definedName name="wrn.summary." localSheetId="6" hidden="1">{#N/A,#N/A,FALSE,"COVER1.XLS ";#N/A,#N/A,FALSE,"RACT1.XLS";#N/A,#N/A,FALSE,"RACT2.XLS";#N/A,#N/A,FALSE,"ECCMP";#N/A,#N/A,FALSE,"WELDER.XLS"}</definedName>
    <definedName name="wrn.summary." localSheetId="29" hidden="1">{#N/A,#N/A,FALSE,"COVER1.XLS ";#N/A,#N/A,FALSE,"RACT1.XLS";#N/A,#N/A,FALSE,"RACT2.XLS";#N/A,#N/A,FALSE,"ECCMP";#N/A,#N/A,FALSE,"WELDER.XLS"}</definedName>
    <definedName name="wrn.summary." localSheetId="27" hidden="1">{#N/A,#N/A,FALSE,"COVER1.XLS ";#N/A,#N/A,FALSE,"RACT1.XLS";#N/A,#N/A,FALSE,"RACT2.XLS";#N/A,#N/A,FALSE,"ECCMP";#N/A,#N/A,FALSE,"WELDER.XLS"}</definedName>
    <definedName name="wrn.summary." localSheetId="4" hidden="1">{#N/A,#N/A,FALSE,"COVER1.XLS ";#N/A,#N/A,FALSE,"RACT1.XLS";#N/A,#N/A,FALSE,"RACT2.XLS";#N/A,#N/A,FALSE,"ECCMP";#N/A,#N/A,FALSE,"WELDER.XLS"}</definedName>
    <definedName name="wrn.summary." localSheetId="32" hidden="1">{#N/A,#N/A,FALSE,"COVER1.XLS ";#N/A,#N/A,FALSE,"RACT1.XLS";#N/A,#N/A,FALSE,"RACT2.XLS";#N/A,#N/A,FALSE,"ECCMP";#N/A,#N/A,FALSE,"WELDER.XLS"}</definedName>
    <definedName name="wrn.summary." localSheetId="24" hidden="1">{#N/A,#N/A,FALSE,"COVER1.XLS ";#N/A,#N/A,FALSE,"RACT1.XLS";#N/A,#N/A,FALSE,"RACT2.XLS";#N/A,#N/A,FALSE,"ECCMP";#N/A,#N/A,FALSE,"WELDER.XLS"}</definedName>
    <definedName name="wrn.summary." localSheetId="7" hidden="1">{#N/A,#N/A,FALSE,"COVER1.XLS ";#N/A,#N/A,FALSE,"RACT1.XLS";#N/A,#N/A,FALSE,"RACT2.XLS";#N/A,#N/A,FALSE,"ECCMP";#N/A,#N/A,FALSE,"WELDER.XLS"}</definedName>
    <definedName name="wrn.summary." localSheetId="26" hidden="1">{#N/A,#N/A,FALSE,"COVER1.XLS ";#N/A,#N/A,FALSE,"RACT1.XLS";#N/A,#N/A,FALSE,"RACT2.XLS";#N/A,#N/A,FALSE,"ECCMP";#N/A,#N/A,FALSE,"WELDER.XLS"}</definedName>
    <definedName name="wrn.summary." localSheetId="2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rn.test." localSheetId="12" hidden="1">{#N/A,#N/A,FALSE,"Motor List"}</definedName>
    <definedName name="wrn.test." hidden="1">{#N/A,#N/A,FALSE,"Motor List"}</definedName>
    <definedName name="wrn.Test._.Report." localSheetId="12" hidden="1">{#N/A,#N/A,FALSE,"DATA D.I.";#N/A,#N/A,FALSE,"DATA C.I."}</definedName>
    <definedName name="wrn.Test._.Report." localSheetId="6" hidden="1">{#N/A,#N/A,FALSE,"DATA D.I.";#N/A,#N/A,FALSE,"DATA C.I."}</definedName>
    <definedName name="wrn.Test._.Report." localSheetId="29" hidden="1">{#N/A,#N/A,FALSE,"DATA D.I.";#N/A,#N/A,FALSE,"DATA C.I."}</definedName>
    <definedName name="wrn.Test._.Report." localSheetId="27" hidden="1">{#N/A,#N/A,FALSE,"DATA D.I.";#N/A,#N/A,FALSE,"DATA C.I."}</definedName>
    <definedName name="wrn.Test._.Report." localSheetId="4" hidden="1">{#N/A,#N/A,FALSE,"DATA D.I.";#N/A,#N/A,FALSE,"DATA C.I."}</definedName>
    <definedName name="wrn.Test._.Report." localSheetId="32" hidden="1">{#N/A,#N/A,FALSE,"DATA D.I.";#N/A,#N/A,FALSE,"DATA C.I."}</definedName>
    <definedName name="wrn.Test._.Report." localSheetId="24" hidden="1">{#N/A,#N/A,FALSE,"DATA D.I.";#N/A,#N/A,FALSE,"DATA C.I."}</definedName>
    <definedName name="wrn.Test._.Report." localSheetId="26" hidden="1">{#N/A,#N/A,FALSE,"DATA D.I.";#N/A,#N/A,FALSE,"DATA C.I."}</definedName>
    <definedName name="wrn.Test._.Report." hidden="1">{#N/A,#N/A,FALSE,"DATA D.I.";#N/A,#N/A,FALSE,"DATA C.I."}</definedName>
    <definedName name="wrn.WEEKLY." localSheetId="12" hidden="1">{#N/A,#N/A,FALSE,"WRSUMMARY";#N/A,#N/A,FALSE,"ANNEX-1";#N/A,#N/A,FALSE,"ANNEX-2";#N/A,#N/A,FALSE,"ANNEX-3";#N/A,#N/A,FALSE,"WORKING"}</definedName>
    <definedName name="wrn.WEEKLY." localSheetId="6" hidden="1">{#N/A,#N/A,FALSE,"WRSUMMARY";#N/A,#N/A,FALSE,"ANNEX-1";#N/A,#N/A,FALSE,"ANNEX-2";#N/A,#N/A,FALSE,"ANNEX-3";#N/A,#N/A,FALSE,"WORKING"}</definedName>
    <definedName name="wrn.WEEKLY." localSheetId="29" hidden="1">{#N/A,#N/A,FALSE,"WRSUMMARY";#N/A,#N/A,FALSE,"ANNEX-1";#N/A,#N/A,FALSE,"ANNEX-2";#N/A,#N/A,FALSE,"ANNEX-3";#N/A,#N/A,FALSE,"WORKING"}</definedName>
    <definedName name="wrn.WEEKLY." localSheetId="27" hidden="1">{#N/A,#N/A,FALSE,"WRSUMMARY";#N/A,#N/A,FALSE,"ANNEX-1";#N/A,#N/A,FALSE,"ANNEX-2";#N/A,#N/A,FALSE,"ANNEX-3";#N/A,#N/A,FALSE,"WORKING"}</definedName>
    <definedName name="wrn.WEEKLY." localSheetId="4" hidden="1">{#N/A,#N/A,FALSE,"WRSUMMARY";#N/A,#N/A,FALSE,"ANNEX-1";#N/A,#N/A,FALSE,"ANNEX-2";#N/A,#N/A,FALSE,"ANNEX-3";#N/A,#N/A,FALSE,"WORKING"}</definedName>
    <definedName name="wrn.WEEKLY." localSheetId="32" hidden="1">{#N/A,#N/A,FALSE,"WRSUMMARY";#N/A,#N/A,FALSE,"ANNEX-1";#N/A,#N/A,FALSE,"ANNEX-2";#N/A,#N/A,FALSE,"ANNEX-3";#N/A,#N/A,FALSE,"WORKING"}</definedName>
    <definedName name="wrn.WEEKLY." localSheetId="24" hidden="1">{#N/A,#N/A,FALSE,"WRSUMMARY";#N/A,#N/A,FALSE,"ANNEX-1";#N/A,#N/A,FALSE,"ANNEX-2";#N/A,#N/A,FALSE,"ANNEX-3";#N/A,#N/A,FALSE,"WORKING"}</definedName>
    <definedName name="wrn.WEEKLY." localSheetId="26" hidden="1">{#N/A,#N/A,FALSE,"WRSUMMARY";#N/A,#N/A,FALSE,"ANNEX-1";#N/A,#N/A,FALSE,"ANNEX-2";#N/A,#N/A,FALSE,"ANNEX-3";#N/A,#N/A,FALSE,"WORKING"}</definedName>
    <definedName name="wrn.WEEKLY." hidden="1">{#N/A,#N/A,FALSE,"WRSUMMARY";#N/A,#N/A,FALSE,"ANNEX-1";#N/A,#N/A,FALSE,"ANNEX-2";#N/A,#N/A,FALSE,"ANNEX-3";#N/A,#N/A,FALSE,"WORKING"}</definedName>
    <definedName name="WrnBSS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loc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loc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loc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loc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TS" localSheetId="12" hidden="1">{#N/A,#N/A,TRUE,"Config1";#N/A,#N/A,TRUE,"Config2";#N/A,#N/A,TRUE,"Config3";#N/A,#N/A,TRUE,"Config4";#N/A,#N/A,TRUE,"Config5";#N/A,#N/A,TRUE,"Config6";#N/A,#N/A,TRUE,"Config7"}</definedName>
    <definedName name="WrnBTS" hidden="1">{#N/A,#N/A,TRUE,"Config1";#N/A,#N/A,TRUE,"Config2";#N/A,#N/A,TRUE,"Config3";#N/A,#N/A,TRUE,"Config4";#N/A,#N/A,TRUE,"Config5";#N/A,#N/A,TRUE,"Config6";#N/A,#N/A,TRUE,"Config7"}</definedName>
    <definedName name="WrnBTS2" localSheetId="12" hidden="1">{#N/A,#N/A,TRUE,"Config1";#N/A,#N/A,TRUE,"Config2";#N/A,#N/A,TRUE,"Config3";#N/A,#N/A,TRUE,"Config4";#N/A,#N/A,TRUE,"Config5";#N/A,#N/A,TRUE,"Config6";#N/A,#N/A,TRUE,"Config7"}</definedName>
    <definedName name="WrnBTS2" hidden="1">{#N/A,#N/A,TRUE,"Config1";#N/A,#N/A,TRUE,"Config2";#N/A,#N/A,TRUE,"Config3";#N/A,#N/A,TRUE,"Config4";#N/A,#N/A,TRUE,"Config5";#N/A,#N/A,TRUE,"Config6";#N/A,#N/A,TRUE,"Config7"}</definedName>
    <definedName name="WrnDevSynthese" localSheetId="12" hidden="1">{"COST",#N/A,FALSE,"SYNTHESE";"MARGIN",#N/A,FALSE,"SYNTHESE";"LOT_COM",#N/A,FALSE,"SYNTHESE"}</definedName>
    <definedName name="WrnDevSynthese" hidden="1">{"COST",#N/A,FALSE,"SYNTHESE";"MARGIN",#N/A,FALSE,"SYNTHESE";"LOT_COM",#N/A,FALSE,"SYNTHESE"}</definedName>
    <definedName name="WrnDevSynthese2" localSheetId="12" hidden="1">{"COST",#N/A,FALSE,"SYNTHESE";"MARGIN",#N/A,FALSE,"SYNTHESE";"LOT_COM",#N/A,FALSE,"SYNTHESE"}</definedName>
    <definedName name="WrnDevSynthese2" hidden="1">{"COST",#N/A,FALSE,"SYNTHESE";"MARGIN",#N/A,FALSE,"SYNTHESE";"LOT_COM",#N/A,FALSE,"SYNTHESE"}</definedName>
    <definedName name="Ws">#REF!</definedName>
    <definedName name="WT" localSheetId="6">#REF!</definedName>
    <definedName name="WT" localSheetId="29">#REF!</definedName>
    <definedName name="WT" localSheetId="7">#REF!</definedName>
    <definedName name="WT" localSheetId="26">#REF!</definedName>
    <definedName name="WT">#REF!</definedName>
    <definedName name="wt.m">#REF!</definedName>
    <definedName name="Wtan1" localSheetId="6">#REF!</definedName>
    <definedName name="Wtan1" localSheetId="27">#REF!</definedName>
    <definedName name="Wtan1" localSheetId="4">#REF!</definedName>
    <definedName name="Wtan1" localSheetId="32">#REF!</definedName>
    <definedName name="Wtan1" localSheetId="24">#REF!</definedName>
    <definedName name="Wtan1">#REF!</definedName>
    <definedName name="wu" localSheetId="12">#REF!</definedName>
    <definedName name="wu" localSheetId="4">#REF!</definedName>
    <definedName name="wu" localSheetId="32">#REF!</definedName>
    <definedName name="wu" localSheetId="24">#REF!</definedName>
    <definedName name="wu">#REF!</definedName>
    <definedName name="ww" localSheetId="29">#REF!</definedName>
    <definedName name="ww" localSheetId="26">#REF!</definedName>
    <definedName name="ww">#REF!</definedName>
    <definedName name="www" localSheetId="12">#REF!</definedName>
    <definedName name="www" localSheetId="29">#REF!</definedName>
    <definedName name="www" localSheetId="7">#REF!</definedName>
    <definedName name="www" localSheetId="26">#REF!</definedName>
    <definedName name="www">#REF!</definedName>
    <definedName name="wwww" hidden="1">#REF!</definedName>
    <definedName name="Wzone">#REF!</definedName>
    <definedName name="x" localSheetId="29">#REF!</definedName>
    <definedName name="x" localSheetId="26">#REF!</definedName>
    <definedName name="x" localSheetId="2">#REF!</definedName>
    <definedName name="x">#REF!</definedName>
    <definedName name="X_1">"#REF!"</definedName>
    <definedName name="X_2">"#REF!"</definedName>
    <definedName name="X0G" localSheetId="27">#REF!</definedName>
    <definedName name="X0G">#REF!</definedName>
    <definedName name="x1byr1" localSheetId="27">#REF!</definedName>
    <definedName name="x1byr1">#REF!</definedName>
    <definedName name="x1x" localSheetId="12">#REF!</definedName>
    <definedName name="x1x" localSheetId="27">#REF!</definedName>
    <definedName name="x1x" localSheetId="4">#REF!</definedName>
    <definedName name="x1x" localSheetId="32">#REF!</definedName>
    <definedName name="x1x">#REF!</definedName>
    <definedName name="X2G">#REF!</definedName>
    <definedName name="x2x" localSheetId="12">#REF!</definedName>
    <definedName name="x2x" localSheetId="4">#REF!</definedName>
    <definedName name="x2x" localSheetId="32">#REF!</definedName>
    <definedName name="x2x">#REF!</definedName>
    <definedName name="x3x" localSheetId="12">#REF!</definedName>
    <definedName name="x3x" localSheetId="4">#REF!</definedName>
    <definedName name="x3x" localSheetId="32">#REF!</definedName>
    <definedName name="x3x">#REF!</definedName>
    <definedName name="XA">INDEX(#REF!,MATCH(#REF!,#REF!,0))</definedName>
    <definedName name="xab">#REF!</definedName>
    <definedName name="xam" localSheetId="12" hidden="1">{"form-D1",#N/A,FALSE,"FORM-D1";"form-D1_amt",#N/A,FALSE,"FORM-D1"}</definedName>
    <definedName name="xam" hidden="1">{"form-D1",#N/A,FALSE,"FORM-D1";"form-D1_amt",#N/A,FALSE,"FORM-D1"}</definedName>
    <definedName name="XAS" localSheetId="12">INDEX(#REF!,MATCH(#REF!,#REF!,0))</definedName>
    <definedName name="xas">#REF!</definedName>
    <definedName name="XB">INDEX(#REF!,MATCH(#REF!,#REF!,0))</definedName>
    <definedName name="xbc">#REF!</definedName>
    <definedName name="XBS">INDEX(#REF!,MATCH(#REF!,#REF!,0))</definedName>
    <definedName name="xbyr">#REF!</definedName>
    <definedName name="XC" localSheetId="12">INDEX(#REF!,MATCH(#REF!,#REF!,0))</definedName>
    <definedName name="xc" hidden="1">{"form-D1",#N/A,FALSE,"FORM-D1";"form-D1_amt",#N/A,FALSE,"FORM-D1"}</definedName>
    <definedName name="xca">#REF!</definedName>
    <definedName name="XCS">INDEX(#REF!,MATCH(#REF!,#REF!,0))</definedName>
    <definedName name="XD" localSheetId="12">INDEX(#REF!,MATCH(#REF!,#REF!,0))</definedName>
    <definedName name="xd">#REF!</definedName>
    <definedName name="xdfgzx">#REF!</definedName>
    <definedName name="XDS">INDEX(#REF!,MATCH(#REF!,#REF!,0))</definedName>
    <definedName name="XE">INDEX(#REF!,MATCH(#REF!,#REF!,0))</definedName>
    <definedName name="XES">INDEX(#REF!,MATCH(#REF!,#REF!,0))</definedName>
    <definedName name="XF">INDEX(#REF!,MATCH(#REF!,#REF!,0))</definedName>
    <definedName name="XFS">INDEX(#REF!,MATCH(#REF!,#REF!,0))</definedName>
    <definedName name="XG">INDEX(#REF!,MATCH(#REF!,#REF!,0))</definedName>
    <definedName name="XGS">INDEX(#REF!,MATCH(#REF!,#REF!,0))</definedName>
    <definedName name="XH">INDEX(#REF!,MATCH(#REF!,#REF!,0))</definedName>
    <definedName name="XHS">INDEX(#REF!,MATCH(#REF!,#REF!,0))</definedName>
    <definedName name="XI">INDEX(#REF!,MATCH(#REF!,#REF!,0))</definedName>
    <definedName name="xii">#REF!</definedName>
    <definedName name="xiii">#REF!</definedName>
    <definedName name="XIS">INDEX(#REF!,MATCH(#REF!,#REF!,0))</definedName>
    <definedName name="XJ">INDEX(#REF!,MATCH(#REF!,#REF!,0))</definedName>
    <definedName name="XJS">INDEX(#REF!,MATCH(#REF!,#REF!,0))</definedName>
    <definedName name="Xl" localSheetId="29">#REF!</definedName>
    <definedName name="Xl" localSheetId="26">#REF!</definedName>
    <definedName name="Xl">#REF!</definedName>
    <definedName name="Xl___0">#REF!</definedName>
    <definedName name="Xl___13">#REF!</definedName>
    <definedName name="Xm">#REF!</definedName>
    <definedName name="xon">#REF!</definedName>
    <definedName name="xon_1">#REF!</definedName>
    <definedName name="xp">#REF!</definedName>
    <definedName name="xp_1">#REF!</definedName>
    <definedName name="XR">#REF!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1yyyyyyyy" hidden="1">#REF!</definedName>
    <definedName name="XREF_COLUMN_2" hidden="1">#REF!</definedName>
    <definedName name="XREF_COLUMN_20" hidden="1">#REF!</definedName>
    <definedName name="XREF_COLUMN_21" hidden="1">#REF!</definedName>
    <definedName name="XREF_COLUMN_2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20</definedName>
    <definedName name="XRefCopy1" localSheetId="6" hidden="1">#REF!</definedName>
    <definedName name="XRefCopy1" localSheetId="29" hidden="1">#REF!</definedName>
    <definedName name="XRefCopy1" localSheetId="24" hidden="1">#REF!</definedName>
    <definedName name="XRefCopy1" localSheetId="26" hidden="1">#REF!</definedName>
    <definedName name="XRefCopy1" hidden="1">#REF!</definedName>
    <definedName name="XRefCopy10" localSheetId="6" hidden="1">#REF!</definedName>
    <definedName name="XRefCopy10" localSheetId="29" hidden="1">#REF!</definedName>
    <definedName name="XRefCopy10" localSheetId="26" hidden="1">#REF!</definedName>
    <definedName name="XRefCopy10" hidden="1">#REF!</definedName>
    <definedName name="XRefCopy10Row" localSheetId="6" hidden="1">#REF!</definedName>
    <definedName name="XRefCopy10Row" localSheetId="29" hidden="1">#REF!</definedName>
    <definedName name="XRefCopy10Row" localSheetId="26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8" hidden="1">#REF!</definedName>
    <definedName name="XRefCopy59" hidden="1">#REF!</definedName>
    <definedName name="XRefCopy59Row" hidden="1">#REF!</definedName>
    <definedName name="XRefCopy5Row" hidden="1">#REF!</definedName>
    <definedName name="XRefCopy6" hidden="1">#REF!</definedName>
    <definedName name="XRefCopy60" hidden="1">#REF!</definedName>
    <definedName name="XRefCopy60Row" hidden="1">#REF!</definedName>
    <definedName name="XRefCopy62" hidden="1">#REF!</definedName>
    <definedName name="XRefCopy62Row" hidden="1">#REF!</definedName>
    <definedName name="XRefCopy63" hidden="1">#REF!</definedName>
    <definedName name="XRefCopy63Row" hidden="1">#REF!</definedName>
    <definedName name="XRefCopy64" hidden="1">#REF!</definedName>
    <definedName name="XRefCopy64Row" hidden="1">#REF!</definedName>
    <definedName name="XRefCopy65" hidden="1">#REF!</definedName>
    <definedName name="XRefCopy65Row" hidden="1">#REF!</definedName>
    <definedName name="XRefCopy68" hidden="1">#REF!</definedName>
    <definedName name="XRefCopy68Row" hidden="1">#REF!</definedName>
    <definedName name="XRefCopy69" hidden="1">#REF!</definedName>
    <definedName name="XRefCopy69Row" hidden="1">#REF!</definedName>
    <definedName name="XRefCopy6Row" hidden="1">#REF!</definedName>
    <definedName name="XRefCopy7" hidden="1">#REF!</definedName>
    <definedName name="XRefCopy70" hidden="1">#REF!</definedName>
    <definedName name="XRefCopy70Row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56</definedName>
    <definedName name="XRefPaste10" localSheetId="6" hidden="1">#REF!</definedName>
    <definedName name="XRefPaste10" localSheetId="29" hidden="1">#REF!</definedName>
    <definedName name="XRefPaste10" localSheetId="24" hidden="1">#REF!</definedName>
    <definedName name="XRefPaste10" localSheetId="26" hidden="1">#REF!</definedName>
    <definedName name="XRefPaste10" hidden="1">#REF!</definedName>
    <definedName name="XRefPaste10Row" localSheetId="6" hidden="1">#REF!</definedName>
    <definedName name="XRefPaste10Row" localSheetId="29" hidden="1">#REF!</definedName>
    <definedName name="XRefPaste10Row" localSheetId="26" hidden="1">#REF!</definedName>
    <definedName name="XRefPaste10Row" hidden="1">#REF!</definedName>
    <definedName name="XRefPaste11" localSheetId="6" hidden="1">#REF!</definedName>
    <definedName name="XRefPaste11" localSheetId="29" hidden="1">#REF!</definedName>
    <definedName name="XRefPaste11" localSheetId="26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Row" hidden="1">#REF!</definedName>
    <definedName name="XRefPaste45Row" hidden="1">#REF!</definedName>
    <definedName name="XRefPaste4Row" hidden="1">#REF!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45</definedName>
    <definedName name="xs">#REF!</definedName>
    <definedName name="Xso">#REF!</definedName>
    <definedName name="xt">#REF!</definedName>
    <definedName name="XX" localSheetId="12">#REF!</definedName>
    <definedName name="XX" localSheetId="6">#REF!</definedName>
    <definedName name="XX" localSheetId="29">#REF!</definedName>
    <definedName name="XX" localSheetId="24">#REF!</definedName>
    <definedName name="XX" localSheetId="26">#REF!</definedName>
    <definedName name="XX">#REF!</definedName>
    <definedName name="xxh02" localSheetId="12">#REF!</definedName>
    <definedName name="xxh02">#REF!</definedName>
    <definedName name="xxh03" localSheetId="12">#REF!</definedName>
    <definedName name="xxh03">#REF!</definedName>
    <definedName name="XXX" localSheetId="12">#REF!</definedName>
    <definedName name="xxx" localSheetId="6">#REF!</definedName>
    <definedName name="xxx" localSheetId="4">#REF!</definedName>
    <definedName name="xxx" localSheetId="32">#REF!</definedName>
    <definedName name="xxx">#REF!</definedName>
    <definedName name="XXXX">#REF!</definedName>
    <definedName name="XXXXX">#REF!</definedName>
    <definedName name="xy">#REF!</definedName>
    <definedName name="XYZ" localSheetId="6">#REF!</definedName>
    <definedName name="XYZ">#REF!</definedName>
    <definedName name="xyz_1">#REF!</definedName>
    <definedName name="xzq">#REF!</definedName>
    <definedName name="XZZ">#REF!</definedName>
    <definedName name="y" hidden="1">#REF!</definedName>
    <definedName name="y_strainer">#REF!</definedName>
    <definedName name="Y_STUB">#REF!,#REF!,#REF!,#REF!,#REF!,#REF!</definedName>
    <definedName name="Y0">#REF!</definedName>
    <definedName name="YA">INDEX(#REF!,MATCH(#REF!,#REF!,0))</definedName>
    <definedName name="YAS">INDEX(#REF!,MATCH(#REF!,#REF!,0))</definedName>
    <definedName name="YB">INDEX(#REF!,MATCH(#REF!,#REF!,0))</definedName>
    <definedName name="YBS">INDEX(#REF!,MATCH(#REF!,#REF!,0))</definedName>
    <definedName name="YC">INDEX(#REF!,MATCH(#REF!,#REF!,0))</definedName>
    <definedName name="YCS">INDEX(#REF!,MATCH(#REF!,#REF!,0))</definedName>
    <definedName name="YD">INDEX(#REF!,MATCH(#REF!,#REF!,0))</definedName>
    <definedName name="YDS">INDEX(#REF!,MATCH(#REF!,#REF!,0))</definedName>
    <definedName name="YE">INDEX(#REF!,MATCH(#REF!,#REF!,0))</definedName>
    <definedName name="Yen" localSheetId="12">#REF!</definedName>
    <definedName name="Yen" localSheetId="29">#REF!</definedName>
    <definedName name="Yen" localSheetId="26">#REF!</definedName>
    <definedName name="Yen">#REF!</definedName>
    <definedName name="YES" localSheetId="12">INDEX(#REF!,MATCH(#REF!,#REF!,0))</definedName>
    <definedName name="yes">#REF!</definedName>
    <definedName name="YF">INDEX(#REF!,MATCH(#REF!,#REF!,0))</definedName>
    <definedName name="YFS">INDEX(#REF!,MATCH(#REF!,#REF!,0))</definedName>
    <definedName name="YG" localSheetId="12">INDEX(#REF!,MATCH(#REF!,#REF!,0))</definedName>
    <definedName name="YG">#REF!</definedName>
    <definedName name="ygk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njg">#REF!</definedName>
    <definedName name="YGS">INDEX(#REF!,MATCH(#REF!,#REF!,0))</definedName>
    <definedName name="YH">INDEX(#REF!,MATCH(#REF!,#REF!,0))</definedName>
    <definedName name="yhh" localSheetId="27">#REF!</definedName>
    <definedName name="yhh">#REF!</definedName>
    <definedName name="YHS">INDEX(#REF!,MATCH(#REF!,#REF!,0))</definedName>
    <definedName name="YI">INDEX(#REF!,MATCH(#REF!,#REF!,0))</definedName>
    <definedName name="YIS">INDEX(#REF!,MATCH(#REF!,#REF!,0))</definedName>
    <definedName name="yit" localSheetId="12">#REF!</definedName>
    <definedName name="yit" localSheetId="27">#REF!</definedName>
    <definedName name="yit" localSheetId="4">#REF!</definedName>
    <definedName name="yit" localSheetId="32">#REF!</definedName>
    <definedName name="yit">#REF!</definedName>
    <definedName name="YJ">INDEX(#REF!,MATCH(#REF!,#REF!,0))</definedName>
    <definedName name="YJS">INDEX(#REF!,MATCH(#REF!,#REF!,0))</definedName>
    <definedName name="yRNG">#REF!</definedName>
    <definedName name="yRNG1">#REF!</definedName>
    <definedName name="yry" localSheetId="12">#REF!</definedName>
    <definedName name="yry" localSheetId="27">#REF!</definedName>
    <definedName name="yry" localSheetId="4">#REF!</definedName>
    <definedName name="yry" localSheetId="32">#REF!</definedName>
    <definedName name="yry">#REF!</definedName>
    <definedName name="ys">#REF!</definedName>
    <definedName name="ysat" localSheetId="6">#REF!</definedName>
    <definedName name="ysat" localSheetId="27">#REF!</definedName>
    <definedName name="ysat" localSheetId="4">#REF!</definedName>
    <definedName name="ysat" localSheetId="32">#REF!</definedName>
    <definedName name="ysat" localSheetId="24">#REF!</definedName>
    <definedName name="ysat">#REF!</definedName>
    <definedName name="ysub" localSheetId="6">#REF!</definedName>
    <definedName name="ysub" localSheetId="27">#REF!</definedName>
    <definedName name="ysub" localSheetId="4">#REF!</definedName>
    <definedName name="ysub" localSheetId="32">#REF!</definedName>
    <definedName name="ysub" localSheetId="24">#REF!</definedName>
    <definedName name="ysub">#REF!</definedName>
    <definedName name="yt5ft">#REF!</definedName>
    <definedName name="yt6565d">#REF!</definedName>
    <definedName name="ytfytfvg">#REF!</definedName>
    <definedName name="ytrui">#REF!</definedName>
    <definedName name="yu">#REF!</definedName>
    <definedName name="yut6">#REF!</definedName>
    <definedName name="yy" localSheetId="6">#REF!</definedName>
    <definedName name="yy" localSheetId="29">#REF!</definedName>
    <definedName name="yy" localSheetId="26">#REF!</definedName>
    <definedName name="yy">#REF!</definedName>
    <definedName name="yyy" localSheetId="12">#REF!</definedName>
    <definedName name="yyy" localSheetId="6" hidden="1">{"'PROFITABILITY'!$A$1:$F$45"}</definedName>
    <definedName name="yyy" localSheetId="29" hidden="1">{"'PROFITABILITY'!$A$1:$F$45"}</definedName>
    <definedName name="yyy" localSheetId="27" hidden="1">{"'PROFITABILITY'!$A$1:$F$45"}</definedName>
    <definedName name="yyy" localSheetId="4" hidden="1">{"'PROFITABILITY'!$A$1:$F$45"}</definedName>
    <definedName name="yyy" localSheetId="32" hidden="1">{"'PROFITABILITY'!$A$1:$F$45"}</definedName>
    <definedName name="yyy" localSheetId="24" hidden="1">{"'PROFITABILITY'!$A$1:$F$45"}</definedName>
    <definedName name="yyy" localSheetId="26" hidden="1">{"'PROFITABILITY'!$A$1:$F$45"}</definedName>
    <definedName name="yyy" hidden="1">{"'PROFITABILITY'!$A$1:$F$45"}</definedName>
    <definedName name="yyy1" localSheetId="12" hidden="1">{"'PROFITABILITY'!$A$1:$F$45"}</definedName>
    <definedName name="yyy1" localSheetId="6" hidden="1">{"'PROFITABILITY'!$A$1:$F$45"}</definedName>
    <definedName name="yyy1" localSheetId="29" hidden="1">{"'PROFITABILITY'!$A$1:$F$45"}</definedName>
    <definedName name="yyy1" localSheetId="27" hidden="1">{"'PROFITABILITY'!$A$1:$F$45"}</definedName>
    <definedName name="yyy1" localSheetId="4" hidden="1">{"'PROFITABILITY'!$A$1:$F$45"}</definedName>
    <definedName name="yyy1" localSheetId="32" hidden="1">{"'PROFITABILITY'!$A$1:$F$45"}</definedName>
    <definedName name="yyy1" localSheetId="24" hidden="1">{"'PROFITABILITY'!$A$1:$F$45"}</definedName>
    <definedName name="yyy1" localSheetId="26" hidden="1">{"'PROFITABILITY'!$A$1:$F$45"}</definedName>
    <definedName name="yyy1" hidden="1">{"'PROFITABILITY'!$A$1:$F$45"}</definedName>
    <definedName name="yyyyyyyyyyy">#REF!</definedName>
    <definedName name="yzw4">#REF!</definedName>
    <definedName name="Z" localSheetId="12">#REF!</definedName>
    <definedName name="z" localSheetId="6" hidden="1">{"'PROFITABILITY'!$A$1:$F$45"}</definedName>
    <definedName name="z" localSheetId="29" hidden="1">{"'PROFITABILITY'!$A$1:$F$45"}</definedName>
    <definedName name="z" localSheetId="27" hidden="1">{"'PROFITABILITY'!$A$1:$F$45"}</definedName>
    <definedName name="z" localSheetId="4" hidden="1">{"'PROFITABILITY'!$A$1:$F$45"}</definedName>
    <definedName name="z" localSheetId="32" hidden="1">{"'PROFITABILITY'!$A$1:$F$45"}</definedName>
    <definedName name="Z" localSheetId="24">#REF!</definedName>
    <definedName name="z" localSheetId="26" hidden="1">{"'PROFITABILITY'!$A$1:$F$45"}</definedName>
    <definedName name="z" hidden="1">{"'PROFITABILITY'!$A$1:$F$45"}</definedName>
    <definedName name="z_1">#REF!</definedName>
    <definedName name="Z_87FC2C73_120F_4A0A_A49E_0CF96AAB3E9C_.wvu.FilterData" hidden="1">#REF!</definedName>
    <definedName name="Z0">#REF!</definedName>
    <definedName name="z0at">#REF!</definedName>
    <definedName name="Z0eq138">#REF!</definedName>
    <definedName name="Z0eq4.16">#REF!</definedName>
    <definedName name="Z0G">#REF!</definedName>
    <definedName name="Z0p">#REF!</definedName>
    <definedName name="Z0ps">#REF!</definedName>
    <definedName name="Z0s">#REF!</definedName>
    <definedName name="Z0So">#REF!</definedName>
    <definedName name="Z0t">#REF!</definedName>
    <definedName name="Z1A">#REF!</definedName>
    <definedName name="z1at">#REF!</definedName>
    <definedName name="Z1eq138">#REF!</definedName>
    <definedName name="Z1eq4.16">#REF!</definedName>
    <definedName name="Z1G">#REF!</definedName>
    <definedName name="Z1p">#REF!</definedName>
    <definedName name="Z1ps">#REF!</definedName>
    <definedName name="Z1s">#REF!</definedName>
    <definedName name="Z1so">#REF!</definedName>
    <definedName name="Z1t">#REF!</definedName>
    <definedName name="Z1x">#REF!</definedName>
    <definedName name="Z1y">#REF!</definedName>
    <definedName name="Z2A">#REF!</definedName>
    <definedName name="z2at">#REF!</definedName>
    <definedName name="Z2eq138">#REF!</definedName>
    <definedName name="Z2eq4.16">#REF!</definedName>
    <definedName name="Z2G">#REF!</definedName>
    <definedName name="Z2p">#REF!</definedName>
    <definedName name="Z2ps">#REF!</definedName>
    <definedName name="Z2s">#REF!</definedName>
    <definedName name="Z2So">#REF!</definedName>
    <definedName name="Z2t">#REF!</definedName>
    <definedName name="Z2x">#REF!</definedName>
    <definedName name="z2y">#REF!</definedName>
    <definedName name="ZA" localSheetId="12">INDEX(#REF!,MATCH(#REF!,#REF!,0))</definedName>
    <definedName name="za" localSheetId="4">#REF!</definedName>
    <definedName name="za" localSheetId="32">#REF!</definedName>
    <definedName name="za">#REF!</definedName>
    <definedName name="ZAA" localSheetId="12">#REF!</definedName>
    <definedName name="ZAA">#REF!</definedName>
    <definedName name="zae" localSheetId="12">#REF!</definedName>
    <definedName name="zae">#REF!</definedName>
    <definedName name="ZAS">INDEX(#REF!,MATCH(#REF!,#REF!,0))</definedName>
    <definedName name="ZB">INDEX(#REF!,MATCH(#REF!,#REF!,0))</definedName>
    <definedName name="Zbat">#REF!</definedName>
    <definedName name="ZBS">INDEX(#REF!,MATCH(#REF!,#REF!,0))</definedName>
    <definedName name="ZC">INDEX(#REF!,MATCH(#REF!,#REF!,0))</definedName>
    <definedName name="Zch">#REF!</definedName>
    <definedName name="ZCS">INDEX(#REF!,MATCH(#REF!,#REF!,0))</definedName>
    <definedName name="zcvnsfgf" localSheetId="6">#REF!</definedName>
    <definedName name="zcvnsfgf" localSheetId="27">#REF!</definedName>
    <definedName name="zcvnsfgf" localSheetId="4">#REF!</definedName>
    <definedName name="zcvnsfgf" localSheetId="32">#REF!</definedName>
    <definedName name="zcvnsfgf" localSheetId="24">#REF!</definedName>
    <definedName name="zcvnsfgf">#REF!</definedName>
    <definedName name="ZD">INDEX(#REF!,MATCH(#REF!,#REF!,0))</definedName>
    <definedName name="zdr">#REF!</definedName>
    <definedName name="ZDS">INDEX(#REF!,MATCH(#REF!,#REF!,0))</definedName>
    <definedName name="ZE" localSheetId="12">INDEX(#REF!,MATCH(#REF!,#REF!,0))</definedName>
    <definedName name="Ze" localSheetId="24">#REF!</definedName>
    <definedName name="Ze">#REF!</definedName>
    <definedName name="zed">#REF!</definedName>
    <definedName name="zed_1">#REF!</definedName>
    <definedName name="Zeq00.48" localSheetId="24">#REF!</definedName>
    <definedName name="Zeq00.48">#REF!</definedName>
    <definedName name="zeq10.48">#REF!</definedName>
    <definedName name="Zeq20.48">#REF!</definedName>
    <definedName name="ZES" localSheetId="12">INDEX(#REF!,MATCH(#REF!,#REF!,0))</definedName>
    <definedName name="zes">#REF!</definedName>
    <definedName name="zet0">#REF!</definedName>
    <definedName name="zet75">#REF!</definedName>
    <definedName name="zeta">#REF!</definedName>
    <definedName name="ZF">INDEX(#REF!,MATCH(#REF!,#REF!,0))</definedName>
    <definedName name="ZFS">INDEX(#REF!,MATCH(#REF!,#REF!,0))</definedName>
    <definedName name="ZG" localSheetId="12">INDEX(#REF!,MATCH(#REF!,#REF!,0))</definedName>
    <definedName name="ZG">#REF!</definedName>
    <definedName name="Zgm">#REF!</definedName>
    <definedName name="ZGS">INDEX(#REF!,MATCH(#REF!,#REF!,0))</definedName>
    <definedName name="ZH" localSheetId="12">INDEX(#REF!,MATCH(#REF!,#REF!,0))</definedName>
    <definedName name="Zh">#REF!</definedName>
    <definedName name="ZHS">INDEX(#REF!,MATCH(#REF!,#REF!,0))</definedName>
    <definedName name="ZI">INDEX(#REF!,MATCH(#REF!,#REF!,0))</definedName>
    <definedName name="Zip">#REF!</definedName>
    <definedName name="ZIS">INDEX(#REF!,MATCH(#REF!,#REF!,0))</definedName>
    <definedName name="ZJ">INDEX(#REF!,MATCH(#REF!,#REF!,0))</definedName>
    <definedName name="ZJS">INDEX(#REF!,MATCH(#REF!,#REF!,0))</definedName>
    <definedName name="Zl" localSheetId="12">#REF!</definedName>
    <definedName name="zl" localSheetId="29">#REF!</definedName>
    <definedName name="zl" localSheetId="26">#REF!</definedName>
    <definedName name="zl">#REF!</definedName>
    <definedName name="zl___0">#REF!</definedName>
    <definedName name="zl___13">#REF!</definedName>
    <definedName name="ZlL">#REF!</definedName>
    <definedName name="zlpu">#REF!</definedName>
    <definedName name="zlpu___0">#REF!</definedName>
    <definedName name="zlpu___13">#REF!</definedName>
    <definedName name="Zm" localSheetId="12">#REF!</definedName>
    <definedName name="Zm" localSheetId="4">#REF!</definedName>
    <definedName name="Zm" localSheetId="32">#REF!</definedName>
    <definedName name="Zm">#REF!</definedName>
    <definedName name="znDonnéesRelais">#REF!</definedName>
    <definedName name="zngr">#REF!</definedName>
    <definedName name="znTypesRelais">#REF!</definedName>
    <definedName name="Zo">#REF!</definedName>
    <definedName name="Zone_impres_MI">#REF!</definedName>
    <definedName name="zp">#REF!</definedName>
    <definedName name="Zps">#REF!</definedName>
    <definedName name="zpsb">#REF!</definedName>
    <definedName name="Zpt">#REF!</definedName>
    <definedName name="zptb">#REF!</definedName>
    <definedName name="ZR">#REF!</definedName>
    <definedName name="zs">#REF!</definedName>
    <definedName name="zs___0">#REF!</definedName>
    <definedName name="zs___13">#REF!</definedName>
    <definedName name="ZS0">#REF!</definedName>
    <definedName name="zsdfgzsd">#REF!</definedName>
    <definedName name="zsdfs">#REF!</definedName>
    <definedName name="zsdfzds">#REF!</definedName>
    <definedName name="zsdrfsdz">#REF!</definedName>
    <definedName name="zsdvz">#REF!</definedName>
    <definedName name="zsdzsd">#REF!</definedName>
    <definedName name="Zsec">#REF!</definedName>
    <definedName name="ZSo">#REF!</definedName>
    <definedName name="Zspan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ssderr">#REF!</definedName>
    <definedName name="Zst">#REF!</definedName>
    <definedName name="zstb">#REF!</definedName>
    <definedName name="zsxfdfg">#REF!</definedName>
    <definedName name="Zt">#REF!</definedName>
    <definedName name="ztpu">#REF!</definedName>
    <definedName name="ztpu___0">#REF!</definedName>
    <definedName name="ztpu___13">#REF!</definedName>
    <definedName name="zUI228">#REF!</definedName>
    <definedName name="Zusammenfassung">#REF!</definedName>
    <definedName name="zx">#REF!</definedName>
    <definedName name="zxc">#REF!</definedName>
    <definedName name="zxdfgzd">#REF!</definedName>
    <definedName name="ZY" localSheetId="12">#REF!</definedName>
    <definedName name="ZY">#REF!</definedName>
    <definedName name="ZY___0">#REF!</definedName>
    <definedName name="ZY___13">#REF!</definedName>
    <definedName name="zz" localSheetId="12">#REF!</definedName>
    <definedName name="zz" localSheetId="4">#REF!</definedName>
    <definedName name="zz" localSheetId="32">#REF!</definedName>
    <definedName name="zz">#REF!</definedName>
    <definedName name="zzz" localSheetId="12">#REF!</definedName>
    <definedName name="ZZZ" localSheetId="6" hidden="1">{"'PROFITABILITY'!$A$1:$F$45"}</definedName>
    <definedName name="ZZZ" localSheetId="29" hidden="1">{"'PROFITABILITY'!$A$1:$F$45"}</definedName>
    <definedName name="ZZZ" localSheetId="27" hidden="1">{"'PROFITABILITY'!$A$1:$F$45"}</definedName>
    <definedName name="ZZZ" localSheetId="4" hidden="1">{"'PROFITABILITY'!$A$1:$F$45"}</definedName>
    <definedName name="ZZZ" localSheetId="32" hidden="1">{"'PROFITABILITY'!$A$1:$F$45"}</definedName>
    <definedName name="ZZZ" localSheetId="24" hidden="1">{"'PROFITABILITY'!$A$1:$F$45"}</definedName>
    <definedName name="ZZZ" localSheetId="26" hidden="1">{"'PROFITABILITY'!$A$1:$F$45"}</definedName>
    <definedName name="ZZZ" hidden="1">{"'PROFITABILITY'!$A$1:$F$45"}</definedName>
    <definedName name="ZZZZ">#REF!</definedName>
    <definedName name="zzzzzz">#REF!</definedName>
    <definedName name="π">PI()</definedName>
    <definedName name="ガス_灯油混焼" localSheetId="6">#REF!</definedName>
    <definedName name="ガス_灯油混焼" localSheetId="29">#REF!</definedName>
    <definedName name="ガス_灯油混焼" localSheetId="24">#REF!</definedName>
    <definedName name="ガス_灯油混焼" localSheetId="26">#REF!</definedName>
    <definedName name="ガス_灯油混焼">#REF!</definedName>
    <definedName name="صص">#N/A</definedName>
    <definedName name="قغغغ">#N/A</definedName>
    <definedName name="كبرببح">#N/A</definedName>
    <definedName name="محكنج">#N/A</definedName>
    <definedName name="نتمهحت">#N/A</definedName>
    <definedName name="يثظثتكنم">#N/A</definedName>
    <definedName name="ينتثيمنثي">#N/A</definedName>
    <definedName name="ينمتاستا">#N/A</definedName>
    <definedName name="간경1" localSheetId="6">#REF!</definedName>
    <definedName name="간경1" localSheetId="29">#REF!</definedName>
    <definedName name="간경1" localSheetId="24">#REF!</definedName>
    <definedName name="간경1" localSheetId="26">#REF!</definedName>
    <definedName name="간경1">#REF!</definedName>
    <definedName name="간경2" localSheetId="6">#REF!</definedName>
    <definedName name="간경2" localSheetId="29">#REF!</definedName>
    <definedName name="간경2" localSheetId="26">#REF!</definedName>
    <definedName name="간경2">#REF!</definedName>
    <definedName name="간경3" localSheetId="6">#REF!</definedName>
    <definedName name="간경3">#REF!</definedName>
    <definedName name="간경4">#REF!</definedName>
    <definedName name="간노1">#REF!</definedName>
    <definedName name="간노2">#REF!</definedName>
    <definedName name="간재">#REF!</definedName>
    <definedName name="감가">#REF!</definedName>
    <definedName name="건축">#REF!</definedName>
    <definedName name="견적비교">#REF!</definedName>
    <definedName name="결산정리">#REF!</definedName>
    <definedName name="결산조정계정">#REF!</definedName>
    <definedName name="계정">#REF!</definedName>
    <definedName name="공">#REF!</definedName>
    <definedName name="공장">#REF!</definedName>
    <definedName name="공종">#REF!</definedName>
    <definedName name="관급" localSheetId="6">#REF!,#REF!,#REF!</definedName>
    <definedName name="관급" localSheetId="29">#REF!,#REF!,#REF!</definedName>
    <definedName name="관급" localSheetId="27">#REF!,#REF!,#REF!</definedName>
    <definedName name="관급" localSheetId="26">#REF!,#REF!,#REF!</definedName>
    <definedName name="관급">#REF!,#REF!,#REF!</definedName>
    <definedName name="구분" localSheetId="6">#REF!</definedName>
    <definedName name="구분" localSheetId="29">#REF!</definedName>
    <definedName name="구분" localSheetId="24">#REF!</definedName>
    <definedName name="구분" localSheetId="26">#REF!</definedName>
    <definedName name="구분">#REF!</definedName>
    <definedName name="기계" localSheetId="6">#REF!</definedName>
    <definedName name="기계" localSheetId="29">#REF!</definedName>
    <definedName name="기계" localSheetId="26">#REF!</definedName>
    <definedName name="기계">#REF!</definedName>
    <definedName name="기타" localSheetId="6">#REF!</definedName>
    <definedName name="기타" localSheetId="29">#REF!</definedName>
    <definedName name="기타" localSheetId="26">#REF!</definedName>
    <definedName name="기타">#REF!</definedName>
    <definedName name="ㄷ1">#REF!</definedName>
    <definedName name="단가비교">#N/A</definedName>
    <definedName name="단가비교표" localSheetId="6">#REF!,#REF!</definedName>
    <definedName name="단가비교표" localSheetId="29">#REF!,#REF!</definedName>
    <definedName name="단가비교표" localSheetId="24">#REF!,#REF!</definedName>
    <definedName name="단가비교표" localSheetId="26">#REF!,#REF!</definedName>
    <definedName name="단가비교표">#REF!,#REF!</definedName>
    <definedName name="도면외주" localSheetId="6" hidden="1">#REF!</definedName>
    <definedName name="도면외주" localSheetId="29" hidden="1">#REF!</definedName>
    <definedName name="도면외주" localSheetId="24" hidden="1">#REF!</definedName>
    <definedName name="도면외주" localSheetId="26" hidden="1">#REF!</definedName>
    <definedName name="도면외주" hidden="1">#REF!</definedName>
    <definedName name="도면용역비" localSheetId="6" hidden="1">#REF!</definedName>
    <definedName name="도면용역비" localSheetId="29" hidden="1">#REF!</definedName>
    <definedName name="도면용역비" localSheetId="26" hidden="1">#REF!</definedName>
    <definedName name="도면용역비" hidden="1">#REF!</definedName>
    <definedName name="리리리" localSheetId="6">#REF!,#REF!,#REF!</definedName>
    <definedName name="리리리" localSheetId="29">#REF!,#REF!,#REF!</definedName>
    <definedName name="리리리" localSheetId="24">#REF!,#REF!,#REF!</definedName>
    <definedName name="리리리" localSheetId="26">#REF!,#REF!,#REF!</definedName>
    <definedName name="리리리">#REF!,#REF!,#REF!</definedName>
    <definedName name="ㅁ1" localSheetId="6">#REF!</definedName>
    <definedName name="ㅁ1" localSheetId="29">#REF!</definedName>
    <definedName name="ㅁ1" localSheetId="24">#REF!</definedName>
    <definedName name="ㅁ1" localSheetId="26">#REF!</definedName>
    <definedName name="ㅁ1">#REF!</definedName>
    <definedName name="버티">#N/A</definedName>
    <definedName name="부대공사" localSheetId="6" hidden="1">#REF!</definedName>
    <definedName name="부대공사" localSheetId="29" hidden="1">#REF!</definedName>
    <definedName name="부대공사" localSheetId="24" hidden="1">#REF!</definedName>
    <definedName name="부대공사" localSheetId="26" hidden="1">#REF!</definedName>
    <definedName name="부대공사" hidden="1">#REF!</definedName>
    <definedName name="사외" localSheetId="6">#REF!</definedName>
    <definedName name="사외" localSheetId="29">#REF!</definedName>
    <definedName name="사외" localSheetId="26">#REF!</definedName>
    <definedName name="사외">#REF!</definedName>
    <definedName name="사진" localSheetId="6">#REF!</definedName>
    <definedName name="사진" localSheetId="29">#REF!</definedName>
    <definedName name="사진" localSheetId="26">#REF!</definedName>
    <definedName name="사진">#REF!</definedName>
    <definedName name="소모비">#REF!</definedName>
    <definedName name="ㅇ191">#REF!</definedName>
    <definedName name="약수">#N/A</definedName>
    <definedName name="원가" localSheetId="6">#REF!</definedName>
    <definedName name="원가" localSheetId="29">#REF!</definedName>
    <definedName name="원가" localSheetId="24">#REF!</definedName>
    <definedName name="원가" localSheetId="26">#REF!</definedName>
    <definedName name="원가">#REF!</definedName>
    <definedName name="월별영업" localSheetId="6">#REF!</definedName>
    <definedName name="월별영업" localSheetId="29">#REF!</definedName>
    <definedName name="월별영업" localSheetId="26">#REF!</definedName>
    <definedName name="월별영업">#REF!</definedName>
    <definedName name="인원" localSheetId="6">#REF!</definedName>
    <definedName name="인원" localSheetId="29">#REF!</definedName>
    <definedName name="인원" localSheetId="26">#REF!</definedName>
    <definedName name="인원">#REF!</definedName>
    <definedName name="일위" localSheetId="6">#REF!,#REF!</definedName>
    <definedName name="일위" localSheetId="29">#REF!,#REF!</definedName>
    <definedName name="일위" localSheetId="24">#REF!,#REF!</definedName>
    <definedName name="일위" localSheetId="26">#REF!,#REF!</definedName>
    <definedName name="일위">#REF!,#REF!</definedName>
    <definedName name="임용태">#N/A</definedName>
    <definedName name="작업계획" localSheetId="6">#REF!</definedName>
    <definedName name="작업계획" localSheetId="29">#REF!</definedName>
    <definedName name="작업계획" localSheetId="24">#REF!</definedName>
    <definedName name="작업계획" localSheetId="26">#REF!</definedName>
    <definedName name="작업계획">#REF!</definedName>
    <definedName name="전" localSheetId="6">#REF!</definedName>
    <definedName name="전" localSheetId="29">#REF!</definedName>
    <definedName name="전" localSheetId="26">#REF!</definedName>
    <definedName name="전">#REF!</definedName>
    <definedName name="전계장금액" localSheetId="6" hidden="1">#REF!</definedName>
    <definedName name="전계장금액" localSheetId="29" hidden="1">#REF!</definedName>
    <definedName name="전계장금액" localSheetId="26" hidden="1">#REF!</definedName>
    <definedName name="전계장금액" hidden="1">#REF!</definedName>
    <definedName name="전기계장">#REF!</definedName>
    <definedName name="전체" localSheetId="29">#REF!</definedName>
    <definedName name="전체" localSheetId="26">#REF!</definedName>
    <definedName name="전체" localSheetId="2">#REF!</definedName>
    <definedName name="전체">#REF!</definedName>
    <definedName name="조직">#REF!</definedName>
    <definedName name="조직1">#REF!</definedName>
    <definedName name="주택사업본부">#REF!</definedName>
    <definedName name="중기">#REF!</definedName>
    <definedName name="직노">#REF!</definedName>
    <definedName name="철구사업본부">#REF!</definedName>
    <definedName name="추가분" localSheetId="12" hidden="1">{"'장비'!$A$3:$M$12"}</definedName>
    <definedName name="추가분" localSheetId="6" hidden="1">{"'장비'!$A$3:$M$12"}</definedName>
    <definedName name="추가분" localSheetId="29" hidden="1">{"'장비'!$A$3:$M$12"}</definedName>
    <definedName name="추가분" localSheetId="27" hidden="1">{"'장비'!$A$3:$M$12"}</definedName>
    <definedName name="추가분" localSheetId="4" hidden="1">{"'장비'!$A$3:$M$12"}</definedName>
    <definedName name="추가분" localSheetId="32" hidden="1">{"'장비'!$A$3:$M$12"}</definedName>
    <definedName name="추가분" localSheetId="24" hidden="1">{"'장비'!$A$3:$M$12"}</definedName>
    <definedName name="추가분" localSheetId="26" hidden="1">{"'장비'!$A$3:$M$12"}</definedName>
    <definedName name="추가분" hidden="1">{"'장비'!$A$3:$M$12"}</definedName>
    <definedName name="토목">#REF!</definedName>
    <definedName name="토목1">#REF!</definedName>
    <definedName name="토목변경" localSheetId="12" hidden="1">{"'장비'!$A$3:$M$12"}</definedName>
    <definedName name="토목변경" localSheetId="6" hidden="1">{"'장비'!$A$3:$M$12"}</definedName>
    <definedName name="토목변경" localSheetId="29" hidden="1">{"'장비'!$A$3:$M$12"}</definedName>
    <definedName name="토목변경" localSheetId="27" hidden="1">{"'장비'!$A$3:$M$12"}</definedName>
    <definedName name="토목변경" localSheetId="4" hidden="1">{"'장비'!$A$3:$M$12"}</definedName>
    <definedName name="토목변경" localSheetId="32" hidden="1">{"'장비'!$A$3:$M$12"}</definedName>
    <definedName name="토목변경" localSheetId="24" hidden="1">{"'장비'!$A$3:$M$12"}</definedName>
    <definedName name="토목변경" localSheetId="26" hidden="1">{"'장비'!$A$3:$M$12"}</definedName>
    <definedName name="토목변경" hidden="1">{"'장비'!$A$3:$M$12"}</definedName>
    <definedName name="토목실행예산" localSheetId="12" hidden="1">{"'장비'!$A$3:$M$12"}</definedName>
    <definedName name="토목실행예산" localSheetId="6" hidden="1">{"'장비'!$A$3:$M$12"}</definedName>
    <definedName name="토목실행예산" localSheetId="29" hidden="1">{"'장비'!$A$3:$M$12"}</definedName>
    <definedName name="토목실행예산" localSheetId="27" hidden="1">{"'장비'!$A$3:$M$12"}</definedName>
    <definedName name="토목실행예산" localSheetId="4" hidden="1">{"'장비'!$A$3:$M$12"}</definedName>
    <definedName name="토목실행예산" localSheetId="32" hidden="1">{"'장비'!$A$3:$M$12"}</definedName>
    <definedName name="토목실행예산" localSheetId="24" hidden="1">{"'장비'!$A$3:$M$12"}</definedName>
    <definedName name="토목실행예산" localSheetId="26" hidden="1">{"'장비'!$A$3:$M$12"}</definedName>
    <definedName name="토목실행예산" hidden="1">{"'장비'!$A$3:$M$12"}</definedName>
    <definedName name="토목조정분" localSheetId="12" hidden="1">{"'장비'!$A$3:$M$12"}</definedName>
    <definedName name="토목조정분" localSheetId="6" hidden="1">{"'장비'!$A$3:$M$12"}</definedName>
    <definedName name="토목조정분" localSheetId="29" hidden="1">{"'장비'!$A$3:$M$12"}</definedName>
    <definedName name="토목조정분" localSheetId="27" hidden="1">{"'장비'!$A$3:$M$12"}</definedName>
    <definedName name="토목조정분" localSheetId="4" hidden="1">{"'장비'!$A$3:$M$12"}</definedName>
    <definedName name="토목조정분" localSheetId="32" hidden="1">{"'장비'!$A$3:$M$12"}</definedName>
    <definedName name="토목조정분" localSheetId="24" hidden="1">{"'장비'!$A$3:$M$12"}</definedName>
    <definedName name="토목조정분" localSheetId="26" hidden="1">{"'장비'!$A$3:$M$12"}</definedName>
    <definedName name="토목조정분" hidden="1">{"'장비'!$A$3:$M$12"}</definedName>
    <definedName name="표지1">#REF!</definedName>
    <definedName name="한강진">#N/A</definedName>
    <definedName name="후_담당간사에게_제출한다." localSheetId="6">#REF!</definedName>
    <definedName name="후_담당간사에게_제출한다." localSheetId="29">#REF!</definedName>
    <definedName name="후_담당간사에게_제출한다." localSheetId="24">#REF!</definedName>
    <definedName name="후_담당간사에게_제출한다." localSheetId="26">#REF!</definedName>
    <definedName name="후_담당간사에게_제출한다.">#REF!</definedName>
    <definedName name="ㅣ814" localSheetId="6">#REF!</definedName>
    <definedName name="ㅣ814" localSheetId="29">#REF!</definedName>
    <definedName name="ㅣ814" localSheetId="26">#REF!</definedName>
    <definedName name="ㅣ814">#REF!</definedName>
    <definedName name="ㅣ833" localSheetId="6">#REF!</definedName>
    <definedName name="ㅣ833" localSheetId="29">#REF!</definedName>
    <definedName name="ㅣ833" localSheetId="26">#REF!</definedName>
    <definedName name="ㅣ833">#REF!</definedName>
    <definedName name="中操ｹｰﾌﾞﾙ処理室">#REF!</definedName>
    <definedName name="内运保险系数">#REF!</definedName>
    <definedName name="内运系数">#REF!</definedName>
    <definedName name="加工裕度">#REF!</definedName>
    <definedName name="合計">#REF!</definedName>
    <definedName name="外内运_外内保">#REF!</definedName>
    <definedName name="外运保险">#REF!</definedName>
    <definedName name="外运保险系数">#REF!</definedName>
    <definedName name="外运系数">#REF!</definedName>
    <definedName name="小計">#REF!</definedName>
    <definedName name="材料費">#REF!</definedName>
    <definedName name="直接経費">#REF!</definedName>
    <definedName name="金具系数">#REF!</definedName>
    <definedName name="铁塔单价">#REF!</definedName>
    <definedName name="铁塔安装">#REF!</definedName>
    <definedName name="間接費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99" l="1"/>
  <c r="D15" i="99"/>
  <c r="H17" i="26"/>
  <c r="I17" i="26"/>
  <c r="H16" i="26"/>
  <c r="E44" i="46"/>
  <c r="F44" i="46"/>
  <c r="D16" i="26"/>
  <c r="E16" i="26"/>
  <c r="F45" i="46"/>
  <c r="F46" i="46" s="1"/>
  <c r="F47" i="46" s="1"/>
  <c r="I46" i="46"/>
  <c r="L45" i="46"/>
  <c r="E7" i="99"/>
  <c r="D7" i="99"/>
  <c r="C7" i="99"/>
  <c r="H4" i="43"/>
  <c r="E47" i="46"/>
  <c r="R43" i="46"/>
  <c r="J16" i="26" l="1"/>
  <c r="K16" i="26" s="1"/>
  <c r="I43" i="46"/>
  <c r="I45" i="46"/>
  <c r="H45" i="46" s="1"/>
  <c r="A138" i="96"/>
  <c r="A139" i="96" s="1"/>
  <c r="A140" i="96" s="1"/>
  <c r="A141" i="96" s="1"/>
  <c r="H19" i="26"/>
  <c r="F25" i="48" l="1"/>
  <c r="K22" i="48"/>
  <c r="J22" i="48"/>
  <c r="H22" i="48"/>
  <c r="D14" i="99" l="1"/>
  <c r="I51" i="49"/>
  <c r="H173" i="50" l="1"/>
  <c r="R41" i="46"/>
  <c r="H18" i="26" l="1"/>
  <c r="I41" i="46" l="1"/>
  <c r="I42" i="46"/>
  <c r="C211" i="50"/>
  <c r="H200" i="50"/>
  <c r="E14" i="26"/>
  <c r="B278" i="45"/>
  <c r="B277" i="45"/>
  <c r="B276" i="45"/>
  <c r="B275" i="45"/>
  <c r="E19" i="26"/>
  <c r="E18" i="26"/>
  <c r="E17" i="26"/>
  <c r="E15" i="26"/>
  <c r="E12" i="26"/>
  <c r="E42" i="46" l="1"/>
  <c r="R42" i="46" s="1"/>
  <c r="K21" i="48"/>
  <c r="J21" i="48"/>
  <c r="E274" i="45"/>
  <c r="G273" i="45"/>
  <c r="H208" i="50" l="1"/>
  <c r="H205" i="50"/>
  <c r="H194" i="50"/>
  <c r="H21" i="48" l="1"/>
  <c r="H210" i="50" l="1"/>
  <c r="H209" i="50"/>
  <c r="G20" i="48"/>
  <c r="E39" i="46"/>
  <c r="R39" i="46" s="1"/>
  <c r="C210" i="50"/>
  <c r="C209" i="50"/>
  <c r="C197" i="50"/>
  <c r="E46" i="46"/>
  <c r="D13" i="99" s="1"/>
  <c r="H207" i="50"/>
  <c r="H206" i="50"/>
  <c r="E40" i="46"/>
  <c r="R40" i="46" s="1"/>
  <c r="I37" i="46" l="1"/>
  <c r="H37" i="46" s="1"/>
  <c r="I38" i="46"/>
  <c r="H38" i="46" s="1"/>
  <c r="E36" i="46"/>
  <c r="R36" i="46" s="1"/>
  <c r="E37" i="46"/>
  <c r="R37" i="46" s="1"/>
  <c r="C207" i="50"/>
  <c r="C206" i="50"/>
  <c r="H2" i="99" l="1"/>
  <c r="C205" i="50"/>
  <c r="G263" i="45"/>
  <c r="I34" i="46"/>
  <c r="H34" i="46" s="1"/>
  <c r="I4" i="95"/>
  <c r="I3" i="95" s="1"/>
  <c r="J4" i="95"/>
  <c r="J3" i="95" s="1"/>
  <c r="G261" i="45"/>
  <c r="F262" i="45" s="1"/>
  <c r="G262" i="45" s="1"/>
  <c r="E45" i="46"/>
  <c r="D11" i="99" l="1"/>
  <c r="I33" i="46"/>
  <c r="AQ98" i="81"/>
  <c r="G17" i="26"/>
  <c r="G18" i="26" s="1"/>
  <c r="E34" i="46" l="1"/>
  <c r="R34" i="46" s="1"/>
  <c r="E38" i="46" l="1"/>
  <c r="R38" i="46" s="1"/>
  <c r="A6" i="98"/>
  <c r="A7" i="98" s="1"/>
  <c r="A8" i="98" s="1"/>
  <c r="A9" i="98" s="1"/>
  <c r="A10" i="98" s="1"/>
  <c r="A11" i="98" s="1"/>
  <c r="A12" i="98" s="1"/>
  <c r="A13" i="98" s="1"/>
  <c r="A14" i="98" s="1"/>
  <c r="A15" i="98" s="1"/>
  <c r="A16" i="98" s="1"/>
  <c r="A17" i="98" s="1"/>
  <c r="A18" i="98" s="1"/>
  <c r="A19" i="98" s="1"/>
  <c r="A20" i="98" s="1"/>
  <c r="A21" i="98" s="1"/>
  <c r="A22" i="98" s="1"/>
  <c r="A23" i="98" s="1"/>
  <c r="A24" i="98" s="1"/>
  <c r="A25" i="98" s="1"/>
  <c r="A26" i="98" s="1"/>
  <c r="A27" i="98" s="1"/>
  <c r="A28" i="98" s="1"/>
  <c r="A29" i="98" s="1"/>
  <c r="A30" i="98" s="1"/>
  <c r="A31" i="98" s="1"/>
  <c r="A32" i="98" s="1"/>
  <c r="A33" i="98" s="1"/>
  <c r="A34" i="98" s="1"/>
  <c r="A35" i="98" s="1"/>
  <c r="A36" i="98" s="1"/>
  <c r="A37" i="98" s="1"/>
  <c r="A38" i="98" s="1"/>
  <c r="A39" i="98" s="1"/>
  <c r="A40" i="98" s="1"/>
  <c r="A41" i="98" s="1"/>
  <c r="A42" i="98" s="1"/>
  <c r="A43" i="98" s="1"/>
  <c r="A44" i="98" s="1"/>
  <c r="A45" i="98" s="1"/>
  <c r="A46" i="98" s="1"/>
  <c r="A47" i="98" s="1"/>
  <c r="A48" i="98" s="1"/>
  <c r="A49" i="98" s="1"/>
  <c r="A50" i="98" s="1"/>
  <c r="A51" i="98" s="1"/>
  <c r="A52" i="98" s="1"/>
  <c r="A53" i="98" s="1"/>
  <c r="A54" i="98" s="1"/>
  <c r="A55" i="98" s="1"/>
  <c r="A56" i="98" s="1"/>
  <c r="A57" i="98" s="1"/>
  <c r="A58" i="98" s="1"/>
  <c r="A59" i="98" s="1"/>
  <c r="A60" i="98" s="1"/>
  <c r="A61" i="98" s="1"/>
  <c r="A62" i="98" s="1"/>
  <c r="A63" i="98" s="1"/>
  <c r="A64" i="98" s="1"/>
  <c r="A65" i="98" s="1"/>
  <c r="A66" i="98" s="1"/>
  <c r="A67" i="98" s="1"/>
  <c r="A68" i="98" s="1"/>
  <c r="A69" i="98" s="1"/>
  <c r="A70" i="98" s="1"/>
  <c r="A71" i="98" s="1"/>
  <c r="A72" i="98" s="1"/>
  <c r="A73" i="98" s="1"/>
  <c r="A74" i="98" s="1"/>
  <c r="A75" i="98" s="1"/>
  <c r="A76" i="98" s="1"/>
  <c r="A77" i="98" s="1"/>
  <c r="A78" i="98" s="1"/>
  <c r="A79" i="98" s="1"/>
  <c r="A80" i="98" s="1"/>
  <c r="A81" i="98" s="1"/>
  <c r="A82" i="98" s="1"/>
  <c r="A83" i="98" s="1"/>
  <c r="A84" i="98" s="1"/>
  <c r="A85" i="98" s="1"/>
  <c r="A86" i="98" s="1"/>
  <c r="A87" i="98" s="1"/>
  <c r="A88" i="98" s="1"/>
  <c r="A89" i="98" s="1"/>
  <c r="A90" i="98" s="1"/>
  <c r="A91" i="98" s="1"/>
  <c r="A92" i="98" s="1"/>
  <c r="A93" i="98" s="1"/>
  <c r="A94" i="98" s="1"/>
  <c r="A95" i="98" s="1"/>
  <c r="A96" i="98" s="1"/>
  <c r="A97" i="98" s="1"/>
  <c r="A98" i="98" s="1"/>
  <c r="A99" i="98" s="1"/>
  <c r="I3" i="98"/>
  <c r="A2" i="98"/>
  <c r="N32" i="46"/>
  <c r="I7" i="97" l="1"/>
  <c r="I6" i="97"/>
  <c r="F7" i="97"/>
  <c r="F6" i="97"/>
  <c r="E7" i="97"/>
  <c r="J7" i="97" s="1"/>
  <c r="E6" i="97"/>
  <c r="A100" i="98" l="1"/>
  <c r="A101" i="98" s="1"/>
  <c r="A102" i="98" s="1"/>
  <c r="A103" i="98" s="1"/>
  <c r="A104" i="98" s="1"/>
  <c r="E5" i="97"/>
  <c r="J6" i="97"/>
  <c r="M6" i="97"/>
  <c r="E83" i="97"/>
  <c r="D83" i="97"/>
  <c r="C83" i="97"/>
  <c r="B83" i="97"/>
  <c r="G82" i="97"/>
  <c r="F82" i="97"/>
  <c r="G81" i="97"/>
  <c r="G83" i="97" s="1"/>
  <c r="F81" i="97"/>
  <c r="F83" i="97" s="1"/>
  <c r="C76" i="97"/>
  <c r="C75" i="97"/>
  <c r="I73" i="97"/>
  <c r="G73" i="97"/>
  <c r="G74" i="97" s="1"/>
  <c r="F73" i="97"/>
  <c r="C73" i="97"/>
  <c r="J72" i="97"/>
  <c r="H72" i="97"/>
  <c r="A72" i="97"/>
  <c r="J71" i="97"/>
  <c r="H71" i="97"/>
  <c r="A71" i="97"/>
  <c r="J70" i="97"/>
  <c r="H70" i="97"/>
  <c r="A70" i="97"/>
  <c r="J69" i="97"/>
  <c r="H69" i="97"/>
  <c r="A69" i="97"/>
  <c r="J68" i="97"/>
  <c r="H68" i="97"/>
  <c r="A68" i="97"/>
  <c r="J67" i="97"/>
  <c r="H67" i="97"/>
  <c r="A67" i="97"/>
  <c r="J66" i="97"/>
  <c r="H66" i="97"/>
  <c r="A66" i="97"/>
  <c r="J65" i="97"/>
  <c r="H65" i="97"/>
  <c r="A65" i="97"/>
  <c r="J64" i="97"/>
  <c r="H64" i="97"/>
  <c r="A64" i="97"/>
  <c r="J63" i="97"/>
  <c r="H63" i="97"/>
  <c r="A63" i="97"/>
  <c r="J62" i="97"/>
  <c r="H62" i="97"/>
  <c r="A62" i="97"/>
  <c r="J61" i="97"/>
  <c r="H61" i="97"/>
  <c r="A61" i="97"/>
  <c r="J60" i="97"/>
  <c r="H60" i="97"/>
  <c r="A60" i="97"/>
  <c r="J59" i="97"/>
  <c r="H59" i="97"/>
  <c r="A59" i="97"/>
  <c r="J58" i="97"/>
  <c r="H58" i="97"/>
  <c r="A58" i="97"/>
  <c r="J57" i="97"/>
  <c r="H57" i="97"/>
  <c r="A57" i="97"/>
  <c r="J56" i="97"/>
  <c r="H56" i="97"/>
  <c r="A56" i="97"/>
  <c r="J55" i="97"/>
  <c r="H55" i="97"/>
  <c r="A55" i="97"/>
  <c r="J54" i="97"/>
  <c r="H54" i="97"/>
  <c r="A54" i="97"/>
  <c r="J53" i="97"/>
  <c r="H53" i="97"/>
  <c r="A53" i="97"/>
  <c r="J52" i="97"/>
  <c r="H52" i="97"/>
  <c r="A52" i="97"/>
  <c r="J51" i="97"/>
  <c r="H51" i="97"/>
  <c r="A51" i="97"/>
  <c r="J50" i="97"/>
  <c r="H50" i="97"/>
  <c r="A50" i="97"/>
  <c r="J49" i="97"/>
  <c r="H49" i="97"/>
  <c r="A49" i="97"/>
  <c r="J48" i="97"/>
  <c r="H48" i="97"/>
  <c r="A48" i="97"/>
  <c r="J47" i="97"/>
  <c r="H47" i="97"/>
  <c r="A47" i="97"/>
  <c r="J46" i="97"/>
  <c r="H46" i="97"/>
  <c r="A46" i="97"/>
  <c r="J45" i="97"/>
  <c r="H45" i="97"/>
  <c r="A45" i="97"/>
  <c r="J44" i="97"/>
  <c r="H44" i="97"/>
  <c r="A44" i="97"/>
  <c r="J43" i="97"/>
  <c r="H43" i="97"/>
  <c r="A43" i="97"/>
  <c r="J42" i="97"/>
  <c r="H42" i="97"/>
  <c r="A42" i="97"/>
  <c r="J41" i="97"/>
  <c r="H41" i="97"/>
  <c r="A41" i="97"/>
  <c r="J40" i="97"/>
  <c r="H40" i="97"/>
  <c r="A40" i="97"/>
  <c r="J39" i="97"/>
  <c r="H39" i="97"/>
  <c r="A39" i="97"/>
  <c r="J38" i="97"/>
  <c r="H38" i="97"/>
  <c r="A38" i="97"/>
  <c r="J37" i="97"/>
  <c r="H37" i="97"/>
  <c r="A37" i="97"/>
  <c r="J36" i="97"/>
  <c r="H36" i="97"/>
  <c r="A36" i="97"/>
  <c r="J35" i="97"/>
  <c r="H35" i="97"/>
  <c r="A35" i="97"/>
  <c r="J34" i="97"/>
  <c r="H34" i="97"/>
  <c r="A34" i="97"/>
  <c r="J33" i="97"/>
  <c r="H33" i="97"/>
  <c r="A33" i="97"/>
  <c r="J32" i="97"/>
  <c r="H32" i="97"/>
  <c r="A32" i="97"/>
  <c r="J31" i="97"/>
  <c r="H31" i="97"/>
  <c r="A31" i="97"/>
  <c r="J30" i="97"/>
  <c r="H30" i="97"/>
  <c r="A30" i="97"/>
  <c r="J29" i="97"/>
  <c r="H29" i="97"/>
  <c r="A29" i="97"/>
  <c r="J28" i="97"/>
  <c r="H28" i="97"/>
  <c r="A28" i="97"/>
  <c r="J27" i="97"/>
  <c r="H27" i="97"/>
  <c r="A27" i="97"/>
  <c r="J26" i="97"/>
  <c r="H26" i="97"/>
  <c r="A26" i="97"/>
  <c r="J25" i="97"/>
  <c r="H25" i="97"/>
  <c r="A25" i="97"/>
  <c r="J24" i="97"/>
  <c r="H24" i="97"/>
  <c r="A24" i="97"/>
  <c r="J23" i="97"/>
  <c r="H23" i="97"/>
  <c r="A23" i="97"/>
  <c r="J22" i="97"/>
  <c r="H22" i="97"/>
  <c r="A22" i="97"/>
  <c r="J21" i="97"/>
  <c r="H21" i="97"/>
  <c r="A21" i="97"/>
  <c r="J20" i="97"/>
  <c r="H20" i="97"/>
  <c r="A20" i="97"/>
  <c r="J19" i="97"/>
  <c r="H19" i="97"/>
  <c r="A19" i="97"/>
  <c r="J18" i="97"/>
  <c r="H18" i="97"/>
  <c r="A18" i="97"/>
  <c r="J17" i="97"/>
  <c r="H17" i="97"/>
  <c r="A17" i="97"/>
  <c r="J16" i="97"/>
  <c r="H16" i="97"/>
  <c r="A16" i="97"/>
  <c r="J15" i="97"/>
  <c r="H15" i="97"/>
  <c r="A15" i="97"/>
  <c r="J14" i="97"/>
  <c r="H14" i="97"/>
  <c r="A14" i="97"/>
  <c r="J13" i="97"/>
  <c r="H13" i="97"/>
  <c r="A13" i="97"/>
  <c r="J12" i="97"/>
  <c r="H12" i="97"/>
  <c r="A12" i="97"/>
  <c r="J11" i="97"/>
  <c r="H11" i="97"/>
  <c r="A11" i="97"/>
  <c r="M7" i="97"/>
  <c r="D7" i="97"/>
  <c r="N7" i="97" s="1"/>
  <c r="F5" i="97"/>
  <c r="D5" i="97"/>
  <c r="G5" i="97" l="1"/>
  <c r="H73" i="97"/>
  <c r="J73" i="97"/>
  <c r="G7" i="97"/>
  <c r="D6" i="97"/>
  <c r="C77" i="97"/>
  <c r="C17" i="26"/>
  <c r="H7" i="26"/>
  <c r="J7" i="26" s="1"/>
  <c r="K7" i="26" s="1"/>
  <c r="D17" i="26"/>
  <c r="D18" i="26"/>
  <c r="D19" i="26"/>
  <c r="J8" i="26"/>
  <c r="N6" i="97" l="1"/>
  <c r="G6" i="97"/>
  <c r="L6" i="46"/>
  <c r="L7" i="46"/>
  <c r="G46" i="83" l="1"/>
  <c r="F46" i="83"/>
  <c r="E46" i="83"/>
  <c r="J3" i="45"/>
  <c r="K4" i="95"/>
  <c r="K3" i="95" s="1"/>
  <c r="F200" i="45" l="1"/>
  <c r="G200" i="45" s="1"/>
  <c r="H192" i="50" l="1"/>
  <c r="H196" i="50"/>
  <c r="H202" i="50"/>
  <c r="H204" i="50"/>
  <c r="H203" i="50"/>
  <c r="C196" i="50" l="1"/>
  <c r="C195" i="50"/>
  <c r="C194" i="50"/>
  <c r="C204" i="50"/>
  <c r="C203" i="50"/>
  <c r="C202" i="50"/>
  <c r="C201" i="50"/>
  <c r="C200" i="50"/>
  <c r="C199" i="50"/>
  <c r="C198" i="50"/>
  <c r="C193" i="50"/>
  <c r="C192" i="50"/>
  <c r="C191" i="50"/>
  <c r="J15" i="26" l="1"/>
  <c r="K15" i="26" s="1"/>
  <c r="A6" i="96"/>
  <c r="A7" i="96" s="1"/>
  <c r="A8" i="96" s="1"/>
  <c r="A9" i="96" s="1"/>
  <c r="A10" i="96" s="1"/>
  <c r="A11" i="96" s="1"/>
  <c r="A12" i="96" s="1"/>
  <c r="A13" i="96" s="1"/>
  <c r="A14" i="96" s="1"/>
  <c r="A15" i="96" s="1"/>
  <c r="A16" i="96" s="1"/>
  <c r="A17" i="96" s="1"/>
  <c r="A18" i="96" s="1"/>
  <c r="A19" i="96" s="1"/>
  <c r="A20" i="96" s="1"/>
  <c r="A21" i="96" s="1"/>
  <c r="A22" i="96" s="1"/>
  <c r="A23" i="96" s="1"/>
  <c r="A24" i="96" s="1"/>
  <c r="A25" i="96" s="1"/>
  <c r="A26" i="96" s="1"/>
  <c r="A27" i="96" s="1"/>
  <c r="A28" i="96" s="1"/>
  <c r="A29" i="96" s="1"/>
  <c r="A30" i="96" s="1"/>
  <c r="A31" i="96" s="1"/>
  <c r="A32" i="96" s="1"/>
  <c r="A33" i="96" s="1"/>
  <c r="A34" i="96" s="1"/>
  <c r="A35" i="96" s="1"/>
  <c r="A36" i="96" s="1"/>
  <c r="A37" i="96" s="1"/>
  <c r="A38" i="96" s="1"/>
  <c r="A39" i="96" s="1"/>
  <c r="A40" i="96" s="1"/>
  <c r="A41" i="96" s="1"/>
  <c r="A42" i="96" s="1"/>
  <c r="A43" i="96" s="1"/>
  <c r="A44" i="96" s="1"/>
  <c r="A45" i="96" s="1"/>
  <c r="A46" i="96" s="1"/>
  <c r="A47" i="96" s="1"/>
  <c r="A48" i="96" s="1"/>
  <c r="A49" i="96" s="1"/>
  <c r="A50" i="96" s="1"/>
  <c r="A51" i="96" s="1"/>
  <c r="A52" i="96" s="1"/>
  <c r="A53" i="96" s="1"/>
  <c r="A54" i="96" s="1"/>
  <c r="A55" i="96" s="1"/>
  <c r="A56" i="96" s="1"/>
  <c r="A57" i="96" s="1"/>
  <c r="A58" i="96" s="1"/>
  <c r="A59" i="96" s="1"/>
  <c r="A60" i="96" s="1"/>
  <c r="A61" i="96" s="1"/>
  <c r="A62" i="96" s="1"/>
  <c r="A63" i="96" s="1"/>
  <c r="A64" i="96" s="1"/>
  <c r="A65" i="96" s="1"/>
  <c r="A66" i="96" s="1"/>
  <c r="A67" i="96" s="1"/>
  <c r="A68" i="96" s="1"/>
  <c r="A69" i="96" s="1"/>
  <c r="A70" i="96" s="1"/>
  <c r="A71" i="96" s="1"/>
  <c r="A72" i="96" s="1"/>
  <c r="A73" i="96" s="1"/>
  <c r="A74" i="96" s="1"/>
  <c r="A75" i="96" s="1"/>
  <c r="A76" i="96" s="1"/>
  <c r="A77" i="96" s="1"/>
  <c r="A78" i="96" s="1"/>
  <c r="A79" i="96" s="1"/>
  <c r="A80" i="96" s="1"/>
  <c r="A81" i="96" s="1"/>
  <c r="A82" i="96" s="1"/>
  <c r="A83" i="96" s="1"/>
  <c r="A84" i="96" s="1"/>
  <c r="A85" i="96" s="1"/>
  <c r="A86" i="96" s="1"/>
  <c r="A87" i="96" s="1"/>
  <c r="A88" i="96" s="1"/>
  <c r="A89" i="96" s="1"/>
  <c r="A90" i="96" s="1"/>
  <c r="A91" i="96" s="1"/>
  <c r="A92" i="96" s="1"/>
  <c r="A93" i="96" s="1"/>
  <c r="A94" i="96" s="1"/>
  <c r="A95" i="96" s="1"/>
  <c r="A96" i="96" s="1"/>
  <c r="A97" i="96" s="1"/>
  <c r="A98" i="96" s="1"/>
  <c r="A99" i="96" s="1"/>
  <c r="A100" i="96" s="1"/>
  <c r="A101" i="96" s="1"/>
  <c r="A102" i="96" s="1"/>
  <c r="A103" i="96" s="1"/>
  <c r="A104" i="96" s="1"/>
  <c r="A105" i="96" s="1"/>
  <c r="A106" i="96" s="1"/>
  <c r="A107" i="96" s="1"/>
  <c r="A108" i="96" s="1"/>
  <c r="A109" i="96" s="1"/>
  <c r="A110" i="96" s="1"/>
  <c r="A111" i="96" s="1"/>
  <c r="A112" i="96" s="1"/>
  <c r="A113" i="96" s="1"/>
  <c r="A114" i="96" s="1"/>
  <c r="A115" i="96" s="1"/>
  <c r="A116" i="96" s="1"/>
  <c r="A117" i="96" s="1"/>
  <c r="A118" i="96" s="1"/>
  <c r="A119" i="96" s="1"/>
  <c r="A120" i="96" s="1"/>
  <c r="A121" i="96" s="1"/>
  <c r="A122" i="96" s="1"/>
  <c r="A123" i="96" s="1"/>
  <c r="A124" i="96" s="1"/>
  <c r="A125" i="96" s="1"/>
  <c r="A126" i="96" s="1"/>
  <c r="A127" i="96" s="1"/>
  <c r="A128" i="96" s="1"/>
  <c r="A129" i="96" s="1"/>
  <c r="A130" i="96" s="1"/>
  <c r="A131" i="96" s="1"/>
  <c r="A132" i="96" s="1"/>
  <c r="A133" i="96" s="1"/>
  <c r="A134" i="96" s="1"/>
  <c r="A135" i="96" s="1"/>
  <c r="A136" i="96" s="1"/>
  <c r="A137" i="96" s="1"/>
  <c r="I3" i="96" l="1"/>
  <c r="A2" i="96"/>
  <c r="A2" i="49"/>
  <c r="E33" i="46"/>
  <c r="E32" i="46"/>
  <c r="R33" i="46" l="1"/>
  <c r="R32" i="46"/>
  <c r="I31" i="46"/>
  <c r="H31" i="46" s="1"/>
  <c r="AQ2" i="81" l="1"/>
  <c r="A312" i="95" l="1"/>
  <c r="A311" i="95"/>
  <c r="A310" i="95"/>
  <c r="A309" i="95"/>
  <c r="A308" i="95"/>
  <c r="A307" i="95"/>
  <c r="A306" i="95"/>
  <c r="A305" i="95"/>
  <c r="A304" i="95"/>
  <c r="A303" i="95"/>
  <c r="A302" i="95"/>
  <c r="A301" i="95"/>
  <c r="A300" i="95"/>
  <c r="A299" i="95"/>
  <c r="A298" i="95"/>
  <c r="A297" i="95"/>
  <c r="A296" i="95"/>
  <c r="A295" i="95"/>
  <c r="A294" i="95"/>
  <c r="A293" i="95"/>
  <c r="A292" i="95"/>
  <c r="A291" i="95"/>
  <c r="A290" i="95"/>
  <c r="A289" i="95"/>
  <c r="A288" i="95"/>
  <c r="A287" i="95"/>
  <c r="A286" i="95"/>
  <c r="A285" i="95"/>
  <c r="A284" i="95"/>
  <c r="A283" i="95"/>
  <c r="A282" i="95"/>
  <c r="A281" i="95"/>
  <c r="A280" i="95"/>
  <c r="A279" i="95"/>
  <c r="A278" i="95"/>
  <c r="A277" i="95"/>
  <c r="A276" i="95"/>
  <c r="A275" i="95"/>
  <c r="A274" i="95"/>
  <c r="A273" i="95"/>
  <c r="A272" i="95"/>
  <c r="A271" i="95"/>
  <c r="A270" i="95"/>
  <c r="A269" i="95"/>
  <c r="A268" i="95"/>
  <c r="A267" i="95"/>
  <c r="A266" i="95"/>
  <c r="A265" i="95"/>
  <c r="A264" i="95"/>
  <c r="A263" i="95"/>
  <c r="A262" i="95"/>
  <c r="A261" i="95"/>
  <c r="A260" i="95"/>
  <c r="A259" i="95"/>
  <c r="A258" i="95"/>
  <c r="A257" i="95"/>
  <c r="A256" i="95"/>
  <c r="A255" i="95"/>
  <c r="A254" i="95"/>
  <c r="A253" i="95"/>
  <c r="A252" i="95"/>
  <c r="A251" i="95"/>
  <c r="A250" i="95"/>
  <c r="A249" i="95"/>
  <c r="A248" i="95"/>
  <c r="A247" i="95"/>
  <c r="A246" i="95"/>
  <c r="A245" i="95"/>
  <c r="A244" i="95"/>
  <c r="A243" i="95"/>
  <c r="A242" i="95"/>
  <c r="A241" i="95"/>
  <c r="A240" i="95"/>
  <c r="A239" i="95"/>
  <c r="A238" i="95"/>
  <c r="A237" i="95"/>
  <c r="A236" i="95"/>
  <c r="A235" i="95"/>
  <c r="A234" i="95"/>
  <c r="A233" i="95"/>
  <c r="A232" i="95"/>
  <c r="A231" i="95"/>
  <c r="A230" i="95"/>
  <c r="A229" i="95"/>
  <c r="A228" i="95"/>
  <c r="A227" i="95"/>
  <c r="A226" i="95"/>
  <c r="A225" i="95"/>
  <c r="A224" i="95"/>
  <c r="A223" i="95"/>
  <c r="A222" i="95"/>
  <c r="A221" i="95"/>
  <c r="A220" i="95"/>
  <c r="A219" i="95"/>
  <c r="A218" i="95"/>
  <c r="A217" i="95"/>
  <c r="A216" i="95"/>
  <c r="A215" i="95"/>
  <c r="A214" i="95"/>
  <c r="A213" i="95"/>
  <c r="A212" i="95"/>
  <c r="A211" i="95"/>
  <c r="A210" i="95"/>
  <c r="A209" i="95"/>
  <c r="A208" i="95"/>
  <c r="A207" i="95"/>
  <c r="A206" i="95"/>
  <c r="A205" i="95"/>
  <c r="A204" i="95"/>
  <c r="A203" i="95"/>
  <c r="A202" i="95"/>
  <c r="A201" i="95"/>
  <c r="A200" i="95"/>
  <c r="A199" i="95"/>
  <c r="A198" i="95"/>
  <c r="A197" i="95"/>
  <c r="A196" i="95"/>
  <c r="A195" i="95"/>
  <c r="A194" i="95"/>
  <c r="A193" i="95"/>
  <c r="A192" i="95"/>
  <c r="A191" i="95"/>
  <c r="A190" i="95"/>
  <c r="A189" i="95"/>
  <c r="A188" i="95"/>
  <c r="A187" i="95"/>
  <c r="A186" i="95"/>
  <c r="A185" i="95"/>
  <c r="A184" i="95"/>
  <c r="A183" i="95"/>
  <c r="A182" i="95"/>
  <c r="A181" i="95"/>
  <c r="A180" i="95"/>
  <c r="A179" i="95"/>
  <c r="A178" i="95"/>
  <c r="A177" i="95"/>
  <c r="A176" i="95"/>
  <c r="A175" i="95"/>
  <c r="A174" i="95"/>
  <c r="A173" i="95"/>
  <c r="A172" i="95"/>
  <c r="A171" i="95"/>
  <c r="A170" i="95"/>
  <c r="A169" i="95"/>
  <c r="A168" i="95"/>
  <c r="A167" i="95"/>
  <c r="A166" i="95"/>
  <c r="A165" i="95"/>
  <c r="A164" i="95"/>
  <c r="A163" i="95"/>
  <c r="A162" i="95"/>
  <c r="A161" i="95"/>
  <c r="A160" i="95"/>
  <c r="A159" i="95"/>
  <c r="A158" i="95"/>
  <c r="A157" i="95"/>
  <c r="A156" i="95"/>
  <c r="A155" i="95"/>
  <c r="A154" i="95"/>
  <c r="A153" i="95"/>
  <c r="A152" i="95"/>
  <c r="A151" i="95"/>
  <c r="A150" i="95"/>
  <c r="A149" i="95"/>
  <c r="A148" i="95"/>
  <c r="A147" i="95"/>
  <c r="A146" i="95"/>
  <c r="A145" i="95"/>
  <c r="A144" i="95"/>
  <c r="A143" i="95"/>
  <c r="A142" i="95"/>
  <c r="A141" i="95"/>
  <c r="A140" i="95"/>
  <c r="A139" i="95"/>
  <c r="A138" i="95"/>
  <c r="A137" i="95"/>
  <c r="A136" i="95"/>
  <c r="A135" i="95"/>
  <c r="A134" i="95"/>
  <c r="A133" i="95"/>
  <c r="A132" i="95"/>
  <c r="A131" i="95"/>
  <c r="A130" i="95"/>
  <c r="A129" i="95"/>
  <c r="A128" i="95"/>
  <c r="A127" i="95"/>
  <c r="A126" i="95"/>
  <c r="A125" i="95"/>
  <c r="A124" i="95"/>
  <c r="A123" i="95"/>
  <c r="A122" i="95"/>
  <c r="A121" i="95"/>
  <c r="A120" i="95"/>
  <c r="A119" i="95"/>
  <c r="A118" i="95"/>
  <c r="A117" i="95"/>
  <c r="A116" i="95"/>
  <c r="A115" i="95"/>
  <c r="A114" i="95"/>
  <c r="A113" i="95"/>
  <c r="A112" i="95"/>
  <c r="A111" i="95"/>
  <c r="A110" i="95"/>
  <c r="A109" i="95"/>
  <c r="A108" i="95"/>
  <c r="A107" i="95"/>
  <c r="A106" i="95"/>
  <c r="A105" i="95"/>
  <c r="A104" i="95"/>
  <c r="A103" i="95"/>
  <c r="A102" i="95"/>
  <c r="A101" i="95"/>
  <c r="A100" i="95"/>
  <c r="A99" i="95"/>
  <c r="A98" i="95"/>
  <c r="A97" i="95"/>
  <c r="A96" i="95"/>
  <c r="A95" i="95"/>
  <c r="A94" i="95"/>
  <c r="A93" i="95"/>
  <c r="A92" i="95"/>
  <c r="A91" i="95"/>
  <c r="A90" i="95"/>
  <c r="A89" i="95"/>
  <c r="A88" i="95"/>
  <c r="A87" i="95"/>
  <c r="A86" i="95"/>
  <c r="A85" i="95"/>
  <c r="A84" i="95"/>
  <c r="A83" i="95"/>
  <c r="A82" i="95"/>
  <c r="A81" i="95"/>
  <c r="A80" i="95"/>
  <c r="A79" i="95"/>
  <c r="A78" i="95"/>
  <c r="A77" i="95"/>
  <c r="A76" i="95"/>
  <c r="A75" i="95"/>
  <c r="A74" i="95"/>
  <c r="A73" i="95"/>
  <c r="A72" i="95"/>
  <c r="A71" i="95"/>
  <c r="A70" i="95"/>
  <c r="A69" i="95"/>
  <c r="A68" i="95"/>
  <c r="A67" i="95"/>
  <c r="A66" i="95"/>
  <c r="A65" i="95"/>
  <c r="A64" i="95"/>
  <c r="A63" i="95"/>
  <c r="A62" i="95"/>
  <c r="A61" i="95"/>
  <c r="A60" i="95"/>
  <c r="A59" i="95"/>
  <c r="A58" i="95"/>
  <c r="A57" i="95"/>
  <c r="A56" i="95"/>
  <c r="A55" i="95"/>
  <c r="A54" i="95"/>
  <c r="A53" i="95"/>
  <c r="A52" i="95"/>
  <c r="A51" i="95"/>
  <c r="A50" i="95"/>
  <c r="A49" i="95"/>
  <c r="A48" i="95"/>
  <c r="A47" i="95"/>
  <c r="A46" i="95"/>
  <c r="A45" i="95"/>
  <c r="A44" i="95"/>
  <c r="A43" i="95"/>
  <c r="A42" i="95"/>
  <c r="A41" i="95"/>
  <c r="A40" i="95"/>
  <c r="A39" i="95"/>
  <c r="A38" i="95"/>
  <c r="A37" i="95"/>
  <c r="A36" i="95"/>
  <c r="A35" i="95"/>
  <c r="A34" i="95"/>
  <c r="A33" i="95"/>
  <c r="A32" i="95"/>
  <c r="A31" i="95"/>
  <c r="A30" i="95"/>
  <c r="A29" i="95"/>
  <c r="A28" i="95"/>
  <c r="A27" i="95"/>
  <c r="A26" i="95"/>
  <c r="A25" i="95"/>
  <c r="A24" i="95"/>
  <c r="A23" i="95"/>
  <c r="A22" i="95"/>
  <c r="A21" i="95"/>
  <c r="A20" i="95"/>
  <c r="A19" i="95"/>
  <c r="A18" i="95"/>
  <c r="A17" i="95"/>
  <c r="A16" i="95"/>
  <c r="A15" i="95"/>
  <c r="A14" i="95"/>
  <c r="A13" i="95"/>
  <c r="A12" i="95"/>
  <c r="A11" i="95"/>
  <c r="A10" i="95"/>
  <c r="A9" i="95"/>
  <c r="A8" i="95"/>
  <c r="A7" i="95"/>
  <c r="H4" i="95"/>
  <c r="H3" i="95" s="1"/>
  <c r="G4" i="95"/>
  <c r="G3" i="95" s="1"/>
  <c r="F4" i="95"/>
  <c r="F3" i="95" s="1"/>
  <c r="E31" i="46"/>
  <c r="E35" i="46"/>
  <c r="R35" i="46" s="1"/>
  <c r="M2" i="95" l="1"/>
  <c r="R31" i="46"/>
  <c r="B2" i="81"/>
  <c r="E30" i="46"/>
  <c r="J19" i="26" l="1"/>
  <c r="H189" i="50"/>
  <c r="J3" i="37"/>
  <c r="I1" i="50"/>
  <c r="H188" i="50"/>
  <c r="H187" i="50"/>
  <c r="R27" i="46"/>
  <c r="H148" i="50"/>
  <c r="H147" i="50"/>
  <c r="H29" i="46"/>
  <c r="G35" i="43"/>
  <c r="J35" i="43"/>
  <c r="G27" i="82"/>
  <c r="F27" i="82"/>
  <c r="G24" i="82"/>
  <c r="F24" i="82"/>
  <c r="H186" i="50"/>
  <c r="I30" i="46"/>
  <c r="H30" i="46" s="1"/>
  <c r="R25" i="46"/>
  <c r="R26" i="46"/>
  <c r="E11" i="26" l="1"/>
  <c r="E10" i="26"/>
  <c r="R30" i="46" l="1"/>
  <c r="H178" i="50"/>
  <c r="C178" i="50"/>
  <c r="H179" i="50"/>
  <c r="H184" i="50"/>
  <c r="E65" i="94"/>
  <c r="E64" i="94"/>
  <c r="E63" i="94"/>
  <c r="E61" i="94"/>
  <c r="E60" i="94"/>
  <c r="E59" i="94"/>
  <c r="E58" i="94"/>
  <c r="E57" i="94"/>
  <c r="E56" i="94"/>
  <c r="E55" i="94"/>
  <c r="E54" i="94"/>
  <c r="E53" i="94"/>
  <c r="E52" i="94"/>
  <c r="E50" i="94"/>
  <c r="E49" i="94"/>
  <c r="E48" i="94"/>
  <c r="E47" i="94"/>
  <c r="E46" i="94"/>
  <c r="E45" i="94"/>
  <c r="E44" i="94"/>
  <c r="E43" i="94"/>
  <c r="E42" i="94"/>
  <c r="E41" i="94"/>
  <c r="E40" i="94"/>
  <c r="E33" i="94"/>
  <c r="E32" i="94"/>
  <c r="E30" i="94"/>
  <c r="E27" i="94"/>
  <c r="E22" i="94"/>
  <c r="E20" i="94"/>
  <c r="E18" i="94"/>
  <c r="E17" i="94"/>
  <c r="E16" i="94"/>
  <c r="E15" i="94"/>
  <c r="E14" i="94"/>
  <c r="E13" i="94"/>
  <c r="E12" i="94"/>
  <c r="E11" i="94"/>
  <c r="E10" i="94"/>
  <c r="E9" i="94"/>
  <c r="E8" i="94"/>
  <c r="E7" i="94"/>
  <c r="C179" i="50"/>
  <c r="P34" i="87"/>
  <c r="C187" i="50" l="1"/>
  <c r="C186" i="50"/>
  <c r="E24" i="46"/>
  <c r="R276" i="33" l="1"/>
  <c r="R284" i="33"/>
  <c r="R286" i="33"/>
  <c r="R289" i="33"/>
  <c r="R293" i="33"/>
  <c r="R320" i="33"/>
  <c r="H183" i="50" l="1"/>
  <c r="H182" i="50"/>
  <c r="H180" i="50"/>
  <c r="H177" i="50"/>
  <c r="N27" i="46"/>
  <c r="E29" i="46"/>
  <c r="C185" i="50"/>
  <c r="C184" i="50"/>
  <c r="N26" i="46"/>
  <c r="N25" i="46"/>
  <c r="R29" i="46" l="1"/>
  <c r="I23" i="46"/>
  <c r="I27" i="46"/>
  <c r="H18" i="46"/>
  <c r="H17" i="46"/>
  <c r="H7" i="46"/>
  <c r="H8" i="46"/>
  <c r="H9" i="46"/>
  <c r="H10" i="46"/>
  <c r="H11" i="46"/>
  <c r="H12" i="46"/>
  <c r="H13" i="46"/>
  <c r="H14" i="46"/>
  <c r="H15" i="46"/>
  <c r="H6" i="46"/>
  <c r="L8" i="46"/>
  <c r="L9" i="46"/>
  <c r="L10" i="46"/>
  <c r="L11" i="46"/>
  <c r="L12" i="46"/>
  <c r="L13" i="46"/>
  <c r="L14" i="46"/>
  <c r="L15" i="46"/>
  <c r="L16" i="46"/>
  <c r="L17" i="46"/>
  <c r="E28" i="46"/>
  <c r="R28" i="46" s="1"/>
  <c r="N22" i="46"/>
  <c r="N21" i="46"/>
  <c r="R23" i="46"/>
  <c r="H181" i="50" l="1"/>
  <c r="H168" i="50"/>
  <c r="C183" i="50"/>
  <c r="H169" i="50"/>
  <c r="C182" i="50"/>
  <c r="C181" i="50"/>
  <c r="C180" i="50"/>
  <c r="F19" i="48" l="1"/>
  <c r="G18" i="48" l="1"/>
  <c r="F18" i="48"/>
  <c r="J17" i="48" l="1"/>
  <c r="K17" i="48" s="1"/>
  <c r="F17" i="48"/>
  <c r="G17" i="48"/>
  <c r="K16" i="48" l="1"/>
  <c r="I25" i="46"/>
  <c r="H25" i="46" s="1"/>
  <c r="C177" i="50"/>
  <c r="C176" i="50"/>
  <c r="C175" i="50"/>
  <c r="C174" i="50"/>
  <c r="C173" i="50"/>
  <c r="C172" i="50"/>
  <c r="H171" i="50"/>
  <c r="H170" i="50"/>
  <c r="I26" i="46"/>
  <c r="C171" i="50"/>
  <c r="C170" i="50"/>
  <c r="C169" i="50" l="1"/>
  <c r="C168" i="50"/>
  <c r="H161" i="50"/>
  <c r="H167" i="50"/>
  <c r="C167" i="50"/>
  <c r="H166" i="50"/>
  <c r="C166" i="50"/>
  <c r="H163" i="50"/>
  <c r="H162" i="50"/>
  <c r="C163" i="50"/>
  <c r="C165" i="50"/>
  <c r="C164" i="50"/>
  <c r="H164" i="50"/>
  <c r="H165" i="50"/>
  <c r="F15" i="48" l="1"/>
  <c r="I24" i="46" l="1"/>
  <c r="H136" i="50" l="1"/>
  <c r="H122" i="50"/>
  <c r="A304" i="37" l="1"/>
  <c r="A305" i="37" s="1"/>
  <c r="A306" i="37" s="1"/>
  <c r="A307" i="37" s="1"/>
  <c r="A308" i="37" s="1"/>
  <c r="A309" i="37" s="1"/>
  <c r="A310" i="37" s="1"/>
  <c r="A311" i="37" s="1"/>
  <c r="A312" i="37" s="1"/>
  <c r="A313" i="37" s="1"/>
  <c r="H22" i="46" l="1"/>
  <c r="I22" i="46" s="1"/>
  <c r="H110" i="50"/>
  <c r="L319" i="33"/>
  <c r="K319" i="33"/>
  <c r="J319" i="33"/>
  <c r="I319" i="33"/>
  <c r="R319" i="33" l="1"/>
  <c r="I318" i="33"/>
  <c r="J318" i="33"/>
  <c r="K318" i="33"/>
  <c r="L318" i="33"/>
  <c r="M318" i="33"/>
  <c r="E304" i="38"/>
  <c r="R318" i="33" l="1"/>
  <c r="N318" i="33"/>
  <c r="I21" i="46" l="1"/>
  <c r="H21" i="46" s="1"/>
  <c r="R22" i="46" l="1"/>
  <c r="G14" i="48"/>
  <c r="F14" i="48"/>
  <c r="R24" i="46" l="1"/>
  <c r="A320" i="33"/>
  <c r="A319" i="33"/>
  <c r="A318" i="33"/>
  <c r="G13" i="48"/>
  <c r="F13" i="48"/>
  <c r="F10" i="43" l="1"/>
  <c r="H112" i="50"/>
  <c r="H111" i="50"/>
  <c r="H19" i="46"/>
  <c r="G12" i="48"/>
  <c r="F12" i="48"/>
  <c r="K11" i="48" l="1"/>
  <c r="G11" i="48"/>
  <c r="F11" i="48"/>
  <c r="H158" i="50" l="1"/>
  <c r="H159" i="50"/>
  <c r="H160" i="50" l="1"/>
  <c r="R20" i="46" l="1"/>
  <c r="F28" i="43"/>
  <c r="F32" i="43"/>
  <c r="I293" i="38" l="1"/>
  <c r="H155" i="50" l="1"/>
  <c r="E18" i="46" l="1"/>
  <c r="R18" i="46" s="1"/>
  <c r="H153" i="50"/>
  <c r="H140" i="50"/>
  <c r="H139" i="50"/>
  <c r="E17" i="46"/>
  <c r="R17" i="46" s="1"/>
  <c r="N15" i="46"/>
  <c r="H145" i="50"/>
  <c r="H150" i="50"/>
  <c r="G137" i="50"/>
  <c r="H137" i="50" s="1"/>
  <c r="E289" i="38" l="1"/>
  <c r="H141" i="50"/>
  <c r="J13" i="26"/>
  <c r="K13" i="26" s="1"/>
  <c r="H123" i="50"/>
  <c r="H157" i="50"/>
  <c r="H156" i="50"/>
  <c r="H154" i="50"/>
  <c r="H152" i="50"/>
  <c r="H142" i="50" l="1"/>
  <c r="H146" i="50"/>
  <c r="H151" i="50" l="1"/>
  <c r="H149" i="50"/>
  <c r="H144" i="50"/>
  <c r="H143" i="50"/>
  <c r="D3" i="92"/>
  <c r="D4" i="92" s="1"/>
  <c r="D5" i="92" s="1"/>
  <c r="D6" i="92" s="1"/>
  <c r="D7" i="92" s="1"/>
  <c r="D8" i="92" s="1"/>
  <c r="D9" i="92" s="1"/>
  <c r="D10" i="92" s="1"/>
  <c r="D11" i="92" s="1"/>
  <c r="D12" i="92" s="1"/>
  <c r="D13" i="92" s="1"/>
  <c r="D14" i="92" s="1"/>
  <c r="D15" i="92" s="1"/>
  <c r="D16" i="92" s="1"/>
  <c r="D17" i="92" s="1"/>
  <c r="D18" i="92" s="1"/>
  <c r="D19" i="92" s="1"/>
  <c r="D20" i="92" s="1"/>
  <c r="E3" i="92"/>
  <c r="E4" i="92" s="1"/>
  <c r="E5" i="92" s="1"/>
  <c r="E6" i="92" s="1"/>
  <c r="E7" i="92" s="1"/>
  <c r="E8" i="92" s="1"/>
  <c r="E9" i="92" s="1"/>
  <c r="E10" i="92" s="1"/>
  <c r="E11" i="92" s="1"/>
  <c r="E12" i="92" s="1"/>
  <c r="E13" i="92" s="1"/>
  <c r="E14" i="92" s="1"/>
  <c r="E15" i="92" s="1"/>
  <c r="E16" i="92" s="1"/>
  <c r="E17" i="92" s="1"/>
  <c r="E18" i="92" s="1"/>
  <c r="E19" i="92" s="1"/>
  <c r="E20" i="92" s="1"/>
  <c r="E3" i="91" l="1"/>
  <c r="E4" i="91" s="1"/>
  <c r="E5" i="91" s="1"/>
  <c r="E6" i="91" s="1"/>
  <c r="E7" i="91" s="1"/>
  <c r="E8" i="91" s="1"/>
  <c r="E9" i="91" s="1"/>
  <c r="E10" i="91" s="1"/>
  <c r="E11" i="91" s="1"/>
  <c r="E12" i="91" s="1"/>
  <c r="E13" i="91" s="1"/>
  <c r="E14" i="91" s="1"/>
  <c r="E15" i="91" s="1"/>
  <c r="E16" i="91" s="1"/>
  <c r="E17" i="91" s="1"/>
  <c r="E18" i="91" s="1"/>
  <c r="E19" i="91" s="1"/>
  <c r="E20" i="91" s="1"/>
  <c r="E21" i="91" s="1"/>
  <c r="D3" i="91"/>
  <c r="D4" i="91" s="1"/>
  <c r="D5" i="91" s="1"/>
  <c r="D6" i="91" s="1"/>
  <c r="D7" i="91" s="1"/>
  <c r="D8" i="91" s="1"/>
  <c r="D9" i="91" s="1"/>
  <c r="D10" i="91" s="1"/>
  <c r="D11" i="91" s="1"/>
  <c r="D12" i="91" s="1"/>
  <c r="D13" i="91" s="1"/>
  <c r="D14" i="91" s="1"/>
  <c r="D15" i="91" s="1"/>
  <c r="D16" i="91" s="1"/>
  <c r="D17" i="91" s="1"/>
  <c r="D18" i="91" s="1"/>
  <c r="D19" i="91" s="1"/>
  <c r="D20" i="91" s="1"/>
  <c r="D21" i="91" s="1"/>
  <c r="E3" i="90" l="1"/>
  <c r="E4" i="90" s="1"/>
  <c r="E5" i="90" s="1"/>
  <c r="E6" i="90" s="1"/>
  <c r="E7" i="90" s="1"/>
  <c r="E8" i="90" s="1"/>
  <c r="E9" i="90" s="1"/>
  <c r="E10" i="90" s="1"/>
  <c r="E11" i="90" s="1"/>
  <c r="E12" i="90" s="1"/>
  <c r="E13" i="90" s="1"/>
  <c r="E14" i="90" s="1"/>
  <c r="E15" i="90" s="1"/>
  <c r="E16" i="90" s="1"/>
  <c r="E17" i="90" s="1"/>
  <c r="D3" i="90"/>
  <c r="D4" i="90" s="1"/>
  <c r="D5" i="90" s="1"/>
  <c r="D6" i="90" s="1"/>
  <c r="D7" i="90" s="1"/>
  <c r="D8" i="90" s="1"/>
  <c r="D9" i="90" s="1"/>
  <c r="D10" i="90" s="1"/>
  <c r="D11" i="90" s="1"/>
  <c r="D12" i="90" s="1"/>
  <c r="D13" i="90" s="1"/>
  <c r="D14" i="90" s="1"/>
  <c r="D15" i="90" s="1"/>
  <c r="D16" i="90" s="1"/>
  <c r="D17" i="90" s="1"/>
  <c r="E16" i="46" l="1"/>
  <c r="R16" i="46" l="1"/>
  <c r="H135" i="50"/>
  <c r="C158" i="50"/>
  <c r="C159" i="50"/>
  <c r="C160" i="50"/>
  <c r="H138" i="50"/>
  <c r="C136" i="50" l="1"/>
  <c r="C137" i="50"/>
  <c r="C138" i="50"/>
  <c r="C139" i="50"/>
  <c r="C140" i="50"/>
  <c r="C141" i="50"/>
  <c r="C142" i="50"/>
  <c r="C143" i="50"/>
  <c r="C144" i="50"/>
  <c r="C145" i="50"/>
  <c r="C146" i="50"/>
  <c r="C147" i="50"/>
  <c r="C148" i="50"/>
  <c r="C149" i="50"/>
  <c r="C150" i="50"/>
  <c r="C151" i="50"/>
  <c r="C152" i="50"/>
  <c r="C153" i="50"/>
  <c r="C154" i="50"/>
  <c r="C155" i="50"/>
  <c r="C156" i="50"/>
  <c r="C157" i="50"/>
  <c r="E19" i="46" l="1"/>
  <c r="C19" i="46"/>
  <c r="E15" i="46"/>
  <c r="G47" i="73"/>
  <c r="R21" i="46" l="1"/>
  <c r="R15" i="46"/>
  <c r="R19" i="46"/>
  <c r="E14" i="46" l="1"/>
  <c r="R14" i="46" l="1"/>
  <c r="H7" i="48"/>
  <c r="H8" i="48" s="1"/>
  <c r="H9" i="48" s="1"/>
  <c r="H10" i="48" s="1"/>
  <c r="H11" i="48" s="1"/>
  <c r="H12" i="48" s="1"/>
  <c r="H13" i="48" s="1"/>
  <c r="H14" i="48" s="1"/>
  <c r="H15" i="48" s="1"/>
  <c r="H16" i="48" s="1"/>
  <c r="H17" i="48" s="1"/>
  <c r="H18" i="48" s="1"/>
  <c r="H19" i="48" s="1"/>
  <c r="H20" i="48" s="1"/>
  <c r="J8" i="43" l="1"/>
  <c r="J9" i="43"/>
  <c r="J12" i="43"/>
  <c r="J13" i="43"/>
  <c r="J14" i="43"/>
  <c r="J18" i="43"/>
  <c r="J19" i="43"/>
  <c r="J21" i="43"/>
  <c r="J22" i="43"/>
  <c r="J23" i="43"/>
  <c r="J24" i="43"/>
  <c r="J28" i="43"/>
  <c r="J29" i="43"/>
  <c r="J30" i="43"/>
  <c r="J31" i="43"/>
  <c r="J32" i="43"/>
  <c r="J34" i="43"/>
  <c r="J37" i="43"/>
  <c r="J7" i="43"/>
  <c r="C135" i="50" l="1"/>
  <c r="E13" i="46" l="1"/>
  <c r="G45" i="73"/>
  <c r="G43" i="73"/>
  <c r="R13" i="46" l="1"/>
  <c r="E233" i="38"/>
  <c r="E239" i="38"/>
  <c r="E211" i="38" l="1"/>
  <c r="E210" i="38"/>
  <c r="M7" i="81" l="1"/>
  <c r="E12" i="46"/>
  <c r="R12" i="46" l="1"/>
  <c r="E208" i="38"/>
  <c r="E203" i="38"/>
  <c r="E206" i="38"/>
  <c r="E199" i="38"/>
  <c r="E200" i="38" l="1"/>
  <c r="E10" i="46"/>
  <c r="R10" i="46" s="1"/>
  <c r="M2" i="80"/>
  <c r="H131" i="50"/>
  <c r="H130" i="50"/>
  <c r="H133" i="50"/>
  <c r="H125" i="50"/>
  <c r="H127" i="50"/>
  <c r="E184" i="38"/>
  <c r="E190" i="38"/>
  <c r="E197" i="38"/>
  <c r="E186" i="38"/>
  <c r="E224" i="38"/>
  <c r="E11" i="46" l="1"/>
  <c r="R11" i="46" s="1"/>
  <c r="V8" i="46" s="1"/>
  <c r="X8" i="46" s="1"/>
  <c r="E185" i="38"/>
  <c r="E189" i="38"/>
  <c r="E194" i="38"/>
  <c r="E193" i="38"/>
  <c r="E183" i="38"/>
  <c r="E176" i="38"/>
  <c r="E174" i="38"/>
  <c r="E202" i="38"/>
  <c r="E179" i="38"/>
  <c r="H128" i="50" l="1"/>
  <c r="E169" i="38"/>
  <c r="E172" i="38"/>
  <c r="E175" i="38" l="1"/>
  <c r="E170" i="38"/>
  <c r="E171" i="38"/>
  <c r="E173" i="38"/>
  <c r="E164" i="38"/>
  <c r="H126" i="50"/>
  <c r="D168" i="38"/>
  <c r="E160" i="38" l="1"/>
  <c r="E157" i="38"/>
  <c r="E156" i="38"/>
  <c r="E161" i="38"/>
  <c r="E155" i="38"/>
  <c r="G47" i="43"/>
  <c r="G43" i="43"/>
  <c r="G44" i="43"/>
  <c r="G45" i="43"/>
  <c r="G46" i="43"/>
  <c r="G48" i="43"/>
  <c r="G49" i="43"/>
  <c r="G50" i="43"/>
  <c r="G42" i="43"/>
  <c r="E151" i="38" l="1"/>
  <c r="E150" i="38"/>
  <c r="E148" i="38"/>
  <c r="E138" i="38"/>
  <c r="E145" i="38"/>
  <c r="E152" i="38"/>
  <c r="E133" i="38"/>
  <c r="H119" i="50" l="1"/>
  <c r="H134" i="50"/>
  <c r="H129" i="50"/>
  <c r="H132" i="50"/>
  <c r="K7" i="81"/>
  <c r="E144" i="38"/>
  <c r="E141" i="38"/>
  <c r="C14" i="26"/>
  <c r="E146" i="38"/>
  <c r="E139" i="38"/>
  <c r="E147" i="38"/>
  <c r="E137" i="38" l="1"/>
  <c r="E136" i="38"/>
  <c r="E134" i="38"/>
  <c r="E130" i="38"/>
  <c r="C134" i="50"/>
  <c r="H44" i="73" l="1"/>
  <c r="E129" i="38"/>
  <c r="E124" i="38"/>
  <c r="E122" i="38"/>
  <c r="E128" i="38"/>
  <c r="G49" i="73"/>
  <c r="E126" i="38"/>
  <c r="E127" i="38"/>
  <c r="E125" i="38"/>
  <c r="K3" i="38" l="1"/>
  <c r="H124" i="50"/>
  <c r="E121" i="38"/>
  <c r="E115" i="38"/>
  <c r="N114" i="80"/>
  <c r="N116" i="80"/>
  <c r="N122" i="80"/>
  <c r="N124" i="80"/>
  <c r="N126" i="80"/>
  <c r="N130" i="80"/>
  <c r="N132" i="80"/>
  <c r="N134" i="80"/>
  <c r="N136" i="80"/>
  <c r="N138" i="80"/>
  <c r="N140" i="80"/>
  <c r="N142" i="80"/>
  <c r="N144" i="80"/>
  <c r="N146" i="80"/>
  <c r="N148" i="80"/>
  <c r="N150" i="80"/>
  <c r="N152" i="80"/>
  <c r="N154" i="80"/>
  <c r="N156" i="80"/>
  <c r="N158" i="80"/>
  <c r="N166" i="80"/>
  <c r="N168" i="80"/>
  <c r="N170" i="80"/>
  <c r="N172" i="80"/>
  <c r="N208" i="80"/>
  <c r="N210" i="80"/>
  <c r="N214" i="80"/>
  <c r="N216" i="80"/>
  <c r="N312" i="80"/>
  <c r="N314" i="80"/>
  <c r="N316" i="80"/>
  <c r="N320" i="80"/>
  <c r="N322" i="80"/>
  <c r="N330" i="80"/>
  <c r="N334" i="80"/>
  <c r="N406" i="80"/>
  <c r="N408" i="80"/>
  <c r="N412" i="80"/>
  <c r="N416" i="80"/>
  <c r="N418" i="80"/>
  <c r="N420" i="80"/>
  <c r="N422" i="80"/>
  <c r="N424" i="80"/>
  <c r="N426" i="80"/>
  <c r="N428" i="80"/>
  <c r="N430" i="80"/>
  <c r="N432" i="80"/>
  <c r="N434" i="80"/>
  <c r="N436" i="80"/>
  <c r="N438" i="80"/>
  <c r="N440" i="80"/>
  <c r="N442" i="80"/>
  <c r="N444" i="80"/>
  <c r="N452" i="80"/>
  <c r="N456" i="80"/>
  <c r="N458" i="80"/>
  <c r="N486" i="80"/>
  <c r="N488" i="80"/>
  <c r="N490" i="80"/>
  <c r="N492" i="80"/>
  <c r="N494" i="80"/>
  <c r="N496" i="80"/>
  <c r="N498" i="80"/>
  <c r="N500" i="80"/>
  <c r="N502" i="80"/>
  <c r="N504" i="80"/>
  <c r="N506" i="80"/>
  <c r="N508" i="80"/>
  <c r="N510" i="80"/>
  <c r="N512" i="80"/>
  <c r="N516" i="80"/>
  <c r="N518" i="80"/>
  <c r="N520" i="80"/>
  <c r="N522" i="80"/>
  <c r="N524" i="80"/>
  <c r="N526" i="80"/>
  <c r="N528" i="80"/>
  <c r="N530" i="80"/>
  <c r="N532" i="80"/>
  <c r="N534" i="80"/>
  <c r="N536" i="80"/>
  <c r="N538" i="80"/>
  <c r="N540" i="80"/>
  <c r="N542" i="80"/>
  <c r="N544" i="80"/>
  <c r="N550" i="80"/>
  <c r="N552" i="80"/>
  <c r="N554" i="80"/>
  <c r="N556" i="80"/>
  <c r="N558" i="80"/>
  <c r="L2" i="80"/>
  <c r="E114" i="38"/>
  <c r="N2" i="80" l="1"/>
  <c r="E112" i="38"/>
  <c r="Y1318" i="71"/>
  <c r="X1318" i="71"/>
  <c r="D1318" i="71"/>
  <c r="A1318" i="71"/>
  <c r="Y1317" i="71"/>
  <c r="X1317" i="71"/>
  <c r="D1317" i="71"/>
  <c r="A1317" i="71"/>
  <c r="Y1316" i="71"/>
  <c r="X1316" i="71"/>
  <c r="D1316" i="71"/>
  <c r="A1316" i="71"/>
  <c r="D1315" i="71"/>
  <c r="A1315" i="71"/>
  <c r="X1315" i="71"/>
  <c r="Y1315" i="71"/>
  <c r="Y1312" i="71" l="1"/>
  <c r="X1312" i="71"/>
  <c r="A1314" i="71"/>
  <c r="D1314" i="71"/>
  <c r="X1314" i="71"/>
  <c r="Y1314" i="71"/>
  <c r="D1312" i="71"/>
  <c r="A1312" i="71"/>
  <c r="Y1313" i="71" l="1"/>
  <c r="X1313" i="71"/>
  <c r="Y1311" i="71"/>
  <c r="X1311" i="71"/>
  <c r="D1313" i="71"/>
  <c r="A1294" i="71"/>
  <c r="A1295" i="71"/>
  <c r="A1296" i="71"/>
  <c r="A1297" i="71"/>
  <c r="A1298" i="71"/>
  <c r="A1299" i="71"/>
  <c r="A1300" i="71"/>
  <c r="A1301" i="71"/>
  <c r="A1302" i="71"/>
  <c r="A1303" i="71"/>
  <c r="A1304" i="71"/>
  <c r="A1305" i="71"/>
  <c r="A1306" i="71"/>
  <c r="A1307" i="71"/>
  <c r="A1308" i="71"/>
  <c r="A1309" i="71"/>
  <c r="A1310" i="71"/>
  <c r="A1311" i="71"/>
  <c r="A1313" i="71"/>
  <c r="D1311" i="71"/>
  <c r="D317" i="33"/>
  <c r="A317" i="33"/>
  <c r="C121" i="50"/>
  <c r="C122" i="50"/>
  <c r="C123" i="50"/>
  <c r="C124" i="50"/>
  <c r="C125" i="50"/>
  <c r="C126" i="50"/>
  <c r="C127" i="50"/>
  <c r="C128" i="50"/>
  <c r="C129" i="50"/>
  <c r="C130" i="50"/>
  <c r="C131" i="50"/>
  <c r="C132" i="50"/>
  <c r="C133" i="50"/>
  <c r="R6" i="46"/>
  <c r="D295" i="37" l="1"/>
  <c r="D303" i="38"/>
  <c r="L317" i="33"/>
  <c r="I317" i="33"/>
  <c r="J317" i="33"/>
  <c r="K317" i="33"/>
  <c r="G41" i="73"/>
  <c r="E147" i="45" l="1"/>
  <c r="D6" i="49"/>
  <c r="D91" i="98"/>
  <c r="R317" i="33"/>
  <c r="Y1310" i="71"/>
  <c r="X1310" i="71"/>
  <c r="D1310" i="71"/>
  <c r="Y1309" i="71"/>
  <c r="X1309" i="71"/>
  <c r="Y1308" i="71"/>
  <c r="X1308" i="71"/>
  <c r="D1309" i="71"/>
  <c r="D1308" i="71"/>
  <c r="D1307" i="71"/>
  <c r="X1307" i="71"/>
  <c r="Y1307" i="71"/>
  <c r="A316" i="33"/>
  <c r="D316" i="33"/>
  <c r="H120" i="50"/>
  <c r="D1306" i="71"/>
  <c r="X1306" i="71"/>
  <c r="Y1306" i="71"/>
  <c r="D296" i="37" l="1"/>
  <c r="D153" i="38"/>
  <c r="L316" i="33"/>
  <c r="M316" i="33"/>
  <c r="I316" i="33"/>
  <c r="K316" i="33"/>
  <c r="J316" i="33"/>
  <c r="Y1305" i="71"/>
  <c r="X1305" i="71"/>
  <c r="D1305" i="71"/>
  <c r="X1302" i="71"/>
  <c r="Y1302" i="71"/>
  <c r="X1303" i="71"/>
  <c r="Y1303" i="71"/>
  <c r="X1304" i="71"/>
  <c r="Y1304" i="71"/>
  <c r="D1304" i="71"/>
  <c r="D1303" i="71"/>
  <c r="D1302" i="71"/>
  <c r="D7" i="49" l="1"/>
  <c r="D103" i="98"/>
  <c r="E148" i="45"/>
  <c r="D5" i="96"/>
  <c r="R316" i="33"/>
  <c r="N316" i="33"/>
  <c r="D1301" i="71"/>
  <c r="X1301" i="71"/>
  <c r="Y1301" i="71"/>
  <c r="D1300" i="71"/>
  <c r="X1300" i="71"/>
  <c r="Y1300" i="71"/>
  <c r="D1299" i="71"/>
  <c r="X1299" i="71"/>
  <c r="Y1299" i="71"/>
  <c r="D1298" i="71"/>
  <c r="X1298" i="71"/>
  <c r="Y1298" i="71"/>
  <c r="H118" i="50"/>
  <c r="A315" i="33"/>
  <c r="D315" i="33"/>
  <c r="D1297" i="71"/>
  <c r="X1297" i="71"/>
  <c r="Y1297" i="71"/>
  <c r="D1296" i="71"/>
  <c r="X1296" i="71"/>
  <c r="Y1296" i="71"/>
  <c r="D1295" i="71"/>
  <c r="X1295" i="71"/>
  <c r="Y1295" i="71"/>
  <c r="D314" i="33"/>
  <c r="D215" i="38" s="1"/>
  <c r="A314" i="33"/>
  <c r="D1294" i="71"/>
  <c r="X1294" i="71"/>
  <c r="Y1294" i="71"/>
  <c r="Y1291" i="71"/>
  <c r="X1291" i="71"/>
  <c r="D1291" i="71"/>
  <c r="A1291" i="71"/>
  <c r="Y1293" i="71"/>
  <c r="X1293" i="71"/>
  <c r="Y1292" i="71"/>
  <c r="X1292" i="71"/>
  <c r="D1293" i="71"/>
  <c r="A1293" i="71"/>
  <c r="A1292" i="71"/>
  <c r="Y1232" i="71"/>
  <c r="X1232" i="71"/>
  <c r="D1292" i="71"/>
  <c r="D1290" i="71"/>
  <c r="X1290" i="71"/>
  <c r="Y1290" i="71"/>
  <c r="A1290" i="71"/>
  <c r="D1289" i="71"/>
  <c r="A1289" i="71"/>
  <c r="X1289" i="71"/>
  <c r="Y1289" i="71"/>
  <c r="A312" i="33"/>
  <c r="H42" i="73"/>
  <c r="Y1288" i="71"/>
  <c r="X1288" i="71"/>
  <c r="D1288" i="71"/>
  <c r="A1288" i="71"/>
  <c r="Y1287" i="71"/>
  <c r="X1287" i="71"/>
  <c r="D1287" i="71"/>
  <c r="D1286" i="71"/>
  <c r="A1287" i="71"/>
  <c r="A1286" i="71"/>
  <c r="X1286" i="71"/>
  <c r="Y1286" i="71"/>
  <c r="L9" i="43"/>
  <c r="E207" i="45" l="1"/>
  <c r="D58" i="98"/>
  <c r="D294" i="37"/>
  <c r="D142" i="38"/>
  <c r="I314" i="33"/>
  <c r="D283" i="37"/>
  <c r="K315" i="33"/>
  <c r="L315" i="33"/>
  <c r="I315" i="33"/>
  <c r="J315" i="33"/>
  <c r="L314" i="33"/>
  <c r="K314" i="33"/>
  <c r="J314" i="33"/>
  <c r="D1285" i="71"/>
  <c r="A1285" i="71"/>
  <c r="X1285" i="71"/>
  <c r="Y1285" i="71"/>
  <c r="A313" i="33"/>
  <c r="A311" i="33"/>
  <c r="D41" i="98" l="1"/>
  <c r="D5" i="49"/>
  <c r="E146" i="45"/>
  <c r="R315" i="33"/>
  <c r="R314" i="33"/>
  <c r="A2" i="46"/>
  <c r="A1" i="46"/>
  <c r="Y1284" i="71"/>
  <c r="X1284" i="71"/>
  <c r="D1284" i="71"/>
  <c r="A1284" i="71"/>
  <c r="D1283" i="71"/>
  <c r="A1283" i="71"/>
  <c r="X1283" i="71"/>
  <c r="Y1283" i="71"/>
  <c r="D1282" i="71"/>
  <c r="A1282" i="71"/>
  <c r="X1282" i="71"/>
  <c r="Y1282" i="71"/>
  <c r="A1277" i="71"/>
  <c r="A1278" i="71"/>
  <c r="A1279" i="71"/>
  <c r="A1280" i="71"/>
  <c r="A1281" i="71"/>
  <c r="D1280" i="71"/>
  <c r="X1280" i="71"/>
  <c r="Y1280" i="71"/>
  <c r="D1281" i="71"/>
  <c r="X1281" i="71"/>
  <c r="Y1281" i="71"/>
  <c r="I8" i="82"/>
  <c r="I9" i="82"/>
  <c r="I10" i="82"/>
  <c r="I11" i="82"/>
  <c r="I12" i="82"/>
  <c r="I13" i="82"/>
  <c r="I15" i="82"/>
  <c r="I7" i="82"/>
  <c r="I346" i="38"/>
  <c r="K346" i="38" s="1"/>
  <c r="I337" i="38"/>
  <c r="K337" i="38" l="1"/>
  <c r="A310" i="33"/>
  <c r="D1279" i="71" l="1"/>
  <c r="X1279" i="71"/>
  <c r="Y1279" i="71"/>
  <c r="D312" i="33"/>
  <c r="Y1278" i="71"/>
  <c r="X1278" i="71"/>
  <c r="D1278" i="71"/>
  <c r="D1277" i="71"/>
  <c r="X1277" i="71"/>
  <c r="Y1277" i="71"/>
  <c r="D309" i="33"/>
  <c r="A309" i="33"/>
  <c r="D264" i="38" l="1"/>
  <c r="D127" i="49" s="1"/>
  <c r="D287" i="37"/>
  <c r="D242" i="38"/>
  <c r="M309" i="33"/>
  <c r="D285" i="37"/>
  <c r="L312" i="33"/>
  <c r="J312" i="33"/>
  <c r="K312" i="33"/>
  <c r="I312" i="33"/>
  <c r="I309" i="33"/>
  <c r="J309" i="33"/>
  <c r="L309" i="33"/>
  <c r="K309" i="33"/>
  <c r="Y1275" i="71"/>
  <c r="X1275" i="71"/>
  <c r="D1275" i="71"/>
  <c r="A1276" i="71"/>
  <c r="A1275" i="71"/>
  <c r="D1276" i="71"/>
  <c r="X1276" i="71"/>
  <c r="Y1276" i="71"/>
  <c r="J8" i="82"/>
  <c r="E247" i="45" l="1"/>
  <c r="D123" i="49"/>
  <c r="R309" i="33"/>
  <c r="R312" i="33"/>
  <c r="N309" i="33"/>
  <c r="J9" i="82"/>
  <c r="J10" i="82"/>
  <c r="J11" i="82"/>
  <c r="J12" i="82"/>
  <c r="J13" i="82"/>
  <c r="J15" i="82"/>
  <c r="J7" i="82"/>
  <c r="Y1274" i="71"/>
  <c r="X1274" i="71"/>
  <c r="D1274" i="71"/>
  <c r="Y1273" i="71"/>
  <c r="X1273" i="71"/>
  <c r="A1274" i="71"/>
  <c r="D1273" i="71"/>
  <c r="A1273" i="71"/>
  <c r="H17" i="50"/>
  <c r="D310" i="33"/>
  <c r="A308" i="33"/>
  <c r="A307" i="33"/>
  <c r="L14" i="73"/>
  <c r="A1272" i="71"/>
  <c r="X1272" i="71"/>
  <c r="Y1272" i="71"/>
  <c r="D1272" i="71"/>
  <c r="D284" i="37" l="1"/>
  <c r="D262" i="38"/>
  <c r="I310" i="33"/>
  <c r="J310" i="33"/>
  <c r="K310" i="33"/>
  <c r="L310" i="33"/>
  <c r="M310" i="33"/>
  <c r="F13" i="31"/>
  <c r="F7" i="31"/>
  <c r="F8" i="31"/>
  <c r="F9" i="31"/>
  <c r="F10" i="31"/>
  <c r="F11" i="31"/>
  <c r="F12" i="31"/>
  <c r="F14" i="31"/>
  <c r="F15" i="31"/>
  <c r="F16" i="31"/>
  <c r="F17" i="31"/>
  <c r="F18" i="31"/>
  <c r="F19" i="31"/>
  <c r="F20" i="31"/>
  <c r="F21" i="31"/>
  <c r="F22" i="31"/>
  <c r="F23" i="31"/>
  <c r="F24" i="31"/>
  <c r="F25" i="31"/>
  <c r="F26" i="31"/>
  <c r="F27" i="31"/>
  <c r="F28" i="31"/>
  <c r="F29" i="31"/>
  <c r="F30" i="31"/>
  <c r="F31" i="31"/>
  <c r="F32" i="31"/>
  <c r="F33" i="31"/>
  <c r="F34" i="31"/>
  <c r="F35" i="31"/>
  <c r="F36" i="31"/>
  <c r="F37" i="31"/>
  <c r="F38" i="31"/>
  <c r="F39" i="31"/>
  <c r="F40" i="31"/>
  <c r="F41" i="31"/>
  <c r="F6" i="31"/>
  <c r="A1271" i="71"/>
  <c r="A1270" i="71"/>
  <c r="Y1271" i="71"/>
  <c r="X1271" i="71"/>
  <c r="Y1270" i="71"/>
  <c r="X1270" i="71"/>
  <c r="Y1269" i="71"/>
  <c r="X1269" i="71"/>
  <c r="Y1268" i="71"/>
  <c r="X1268" i="71"/>
  <c r="Y1267" i="71"/>
  <c r="X1267" i="71"/>
  <c r="D1271" i="71"/>
  <c r="D1270" i="71"/>
  <c r="D46" i="73"/>
  <c r="A1267" i="71"/>
  <c r="A1268" i="71"/>
  <c r="A1269" i="71"/>
  <c r="D1267" i="71"/>
  <c r="A1266" i="71"/>
  <c r="D1269" i="71"/>
  <c r="D1268" i="71"/>
  <c r="D1247" i="71"/>
  <c r="D1248" i="71"/>
  <c r="D1249" i="71"/>
  <c r="D1250" i="71"/>
  <c r="D1251" i="71"/>
  <c r="D1252" i="71"/>
  <c r="D1253" i="71"/>
  <c r="D1254" i="71"/>
  <c r="D1255" i="71"/>
  <c r="D1256" i="71"/>
  <c r="D1257" i="71"/>
  <c r="D1258" i="71"/>
  <c r="D1259" i="71"/>
  <c r="D1260" i="71"/>
  <c r="D1261" i="71"/>
  <c r="D1262" i="71"/>
  <c r="D1263" i="71"/>
  <c r="D1264" i="71"/>
  <c r="D1265" i="71"/>
  <c r="D1266" i="71"/>
  <c r="H18" i="50"/>
  <c r="X1266" i="71"/>
  <c r="Y1266" i="71"/>
  <c r="D311" i="33"/>
  <c r="A1262" i="71"/>
  <c r="A1263" i="71"/>
  <c r="A1264" i="71"/>
  <c r="A1265" i="71"/>
  <c r="X1265" i="71"/>
  <c r="Y1265" i="71"/>
  <c r="X1264" i="71"/>
  <c r="Y1264" i="71"/>
  <c r="X1263" i="71"/>
  <c r="Y1263" i="71"/>
  <c r="X1262" i="71"/>
  <c r="Y1262" i="71"/>
  <c r="A305" i="33"/>
  <c r="A1261" i="71"/>
  <c r="X1261" i="71"/>
  <c r="Y1261" i="71"/>
  <c r="Y1260" i="71"/>
  <c r="X1260" i="71"/>
  <c r="A1260" i="71"/>
  <c r="Y1259" i="71"/>
  <c r="X1259" i="71"/>
  <c r="A1259" i="71"/>
  <c r="Y1258" i="71"/>
  <c r="X1258" i="71"/>
  <c r="A1258" i="71"/>
  <c r="Y1257" i="71"/>
  <c r="X1257" i="71"/>
  <c r="A1257" i="71"/>
  <c r="Y1256" i="71"/>
  <c r="X1256" i="71"/>
  <c r="A1256" i="71"/>
  <c r="Y1255" i="71"/>
  <c r="X1255" i="71"/>
  <c r="A1255" i="71"/>
  <c r="Y1254" i="71"/>
  <c r="X1254" i="71"/>
  <c r="A1254" i="71"/>
  <c r="Y1253" i="71"/>
  <c r="X1253" i="71"/>
  <c r="A1253" i="71"/>
  <c r="Y1252" i="71"/>
  <c r="X1252" i="71"/>
  <c r="A1252" i="71"/>
  <c r="Y1251" i="71"/>
  <c r="X1251" i="71"/>
  <c r="A1251" i="71"/>
  <c r="Y1250" i="71"/>
  <c r="X1250" i="71"/>
  <c r="A1250" i="71"/>
  <c r="Y1249" i="71"/>
  <c r="X1249" i="71"/>
  <c r="A1249" i="71"/>
  <c r="Y1248" i="71"/>
  <c r="X1248" i="71"/>
  <c r="A1248" i="71"/>
  <c r="Y1247" i="71"/>
  <c r="X1247" i="71"/>
  <c r="A1247" i="71"/>
  <c r="E253" i="45" l="1"/>
  <c r="D126" i="49"/>
  <c r="R310" i="33"/>
  <c r="D291" i="37"/>
  <c r="D254" i="38"/>
  <c r="I311" i="33"/>
  <c r="K311" i="33"/>
  <c r="L311" i="33"/>
  <c r="J311" i="33"/>
  <c r="N310" i="33"/>
  <c r="H19" i="50"/>
  <c r="G273" i="37"/>
  <c r="G272" i="37"/>
  <c r="G271" i="37"/>
  <c r="G270" i="37"/>
  <c r="D308" i="33"/>
  <c r="E239" i="45" l="1"/>
  <c r="D122" i="49"/>
  <c r="R311" i="33"/>
  <c r="D286" i="37"/>
  <c r="D261" i="38"/>
  <c r="D128" i="49" s="1"/>
  <c r="I308" i="33"/>
  <c r="J308" i="33"/>
  <c r="K308" i="33"/>
  <c r="M308" i="33"/>
  <c r="L308" i="33"/>
  <c r="D305" i="33"/>
  <c r="A304" i="33"/>
  <c r="G268" i="37"/>
  <c r="G269" i="37"/>
  <c r="G267" i="37"/>
  <c r="G266" i="37"/>
  <c r="G265" i="37"/>
  <c r="A119" i="50"/>
  <c r="A120" i="50" s="1"/>
  <c r="A121" i="50" s="1"/>
  <c r="A122" i="50" s="1"/>
  <c r="A123" i="50" s="1"/>
  <c r="A124" i="50" s="1"/>
  <c r="A125" i="50" s="1"/>
  <c r="A126" i="50" s="1"/>
  <c r="A127" i="50" s="1"/>
  <c r="A128" i="50" s="1"/>
  <c r="A129" i="50" s="1"/>
  <c r="A130" i="50" s="1"/>
  <c r="A131" i="50" s="1"/>
  <c r="A132" i="50" s="1"/>
  <c r="A133" i="50" s="1"/>
  <c r="A134" i="50" s="1"/>
  <c r="A135" i="50" s="1"/>
  <c r="A136" i="50" s="1"/>
  <c r="A137" i="50" s="1"/>
  <c r="A138" i="50" s="1"/>
  <c r="A139" i="50" s="1"/>
  <c r="A140" i="50" s="1"/>
  <c r="A141" i="50" s="1"/>
  <c r="A142" i="50" s="1"/>
  <c r="A143" i="50" s="1"/>
  <c r="A144" i="50" s="1"/>
  <c r="A145" i="50" s="1"/>
  <c r="A146" i="50" s="1"/>
  <c r="A147" i="50" s="1"/>
  <c r="A148" i="50" s="1"/>
  <c r="A149" i="50" s="1"/>
  <c r="A150" i="50" s="1"/>
  <c r="A151" i="50" s="1"/>
  <c r="A152" i="50" s="1"/>
  <c r="A153" i="50" s="1"/>
  <c r="A154" i="50" s="1"/>
  <c r="A155" i="50" s="1"/>
  <c r="A156" i="50" s="1"/>
  <c r="A157" i="50" s="1"/>
  <c r="C120" i="50"/>
  <c r="C119" i="50"/>
  <c r="C118" i="50"/>
  <c r="E42" i="81"/>
  <c r="G42" i="81"/>
  <c r="I42" i="81"/>
  <c r="K42" i="81"/>
  <c r="M42" i="81"/>
  <c r="O42" i="81"/>
  <c r="Q42" i="81"/>
  <c r="S42" i="81"/>
  <c r="U42" i="81"/>
  <c r="W42" i="81"/>
  <c r="Y42" i="81"/>
  <c r="AA42" i="81"/>
  <c r="AC42" i="81"/>
  <c r="AE42" i="81"/>
  <c r="AG42" i="81"/>
  <c r="AI42" i="81"/>
  <c r="AK42" i="81"/>
  <c r="C42" i="81"/>
  <c r="R308" i="33" l="1"/>
  <c r="A158" i="50"/>
  <c r="A159" i="50" s="1"/>
  <c r="A160" i="50" s="1"/>
  <c r="A161" i="50" s="1"/>
  <c r="A162" i="50" s="1"/>
  <c r="A163" i="50" s="1"/>
  <c r="A164" i="50" s="1"/>
  <c r="A165" i="50" s="1"/>
  <c r="A166" i="50" s="1"/>
  <c r="A167" i="50" s="1"/>
  <c r="A168" i="50" s="1"/>
  <c r="A169" i="50" s="1"/>
  <c r="A170" i="50" s="1"/>
  <c r="A171" i="50" s="1"/>
  <c r="A172" i="50" s="1"/>
  <c r="A173" i="50" s="1"/>
  <c r="A174" i="50" s="1"/>
  <c r="A175" i="50" s="1"/>
  <c r="A176" i="50" s="1"/>
  <c r="A177" i="50" s="1"/>
  <c r="A178" i="50" s="1"/>
  <c r="A179" i="50" s="1"/>
  <c r="A180" i="50" s="1"/>
  <c r="D239" i="38"/>
  <c r="D302" i="37"/>
  <c r="N308" i="33"/>
  <c r="I305" i="33"/>
  <c r="J305" i="33"/>
  <c r="K305" i="33"/>
  <c r="L305" i="33"/>
  <c r="M305" i="33"/>
  <c r="G23" i="82"/>
  <c r="G22" i="82"/>
  <c r="A181" i="50" l="1"/>
  <c r="A182" i="50" s="1"/>
  <c r="A183" i="50" s="1"/>
  <c r="A184" i="50" s="1"/>
  <c r="A185" i="50" s="1"/>
  <c r="A186" i="50" s="1"/>
  <c r="A187" i="50" s="1"/>
  <c r="A188" i="50" s="1"/>
  <c r="A189" i="50" s="1"/>
  <c r="A190" i="50" s="1"/>
  <c r="A191" i="50" s="1"/>
  <c r="A192" i="50" s="1"/>
  <c r="A193" i="50" s="1"/>
  <c r="A194" i="50" s="1"/>
  <c r="A195" i="50" s="1"/>
  <c r="A196" i="50" s="1"/>
  <c r="R305" i="33"/>
  <c r="N305" i="33"/>
  <c r="A197" i="50" l="1"/>
  <c r="A198" i="50" s="1"/>
  <c r="A199" i="50" s="1"/>
  <c r="A200" i="50" s="1"/>
  <c r="A201" i="50" s="1"/>
  <c r="A202" i="50" s="1"/>
  <c r="A203" i="50" s="1"/>
  <c r="A204" i="50" s="1"/>
  <c r="A205" i="50" s="1"/>
  <c r="A206" i="50" s="1"/>
  <c r="A207" i="50" s="1"/>
  <c r="A208" i="50" s="1"/>
  <c r="A209" i="50" s="1"/>
  <c r="G261" i="37"/>
  <c r="G262" i="37"/>
  <c r="G263" i="37"/>
  <c r="G264" i="37"/>
  <c r="G260" i="37"/>
  <c r="G259" i="37"/>
  <c r="G258" i="37"/>
  <c r="G257" i="37"/>
  <c r="A302" i="33"/>
  <c r="R9" i="46"/>
  <c r="G256" i="37"/>
  <c r="G255" i="37"/>
  <c r="G254" i="37"/>
  <c r="G253" i="37"/>
  <c r="G252" i="37"/>
  <c r="A1245" i="71"/>
  <c r="A1246" i="71"/>
  <c r="D1246" i="71"/>
  <c r="X1246" i="71"/>
  <c r="Y1246" i="71"/>
  <c r="D1245" i="71"/>
  <c r="X1245" i="71"/>
  <c r="Y1245" i="71"/>
  <c r="A301" i="33"/>
  <c r="A210" i="50" l="1"/>
  <c r="H66" i="50"/>
  <c r="H86" i="50"/>
  <c r="H85" i="50"/>
  <c r="H84" i="50"/>
  <c r="H83" i="50"/>
  <c r="H71" i="50"/>
  <c r="H70" i="50"/>
  <c r="H69" i="50"/>
  <c r="H68" i="50"/>
  <c r="A1244" i="71"/>
  <c r="X1244" i="71"/>
  <c r="Y1244" i="71"/>
  <c r="D1244" i="71"/>
  <c r="H117" i="50"/>
  <c r="H116" i="50"/>
  <c r="H21" i="50"/>
  <c r="D307" i="33"/>
  <c r="G251" i="37"/>
  <c r="G250" i="37"/>
  <c r="H20" i="50"/>
  <c r="H23" i="50"/>
  <c r="H24" i="50"/>
  <c r="H22" i="50"/>
  <c r="D289" i="37" l="1"/>
  <c r="D256" i="38"/>
  <c r="E272" i="45" s="1"/>
  <c r="K307" i="33"/>
  <c r="L307" i="33"/>
  <c r="I307" i="33"/>
  <c r="J307" i="33"/>
  <c r="R307" i="33" l="1"/>
  <c r="A1243" i="71"/>
  <c r="Y1243" i="71"/>
  <c r="X1243" i="71"/>
  <c r="D1243" i="71"/>
  <c r="A1239" i="71"/>
  <c r="A1240" i="71"/>
  <c r="A1241" i="71"/>
  <c r="A1242" i="71"/>
  <c r="D1239" i="71"/>
  <c r="X1239" i="71"/>
  <c r="Y1239" i="71"/>
  <c r="K292" i="33" l="1"/>
  <c r="J292" i="33"/>
  <c r="R292" i="33" l="1"/>
  <c r="X1241" i="71"/>
  <c r="Y1241" i="71"/>
  <c r="X1242" i="71"/>
  <c r="Y1242" i="71"/>
  <c r="D1242" i="71"/>
  <c r="D1241" i="71"/>
  <c r="D1240" i="71"/>
  <c r="X1240" i="71"/>
  <c r="Y1240" i="71"/>
  <c r="D313" i="33"/>
  <c r="D304" i="33"/>
  <c r="A298" i="33"/>
  <c r="A299" i="33"/>
  <c r="A300" i="33"/>
  <c r="A1237" i="71"/>
  <c r="A1238" i="71"/>
  <c r="D1238" i="71"/>
  <c r="X1238" i="71"/>
  <c r="Y1238" i="71"/>
  <c r="D1237" i="71"/>
  <c r="X1237" i="71"/>
  <c r="Y1237" i="71"/>
  <c r="D282" i="37" l="1"/>
  <c r="D278" i="38"/>
  <c r="D232" i="38"/>
  <c r="E200" i="45" s="1"/>
  <c r="D301" i="37"/>
  <c r="L313" i="33"/>
  <c r="K313" i="33"/>
  <c r="J313" i="33"/>
  <c r="I313" i="33"/>
  <c r="I304" i="33"/>
  <c r="J304" i="33"/>
  <c r="K304" i="33"/>
  <c r="L304" i="33"/>
  <c r="D301" i="33"/>
  <c r="E206" i="45" l="1"/>
  <c r="D57" i="98"/>
  <c r="R313" i="33"/>
  <c r="R304" i="33"/>
  <c r="D290" i="37"/>
  <c r="D257" i="38"/>
  <c r="M301" i="33"/>
  <c r="L301" i="33"/>
  <c r="K301" i="33"/>
  <c r="J301" i="33"/>
  <c r="I301" i="33"/>
  <c r="A1228" i="71"/>
  <c r="A1229" i="71"/>
  <c r="A1230" i="71"/>
  <c r="A1231" i="71"/>
  <c r="A1232" i="71"/>
  <c r="A1233" i="71"/>
  <c r="A1234" i="71"/>
  <c r="A1235" i="71"/>
  <c r="A1236" i="71"/>
  <c r="A297" i="33"/>
  <c r="A303" i="33"/>
  <c r="A306" i="33"/>
  <c r="D1232" i="71"/>
  <c r="D1236" i="71"/>
  <c r="X1236" i="71"/>
  <c r="Y1236" i="71"/>
  <c r="D1235" i="71"/>
  <c r="X1235" i="71"/>
  <c r="Y1235" i="71"/>
  <c r="D1234" i="71"/>
  <c r="X1234" i="71"/>
  <c r="Y1234" i="71"/>
  <c r="D1233" i="71"/>
  <c r="X1233" i="71"/>
  <c r="Y1233" i="71"/>
  <c r="H114" i="50"/>
  <c r="J11" i="26"/>
  <c r="K11" i="26" s="1"/>
  <c r="E256" i="45" l="1"/>
  <c r="D130" i="49"/>
  <c r="R301" i="33"/>
  <c r="N301" i="33"/>
  <c r="D306" i="33"/>
  <c r="D1231" i="71"/>
  <c r="X1231" i="71"/>
  <c r="Y1231" i="71"/>
  <c r="Y1230" i="71"/>
  <c r="X1230" i="71"/>
  <c r="D1230" i="71"/>
  <c r="D1229" i="71"/>
  <c r="D1228" i="71"/>
  <c r="X1229" i="71"/>
  <c r="Y1229" i="71"/>
  <c r="X1228" i="71"/>
  <c r="Y1228" i="71"/>
  <c r="D288" i="37" l="1"/>
  <c r="D250" i="38"/>
  <c r="D129" i="49" s="1"/>
  <c r="M306" i="33"/>
  <c r="L306" i="33"/>
  <c r="J306" i="33"/>
  <c r="I306" i="33"/>
  <c r="K306" i="33"/>
  <c r="A1225" i="71"/>
  <c r="A1226" i="71"/>
  <c r="A1227" i="71"/>
  <c r="D1227" i="71"/>
  <c r="X1227" i="71"/>
  <c r="Y1227" i="71"/>
  <c r="D1226" i="71"/>
  <c r="X1226" i="71"/>
  <c r="Y1226" i="71"/>
  <c r="D1225" i="71"/>
  <c r="X1225" i="71"/>
  <c r="Y1225" i="71"/>
  <c r="A1222" i="71"/>
  <c r="A1223" i="71"/>
  <c r="A1224" i="71"/>
  <c r="R306" i="33" l="1"/>
  <c r="N306" i="33"/>
  <c r="D1224" i="71"/>
  <c r="X1224" i="71"/>
  <c r="Y1224" i="71"/>
  <c r="D1223" i="71"/>
  <c r="X1223" i="71"/>
  <c r="Y1223" i="71"/>
  <c r="D1222" i="71"/>
  <c r="X1222" i="71"/>
  <c r="Y1222" i="71"/>
  <c r="A1215" i="71"/>
  <c r="A1216" i="71"/>
  <c r="A1217" i="71"/>
  <c r="A1218" i="71"/>
  <c r="A1219" i="71"/>
  <c r="A1220" i="71"/>
  <c r="A1221" i="71"/>
  <c r="D1221" i="71"/>
  <c r="D1220" i="71"/>
  <c r="D1219" i="71"/>
  <c r="X1221" i="71"/>
  <c r="Y1221" i="71"/>
  <c r="X1220" i="71"/>
  <c r="Y1220" i="71"/>
  <c r="X1219" i="71"/>
  <c r="Y1219" i="71"/>
  <c r="H67" i="50" l="1"/>
  <c r="G249" i="37" l="1"/>
  <c r="G248" i="37"/>
  <c r="G247" i="37"/>
  <c r="A295" i="33"/>
  <c r="D300" i="33"/>
  <c r="D297" i="33"/>
  <c r="A294" i="33"/>
  <c r="G246" i="37"/>
  <c r="G245" i="37"/>
  <c r="G244" i="37"/>
  <c r="D254" i="37" l="1"/>
  <c r="D223" i="38"/>
  <c r="D271" i="37"/>
  <c r="D238" i="38"/>
  <c r="D24" i="49" s="1"/>
  <c r="I300" i="33"/>
  <c r="K300" i="33"/>
  <c r="L300" i="33"/>
  <c r="J300" i="33"/>
  <c r="L297" i="33"/>
  <c r="J297" i="33"/>
  <c r="K297" i="33"/>
  <c r="M297" i="33"/>
  <c r="I297" i="33"/>
  <c r="D1218" i="71"/>
  <c r="D1217" i="71"/>
  <c r="X1218" i="71"/>
  <c r="Y1218" i="71"/>
  <c r="G243" i="37"/>
  <c r="G242" i="37"/>
  <c r="G241" i="37"/>
  <c r="A292" i="33"/>
  <c r="A293" i="33"/>
  <c r="D12" i="49" l="1"/>
  <c r="D93" i="98"/>
  <c r="E164" i="45"/>
  <c r="D82" i="98"/>
  <c r="E153" i="45"/>
  <c r="D10" i="96"/>
  <c r="R300" i="33"/>
  <c r="R297" i="33"/>
  <c r="N297" i="33"/>
  <c r="D299" i="33"/>
  <c r="D1216" i="71"/>
  <c r="D1215" i="71"/>
  <c r="X1217" i="71"/>
  <c r="Y1217" i="71"/>
  <c r="X1216" i="71"/>
  <c r="Y1216" i="71"/>
  <c r="X1215" i="71"/>
  <c r="Y1215" i="71"/>
  <c r="J18" i="26"/>
  <c r="R8" i="46"/>
  <c r="G240" i="37"/>
  <c r="G239" i="37"/>
  <c r="G238" i="37"/>
  <c r="G237" i="37"/>
  <c r="D266" i="37" l="1"/>
  <c r="D135" i="38"/>
  <c r="D83" i="49" s="1"/>
  <c r="M299" i="33"/>
  <c r="L299" i="33"/>
  <c r="I299" i="33"/>
  <c r="K299" i="33"/>
  <c r="J299" i="33"/>
  <c r="Y1214" i="71"/>
  <c r="X1214" i="71"/>
  <c r="Y1213" i="71"/>
  <c r="X1213" i="71"/>
  <c r="Y1212" i="71"/>
  <c r="X1212" i="71"/>
  <c r="A1211" i="71"/>
  <c r="A1212" i="71"/>
  <c r="A1213" i="71"/>
  <c r="A1214" i="71"/>
  <c r="D1214" i="71"/>
  <c r="D1213" i="71"/>
  <c r="D1212" i="71"/>
  <c r="D1211" i="71"/>
  <c r="X1211" i="71"/>
  <c r="Y1211" i="71"/>
  <c r="G234" i="37"/>
  <c r="G235" i="37"/>
  <c r="G236" i="37"/>
  <c r="D295" i="33"/>
  <c r="D266" i="38" s="1"/>
  <c r="D302" i="33"/>
  <c r="D303" i="33"/>
  <c r="A290" i="33"/>
  <c r="A291" i="33"/>
  <c r="A296" i="33"/>
  <c r="D69" i="98" l="1"/>
  <c r="D23" i="49"/>
  <c r="E99" i="45"/>
  <c r="D24" i="98"/>
  <c r="E163" i="45"/>
  <c r="D101" i="96"/>
  <c r="R299" i="33"/>
  <c r="D307" i="38"/>
  <c r="D307" i="37"/>
  <c r="D270" i="37"/>
  <c r="D279" i="37"/>
  <c r="D172" i="38"/>
  <c r="L303" i="33"/>
  <c r="M303" i="33"/>
  <c r="K303" i="33"/>
  <c r="I303" i="33"/>
  <c r="J303" i="33"/>
  <c r="K302" i="33"/>
  <c r="L302" i="33"/>
  <c r="M302" i="33"/>
  <c r="I302" i="33"/>
  <c r="J302" i="33"/>
  <c r="N299" i="33"/>
  <c r="I295" i="33"/>
  <c r="M295" i="33"/>
  <c r="L295" i="33"/>
  <c r="K295" i="33"/>
  <c r="J295" i="33"/>
  <c r="A1192" i="71"/>
  <c r="A1193" i="71"/>
  <c r="D1193" i="71"/>
  <c r="X1193" i="71"/>
  <c r="Y1193" i="71"/>
  <c r="Y1194" i="71"/>
  <c r="X1194" i="71"/>
  <c r="D1192" i="71"/>
  <c r="X1192" i="71"/>
  <c r="Y1192" i="71"/>
  <c r="A1207" i="71"/>
  <c r="A1208" i="71"/>
  <c r="A1209" i="71"/>
  <c r="A1210" i="71"/>
  <c r="Y1210" i="71"/>
  <c r="X1210" i="71"/>
  <c r="Y1209" i="71"/>
  <c r="X1209" i="71"/>
  <c r="Y1208" i="71"/>
  <c r="X1208" i="71"/>
  <c r="D1210" i="71"/>
  <c r="D1209" i="71"/>
  <c r="D1208" i="71"/>
  <c r="D1207" i="71"/>
  <c r="X1207" i="71"/>
  <c r="Y1207" i="71"/>
  <c r="G233" i="37"/>
  <c r="G232" i="37"/>
  <c r="G231" i="37"/>
  <c r="G230" i="37"/>
  <c r="A289" i="33"/>
  <c r="D298" i="33"/>
  <c r="E264" i="45" l="1"/>
  <c r="D218" i="49"/>
  <c r="E172" i="45"/>
  <c r="D25" i="98"/>
  <c r="R295" i="33"/>
  <c r="R303" i="33"/>
  <c r="R302" i="33"/>
  <c r="D280" i="37"/>
  <c r="D271" i="38"/>
  <c r="N303" i="33"/>
  <c r="N302" i="33"/>
  <c r="I298" i="33"/>
  <c r="J298" i="33"/>
  <c r="L298" i="33"/>
  <c r="M298" i="33"/>
  <c r="K298" i="33"/>
  <c r="N295" i="33"/>
  <c r="A1204" i="71"/>
  <c r="A1205" i="71"/>
  <c r="A1206" i="71"/>
  <c r="D1206" i="71"/>
  <c r="D1205" i="71"/>
  <c r="D1204" i="71"/>
  <c r="X1206" i="71"/>
  <c r="Y1206" i="71"/>
  <c r="X1205" i="71"/>
  <c r="Y1205" i="71"/>
  <c r="G227" i="37"/>
  <c r="G228" i="37"/>
  <c r="G229" i="37"/>
  <c r="G226" i="37"/>
  <c r="G225" i="37"/>
  <c r="A1200" i="71"/>
  <c r="A1201" i="71"/>
  <c r="A1202" i="71"/>
  <c r="A1203" i="71"/>
  <c r="D1203" i="71"/>
  <c r="D1202" i="71"/>
  <c r="D1201" i="71"/>
  <c r="D1194" i="71"/>
  <c r="A1194" i="71"/>
  <c r="D1200" i="71"/>
  <c r="X1204" i="71"/>
  <c r="Y1204" i="71"/>
  <c r="X1201" i="71"/>
  <c r="Y1201" i="71"/>
  <c r="X1202" i="71"/>
  <c r="Y1202" i="71"/>
  <c r="X1203" i="71"/>
  <c r="Y1203" i="71"/>
  <c r="X1200" i="71"/>
  <c r="Y1200" i="71"/>
  <c r="G224" i="37"/>
  <c r="G223" i="37"/>
  <c r="G222" i="37"/>
  <c r="G221" i="37"/>
  <c r="G220" i="37"/>
  <c r="A288" i="33"/>
  <c r="A1195" i="71"/>
  <c r="A1196" i="71"/>
  <c r="A1197" i="71"/>
  <c r="A1198" i="71"/>
  <c r="A1199" i="71"/>
  <c r="D1199" i="71"/>
  <c r="Y1199" i="71"/>
  <c r="X1199" i="71"/>
  <c r="Y1198" i="71"/>
  <c r="X1198" i="71"/>
  <c r="D1198" i="71"/>
  <c r="D1197" i="71"/>
  <c r="D1196" i="71"/>
  <c r="Y1197" i="71"/>
  <c r="X1197" i="71"/>
  <c r="Y1196" i="71"/>
  <c r="X1196" i="71"/>
  <c r="Y1195" i="71"/>
  <c r="X1195" i="71"/>
  <c r="D1195" i="71"/>
  <c r="D291" i="33"/>
  <c r="G219" i="37"/>
  <c r="G218" i="37"/>
  <c r="G217" i="37"/>
  <c r="G216" i="37"/>
  <c r="G215" i="37"/>
  <c r="E257" i="45" l="1"/>
  <c r="D131" i="49"/>
  <c r="R298" i="33"/>
  <c r="D257" i="37"/>
  <c r="D200" i="38"/>
  <c r="N298" i="33"/>
  <c r="J291" i="33"/>
  <c r="I291" i="33"/>
  <c r="M291" i="33"/>
  <c r="L291" i="33"/>
  <c r="K291" i="33"/>
  <c r="D15" i="49" l="1"/>
  <c r="D86" i="98"/>
  <c r="E155" i="45"/>
  <c r="D94" i="96"/>
  <c r="R291" i="33"/>
  <c r="N291" i="33"/>
  <c r="D287" i="33"/>
  <c r="A287" i="33"/>
  <c r="G214" i="37"/>
  <c r="G213" i="37"/>
  <c r="G212" i="37"/>
  <c r="M362" i="33"/>
  <c r="N362" i="33" s="1"/>
  <c r="N363" i="33"/>
  <c r="N364" i="33"/>
  <c r="K365" i="33"/>
  <c r="J365" i="33"/>
  <c r="D258" i="37" l="1"/>
  <c r="D216" i="38"/>
  <c r="M287" i="33"/>
  <c r="L287" i="33"/>
  <c r="K287" i="33"/>
  <c r="J287" i="33"/>
  <c r="I287" i="33"/>
  <c r="N365" i="33"/>
  <c r="G211" i="37"/>
  <c r="G210" i="37"/>
  <c r="G209" i="37"/>
  <c r="D290" i="33"/>
  <c r="Y1191" i="71"/>
  <c r="X1191" i="71"/>
  <c r="A1191" i="71"/>
  <c r="D1191" i="71"/>
  <c r="D16" i="49" l="1"/>
  <c r="D87" i="98"/>
  <c r="E156" i="45"/>
  <c r="D95" i="96"/>
  <c r="R287" i="33"/>
  <c r="D126" i="38"/>
  <c r="D312" i="37"/>
  <c r="I290" i="33"/>
  <c r="M290" i="33"/>
  <c r="L290" i="33"/>
  <c r="K290" i="33"/>
  <c r="J290" i="33"/>
  <c r="N287" i="33"/>
  <c r="E262" i="45" l="1"/>
  <c r="D210" i="49"/>
  <c r="R290" i="33"/>
  <c r="N290" i="33"/>
  <c r="U43" i="80" l="1"/>
  <c r="U28" i="80"/>
  <c r="A1187" i="71"/>
  <c r="A1188" i="71"/>
  <c r="A1189" i="71"/>
  <c r="A1190" i="71"/>
  <c r="Y1190" i="71"/>
  <c r="X1190" i="71"/>
  <c r="Y1189" i="71"/>
  <c r="X1189" i="71"/>
  <c r="Y1188" i="71"/>
  <c r="X1188" i="71"/>
  <c r="Y1187" i="71"/>
  <c r="X1187" i="71"/>
  <c r="D1189" i="71"/>
  <c r="D1187" i="71"/>
  <c r="D1188" i="71"/>
  <c r="G208" i="37"/>
  <c r="G207" i="37"/>
  <c r="G206" i="37"/>
  <c r="D294" i="33"/>
  <c r="D285" i="33"/>
  <c r="N284" i="33"/>
  <c r="A284" i="33"/>
  <c r="A283" i="33"/>
  <c r="A282" i="33"/>
  <c r="A1184" i="71"/>
  <c r="A1185" i="71"/>
  <c r="A1186" i="71"/>
  <c r="Y1186" i="71"/>
  <c r="X1186" i="71"/>
  <c r="Y1185" i="71"/>
  <c r="X1185" i="71"/>
  <c r="Y1184" i="71"/>
  <c r="X1184" i="71"/>
  <c r="D1186" i="71"/>
  <c r="D1185" i="71"/>
  <c r="D1184" i="71"/>
  <c r="G205" i="37"/>
  <c r="G204" i="37"/>
  <c r="G203" i="37"/>
  <c r="K74" i="81"/>
  <c r="M74" i="81"/>
  <c r="O74" i="81"/>
  <c r="Q74" i="81"/>
  <c r="S74" i="81"/>
  <c r="U74" i="81"/>
  <c r="W74" i="81"/>
  <c r="Y74" i="81"/>
  <c r="AA74" i="81"/>
  <c r="AC74" i="81"/>
  <c r="AE74" i="81"/>
  <c r="D255" i="37" l="1"/>
  <c r="D252" i="38"/>
  <c r="D259" i="37"/>
  <c r="D235" i="38"/>
  <c r="M285" i="33"/>
  <c r="K285" i="33"/>
  <c r="I285" i="33"/>
  <c r="J285" i="33"/>
  <c r="L285" i="33"/>
  <c r="L294" i="33"/>
  <c r="I294" i="33"/>
  <c r="K294" i="33"/>
  <c r="J294" i="33"/>
  <c r="K2" i="80"/>
  <c r="Y1183" i="71"/>
  <c r="X1183" i="71"/>
  <c r="Y1182" i="71"/>
  <c r="X1182" i="71"/>
  <c r="Y1181" i="71"/>
  <c r="X1181" i="71"/>
  <c r="Y1180" i="71"/>
  <c r="X1180" i="71"/>
  <c r="A1180" i="71"/>
  <c r="A1181" i="71"/>
  <c r="A1182" i="71"/>
  <c r="A1183" i="71"/>
  <c r="D1183" i="71"/>
  <c r="D1182" i="71"/>
  <c r="D1181" i="71"/>
  <c r="D1180" i="71"/>
  <c r="G202" i="37"/>
  <c r="G201" i="37"/>
  <c r="G200" i="37"/>
  <c r="G199" i="37"/>
  <c r="G198" i="37"/>
  <c r="D198" i="37"/>
  <c r="D17" i="49" l="1"/>
  <c r="D88" i="98"/>
  <c r="E211" i="45"/>
  <c r="D13" i="49"/>
  <c r="D84" i="98"/>
  <c r="E157" i="45"/>
  <c r="D96" i="96"/>
  <c r="R285" i="33"/>
  <c r="R294" i="33"/>
  <c r="H252" i="38"/>
  <c r="I252" i="38"/>
  <c r="N285" i="33"/>
  <c r="G197" i="37"/>
  <c r="G196" i="37"/>
  <c r="G195" i="37"/>
  <c r="G194" i="37"/>
  <c r="G193" i="37"/>
  <c r="G192" i="37"/>
  <c r="A1175" i="71"/>
  <c r="A1176" i="71"/>
  <c r="A1177" i="71"/>
  <c r="A1178" i="71"/>
  <c r="A1179" i="71"/>
  <c r="Y1179" i="71"/>
  <c r="X1179" i="71"/>
  <c r="D1179" i="71"/>
  <c r="D1178" i="71"/>
  <c r="D1177" i="71"/>
  <c r="Y1178" i="71"/>
  <c r="X1178" i="71"/>
  <c r="Y1177" i="71"/>
  <c r="X1177" i="71"/>
  <c r="Y1176" i="71"/>
  <c r="X1176" i="71"/>
  <c r="D1176" i="71"/>
  <c r="A281" i="33"/>
  <c r="Y1175" i="71"/>
  <c r="X1175" i="71"/>
  <c r="D1175" i="71"/>
  <c r="H99" i="50" l="1"/>
  <c r="H41" i="50"/>
  <c r="D282" i="33"/>
  <c r="G189" i="37"/>
  <c r="G190" i="37"/>
  <c r="G191" i="37"/>
  <c r="G188" i="37"/>
  <c r="D256" i="37" l="1"/>
  <c r="D183" i="38"/>
  <c r="I282" i="33"/>
  <c r="L282" i="33"/>
  <c r="M282" i="33"/>
  <c r="K282" i="33"/>
  <c r="J282" i="33"/>
  <c r="C74" i="89"/>
  <c r="C73" i="89"/>
  <c r="J71" i="89"/>
  <c r="G71" i="89"/>
  <c r="F71" i="89"/>
  <c r="C71" i="89"/>
  <c r="K70" i="89"/>
  <c r="H70" i="89"/>
  <c r="A70" i="89"/>
  <c r="K69" i="89"/>
  <c r="H69" i="89"/>
  <c r="A69" i="89"/>
  <c r="K68" i="89"/>
  <c r="H68" i="89"/>
  <c r="A68" i="89"/>
  <c r="K67" i="89"/>
  <c r="H67" i="89"/>
  <c r="A67" i="89"/>
  <c r="K66" i="89"/>
  <c r="H66" i="89"/>
  <c r="A66" i="89"/>
  <c r="K65" i="89"/>
  <c r="H65" i="89"/>
  <c r="A65" i="89"/>
  <c r="K64" i="89"/>
  <c r="H64" i="89"/>
  <c r="A64" i="89"/>
  <c r="K63" i="89"/>
  <c r="H63" i="89"/>
  <c r="A63" i="89"/>
  <c r="K62" i="89"/>
  <c r="H62" i="89"/>
  <c r="A62" i="89"/>
  <c r="K61" i="89"/>
  <c r="H61" i="89"/>
  <c r="A61" i="89"/>
  <c r="K60" i="89"/>
  <c r="H60" i="89"/>
  <c r="A60" i="89"/>
  <c r="K59" i="89"/>
  <c r="H59" i="89"/>
  <c r="A59" i="89"/>
  <c r="K58" i="89"/>
  <c r="H58" i="89"/>
  <c r="A58" i="89"/>
  <c r="K57" i="89"/>
  <c r="H57" i="89"/>
  <c r="A57" i="89"/>
  <c r="K56" i="89"/>
  <c r="H56" i="89"/>
  <c r="A56" i="89"/>
  <c r="K55" i="89"/>
  <c r="H55" i="89"/>
  <c r="A55" i="89"/>
  <c r="K54" i="89"/>
  <c r="H54" i="89"/>
  <c r="A54" i="89"/>
  <c r="K53" i="89"/>
  <c r="H53" i="89"/>
  <c r="A53" i="89"/>
  <c r="K52" i="89"/>
  <c r="H52" i="89"/>
  <c r="A52" i="89"/>
  <c r="K51" i="89"/>
  <c r="H51" i="89"/>
  <c r="A51" i="89"/>
  <c r="K50" i="89"/>
  <c r="H50" i="89"/>
  <c r="A50" i="89"/>
  <c r="K49" i="89"/>
  <c r="H49" i="89"/>
  <c r="A49" i="89"/>
  <c r="K48" i="89"/>
  <c r="H48" i="89"/>
  <c r="A48" i="89"/>
  <c r="K47" i="89"/>
  <c r="H47" i="89"/>
  <c r="A47" i="89"/>
  <c r="K46" i="89"/>
  <c r="H46" i="89"/>
  <c r="A46" i="89"/>
  <c r="K45" i="89"/>
  <c r="H45" i="89"/>
  <c r="A45" i="89"/>
  <c r="K44" i="89"/>
  <c r="H44" i="89"/>
  <c r="A44" i="89"/>
  <c r="K43" i="89"/>
  <c r="H43" i="89"/>
  <c r="A43" i="89"/>
  <c r="K42" i="89"/>
  <c r="H42" i="89"/>
  <c r="A42" i="89"/>
  <c r="K41" i="89"/>
  <c r="H41" i="89"/>
  <c r="A41" i="89"/>
  <c r="K40" i="89"/>
  <c r="H40" i="89"/>
  <c r="A40" i="89"/>
  <c r="K39" i="89"/>
  <c r="H39" i="89"/>
  <c r="A39" i="89"/>
  <c r="K38" i="89"/>
  <c r="H38" i="89"/>
  <c r="A38" i="89"/>
  <c r="K37" i="89"/>
  <c r="H37" i="89"/>
  <c r="A37" i="89"/>
  <c r="K36" i="89"/>
  <c r="H36" i="89"/>
  <c r="A36" i="89"/>
  <c r="K35" i="89"/>
  <c r="H35" i="89"/>
  <c r="A35" i="89"/>
  <c r="K34" i="89"/>
  <c r="H34" i="89"/>
  <c r="A34" i="89"/>
  <c r="K33" i="89"/>
  <c r="H33" i="89"/>
  <c r="A33" i="89"/>
  <c r="K32" i="89"/>
  <c r="H32" i="89"/>
  <c r="A32" i="89"/>
  <c r="K31" i="89"/>
  <c r="H31" i="89"/>
  <c r="A31" i="89"/>
  <c r="K30" i="89"/>
  <c r="H30" i="89"/>
  <c r="A30" i="89"/>
  <c r="K29" i="89"/>
  <c r="H29" i="89"/>
  <c r="A29" i="89"/>
  <c r="K28" i="89"/>
  <c r="H28" i="89"/>
  <c r="A28" i="89"/>
  <c r="K27" i="89"/>
  <c r="H27" i="89"/>
  <c r="A27" i="89"/>
  <c r="K26" i="89"/>
  <c r="H26" i="89"/>
  <c r="A26" i="89"/>
  <c r="K25" i="89"/>
  <c r="H25" i="89"/>
  <c r="A25" i="89"/>
  <c r="K24" i="89"/>
  <c r="H24" i="89"/>
  <c r="A24" i="89"/>
  <c r="K23" i="89"/>
  <c r="H23" i="89"/>
  <c r="A23" i="89"/>
  <c r="K22" i="89"/>
  <c r="H22" i="89"/>
  <c r="A22" i="89"/>
  <c r="K21" i="89"/>
  <c r="H21" i="89"/>
  <c r="A21" i="89"/>
  <c r="K20" i="89"/>
  <c r="H20" i="89"/>
  <c r="A20" i="89"/>
  <c r="K19" i="89"/>
  <c r="H19" i="89"/>
  <c r="A19" i="89"/>
  <c r="K18" i="89"/>
  <c r="H18" i="89"/>
  <c r="A18" i="89"/>
  <c r="K17" i="89"/>
  <c r="H17" i="89"/>
  <c r="A17" i="89"/>
  <c r="K16" i="89"/>
  <c r="H16" i="89"/>
  <c r="A16" i="89"/>
  <c r="K15" i="89"/>
  <c r="H15" i="89"/>
  <c r="A15" i="89"/>
  <c r="K14" i="89"/>
  <c r="H14" i="89"/>
  <c r="A14" i="89"/>
  <c r="K13" i="89"/>
  <c r="H13" i="89"/>
  <c r="A13" i="89"/>
  <c r="K12" i="89"/>
  <c r="H12" i="89"/>
  <c r="A12" i="89"/>
  <c r="C7" i="89"/>
  <c r="C5" i="89"/>
  <c r="D14" i="49" l="1"/>
  <c r="D85" i="98"/>
  <c r="E154" i="45"/>
  <c r="D11" i="96"/>
  <c r="C75" i="89"/>
  <c r="H71" i="89"/>
  <c r="K71" i="89"/>
  <c r="C6" i="89"/>
  <c r="R282" i="33"/>
  <c r="N282" i="33"/>
  <c r="C115" i="50"/>
  <c r="C114" i="50"/>
  <c r="C1048553" i="50"/>
  <c r="A1173" i="71"/>
  <c r="A1174" i="71"/>
  <c r="Y1174" i="71"/>
  <c r="X1174" i="71"/>
  <c r="D1174" i="71"/>
  <c r="Y1173" i="71"/>
  <c r="X1173" i="71"/>
  <c r="D1173" i="71"/>
  <c r="D283" i="33"/>
  <c r="A280" i="33"/>
  <c r="A1171" i="71"/>
  <c r="A1172" i="71"/>
  <c r="Y1172" i="71"/>
  <c r="X1172" i="71"/>
  <c r="D1172" i="71"/>
  <c r="Y1171" i="71"/>
  <c r="X1171" i="71"/>
  <c r="D1171" i="71"/>
  <c r="N293" i="33"/>
  <c r="X1164" i="71"/>
  <c r="X1169" i="71"/>
  <c r="Y1169" i="71"/>
  <c r="X1170" i="71"/>
  <c r="Y1170" i="71"/>
  <c r="D1170" i="71"/>
  <c r="A1170" i="71"/>
  <c r="D1169" i="71"/>
  <c r="A1169" i="71"/>
  <c r="D1168" i="71"/>
  <c r="X1168" i="71"/>
  <c r="Y1168" i="71"/>
  <c r="A1168" i="71"/>
  <c r="A279" i="33"/>
  <c r="G10" i="73"/>
  <c r="F12" i="26"/>
  <c r="D260" i="37" l="1"/>
  <c r="D193" i="38"/>
  <c r="M283" i="33"/>
  <c r="L283" i="33"/>
  <c r="K283" i="33"/>
  <c r="J283" i="33"/>
  <c r="I283" i="33"/>
  <c r="A10" i="33"/>
  <c r="A11" i="33"/>
  <c r="A12" i="33"/>
  <c r="A13" i="33"/>
  <c r="A14" i="33"/>
  <c r="A15" i="33"/>
  <c r="A16" i="33"/>
  <c r="A17" i="33"/>
  <c r="A18" i="33"/>
  <c r="A19" i="33"/>
  <c r="A20" i="33"/>
  <c r="A21" i="33"/>
  <c r="A22" i="33"/>
  <c r="A23" i="33"/>
  <c r="A24" i="33"/>
  <c r="A25" i="33"/>
  <c r="A26" i="33"/>
  <c r="A27" i="33"/>
  <c r="A28" i="33"/>
  <c r="A29" i="33"/>
  <c r="A30" i="33"/>
  <c r="A31" i="33"/>
  <c r="A32" i="33"/>
  <c r="A33" i="33"/>
  <c r="A34" i="33"/>
  <c r="A35" i="33"/>
  <c r="A36" i="33"/>
  <c r="A37" i="33"/>
  <c r="A38" i="33"/>
  <c r="A39" i="33"/>
  <c r="A40" i="33"/>
  <c r="A41" i="33"/>
  <c r="A42" i="33"/>
  <c r="A43" i="33"/>
  <c r="A44" i="33"/>
  <c r="A45" i="33"/>
  <c r="A46" i="33"/>
  <c r="A47" i="33"/>
  <c r="A48" i="33"/>
  <c r="A49" i="33"/>
  <c r="A50" i="33"/>
  <c r="A51" i="33"/>
  <c r="A52" i="33"/>
  <c r="A53" i="33"/>
  <c r="A54" i="33"/>
  <c r="A55" i="33"/>
  <c r="A56" i="33"/>
  <c r="A57" i="33"/>
  <c r="A58" i="33"/>
  <c r="A59" i="33"/>
  <c r="A60" i="33"/>
  <c r="A61" i="33"/>
  <c r="A62" i="33"/>
  <c r="A63" i="33"/>
  <c r="A64" i="33"/>
  <c r="A65" i="33"/>
  <c r="A66" i="33"/>
  <c r="A67" i="33"/>
  <c r="A68" i="33"/>
  <c r="A69" i="33"/>
  <c r="A70" i="33"/>
  <c r="A71" i="33"/>
  <c r="A72" i="33"/>
  <c r="A73" i="33"/>
  <c r="A74" i="33"/>
  <c r="A75" i="33"/>
  <c r="A76" i="33"/>
  <c r="A77" i="33"/>
  <c r="A78" i="33"/>
  <c r="A79" i="33"/>
  <c r="A80" i="33"/>
  <c r="A81" i="33"/>
  <c r="A82" i="33"/>
  <c r="A83" i="33"/>
  <c r="A84" i="33"/>
  <c r="A85" i="33"/>
  <c r="A86" i="33"/>
  <c r="A87" i="33"/>
  <c r="A88" i="33"/>
  <c r="A89" i="33"/>
  <c r="A90" i="33"/>
  <c r="A91" i="33"/>
  <c r="A92" i="33"/>
  <c r="A93" i="33"/>
  <c r="A94" i="33"/>
  <c r="A95" i="33"/>
  <c r="A96" i="33"/>
  <c r="A97" i="33"/>
  <c r="A98" i="33"/>
  <c r="A99" i="33"/>
  <c r="A100" i="33"/>
  <c r="A101" i="33"/>
  <c r="A102" i="33"/>
  <c r="A103" i="33"/>
  <c r="A104" i="33"/>
  <c r="A105" i="33"/>
  <c r="A106" i="33"/>
  <c r="A107" i="33"/>
  <c r="A108" i="33"/>
  <c r="A109" i="33"/>
  <c r="A110" i="33"/>
  <c r="A111" i="33"/>
  <c r="A112" i="33"/>
  <c r="A113" i="33"/>
  <c r="A114" i="33"/>
  <c r="A115" i="33"/>
  <c r="A116" i="33"/>
  <c r="A117" i="33"/>
  <c r="A118" i="33"/>
  <c r="A119" i="33"/>
  <c r="A120" i="33"/>
  <c r="A121" i="33"/>
  <c r="A122" i="33"/>
  <c r="A123" i="33"/>
  <c r="A124" i="33"/>
  <c r="A125" i="33"/>
  <c r="A126" i="33"/>
  <c r="A127" i="33"/>
  <c r="A128" i="33"/>
  <c r="A129" i="33"/>
  <c r="A130" i="33"/>
  <c r="A131" i="33"/>
  <c r="A132" i="33"/>
  <c r="A133" i="33"/>
  <c r="A134" i="33"/>
  <c r="A135" i="33"/>
  <c r="A136" i="33"/>
  <c r="A137" i="33"/>
  <c r="A138" i="33"/>
  <c r="A139" i="33"/>
  <c r="A140" i="33"/>
  <c r="A141" i="33"/>
  <c r="A142" i="33"/>
  <c r="A143" i="33"/>
  <c r="A144" i="33"/>
  <c r="A145" i="33"/>
  <c r="A146" i="33"/>
  <c r="A147" i="33"/>
  <c r="A148" i="33"/>
  <c r="A149" i="33"/>
  <c r="A150" i="33"/>
  <c r="A151" i="33"/>
  <c r="A152" i="33"/>
  <c r="A153" i="33"/>
  <c r="A154" i="33"/>
  <c r="A155" i="33"/>
  <c r="A156" i="33"/>
  <c r="A157" i="33"/>
  <c r="A158" i="33"/>
  <c r="A159" i="33"/>
  <c r="A160" i="33"/>
  <c r="A161" i="33"/>
  <c r="A162" i="33"/>
  <c r="A163" i="33"/>
  <c r="A164" i="33"/>
  <c r="A165" i="33"/>
  <c r="A166" i="33"/>
  <c r="A167" i="33"/>
  <c r="A168" i="33"/>
  <c r="A169" i="33"/>
  <c r="A170" i="33"/>
  <c r="A171" i="33"/>
  <c r="A172" i="33"/>
  <c r="A173" i="33"/>
  <c r="A174" i="33"/>
  <c r="A175" i="33"/>
  <c r="A176" i="33"/>
  <c r="A177" i="33"/>
  <c r="A178" i="33"/>
  <c r="A179" i="33"/>
  <c r="A180" i="33"/>
  <c r="A181" i="33"/>
  <c r="A182" i="33"/>
  <c r="A183" i="33"/>
  <c r="A184" i="33"/>
  <c r="A185" i="33"/>
  <c r="A186" i="33"/>
  <c r="A187" i="33"/>
  <c r="A188" i="33"/>
  <c r="A189" i="33"/>
  <c r="A190" i="33"/>
  <c r="A191" i="33"/>
  <c r="A192" i="33"/>
  <c r="A193" i="33"/>
  <c r="A194" i="33"/>
  <c r="A195" i="33"/>
  <c r="A196" i="33"/>
  <c r="A197" i="33"/>
  <c r="A198" i="33"/>
  <c r="A199" i="33"/>
  <c r="A200" i="33"/>
  <c r="A201" i="33"/>
  <c r="A202" i="33"/>
  <c r="A203" i="33"/>
  <c r="A204" i="33"/>
  <c r="A205" i="33"/>
  <c r="A206" i="33"/>
  <c r="A207" i="33"/>
  <c r="A208" i="33"/>
  <c r="A209" i="33"/>
  <c r="A210" i="33"/>
  <c r="A211" i="33"/>
  <c r="A212" i="33"/>
  <c r="A213" i="33"/>
  <c r="A214" i="33"/>
  <c r="A215" i="33"/>
  <c r="A216" i="33"/>
  <c r="A217" i="33"/>
  <c r="A218" i="33"/>
  <c r="A219" i="33"/>
  <c r="A220" i="33"/>
  <c r="A221" i="33"/>
  <c r="A222" i="33"/>
  <c r="A223" i="33"/>
  <c r="A224" i="33"/>
  <c r="A225" i="33"/>
  <c r="A226" i="33"/>
  <c r="A227" i="33"/>
  <c r="A228" i="33"/>
  <c r="A229" i="33"/>
  <c r="A230" i="33"/>
  <c r="A231" i="33"/>
  <c r="A232" i="33"/>
  <c r="A233" i="33"/>
  <c r="A234" i="33"/>
  <c r="A235" i="33"/>
  <c r="A236" i="33"/>
  <c r="A237" i="33"/>
  <c r="A238" i="33"/>
  <c r="A239" i="33"/>
  <c r="A240" i="33"/>
  <c r="A241" i="33"/>
  <c r="A242" i="33"/>
  <c r="A243" i="33"/>
  <c r="A244" i="33"/>
  <c r="A245" i="33"/>
  <c r="A246" i="33"/>
  <c r="A247" i="33"/>
  <c r="A248" i="33"/>
  <c r="A249" i="33"/>
  <c r="A250" i="33"/>
  <c r="A251" i="33"/>
  <c r="A252" i="33"/>
  <c r="A253" i="33"/>
  <c r="A254" i="33"/>
  <c r="A255" i="33"/>
  <c r="A256" i="33"/>
  <c r="A257" i="33"/>
  <c r="A258" i="33"/>
  <c r="A259" i="33"/>
  <c r="A260" i="33"/>
  <c r="A261" i="33"/>
  <c r="A262" i="33"/>
  <c r="A263" i="33"/>
  <c r="A264" i="33"/>
  <c r="A265" i="33"/>
  <c r="A266" i="33"/>
  <c r="A267" i="33"/>
  <c r="A268" i="33"/>
  <c r="A269" i="33"/>
  <c r="A270" i="33"/>
  <c r="A271" i="33"/>
  <c r="A272" i="33"/>
  <c r="A273" i="33"/>
  <c r="A274" i="33"/>
  <c r="A275" i="33"/>
  <c r="A276" i="33"/>
  <c r="A277" i="33"/>
  <c r="A278" i="33"/>
  <c r="D18" i="49" l="1"/>
  <c r="D89" i="98"/>
  <c r="E158" i="45"/>
  <c r="D97" i="96"/>
  <c r="R283" i="33"/>
  <c r="N283" i="33"/>
  <c r="A1167" i="71"/>
  <c r="Y1167" i="71"/>
  <c r="X1167" i="71"/>
  <c r="Y1166" i="71"/>
  <c r="X1166" i="71"/>
  <c r="Y1165" i="71"/>
  <c r="X1165" i="71"/>
  <c r="D1167" i="71"/>
  <c r="D42" i="73"/>
  <c r="D1166" i="71" l="1"/>
  <c r="A1166" i="71"/>
  <c r="D1165" i="71"/>
  <c r="A1163" i="71"/>
  <c r="A1164" i="71"/>
  <c r="A1165" i="71"/>
  <c r="Y1164" i="71"/>
  <c r="D1164" i="71"/>
  <c r="D281" i="33" l="1"/>
  <c r="D280" i="33"/>
  <c r="D261" i="37" l="1"/>
  <c r="D208" i="38"/>
  <c r="D253" i="37"/>
  <c r="D206" i="38"/>
  <c r="K281" i="33"/>
  <c r="I281" i="33"/>
  <c r="J281" i="33"/>
  <c r="M281" i="33"/>
  <c r="L281" i="33"/>
  <c r="I280" i="33"/>
  <c r="J280" i="33"/>
  <c r="K280" i="33"/>
  <c r="L280" i="33"/>
  <c r="M280" i="33"/>
  <c r="A1160" i="71"/>
  <c r="A1161" i="71"/>
  <c r="A1162" i="71"/>
  <c r="Y1163" i="71"/>
  <c r="X1163" i="71"/>
  <c r="D1163" i="71"/>
  <c r="Y1162" i="71"/>
  <c r="X1162" i="71"/>
  <c r="Y1161" i="71"/>
  <c r="X1161" i="71"/>
  <c r="D1162" i="71"/>
  <c r="D1161" i="71"/>
  <c r="Y1160" i="71"/>
  <c r="X1160" i="71"/>
  <c r="D1160" i="71"/>
  <c r="D19" i="49" l="1"/>
  <c r="D90" i="98"/>
  <c r="D11" i="49"/>
  <c r="D94" i="98"/>
  <c r="E159" i="45"/>
  <c r="D98" i="96"/>
  <c r="E152" i="45"/>
  <c r="D9" i="96"/>
  <c r="R281" i="33"/>
  <c r="R280" i="33"/>
  <c r="N281" i="33"/>
  <c r="N280" i="33"/>
  <c r="A1156" i="71"/>
  <c r="A1157" i="71"/>
  <c r="A1158" i="71"/>
  <c r="A1159" i="71"/>
  <c r="X1156" i="71"/>
  <c r="Y1156" i="71"/>
  <c r="X1157" i="71"/>
  <c r="Y1157" i="71"/>
  <c r="X1158" i="71"/>
  <c r="Y1158" i="71"/>
  <c r="X1159" i="71"/>
  <c r="Y1159" i="71"/>
  <c r="D1159" i="71"/>
  <c r="D1158" i="71"/>
  <c r="D1157" i="71"/>
  <c r="D1156" i="71"/>
  <c r="C113" i="50"/>
  <c r="C112" i="50"/>
  <c r="C111" i="50"/>
  <c r="C110" i="50"/>
  <c r="C109" i="50"/>
  <c r="C108" i="50"/>
  <c r="H109" i="50"/>
  <c r="H108" i="50"/>
  <c r="A1153" i="71"/>
  <c r="A1154" i="71"/>
  <c r="A1155" i="71"/>
  <c r="Y1155" i="71"/>
  <c r="X1155" i="71"/>
  <c r="D1155" i="71"/>
  <c r="Y1154" i="71"/>
  <c r="X1154" i="71"/>
  <c r="D1154" i="71"/>
  <c r="Y1153" i="71"/>
  <c r="X1153" i="71"/>
  <c r="D1153" i="71"/>
  <c r="N292" i="33" l="1"/>
  <c r="D292" i="33"/>
  <c r="D278" i="33"/>
  <c r="H106" i="50"/>
  <c r="H107" i="50"/>
  <c r="H5" i="50"/>
  <c r="H105" i="50"/>
  <c r="X1151" i="71"/>
  <c r="Y1151" i="71"/>
  <c r="X1152" i="71"/>
  <c r="Y1152" i="71"/>
  <c r="D1152" i="71"/>
  <c r="D1151" i="71"/>
  <c r="A1151" i="71"/>
  <c r="A1152" i="71"/>
  <c r="D277" i="33"/>
  <c r="K22" i="82"/>
  <c r="D269" i="37" l="1"/>
  <c r="D291" i="38"/>
  <c r="D99" i="49" s="1"/>
  <c r="D262" i="37"/>
  <c r="D237" i="38"/>
  <c r="D20" i="49" s="1"/>
  <c r="D252" i="37"/>
  <c r="D190" i="38"/>
  <c r="I277" i="33"/>
  <c r="L277" i="33"/>
  <c r="J277" i="33"/>
  <c r="K277" i="33"/>
  <c r="K278" i="33"/>
  <c r="I278" i="33"/>
  <c r="M278" i="33"/>
  <c r="J278" i="33"/>
  <c r="L278" i="33"/>
  <c r="X1150" i="71"/>
  <c r="Y1150" i="71"/>
  <c r="D1150" i="71"/>
  <c r="A1149" i="71"/>
  <c r="A1150" i="71"/>
  <c r="D1149" i="71"/>
  <c r="X1149" i="71"/>
  <c r="Y1149" i="71"/>
  <c r="D10" i="49" l="1"/>
  <c r="D102" i="98"/>
  <c r="E160" i="45"/>
  <c r="D80" i="98"/>
  <c r="E209" i="45"/>
  <c r="D76" i="98"/>
  <c r="E151" i="45"/>
  <c r="D8" i="96"/>
  <c r="R278" i="33"/>
  <c r="R277" i="33"/>
  <c r="N278" i="33"/>
  <c r="D1148" i="71"/>
  <c r="D1147" i="71"/>
  <c r="X1146" i="71"/>
  <c r="Y1146" i="71"/>
  <c r="X1147" i="71"/>
  <c r="Y1147" i="71"/>
  <c r="X1148" i="71"/>
  <c r="Y1148" i="71"/>
  <c r="A1146" i="71"/>
  <c r="A1147" i="71"/>
  <c r="A1148" i="71"/>
  <c r="D1146" i="71"/>
  <c r="H103" i="50"/>
  <c r="F32" i="82" l="1"/>
  <c r="G135" i="81"/>
  <c r="Y1145" i="71"/>
  <c r="X1145" i="71"/>
  <c r="Y1144" i="71"/>
  <c r="X1144" i="71"/>
  <c r="Y1143" i="71"/>
  <c r="X1143" i="71"/>
  <c r="Y1142" i="71"/>
  <c r="X1142" i="71"/>
  <c r="D1145" i="71"/>
  <c r="D1144" i="71"/>
  <c r="D1143" i="71"/>
  <c r="D1142" i="71"/>
  <c r="A1142" i="71"/>
  <c r="A1143" i="71"/>
  <c r="A1144" i="71"/>
  <c r="A1145" i="71"/>
  <c r="H7" i="50"/>
  <c r="D274" i="33"/>
  <c r="D279" i="33"/>
  <c r="X1141" i="71"/>
  <c r="Y1141" i="71"/>
  <c r="D1141" i="71"/>
  <c r="A1141" i="71"/>
  <c r="D1140" i="71"/>
  <c r="X1139" i="71"/>
  <c r="Y1139" i="71"/>
  <c r="X1140" i="71"/>
  <c r="Y1140" i="71"/>
  <c r="D1139" i="71"/>
  <c r="A1138" i="71"/>
  <c r="A1139" i="71"/>
  <c r="A1140" i="71"/>
  <c r="D1138" i="71"/>
  <c r="X1138" i="71"/>
  <c r="Y1138" i="71"/>
  <c r="D263" i="37" l="1"/>
  <c r="D243" i="38"/>
  <c r="D226" i="37"/>
  <c r="D161" i="38"/>
  <c r="D44" i="49" s="1"/>
  <c r="I279" i="33"/>
  <c r="J279" i="33"/>
  <c r="L279" i="33"/>
  <c r="K279" i="33"/>
  <c r="M279" i="33"/>
  <c r="I274" i="33"/>
  <c r="M274" i="33"/>
  <c r="J274" i="33"/>
  <c r="K274" i="33"/>
  <c r="L274" i="33"/>
  <c r="D275" i="33"/>
  <c r="D1137" i="71"/>
  <c r="X1137" i="71"/>
  <c r="Y1137" i="71"/>
  <c r="D1136" i="71"/>
  <c r="X1136" i="71"/>
  <c r="Y1136" i="71"/>
  <c r="A1135" i="71"/>
  <c r="A1136" i="71"/>
  <c r="A1137" i="71"/>
  <c r="D1135" i="71"/>
  <c r="X1135" i="71"/>
  <c r="Y1135" i="71"/>
  <c r="Y1134" i="71"/>
  <c r="X1134" i="71"/>
  <c r="D1134" i="71"/>
  <c r="Y1133" i="71"/>
  <c r="X1133" i="71"/>
  <c r="D1133" i="71"/>
  <c r="D1132" i="71"/>
  <c r="A1134" i="71"/>
  <c r="A1133" i="71"/>
  <c r="A1132" i="71"/>
  <c r="X1132" i="71"/>
  <c r="Y1132" i="71"/>
  <c r="H98" i="50"/>
  <c r="Y1131" i="71"/>
  <c r="X1131" i="71"/>
  <c r="D1131" i="71"/>
  <c r="Y1130" i="71"/>
  <c r="X1130" i="71"/>
  <c r="D1130" i="71"/>
  <c r="D1129" i="71"/>
  <c r="A1131" i="71"/>
  <c r="A1130" i="71"/>
  <c r="A1129" i="71"/>
  <c r="X1129" i="71"/>
  <c r="Y1129" i="71"/>
  <c r="D296" i="33"/>
  <c r="D282" i="38" s="1"/>
  <c r="D288" i="33"/>
  <c r="E258" i="45" l="1"/>
  <c r="D132" i="49"/>
  <c r="D81" i="98"/>
  <c r="D21" i="49"/>
  <c r="E170" i="45"/>
  <c r="D45" i="98"/>
  <c r="E161" i="45"/>
  <c r="D99" i="96"/>
  <c r="R274" i="33"/>
  <c r="R279" i="33"/>
  <c r="D300" i="38"/>
  <c r="D306" i="37"/>
  <c r="D281" i="37"/>
  <c r="D251" i="37"/>
  <c r="D176" i="38"/>
  <c r="N279" i="33"/>
  <c r="I296" i="33"/>
  <c r="L296" i="33"/>
  <c r="J296" i="33"/>
  <c r="K296" i="33"/>
  <c r="M296" i="33"/>
  <c r="K288" i="33"/>
  <c r="I288" i="33"/>
  <c r="M288" i="33"/>
  <c r="L288" i="33"/>
  <c r="J288" i="33"/>
  <c r="I275" i="33"/>
  <c r="L275" i="33"/>
  <c r="J275" i="33"/>
  <c r="M275" i="33"/>
  <c r="K275" i="33"/>
  <c r="N274" i="33"/>
  <c r="E89" i="38"/>
  <c r="E88" i="38"/>
  <c r="D273" i="33"/>
  <c r="Y1128" i="71"/>
  <c r="X1128" i="71"/>
  <c r="A1128" i="71"/>
  <c r="D1128" i="71"/>
  <c r="D1127" i="71"/>
  <c r="A1127" i="71"/>
  <c r="X1127" i="71"/>
  <c r="Y1127" i="71"/>
  <c r="D1126" i="71"/>
  <c r="A1126" i="71"/>
  <c r="X1126" i="71"/>
  <c r="Y1126" i="71"/>
  <c r="D1125" i="71"/>
  <c r="X1125" i="71"/>
  <c r="Y1125" i="71"/>
  <c r="A1125" i="71"/>
  <c r="Y1124" i="71"/>
  <c r="X1124" i="71"/>
  <c r="D1124" i="71"/>
  <c r="A1124" i="71"/>
  <c r="D1123" i="71"/>
  <c r="A1123" i="71"/>
  <c r="X1123" i="71"/>
  <c r="Y1123" i="71"/>
  <c r="D271" i="33"/>
  <c r="E83" i="38"/>
  <c r="E86" i="38"/>
  <c r="J136" i="81"/>
  <c r="J137" i="81"/>
  <c r="J138" i="81"/>
  <c r="J139" i="81"/>
  <c r="J140" i="81"/>
  <c r="J141" i="81"/>
  <c r="J142" i="81"/>
  <c r="J143" i="81"/>
  <c r="J144" i="81"/>
  <c r="J145" i="81"/>
  <c r="J146" i="81"/>
  <c r="J147" i="81"/>
  <c r="J148" i="81"/>
  <c r="J149" i="81"/>
  <c r="J150" i="81"/>
  <c r="J151" i="81"/>
  <c r="J152" i="81"/>
  <c r="J153" i="81"/>
  <c r="J154" i="81"/>
  <c r="J155" i="81"/>
  <c r="J156" i="81"/>
  <c r="J157" i="81"/>
  <c r="J158" i="81"/>
  <c r="J159" i="81"/>
  <c r="J160" i="81"/>
  <c r="J161" i="81"/>
  <c r="J162" i="81"/>
  <c r="J163" i="81"/>
  <c r="J164" i="81"/>
  <c r="J135" i="81"/>
  <c r="G136" i="81"/>
  <c r="G137" i="81"/>
  <c r="G138" i="81"/>
  <c r="G139" i="81"/>
  <c r="G140" i="81"/>
  <c r="G141" i="81"/>
  <c r="G142" i="81"/>
  <c r="G143" i="81"/>
  <c r="G144" i="81"/>
  <c r="G145" i="81"/>
  <c r="G146" i="81"/>
  <c r="G147" i="81"/>
  <c r="G148" i="81"/>
  <c r="G149" i="81"/>
  <c r="G150" i="81"/>
  <c r="G151" i="81"/>
  <c r="G152" i="81"/>
  <c r="G153" i="81"/>
  <c r="G154" i="81"/>
  <c r="G155" i="81"/>
  <c r="G156" i="81"/>
  <c r="G157" i="81"/>
  <c r="G158" i="81"/>
  <c r="G159" i="81"/>
  <c r="G160" i="81"/>
  <c r="G161" i="81"/>
  <c r="G162" i="81"/>
  <c r="G163" i="81"/>
  <c r="G164" i="81"/>
  <c r="E158" i="81"/>
  <c r="E136" i="81"/>
  <c r="E137" i="81"/>
  <c r="E138" i="81"/>
  <c r="E139" i="81"/>
  <c r="E140" i="81"/>
  <c r="E141" i="81"/>
  <c r="E142" i="81"/>
  <c r="E143" i="81"/>
  <c r="E144" i="81"/>
  <c r="E145" i="81"/>
  <c r="E146" i="81"/>
  <c r="E147" i="81"/>
  <c r="E148" i="81"/>
  <c r="E149" i="81"/>
  <c r="E150" i="81"/>
  <c r="E151" i="81"/>
  <c r="E152" i="81"/>
  <c r="E153" i="81"/>
  <c r="E154" i="81"/>
  <c r="E155" i="81"/>
  <c r="E156" i="81"/>
  <c r="E157" i="81"/>
  <c r="E159" i="81"/>
  <c r="E160" i="81"/>
  <c r="E161" i="81"/>
  <c r="E162" i="81"/>
  <c r="E163" i="81"/>
  <c r="E164" i="81"/>
  <c r="E135" i="81"/>
  <c r="D270" i="33"/>
  <c r="D272" i="33"/>
  <c r="D211" i="38" s="1"/>
  <c r="D34" i="49" s="1"/>
  <c r="D284" i="33"/>
  <c r="Y1122" i="71"/>
  <c r="X1122" i="71"/>
  <c r="D1122" i="71"/>
  <c r="A1122" i="71"/>
  <c r="Y1121" i="71"/>
  <c r="X1121" i="71"/>
  <c r="Y1120" i="71"/>
  <c r="X1120" i="71"/>
  <c r="A1121" i="71"/>
  <c r="D1121" i="71"/>
  <c r="D1120" i="71"/>
  <c r="A1120" i="71"/>
  <c r="A1116" i="71"/>
  <c r="Y1119" i="71"/>
  <c r="X1119" i="71"/>
  <c r="D1119" i="71"/>
  <c r="A1119" i="71"/>
  <c r="Y1118" i="71"/>
  <c r="X1118" i="71"/>
  <c r="D1118" i="71"/>
  <c r="A1118" i="71"/>
  <c r="Y1117" i="71"/>
  <c r="X1117" i="71"/>
  <c r="D1117" i="71"/>
  <c r="A1117" i="71"/>
  <c r="D1116" i="71"/>
  <c r="X1116" i="71"/>
  <c r="Y1116" i="71"/>
  <c r="D9" i="49" l="1"/>
  <c r="D95" i="98"/>
  <c r="E263" i="45"/>
  <c r="D211" i="49"/>
  <c r="E121" i="45"/>
  <c r="D62" i="98"/>
  <c r="D207" i="38"/>
  <c r="E150" i="45"/>
  <c r="D7" i="96"/>
  <c r="R275" i="33"/>
  <c r="R296" i="33"/>
  <c r="R288" i="33"/>
  <c r="D264" i="37"/>
  <c r="D231" i="38"/>
  <c r="D276" i="37"/>
  <c r="D250" i="37"/>
  <c r="D164" i="38"/>
  <c r="D221" i="37"/>
  <c r="D112" i="38"/>
  <c r="D182" i="49" s="1"/>
  <c r="L135" i="81"/>
  <c r="N296" i="33"/>
  <c r="N288" i="33"/>
  <c r="J270" i="33"/>
  <c r="D202" i="37"/>
  <c r="L146" i="81"/>
  <c r="N275" i="33"/>
  <c r="K272" i="33"/>
  <c r="J272" i="33"/>
  <c r="M272" i="33"/>
  <c r="I272" i="33"/>
  <c r="L272" i="33"/>
  <c r="I271" i="33"/>
  <c r="M271" i="33"/>
  <c r="J271" i="33"/>
  <c r="L271" i="33"/>
  <c r="K271" i="33"/>
  <c r="K273" i="33"/>
  <c r="J273" i="33"/>
  <c r="L273" i="33"/>
  <c r="M273" i="33"/>
  <c r="I273" i="33"/>
  <c r="I270" i="33"/>
  <c r="M270" i="33"/>
  <c r="L270" i="33"/>
  <c r="K270" i="33"/>
  <c r="I158" i="81"/>
  <c r="L158" i="81"/>
  <c r="D27" i="98" l="1"/>
  <c r="D8" i="49"/>
  <c r="D70" i="98"/>
  <c r="D22" i="49"/>
  <c r="R273" i="33"/>
  <c r="E162" i="45"/>
  <c r="D100" i="96"/>
  <c r="E149" i="45"/>
  <c r="D6" i="96"/>
  <c r="E105" i="45"/>
  <c r="D36" i="96"/>
  <c r="R270" i="33"/>
  <c r="R271" i="33"/>
  <c r="R272" i="33"/>
  <c r="N273" i="33"/>
  <c r="N271" i="33"/>
  <c r="N272" i="33"/>
  <c r="N270" i="33"/>
  <c r="E2" i="75"/>
  <c r="F37" i="75" l="1"/>
  <c r="I37" i="75" s="1"/>
  <c r="F38" i="75"/>
  <c r="I38" i="75" s="1"/>
  <c r="F39" i="75"/>
  <c r="I39" i="75" s="1"/>
  <c r="F40" i="75"/>
  <c r="I40" i="75" s="1"/>
  <c r="F41" i="75"/>
  <c r="I41" i="75" s="1"/>
  <c r="F42" i="75"/>
  <c r="I42" i="75" s="1"/>
  <c r="F36" i="75"/>
  <c r="I36" i="75" s="1"/>
  <c r="F32" i="75"/>
  <c r="I32" i="75" s="1"/>
  <c r="F33" i="75"/>
  <c r="I33" i="75" s="1"/>
  <c r="F34" i="75"/>
  <c r="I34" i="75" s="1"/>
  <c r="F35" i="75"/>
  <c r="I35" i="75" s="1"/>
  <c r="F31" i="75"/>
  <c r="I31" i="75" s="1"/>
  <c r="F27" i="75"/>
  <c r="I27" i="75" s="1"/>
  <c r="F28" i="75"/>
  <c r="I28" i="75" s="1"/>
  <c r="F29" i="75"/>
  <c r="I29" i="75" s="1"/>
  <c r="F30" i="75"/>
  <c r="I30" i="75" s="1"/>
  <c r="F26" i="75"/>
  <c r="I26" i="75" s="1"/>
  <c r="F23" i="75"/>
  <c r="I23" i="75" s="1"/>
  <c r="F24" i="75"/>
  <c r="I24" i="75" s="1"/>
  <c r="F25" i="75"/>
  <c r="I25" i="75" s="1"/>
  <c r="F22" i="75"/>
  <c r="I22" i="75" s="1"/>
  <c r="F19" i="75"/>
  <c r="I19" i="75" s="1"/>
  <c r="F20" i="75"/>
  <c r="I20" i="75" s="1"/>
  <c r="F21" i="75"/>
  <c r="I21" i="75" s="1"/>
  <c r="F18" i="75"/>
  <c r="I18" i="75" s="1"/>
  <c r="F14" i="75"/>
  <c r="I14" i="75" s="1"/>
  <c r="F15" i="75"/>
  <c r="I15" i="75" s="1"/>
  <c r="F16" i="75"/>
  <c r="I16" i="75" s="1"/>
  <c r="F17" i="75"/>
  <c r="I17" i="75" s="1"/>
  <c r="F13" i="75"/>
  <c r="I13" i="75" s="1"/>
  <c r="F6" i="75"/>
  <c r="I6" i="75" s="1"/>
  <c r="F7" i="75"/>
  <c r="I7" i="75" s="1"/>
  <c r="F8" i="75"/>
  <c r="I8" i="75" s="1"/>
  <c r="F9" i="75"/>
  <c r="I9" i="75" s="1"/>
  <c r="F10" i="75"/>
  <c r="I10" i="75" s="1"/>
  <c r="F11" i="75"/>
  <c r="I11" i="75" s="1"/>
  <c r="F12" i="75"/>
  <c r="I12" i="75" s="1"/>
  <c r="F5" i="75"/>
  <c r="I5" i="75" s="1"/>
  <c r="G34" i="87"/>
  <c r="F33" i="87"/>
  <c r="F32" i="87"/>
  <c r="F31" i="87"/>
  <c r="F30" i="87"/>
  <c r="F29" i="87"/>
  <c r="F28" i="87"/>
  <c r="F27" i="87"/>
  <c r="F25" i="87"/>
  <c r="F24" i="87"/>
  <c r="F22" i="87"/>
  <c r="F21" i="87"/>
  <c r="F20" i="87"/>
  <c r="F19" i="87"/>
  <c r="F18" i="87"/>
  <c r="F17" i="87"/>
  <c r="F16" i="87"/>
  <c r="F15" i="87"/>
  <c r="F14" i="87"/>
  <c r="F13" i="87"/>
  <c r="F12" i="87"/>
  <c r="F11" i="87"/>
  <c r="F10" i="87"/>
  <c r="F9" i="87"/>
  <c r="F8" i="87"/>
  <c r="F7" i="87"/>
  <c r="F6" i="87"/>
  <c r="F5" i="87"/>
  <c r="F4" i="87"/>
  <c r="O34" i="87"/>
  <c r="N6" i="87"/>
  <c r="N7" i="87"/>
  <c r="N8" i="87"/>
  <c r="N9" i="87"/>
  <c r="N10" i="87"/>
  <c r="N11" i="87"/>
  <c r="N12" i="87"/>
  <c r="N13" i="87"/>
  <c r="N14" i="87"/>
  <c r="N15" i="87"/>
  <c r="N16" i="87"/>
  <c r="N17" i="87"/>
  <c r="N18" i="87"/>
  <c r="N19" i="87"/>
  <c r="N20" i="87"/>
  <c r="N21" i="87"/>
  <c r="N22" i="87"/>
  <c r="N23" i="87"/>
  <c r="N24" i="87"/>
  <c r="N25" i="87"/>
  <c r="N26" i="87"/>
  <c r="N27" i="87"/>
  <c r="N28" i="87"/>
  <c r="N29" i="87"/>
  <c r="N30" i="87"/>
  <c r="N31" i="87"/>
  <c r="N32" i="87"/>
  <c r="N33" i="87"/>
  <c r="N4" i="87"/>
  <c r="N5" i="87"/>
  <c r="I310" i="87"/>
  <c r="I309" i="87"/>
  <c r="I308" i="87"/>
  <c r="I307" i="87"/>
  <c r="I306" i="87"/>
  <c r="I305" i="87"/>
  <c r="I304" i="87"/>
  <c r="I303" i="87"/>
  <c r="I302" i="87"/>
  <c r="I301" i="87"/>
  <c r="I300" i="87"/>
  <c r="I299" i="87"/>
  <c r="I298" i="87"/>
  <c r="I297" i="87"/>
  <c r="I296" i="87"/>
  <c r="I295" i="87"/>
  <c r="I294" i="87"/>
  <c r="I293" i="87"/>
  <c r="I292" i="87"/>
  <c r="I291" i="87"/>
  <c r="I290" i="87"/>
  <c r="I289" i="87"/>
  <c r="I288" i="87"/>
  <c r="I287" i="87"/>
  <c r="I286" i="87"/>
  <c r="I285" i="87"/>
  <c r="I284" i="87"/>
  <c r="I283" i="87"/>
  <c r="I282" i="87"/>
  <c r="I281" i="87"/>
  <c r="I280" i="87"/>
  <c r="I279" i="87"/>
  <c r="I278" i="87"/>
  <c r="I277" i="87"/>
  <c r="I276" i="87"/>
  <c r="I275" i="87"/>
  <c r="I274" i="87"/>
  <c r="I273" i="87"/>
  <c r="I272" i="87"/>
  <c r="I271" i="87"/>
  <c r="I270" i="87"/>
  <c r="I269" i="87"/>
  <c r="I268" i="87"/>
  <c r="I267" i="87"/>
  <c r="I266" i="87"/>
  <c r="I265" i="87"/>
  <c r="I264" i="87"/>
  <c r="I263" i="87"/>
  <c r="I262" i="87"/>
  <c r="I261" i="87"/>
  <c r="I260" i="87"/>
  <c r="I259" i="87"/>
  <c r="I258" i="87"/>
  <c r="I257" i="87"/>
  <c r="I256" i="87"/>
  <c r="I255" i="87"/>
  <c r="I254" i="87"/>
  <c r="I253" i="87"/>
  <c r="I252" i="87"/>
  <c r="I251" i="87"/>
  <c r="I250" i="87"/>
  <c r="I249" i="87"/>
  <c r="I248" i="87"/>
  <c r="I247" i="87"/>
  <c r="I246" i="87"/>
  <c r="I245" i="87"/>
  <c r="I244" i="87"/>
  <c r="I243" i="87"/>
  <c r="I242" i="87"/>
  <c r="I241" i="87"/>
  <c r="I240" i="87"/>
  <c r="I239" i="87"/>
  <c r="I238" i="87"/>
  <c r="I237" i="87"/>
  <c r="I236" i="87"/>
  <c r="I235" i="87"/>
  <c r="I234" i="87"/>
  <c r="I233" i="87"/>
  <c r="I232" i="87"/>
  <c r="I231" i="87"/>
  <c r="I230" i="87"/>
  <c r="I229" i="87"/>
  <c r="I228" i="87"/>
  <c r="I227" i="87"/>
  <c r="I226" i="87"/>
  <c r="I225" i="87"/>
  <c r="I224" i="87"/>
  <c r="I223" i="87"/>
  <c r="I222" i="87"/>
  <c r="I221" i="87"/>
  <c r="I220" i="87"/>
  <c r="I219" i="87"/>
  <c r="I218" i="87"/>
  <c r="I217" i="87"/>
  <c r="I216" i="87"/>
  <c r="I215" i="87"/>
  <c r="I214" i="87"/>
  <c r="I213" i="87"/>
  <c r="I212" i="87"/>
  <c r="I211" i="87"/>
  <c r="I210" i="87"/>
  <c r="I209" i="87"/>
  <c r="I208" i="87"/>
  <c r="I207" i="87"/>
  <c r="I206" i="87"/>
  <c r="I205" i="87"/>
  <c r="I204" i="87"/>
  <c r="I203" i="87"/>
  <c r="I202" i="87"/>
  <c r="I201" i="87"/>
  <c r="I200" i="87"/>
  <c r="I199" i="87"/>
  <c r="I198" i="87"/>
  <c r="I197" i="87"/>
  <c r="I196" i="87"/>
  <c r="I195" i="87"/>
  <c r="I194" i="87"/>
  <c r="I193" i="87"/>
  <c r="I192" i="87"/>
  <c r="I191" i="87"/>
  <c r="I190" i="87"/>
  <c r="I189" i="87"/>
  <c r="I188" i="87"/>
  <c r="I187" i="87"/>
  <c r="I186" i="87"/>
  <c r="I185" i="87"/>
  <c r="I184" i="87"/>
  <c r="I183" i="87"/>
  <c r="I182" i="87"/>
  <c r="I181" i="87"/>
  <c r="I180" i="87"/>
  <c r="I179" i="87"/>
  <c r="I178" i="87"/>
  <c r="I177" i="87"/>
  <c r="I176" i="87"/>
  <c r="I175" i="87"/>
  <c r="I174" i="87"/>
  <c r="I173" i="87"/>
  <c r="I172" i="87"/>
  <c r="I171" i="87"/>
  <c r="I170" i="87"/>
  <c r="I169" i="87"/>
  <c r="I168" i="87"/>
  <c r="I167" i="87"/>
  <c r="I166" i="87"/>
  <c r="I165" i="87"/>
  <c r="I164" i="87"/>
  <c r="I163" i="87"/>
  <c r="I162" i="87"/>
  <c r="I161" i="87"/>
  <c r="I160" i="87"/>
  <c r="I159" i="87"/>
  <c r="I158" i="87"/>
  <c r="I157" i="87"/>
  <c r="I156" i="87"/>
  <c r="I155" i="87"/>
  <c r="I154" i="87"/>
  <c r="I153" i="87"/>
  <c r="I152" i="87"/>
  <c r="I151" i="87"/>
  <c r="I150" i="87"/>
  <c r="I149" i="87"/>
  <c r="I148" i="87"/>
  <c r="I147" i="87"/>
  <c r="I146" i="87"/>
  <c r="I145" i="87"/>
  <c r="I144" i="87"/>
  <c r="I143" i="87"/>
  <c r="I142" i="87"/>
  <c r="I141" i="87"/>
  <c r="I140" i="87"/>
  <c r="I139" i="87"/>
  <c r="I138" i="87"/>
  <c r="I137" i="87"/>
  <c r="I136" i="87"/>
  <c r="I135" i="87"/>
  <c r="I134" i="87"/>
  <c r="I133" i="87"/>
  <c r="I132" i="87"/>
  <c r="I131" i="87"/>
  <c r="I130" i="87"/>
  <c r="I129" i="87"/>
  <c r="I128" i="87"/>
  <c r="I127" i="87"/>
  <c r="I126" i="87"/>
  <c r="I125" i="87"/>
  <c r="I124" i="87"/>
  <c r="I123" i="87"/>
  <c r="I122" i="87"/>
  <c r="I121" i="87"/>
  <c r="I120" i="87"/>
  <c r="I119" i="87"/>
  <c r="I118" i="87"/>
  <c r="I117" i="87"/>
  <c r="I116" i="87"/>
  <c r="I115" i="87"/>
  <c r="I114" i="87"/>
  <c r="I113" i="87"/>
  <c r="I112" i="87"/>
  <c r="I111" i="87"/>
  <c r="I110" i="87"/>
  <c r="I109" i="87"/>
  <c r="I108" i="87"/>
  <c r="I107" i="87"/>
  <c r="I106" i="87"/>
  <c r="I105" i="87"/>
  <c r="I104" i="87"/>
  <c r="I103" i="87"/>
  <c r="I102" i="87"/>
  <c r="I101" i="87"/>
  <c r="I100" i="87"/>
  <c r="I99" i="87"/>
  <c r="I98" i="87"/>
  <c r="I97" i="87"/>
  <c r="I96" i="87"/>
  <c r="I95" i="87"/>
  <c r="I94" i="87"/>
  <c r="I93" i="87"/>
  <c r="I92" i="87"/>
  <c r="I91" i="87"/>
  <c r="I90" i="87"/>
  <c r="I89" i="87"/>
  <c r="I88" i="87"/>
  <c r="I87" i="87"/>
  <c r="I86" i="87"/>
  <c r="I85" i="87"/>
  <c r="I84" i="87"/>
  <c r="I83" i="87"/>
  <c r="I82" i="87"/>
  <c r="I81" i="87"/>
  <c r="I80" i="87"/>
  <c r="I79" i="87"/>
  <c r="I78" i="87"/>
  <c r="I77" i="87"/>
  <c r="I76" i="87"/>
  <c r="I75" i="87"/>
  <c r="I74" i="87"/>
  <c r="I73" i="87"/>
  <c r="I72" i="87"/>
  <c r="I71" i="87"/>
  <c r="I70" i="87"/>
  <c r="I69" i="87"/>
  <c r="I68" i="87"/>
  <c r="I67" i="87"/>
  <c r="I66" i="87"/>
  <c r="I65" i="87"/>
  <c r="I64" i="87"/>
  <c r="I63" i="87"/>
  <c r="I62" i="87"/>
  <c r="I61" i="87"/>
  <c r="I60" i="87"/>
  <c r="I59" i="87"/>
  <c r="I58" i="87"/>
  <c r="I57" i="87"/>
  <c r="I56" i="87"/>
  <c r="I55" i="87"/>
  <c r="I54" i="87"/>
  <c r="I53" i="87"/>
  <c r="I52" i="87"/>
  <c r="I51" i="87"/>
  <c r="I50" i="87"/>
  <c r="I49" i="87"/>
  <c r="I48" i="87"/>
  <c r="I47" i="87"/>
  <c r="I46" i="87"/>
  <c r="I45" i="87"/>
  <c r="I44" i="87"/>
  <c r="I43" i="87"/>
  <c r="I42" i="87"/>
  <c r="I41" i="87"/>
  <c r="I40" i="87"/>
  <c r="I39" i="87"/>
  <c r="I38" i="87"/>
  <c r="I37" i="87"/>
  <c r="I36" i="87"/>
  <c r="I35" i="87"/>
  <c r="I34" i="87"/>
  <c r="I33" i="87"/>
  <c r="I32" i="87"/>
  <c r="I31" i="87"/>
  <c r="I30" i="87"/>
  <c r="I29" i="87"/>
  <c r="I28" i="87"/>
  <c r="I27" i="87"/>
  <c r="I26" i="87"/>
  <c r="I25" i="87"/>
  <c r="I24" i="87"/>
  <c r="I23" i="87"/>
  <c r="I22" i="87"/>
  <c r="I21" i="87"/>
  <c r="I20" i="87"/>
  <c r="I19" i="87"/>
  <c r="I18" i="87"/>
  <c r="I17" i="87"/>
  <c r="I16" i="87"/>
  <c r="I15" i="87"/>
  <c r="I14" i="87"/>
  <c r="I13" i="87"/>
  <c r="I12" i="87"/>
  <c r="I11" i="87"/>
  <c r="I10" i="87"/>
  <c r="I9" i="87"/>
  <c r="I8" i="87"/>
  <c r="I7" i="87"/>
  <c r="I6" i="87"/>
  <c r="I5" i="87"/>
  <c r="Y1115" i="71"/>
  <c r="X1115" i="71"/>
  <c r="D1115" i="71"/>
  <c r="Y1114" i="71"/>
  <c r="X1114" i="71"/>
  <c r="D1114" i="71"/>
  <c r="D1113" i="71"/>
  <c r="A1113" i="71"/>
  <c r="A1114" i="71"/>
  <c r="A1115" i="71"/>
  <c r="X1113" i="71"/>
  <c r="Y1113" i="71"/>
  <c r="E84" i="38"/>
  <c r="E85" i="38"/>
  <c r="D267" i="33"/>
  <c r="H73" i="50"/>
  <c r="E7" i="46"/>
  <c r="R7" i="46" s="1"/>
  <c r="R4" i="46" s="1"/>
  <c r="Y1112" i="71"/>
  <c r="X1112" i="71"/>
  <c r="D1112" i="71"/>
  <c r="A1112" i="71"/>
  <c r="Y1111" i="71"/>
  <c r="X1111" i="71"/>
  <c r="D1111" i="71"/>
  <c r="A1111" i="71"/>
  <c r="Y1110" i="71"/>
  <c r="X1110" i="71"/>
  <c r="D1110" i="71"/>
  <c r="Y1109" i="71"/>
  <c r="X1109" i="71"/>
  <c r="D1109" i="71"/>
  <c r="Y1108" i="71"/>
  <c r="X1108" i="71"/>
  <c r="D1108" i="71"/>
  <c r="A1108" i="71"/>
  <c r="A1109" i="71"/>
  <c r="A1110" i="71"/>
  <c r="A1095" i="71"/>
  <c r="Y1095" i="71"/>
  <c r="X1095" i="71"/>
  <c r="D1095" i="71"/>
  <c r="Y1107" i="71"/>
  <c r="X1107" i="71"/>
  <c r="D1107" i="71"/>
  <c r="Y1106" i="71"/>
  <c r="X1106" i="71"/>
  <c r="D1106" i="71"/>
  <c r="Y1105" i="71"/>
  <c r="X1105" i="71"/>
  <c r="D1105" i="71"/>
  <c r="Y1104" i="71"/>
  <c r="X1104" i="71"/>
  <c r="D1104" i="71"/>
  <c r="A1103" i="71"/>
  <c r="A1104" i="71"/>
  <c r="A1105" i="71"/>
  <c r="A1106" i="71"/>
  <c r="A1107" i="71"/>
  <c r="E82" i="38"/>
  <c r="E87" i="38"/>
  <c r="N276" i="33"/>
  <c r="F276" i="33"/>
  <c r="D276" i="33"/>
  <c r="D266" i="33"/>
  <c r="D108" i="38" s="1"/>
  <c r="D265" i="33"/>
  <c r="E199" i="45" l="1"/>
  <c r="D243" i="49"/>
  <c r="D285" i="38"/>
  <c r="D123" i="38"/>
  <c r="D297" i="37"/>
  <c r="D201" i="37"/>
  <c r="D199" i="38"/>
  <c r="J265" i="33"/>
  <c r="D235" i="37"/>
  <c r="J266" i="33"/>
  <c r="D181" i="37"/>
  <c r="I267" i="33"/>
  <c r="J267" i="33"/>
  <c r="K267" i="33"/>
  <c r="L267" i="33"/>
  <c r="M267" i="33"/>
  <c r="L266" i="33"/>
  <c r="K266" i="33"/>
  <c r="I266" i="33"/>
  <c r="K265" i="33"/>
  <c r="I265" i="33"/>
  <c r="L265" i="33"/>
  <c r="D244" i="49" l="1"/>
  <c r="E275" i="45"/>
  <c r="D139" i="49"/>
  <c r="E273" i="45"/>
  <c r="R266" i="33"/>
  <c r="R265" i="33"/>
  <c r="R267" i="33"/>
  <c r="N267" i="33"/>
  <c r="Y1103" i="71" l="1"/>
  <c r="X1103" i="71"/>
  <c r="D1103" i="71"/>
  <c r="Y1102" i="71" l="1"/>
  <c r="X1102" i="71"/>
  <c r="D1102" i="71"/>
  <c r="D1101" i="71"/>
  <c r="A1101" i="71"/>
  <c r="A1102" i="71"/>
  <c r="X1101" i="71"/>
  <c r="Y1101" i="71"/>
  <c r="Y1100" i="71"/>
  <c r="X1100" i="71"/>
  <c r="D1100" i="71"/>
  <c r="Y1099" i="71"/>
  <c r="X1099" i="71"/>
  <c r="D1099" i="71"/>
  <c r="Y1098" i="71"/>
  <c r="X1098" i="71"/>
  <c r="D1098" i="71"/>
  <c r="Y1097" i="71"/>
  <c r="X1097" i="71"/>
  <c r="D1097" i="71"/>
  <c r="D1096" i="71"/>
  <c r="A1094" i="71"/>
  <c r="A1096" i="71"/>
  <c r="A1097" i="71"/>
  <c r="A1098" i="71"/>
  <c r="A1099" i="71"/>
  <c r="A1100" i="71"/>
  <c r="X1096" i="71"/>
  <c r="Y1096" i="71"/>
  <c r="E81" i="38"/>
  <c r="E80" i="38"/>
  <c r="N286" i="33"/>
  <c r="D286" i="33"/>
  <c r="D268" i="33"/>
  <c r="D200" i="37" l="1"/>
  <c r="D192" i="38"/>
  <c r="D222" i="37"/>
  <c r="D109" i="38"/>
  <c r="D183" i="49" s="1"/>
  <c r="L268" i="33"/>
  <c r="M268" i="33"/>
  <c r="I268" i="33"/>
  <c r="J268" i="33"/>
  <c r="K268" i="33"/>
  <c r="E55" i="31"/>
  <c r="F55" i="31" s="1"/>
  <c r="C32" i="66"/>
  <c r="E103" i="45" l="1"/>
  <c r="D37" i="96"/>
  <c r="R268" i="33"/>
  <c r="N268" i="33"/>
  <c r="H72" i="50"/>
  <c r="Y1094" i="71"/>
  <c r="X1094" i="71"/>
  <c r="D1094" i="71"/>
  <c r="Y1093" i="71"/>
  <c r="X1093" i="71"/>
  <c r="D1093" i="71"/>
  <c r="Y1092" i="71"/>
  <c r="X1092" i="71"/>
  <c r="D1092" i="71"/>
  <c r="Y1091" i="71"/>
  <c r="X1091" i="71"/>
  <c r="D1091" i="71"/>
  <c r="Y1090" i="71"/>
  <c r="X1090" i="71"/>
  <c r="D1090" i="71"/>
  <c r="D1089" i="71"/>
  <c r="A1090" i="71"/>
  <c r="A1091" i="71"/>
  <c r="A1092" i="71"/>
  <c r="A1093" i="71"/>
  <c r="A1089" i="71"/>
  <c r="X1089" i="71"/>
  <c r="Y1089" i="71"/>
  <c r="N289" i="33"/>
  <c r="D289" i="33"/>
  <c r="F269" i="33"/>
  <c r="D269" i="33"/>
  <c r="D264" i="33"/>
  <c r="K19" i="26" l="1"/>
  <c r="D275" i="37"/>
  <c r="D220" i="38"/>
  <c r="D33" i="49" s="1"/>
  <c r="D218" i="37"/>
  <c r="D182" i="38"/>
  <c r="D187" i="49" s="1"/>
  <c r="D199" i="37"/>
  <c r="D180" i="38"/>
  <c r="E269" i="45" s="1"/>
  <c r="I269" i="33"/>
  <c r="J269" i="33"/>
  <c r="K269" i="33"/>
  <c r="L269" i="33"/>
  <c r="I264" i="33"/>
  <c r="M264" i="33"/>
  <c r="J264" i="33"/>
  <c r="K264" i="33"/>
  <c r="L264" i="33"/>
  <c r="Q18" i="81"/>
  <c r="A26" i="80"/>
  <c r="A28" i="80"/>
  <c r="A30" i="80"/>
  <c r="A32" i="80"/>
  <c r="A34" i="80"/>
  <c r="A36" i="80"/>
  <c r="A38" i="80"/>
  <c r="A40" i="80"/>
  <c r="A42" i="80"/>
  <c r="A44" i="80"/>
  <c r="A46" i="80"/>
  <c r="A48" i="80"/>
  <c r="A50" i="80"/>
  <c r="A52" i="80"/>
  <c r="A54" i="80"/>
  <c r="A56" i="80"/>
  <c r="A58" i="80"/>
  <c r="A60" i="80"/>
  <c r="A62" i="80"/>
  <c r="A64" i="80"/>
  <c r="A66" i="80"/>
  <c r="A68" i="80"/>
  <c r="A70" i="80"/>
  <c r="A72" i="80"/>
  <c r="A74" i="80"/>
  <c r="A76" i="80"/>
  <c r="A78" i="80"/>
  <c r="A80" i="80"/>
  <c r="A82" i="80"/>
  <c r="A84" i="80"/>
  <c r="A86" i="80"/>
  <c r="A88" i="80"/>
  <c r="A90" i="80"/>
  <c r="A92" i="80"/>
  <c r="A94" i="80"/>
  <c r="A96" i="80"/>
  <c r="A98" i="80"/>
  <c r="A100" i="80"/>
  <c r="A102" i="80"/>
  <c r="A104" i="80"/>
  <c r="A106" i="80"/>
  <c r="A108" i="80"/>
  <c r="A110" i="80"/>
  <c r="A112" i="80"/>
  <c r="A114" i="80"/>
  <c r="A116" i="80"/>
  <c r="A118" i="80"/>
  <c r="A120" i="80"/>
  <c r="A122" i="80"/>
  <c r="A124" i="80"/>
  <c r="A126" i="80"/>
  <c r="A128" i="80"/>
  <c r="A130" i="80"/>
  <c r="A132" i="80"/>
  <c r="A134" i="80"/>
  <c r="A136" i="80"/>
  <c r="A138" i="80"/>
  <c r="A140" i="80"/>
  <c r="A142" i="80"/>
  <c r="A144" i="80"/>
  <c r="A146" i="80"/>
  <c r="A148" i="80"/>
  <c r="A150" i="80"/>
  <c r="A152" i="80"/>
  <c r="A154" i="80"/>
  <c r="A156" i="80"/>
  <c r="A158" i="80"/>
  <c r="A160" i="80"/>
  <c r="A162" i="80"/>
  <c r="A164" i="80"/>
  <c r="A166" i="80"/>
  <c r="A168" i="80"/>
  <c r="A170" i="80"/>
  <c r="A172" i="80"/>
  <c r="A174" i="80"/>
  <c r="A176" i="80"/>
  <c r="A178" i="80"/>
  <c r="A180" i="80"/>
  <c r="A182" i="80"/>
  <c r="A184" i="80"/>
  <c r="A186" i="80"/>
  <c r="A188" i="80"/>
  <c r="A190" i="80"/>
  <c r="A192" i="80"/>
  <c r="A194" i="80"/>
  <c r="A196" i="80"/>
  <c r="A198" i="80"/>
  <c r="A200" i="80"/>
  <c r="A202" i="80"/>
  <c r="A204" i="80"/>
  <c r="A206" i="80"/>
  <c r="A208" i="80"/>
  <c r="A210" i="80"/>
  <c r="A212" i="80"/>
  <c r="A214" i="80"/>
  <c r="A216" i="80"/>
  <c r="A218" i="80"/>
  <c r="A220" i="80"/>
  <c r="A222" i="80"/>
  <c r="A224" i="80"/>
  <c r="A226" i="80"/>
  <c r="A228" i="80"/>
  <c r="A230" i="80"/>
  <c r="A232" i="80"/>
  <c r="A234" i="80"/>
  <c r="A236" i="80"/>
  <c r="A238" i="80"/>
  <c r="A240" i="80"/>
  <c r="A242" i="80"/>
  <c r="A244" i="80"/>
  <c r="A246" i="80"/>
  <c r="A248" i="80"/>
  <c r="A250" i="80"/>
  <c r="A252" i="80"/>
  <c r="A254" i="80"/>
  <c r="A256" i="80"/>
  <c r="A258" i="80"/>
  <c r="A260" i="80"/>
  <c r="A262" i="80"/>
  <c r="A264" i="80"/>
  <c r="A266" i="80"/>
  <c r="A268" i="80"/>
  <c r="A270" i="80"/>
  <c r="A272" i="80"/>
  <c r="A274" i="80"/>
  <c r="A276" i="80"/>
  <c r="A278" i="80"/>
  <c r="A280" i="80"/>
  <c r="A282" i="80"/>
  <c r="A284" i="80"/>
  <c r="A286" i="80"/>
  <c r="A288" i="80"/>
  <c r="A290" i="80"/>
  <c r="A292" i="80"/>
  <c r="A294" i="80"/>
  <c r="A296" i="80"/>
  <c r="A298" i="80"/>
  <c r="A300" i="80"/>
  <c r="A302" i="80"/>
  <c r="A304" i="80"/>
  <c r="A306" i="80"/>
  <c r="A308" i="80"/>
  <c r="A310" i="80"/>
  <c r="A312" i="80"/>
  <c r="A314" i="80"/>
  <c r="A316" i="80"/>
  <c r="A318" i="80"/>
  <c r="A320" i="80"/>
  <c r="A322" i="80"/>
  <c r="A324" i="80"/>
  <c r="A326" i="80"/>
  <c r="A328" i="80"/>
  <c r="A330" i="80"/>
  <c r="A332" i="80"/>
  <c r="A334" i="80"/>
  <c r="A336" i="80"/>
  <c r="A338" i="80"/>
  <c r="A340" i="80"/>
  <c r="A342" i="80"/>
  <c r="A344" i="80"/>
  <c r="A346" i="80"/>
  <c r="A348" i="80"/>
  <c r="A350" i="80"/>
  <c r="A352" i="80"/>
  <c r="A354" i="80"/>
  <c r="A356" i="80"/>
  <c r="A358" i="80"/>
  <c r="A360" i="80"/>
  <c r="A362" i="80"/>
  <c r="A364" i="80"/>
  <c r="A366" i="80"/>
  <c r="A368" i="80"/>
  <c r="A370" i="80"/>
  <c r="A372" i="80"/>
  <c r="A374" i="80"/>
  <c r="A376" i="80"/>
  <c r="A378" i="80"/>
  <c r="A380" i="80"/>
  <c r="A382" i="80"/>
  <c r="A384" i="80"/>
  <c r="A386" i="80"/>
  <c r="A388" i="80"/>
  <c r="A390" i="80"/>
  <c r="A392" i="80"/>
  <c r="A394" i="80"/>
  <c r="A396" i="80"/>
  <c r="A398" i="80"/>
  <c r="A400" i="80"/>
  <c r="A402" i="80"/>
  <c r="A404" i="80"/>
  <c r="A406" i="80"/>
  <c r="A408" i="80"/>
  <c r="A410" i="80"/>
  <c r="A412" i="80"/>
  <c r="A414" i="80"/>
  <c r="A416" i="80"/>
  <c r="A418" i="80"/>
  <c r="A420" i="80"/>
  <c r="A422" i="80"/>
  <c r="A424" i="80"/>
  <c r="A426" i="80"/>
  <c r="A428" i="80"/>
  <c r="A430" i="80"/>
  <c r="A432" i="80"/>
  <c r="A434" i="80"/>
  <c r="A436" i="80"/>
  <c r="A438" i="80"/>
  <c r="A440" i="80"/>
  <c r="A442" i="80"/>
  <c r="A444" i="80"/>
  <c r="A446" i="80"/>
  <c r="A448" i="80"/>
  <c r="A450" i="80"/>
  <c r="A452" i="80"/>
  <c r="A454" i="80"/>
  <c r="A456" i="80"/>
  <c r="A458" i="80"/>
  <c r="A460" i="80"/>
  <c r="A462" i="80"/>
  <c r="A464" i="80"/>
  <c r="A466" i="80"/>
  <c r="A468" i="80"/>
  <c r="A470" i="80"/>
  <c r="A472" i="80"/>
  <c r="A474" i="80"/>
  <c r="A476" i="80"/>
  <c r="A478" i="80"/>
  <c r="A480" i="80"/>
  <c r="A482" i="80"/>
  <c r="A484" i="80"/>
  <c r="A486" i="80"/>
  <c r="A488" i="80"/>
  <c r="A490" i="80"/>
  <c r="A492" i="80"/>
  <c r="A494" i="80"/>
  <c r="A496" i="80"/>
  <c r="A498" i="80"/>
  <c r="A500" i="80"/>
  <c r="A502" i="80"/>
  <c r="A504" i="80"/>
  <c r="A506" i="80"/>
  <c r="A508" i="80"/>
  <c r="A510" i="80"/>
  <c r="A512" i="80"/>
  <c r="A514" i="80"/>
  <c r="A516" i="80"/>
  <c r="A518" i="80"/>
  <c r="A520" i="80"/>
  <c r="A522" i="80"/>
  <c r="A524" i="80"/>
  <c r="A526" i="80"/>
  <c r="A528" i="80"/>
  <c r="A530" i="80"/>
  <c r="A532" i="80"/>
  <c r="A534" i="80"/>
  <c r="A536" i="80"/>
  <c r="A538" i="80"/>
  <c r="A540" i="80"/>
  <c r="A542" i="80"/>
  <c r="A544" i="80"/>
  <c r="A546" i="80"/>
  <c r="A548" i="80"/>
  <c r="A550" i="80"/>
  <c r="A552" i="80"/>
  <c r="A554" i="80"/>
  <c r="A556" i="80"/>
  <c r="A558" i="80"/>
  <c r="A560" i="80"/>
  <c r="A562" i="80"/>
  <c r="A564" i="80"/>
  <c r="A566" i="80"/>
  <c r="A568" i="80"/>
  <c r="A570" i="80"/>
  <c r="A572" i="80"/>
  <c r="A574" i="80"/>
  <c r="A576" i="80"/>
  <c r="A578" i="80"/>
  <c r="A580" i="80"/>
  <c r="A582" i="80"/>
  <c r="A584" i="80"/>
  <c r="A586" i="80"/>
  <c r="A588" i="80"/>
  <c r="A590" i="80"/>
  <c r="A592" i="80"/>
  <c r="A594" i="80"/>
  <c r="A596" i="80"/>
  <c r="A598" i="80"/>
  <c r="A600" i="80"/>
  <c r="A602" i="80"/>
  <c r="A604" i="80"/>
  <c r="A606" i="80"/>
  <c r="A608" i="80"/>
  <c r="A610" i="80"/>
  <c r="A612" i="80"/>
  <c r="A614" i="80"/>
  <c r="A616" i="80"/>
  <c r="A8" i="80"/>
  <c r="A10" i="80"/>
  <c r="A12" i="80"/>
  <c r="A14" i="80"/>
  <c r="A16" i="80"/>
  <c r="A18" i="80"/>
  <c r="A20" i="80"/>
  <c r="A22" i="80"/>
  <c r="A24" i="80"/>
  <c r="G45" i="80"/>
  <c r="Y1088" i="71"/>
  <c r="X1088" i="71"/>
  <c r="D1088" i="71"/>
  <c r="A1088" i="71"/>
  <c r="Y1087" i="71"/>
  <c r="X1087" i="71"/>
  <c r="D1087" i="71"/>
  <c r="A1087" i="71"/>
  <c r="Y1086" i="71"/>
  <c r="X1086" i="71"/>
  <c r="D1086" i="71"/>
  <c r="A1086" i="71"/>
  <c r="Y1085" i="71"/>
  <c r="X1085" i="71"/>
  <c r="D1085" i="71"/>
  <c r="Y1084" i="71"/>
  <c r="X1084" i="71"/>
  <c r="D1084" i="71"/>
  <c r="Y1083" i="71"/>
  <c r="X1083" i="71"/>
  <c r="D1083" i="71"/>
  <c r="E78" i="38"/>
  <c r="Y1082" i="71"/>
  <c r="X1082" i="71"/>
  <c r="D1082" i="71"/>
  <c r="Y1081" i="71"/>
  <c r="X1081" i="71"/>
  <c r="D1081" i="71"/>
  <c r="Y1080" i="71"/>
  <c r="X1080" i="71"/>
  <c r="D1080" i="71"/>
  <c r="Y1079" i="71"/>
  <c r="X1079" i="71"/>
  <c r="D1079" i="71"/>
  <c r="A1078" i="71"/>
  <c r="A1079" i="71"/>
  <c r="A1080" i="71"/>
  <c r="A1081" i="71"/>
  <c r="A1082" i="71"/>
  <c r="A1083" i="71"/>
  <c r="A1084" i="71"/>
  <c r="A1085" i="71"/>
  <c r="G13" i="73"/>
  <c r="E167" i="45" l="1"/>
  <c r="D63" i="98"/>
  <c r="E190" i="45"/>
  <c r="D40" i="96"/>
  <c r="R269" i="33"/>
  <c r="R264" i="33"/>
  <c r="D1065" i="71"/>
  <c r="D1066" i="71"/>
  <c r="D1067" i="71"/>
  <c r="D1068" i="71"/>
  <c r="D1069" i="71"/>
  <c r="D1070" i="71"/>
  <c r="D1071" i="71"/>
  <c r="D1072" i="71"/>
  <c r="D1073" i="71"/>
  <c r="D1074" i="71"/>
  <c r="D1075" i="71"/>
  <c r="D1076" i="71"/>
  <c r="D1077" i="71"/>
  <c r="D1078" i="71"/>
  <c r="D1064" i="71"/>
  <c r="X1075" i="71"/>
  <c r="Y1075" i="71"/>
  <c r="X1076" i="71"/>
  <c r="Y1076" i="71"/>
  <c r="X1077" i="71"/>
  <c r="Y1077" i="71"/>
  <c r="X1078" i="71"/>
  <c r="Y1078" i="71"/>
  <c r="Y1074" i="71"/>
  <c r="X1074" i="71"/>
  <c r="A1075" i="71"/>
  <c r="A1076" i="71"/>
  <c r="A1077" i="71"/>
  <c r="Y1073" i="71"/>
  <c r="X1073" i="71"/>
  <c r="X1070" i="71"/>
  <c r="Y1070" i="71"/>
  <c r="X1071" i="71"/>
  <c r="Y1071" i="71"/>
  <c r="X1072" i="71"/>
  <c r="Y1072" i="71"/>
  <c r="A1068" i="71"/>
  <c r="A1069" i="71"/>
  <c r="A1070" i="71"/>
  <c r="A1071" i="71"/>
  <c r="A1072" i="71"/>
  <c r="A1073" i="71"/>
  <c r="A1074" i="71"/>
  <c r="X1069" i="71"/>
  <c r="Y1069" i="71"/>
  <c r="AS122" i="81"/>
  <c r="G607" i="80"/>
  <c r="G609" i="80"/>
  <c r="G611" i="80"/>
  <c r="G613" i="80"/>
  <c r="G615" i="80"/>
  <c r="G605" i="80"/>
  <c r="K130" i="81"/>
  <c r="I130" i="81"/>
  <c r="G130" i="81"/>
  <c r="E130" i="81"/>
  <c r="C130" i="81"/>
  <c r="AQ122" i="81"/>
  <c r="A6" i="80" l="1"/>
  <c r="N264" i="33"/>
  <c r="I260" i="33"/>
  <c r="J260" i="33"/>
  <c r="K260" i="33"/>
  <c r="L260" i="33"/>
  <c r="M260" i="33"/>
  <c r="S38" i="73"/>
  <c r="T38" i="73"/>
  <c r="G21" i="73"/>
  <c r="E75" i="38"/>
  <c r="E74" i="38"/>
  <c r="Y1068" i="71"/>
  <c r="X1068" i="71"/>
  <c r="Y1067" i="71"/>
  <c r="X1067" i="71"/>
  <c r="A1067" i="71"/>
  <c r="A1066" i="71"/>
  <c r="X1066" i="71"/>
  <c r="Y1066" i="71"/>
  <c r="Y1065" i="71"/>
  <c r="X1065" i="71"/>
  <c r="A1065" i="71"/>
  <c r="Y1064" i="71"/>
  <c r="X1064" i="71"/>
  <c r="Y1063" i="71"/>
  <c r="X1063" i="71"/>
  <c r="D1063" i="71"/>
  <c r="Y1062" i="71"/>
  <c r="X1062" i="71"/>
  <c r="D1062" i="71"/>
  <c r="Y1061" i="71"/>
  <c r="X1061" i="71"/>
  <c r="D1061" i="71"/>
  <c r="D1060" i="71"/>
  <c r="A1061" i="71"/>
  <c r="A1062" i="71"/>
  <c r="A1063" i="71"/>
  <c r="A1064" i="71"/>
  <c r="A1060" i="71"/>
  <c r="X1060" i="71"/>
  <c r="Y1060" i="71"/>
  <c r="C96" i="50"/>
  <c r="C97" i="50"/>
  <c r="C98" i="50"/>
  <c r="C99" i="50"/>
  <c r="C100" i="50"/>
  <c r="C101" i="50"/>
  <c r="C106" i="50"/>
  <c r="Y45" i="71"/>
  <c r="X45" i="71"/>
  <c r="D45" i="71"/>
  <c r="A45" i="71"/>
  <c r="Y1059" i="71"/>
  <c r="X1059" i="71"/>
  <c r="D1059" i="71"/>
  <c r="A1059" i="71"/>
  <c r="Y1058" i="71"/>
  <c r="X1058" i="71"/>
  <c r="D1058" i="71"/>
  <c r="Y1057" i="71"/>
  <c r="X1057" i="71"/>
  <c r="D1057" i="71"/>
  <c r="Y1056" i="71"/>
  <c r="X1056" i="71"/>
  <c r="D1055" i="71"/>
  <c r="A1054" i="71"/>
  <c r="A1055" i="71"/>
  <c r="A1056" i="71"/>
  <c r="A1057" i="71"/>
  <c r="A1058" i="71"/>
  <c r="X1055" i="71"/>
  <c r="Y1055" i="71"/>
  <c r="M346" i="33"/>
  <c r="N346" i="33" s="1"/>
  <c r="H30" i="50"/>
  <c r="Y1054" i="71"/>
  <c r="X1054" i="71"/>
  <c r="D1054" i="71"/>
  <c r="Y1053" i="71"/>
  <c r="X1053" i="71"/>
  <c r="D1053" i="71"/>
  <c r="Y1052" i="71"/>
  <c r="X1052" i="71"/>
  <c r="D1052" i="71"/>
  <c r="Y1051" i="71"/>
  <c r="X1051" i="71"/>
  <c r="D1051" i="71"/>
  <c r="Y1050" i="71"/>
  <c r="X1050" i="71"/>
  <c r="D1050" i="71"/>
  <c r="D1049" i="71"/>
  <c r="A1048" i="71"/>
  <c r="A1049" i="71"/>
  <c r="A1050" i="71"/>
  <c r="A1051" i="71"/>
  <c r="A1052" i="71"/>
  <c r="A1053" i="71"/>
  <c r="X1049" i="71"/>
  <c r="Y1049" i="71"/>
  <c r="E76" i="38"/>
  <c r="D261" i="33"/>
  <c r="X1045" i="71"/>
  <c r="Y1045" i="71"/>
  <c r="X1046" i="71"/>
  <c r="Y1046" i="71"/>
  <c r="X1047" i="71"/>
  <c r="Y1047" i="71"/>
  <c r="X1048" i="71"/>
  <c r="Y1048" i="71"/>
  <c r="D1048" i="71"/>
  <c r="D1047" i="71"/>
  <c r="D1046" i="71"/>
  <c r="D1045" i="71"/>
  <c r="Y1044" i="71"/>
  <c r="X1044" i="71"/>
  <c r="D1044" i="71"/>
  <c r="D1043" i="71"/>
  <c r="A1042" i="71"/>
  <c r="A1043" i="71"/>
  <c r="A1044" i="71"/>
  <c r="A1045" i="71"/>
  <c r="A1046" i="71"/>
  <c r="A1047" i="71"/>
  <c r="X1043" i="71"/>
  <c r="Y1043" i="71"/>
  <c r="Y1042" i="71"/>
  <c r="X1042" i="71"/>
  <c r="Y1041" i="71"/>
  <c r="X1041" i="71"/>
  <c r="D1042" i="71"/>
  <c r="D1041" i="71"/>
  <c r="A1041" i="71"/>
  <c r="Y1040" i="71"/>
  <c r="X1040" i="71"/>
  <c r="A1040" i="71"/>
  <c r="D1040" i="71"/>
  <c r="A1039" i="71"/>
  <c r="Y1039" i="71"/>
  <c r="X1039" i="71"/>
  <c r="D1039" i="71"/>
  <c r="Y1038" i="71"/>
  <c r="X1038" i="71"/>
  <c r="D1038" i="71"/>
  <c r="A1038" i="71"/>
  <c r="D1037" i="71"/>
  <c r="A1037" i="71"/>
  <c r="X1037" i="71"/>
  <c r="Y1037" i="71"/>
  <c r="E77" i="38"/>
  <c r="U144" i="81"/>
  <c r="AD144" i="81"/>
  <c r="R260" i="33" l="1"/>
  <c r="D208" i="37"/>
  <c r="D289" i="38"/>
  <c r="J261" i="33"/>
  <c r="K261" i="33"/>
  <c r="L261" i="33"/>
  <c r="I261" i="33"/>
  <c r="M261" i="33"/>
  <c r="N260" i="33"/>
  <c r="Y1036" i="71"/>
  <c r="X1036" i="71"/>
  <c r="D1036" i="71"/>
  <c r="A1036" i="71"/>
  <c r="Y1035" i="71"/>
  <c r="X1035" i="71"/>
  <c r="D1035" i="71"/>
  <c r="A1035" i="71"/>
  <c r="Y1034" i="71"/>
  <c r="X1034" i="71"/>
  <c r="D1034" i="71"/>
  <c r="A1034" i="71"/>
  <c r="Y1033" i="71"/>
  <c r="X1033" i="71"/>
  <c r="D1033" i="71"/>
  <c r="Y1032" i="71"/>
  <c r="X1032" i="71"/>
  <c r="D1032" i="71"/>
  <c r="Y1031" i="71"/>
  <c r="X1031" i="71"/>
  <c r="D1031" i="71"/>
  <c r="Y1030" i="71"/>
  <c r="X1030" i="71"/>
  <c r="D1030" i="71"/>
  <c r="D1029" i="71"/>
  <c r="A1030" i="71"/>
  <c r="A1031" i="71"/>
  <c r="A1032" i="71"/>
  <c r="A1033" i="71"/>
  <c r="A1029" i="71"/>
  <c r="X1029" i="71"/>
  <c r="Y1029" i="71"/>
  <c r="D293" i="33"/>
  <c r="Y1028" i="71"/>
  <c r="X1028" i="71"/>
  <c r="D1028" i="71"/>
  <c r="A1028" i="71"/>
  <c r="Y1027" i="71"/>
  <c r="X1027" i="71"/>
  <c r="D1027" i="71"/>
  <c r="Y1026" i="71"/>
  <c r="X1026" i="71"/>
  <c r="D1026" i="71"/>
  <c r="Y1025" i="71"/>
  <c r="X1025" i="71"/>
  <c r="D1025" i="71"/>
  <c r="Y1024" i="71"/>
  <c r="X1024" i="71"/>
  <c r="D1024" i="71"/>
  <c r="Y1023" i="71"/>
  <c r="X1023" i="71"/>
  <c r="D1023" i="71"/>
  <c r="Y1022" i="71"/>
  <c r="X1022" i="71"/>
  <c r="D1022" i="71"/>
  <c r="A1021" i="71"/>
  <c r="A1022" i="71"/>
  <c r="A1023" i="71"/>
  <c r="A1024" i="71"/>
  <c r="A1025" i="71"/>
  <c r="A1026" i="71"/>
  <c r="A1027" i="71"/>
  <c r="D18" i="98" l="1"/>
  <c r="D91" i="49"/>
  <c r="E212" i="45"/>
  <c r="D48" i="96"/>
  <c r="R261" i="33"/>
  <c r="D220" i="37"/>
  <c r="D202" i="38"/>
  <c r="N261" i="33"/>
  <c r="H104" i="50"/>
  <c r="E189" i="45" l="1"/>
  <c r="D186" i="49"/>
  <c r="Y1021" i="71"/>
  <c r="X1021" i="71"/>
  <c r="D1021" i="71"/>
  <c r="Y1020" i="71"/>
  <c r="X1020" i="71"/>
  <c r="D1020" i="71"/>
  <c r="Y1019" i="71"/>
  <c r="X1019" i="71"/>
  <c r="D1019" i="71"/>
  <c r="Y1018" i="71"/>
  <c r="X1018" i="71"/>
  <c r="D1018" i="71"/>
  <c r="Y1017" i="71"/>
  <c r="X1017" i="71"/>
  <c r="D1017" i="71"/>
  <c r="Y1016" i="71"/>
  <c r="X1016" i="71"/>
  <c r="D1016" i="71"/>
  <c r="Y1015" i="71"/>
  <c r="X1015" i="71"/>
  <c r="D1015" i="71"/>
  <c r="D1014" i="71"/>
  <c r="A1013" i="71"/>
  <c r="A1014" i="71"/>
  <c r="A1015" i="71"/>
  <c r="A1016" i="71"/>
  <c r="A1017" i="71"/>
  <c r="A1018" i="71"/>
  <c r="A1019" i="71"/>
  <c r="A1020" i="71"/>
  <c r="X1014" i="71"/>
  <c r="Y1014" i="71"/>
  <c r="Y1013" i="71"/>
  <c r="X1013" i="71"/>
  <c r="D1013" i="71"/>
  <c r="Y1012" i="71"/>
  <c r="X1012" i="71"/>
  <c r="D1012" i="71"/>
  <c r="Y1011" i="71"/>
  <c r="X1011" i="71"/>
  <c r="D1011" i="71"/>
  <c r="Y1010" i="71"/>
  <c r="X1010" i="71"/>
  <c r="D1010" i="71"/>
  <c r="Y1009" i="71"/>
  <c r="X1009" i="71"/>
  <c r="D1009" i="71"/>
  <c r="D1008" i="71"/>
  <c r="A1007" i="71"/>
  <c r="A1008" i="71"/>
  <c r="A1009" i="71"/>
  <c r="A1010" i="71"/>
  <c r="A1011" i="71"/>
  <c r="A1012" i="71"/>
  <c r="X1008" i="71"/>
  <c r="Y1008" i="71"/>
  <c r="E79" i="38"/>
  <c r="Y1007" i="71"/>
  <c r="X1007" i="71"/>
  <c r="D1007" i="71"/>
  <c r="A1006" i="71"/>
  <c r="Y1006" i="71"/>
  <c r="X1006" i="71"/>
  <c r="D1006" i="71"/>
  <c r="Y1005" i="71"/>
  <c r="X1005" i="71"/>
  <c r="D1005" i="71"/>
  <c r="A1005" i="71"/>
  <c r="Y1004" i="71"/>
  <c r="X1004" i="71"/>
  <c r="D1004" i="71"/>
  <c r="A1004" i="71"/>
  <c r="D1003" i="71"/>
  <c r="A1003" i="71"/>
  <c r="X1003" i="71"/>
  <c r="Y1003" i="71"/>
  <c r="E73" i="38"/>
  <c r="H100" i="50"/>
  <c r="D257" i="33"/>
  <c r="D252" i="33"/>
  <c r="D162" i="38" s="1"/>
  <c r="D250" i="33"/>
  <c r="D262" i="33"/>
  <c r="D258" i="33"/>
  <c r="D263" i="33"/>
  <c r="D248" i="33"/>
  <c r="D125" i="38" s="1"/>
  <c r="X1001" i="71"/>
  <c r="Y1001" i="71"/>
  <c r="X1002" i="71"/>
  <c r="Y1002" i="71"/>
  <c r="D1002" i="71"/>
  <c r="D1001" i="71"/>
  <c r="Y1000" i="71"/>
  <c r="X1000" i="71"/>
  <c r="D1000" i="71"/>
  <c r="Y999" i="71"/>
  <c r="X999" i="71"/>
  <c r="D999" i="71"/>
  <c r="D998" i="71"/>
  <c r="A997" i="71"/>
  <c r="A998" i="71"/>
  <c r="A999" i="71"/>
  <c r="A1000" i="71"/>
  <c r="A1001" i="71"/>
  <c r="A1002" i="71"/>
  <c r="X998" i="71"/>
  <c r="Y998" i="71"/>
  <c r="Y997" i="71"/>
  <c r="X997" i="71"/>
  <c r="D997" i="71"/>
  <c r="D976" i="71"/>
  <c r="A976" i="71"/>
  <c r="X976" i="71"/>
  <c r="Y976" i="71"/>
  <c r="A982" i="71"/>
  <c r="Y982" i="71"/>
  <c r="X982" i="71"/>
  <c r="D982" i="71"/>
  <c r="Y996" i="71"/>
  <c r="X996" i="71"/>
  <c r="A996" i="71"/>
  <c r="D996" i="71"/>
  <c r="Y995" i="71"/>
  <c r="X995" i="71"/>
  <c r="D995" i="71"/>
  <c r="Y994" i="71"/>
  <c r="X994" i="71"/>
  <c r="D994" i="71"/>
  <c r="Y993" i="71"/>
  <c r="X993" i="71"/>
  <c r="D993" i="71"/>
  <c r="Y992" i="71"/>
  <c r="X992" i="71"/>
  <c r="D992" i="71"/>
  <c r="Y991" i="71"/>
  <c r="X991" i="71"/>
  <c r="D991" i="71"/>
  <c r="Y990" i="71"/>
  <c r="X990" i="71"/>
  <c r="D990" i="71"/>
  <c r="D989" i="71"/>
  <c r="A988" i="71"/>
  <c r="A989" i="71"/>
  <c r="A990" i="71"/>
  <c r="A991" i="71"/>
  <c r="A992" i="71"/>
  <c r="A993" i="71"/>
  <c r="A994" i="71"/>
  <c r="A995" i="71"/>
  <c r="X989" i="71"/>
  <c r="Y989" i="71"/>
  <c r="F251" i="33"/>
  <c r="D251" i="33"/>
  <c r="Y988" i="71"/>
  <c r="X988" i="71"/>
  <c r="D988" i="71"/>
  <c r="Y987" i="71"/>
  <c r="X987" i="71"/>
  <c r="D987" i="71"/>
  <c r="Y986" i="71"/>
  <c r="X986" i="71"/>
  <c r="D986" i="71"/>
  <c r="Y985" i="71"/>
  <c r="X985" i="71"/>
  <c r="D985" i="71"/>
  <c r="Y984" i="71"/>
  <c r="X984" i="71"/>
  <c r="D984" i="71"/>
  <c r="D983" i="71"/>
  <c r="A983" i="71"/>
  <c r="A984" i="71"/>
  <c r="A985" i="71"/>
  <c r="A986" i="71"/>
  <c r="A987" i="71"/>
  <c r="X983" i="71"/>
  <c r="Y983" i="71"/>
  <c r="E106" i="45" l="1"/>
  <c r="D185" i="49"/>
  <c r="D275" i="38"/>
  <c r="E188" i="45"/>
  <c r="D39" i="96"/>
  <c r="D232" i="37"/>
  <c r="D269" i="38"/>
  <c r="D234" i="37"/>
  <c r="D265" i="38"/>
  <c r="D247" i="37"/>
  <c r="D258" i="38"/>
  <c r="D100" i="49" s="1"/>
  <c r="D207" i="37"/>
  <c r="D158" i="38"/>
  <c r="D219" i="37"/>
  <c r="D136" i="38"/>
  <c r="D188" i="49" s="1"/>
  <c r="I251" i="33"/>
  <c r="D241" i="37"/>
  <c r="I248" i="33"/>
  <c r="D230" i="37"/>
  <c r="I252" i="33"/>
  <c r="D227" i="37"/>
  <c r="K263" i="33"/>
  <c r="L263" i="33"/>
  <c r="I263" i="33"/>
  <c r="J263" i="33"/>
  <c r="J262" i="33"/>
  <c r="K262" i="33"/>
  <c r="L262" i="33"/>
  <c r="I262" i="33"/>
  <c r="L139" i="81"/>
  <c r="I142" i="81"/>
  <c r="I258" i="33"/>
  <c r="M258" i="33"/>
  <c r="M250" i="33"/>
  <c r="I250" i="33"/>
  <c r="I257" i="33"/>
  <c r="M257" i="33"/>
  <c r="J258" i="33"/>
  <c r="K258" i="33"/>
  <c r="L258" i="33"/>
  <c r="J257" i="33"/>
  <c r="K257" i="33"/>
  <c r="L257" i="33"/>
  <c r="I152" i="81"/>
  <c r="L156" i="81"/>
  <c r="L140" i="81"/>
  <c r="M252" i="33"/>
  <c r="J252" i="33"/>
  <c r="K252" i="33"/>
  <c r="L252" i="33"/>
  <c r="J251" i="33"/>
  <c r="K251" i="33"/>
  <c r="L251" i="33"/>
  <c r="M251" i="33"/>
  <c r="L250" i="33"/>
  <c r="K250" i="33"/>
  <c r="I159" i="81"/>
  <c r="I150" i="81"/>
  <c r="L142" i="81"/>
  <c r="J250" i="33"/>
  <c r="L154" i="81"/>
  <c r="I138" i="81"/>
  <c r="L147" i="81"/>
  <c r="L155" i="81"/>
  <c r="L149" i="81"/>
  <c r="L141" i="81"/>
  <c r="L151" i="81"/>
  <c r="L143" i="81"/>
  <c r="L148" i="81"/>
  <c r="L153" i="81"/>
  <c r="L145" i="81"/>
  <c r="L137" i="81"/>
  <c r="L144" i="81"/>
  <c r="L136" i="81"/>
  <c r="L157" i="81"/>
  <c r="I148" i="81"/>
  <c r="I146" i="81"/>
  <c r="I140" i="81"/>
  <c r="I149" i="81"/>
  <c r="I144" i="81"/>
  <c r="I136" i="81"/>
  <c r="L152" i="81"/>
  <c r="L159" i="81"/>
  <c r="L150" i="81"/>
  <c r="I143" i="81"/>
  <c r="I137" i="81"/>
  <c r="L138" i="81"/>
  <c r="L248" i="33"/>
  <c r="J248" i="33"/>
  <c r="K248" i="33"/>
  <c r="I153" i="81"/>
  <c r="I139" i="81"/>
  <c r="I141" i="81"/>
  <c r="I155" i="81"/>
  <c r="I145" i="81"/>
  <c r="I157" i="81"/>
  <c r="I154" i="81"/>
  <c r="I147" i="81"/>
  <c r="I156" i="81"/>
  <c r="I151" i="81"/>
  <c r="I135" i="81"/>
  <c r="H101" i="50"/>
  <c r="Y981" i="71"/>
  <c r="X981" i="71"/>
  <c r="D981" i="71"/>
  <c r="Y980" i="71"/>
  <c r="X980" i="71"/>
  <c r="D980" i="71"/>
  <c r="Y979" i="71"/>
  <c r="X979" i="71"/>
  <c r="D979" i="71"/>
  <c r="Y978" i="71"/>
  <c r="X978" i="71"/>
  <c r="D978" i="71"/>
  <c r="D977" i="71"/>
  <c r="A975" i="71"/>
  <c r="A977" i="71"/>
  <c r="A978" i="71"/>
  <c r="A979" i="71"/>
  <c r="A980" i="71"/>
  <c r="A981" i="71"/>
  <c r="X977" i="71"/>
  <c r="Y977" i="71"/>
  <c r="D256" i="33"/>
  <c r="D255" i="33"/>
  <c r="D268" i="38" s="1"/>
  <c r="D249" i="33"/>
  <c r="D150" i="38" s="1"/>
  <c r="Y975" i="71"/>
  <c r="X975" i="71"/>
  <c r="D975" i="71"/>
  <c r="Y974" i="71"/>
  <c r="X974" i="71"/>
  <c r="D974" i="71"/>
  <c r="D973" i="71"/>
  <c r="A974" i="71"/>
  <c r="A973" i="71"/>
  <c r="X973" i="71"/>
  <c r="Y973" i="71"/>
  <c r="F245" i="33"/>
  <c r="D245" i="33"/>
  <c r="Y972" i="71"/>
  <c r="X972" i="71"/>
  <c r="D972" i="71"/>
  <c r="Y971" i="71"/>
  <c r="X971" i="71"/>
  <c r="D971" i="71"/>
  <c r="Y970" i="71"/>
  <c r="X970" i="71"/>
  <c r="D970" i="71"/>
  <c r="Y969" i="71"/>
  <c r="X969" i="71"/>
  <c r="D969" i="71"/>
  <c r="D968" i="71"/>
  <c r="D17" i="98" l="1"/>
  <c r="D89" i="49"/>
  <c r="E270" i="45"/>
  <c r="D140" i="49"/>
  <c r="E261" i="45"/>
  <c r="D146" i="49"/>
  <c r="D11" i="98"/>
  <c r="D92" i="49"/>
  <c r="E259" i="45"/>
  <c r="D133" i="49"/>
  <c r="D13" i="98"/>
  <c r="D90" i="49"/>
  <c r="E249" i="45"/>
  <c r="D77" i="98"/>
  <c r="R263" i="33"/>
  <c r="D213" i="38"/>
  <c r="E203" i="45"/>
  <c r="D47" i="96"/>
  <c r="E202" i="45"/>
  <c r="D46" i="96"/>
  <c r="E144" i="45"/>
  <c r="D41" i="96"/>
  <c r="E213" i="45"/>
  <c r="D49" i="96"/>
  <c r="R250" i="33"/>
  <c r="R248" i="33"/>
  <c r="R257" i="33"/>
  <c r="R262" i="33"/>
  <c r="R252" i="33"/>
  <c r="R251" i="33"/>
  <c r="R258" i="33"/>
  <c r="D233" i="37"/>
  <c r="D284" i="38"/>
  <c r="I245" i="33"/>
  <c r="D243" i="37"/>
  <c r="I255" i="33"/>
  <c r="D210" i="37"/>
  <c r="I249" i="33"/>
  <c r="D206" i="37"/>
  <c r="I256" i="33"/>
  <c r="N257" i="33"/>
  <c r="J256" i="33"/>
  <c r="K256" i="33"/>
  <c r="L256" i="33"/>
  <c r="N258" i="33"/>
  <c r="J255" i="33"/>
  <c r="L255" i="33"/>
  <c r="M255" i="33"/>
  <c r="K255" i="33"/>
  <c r="N251" i="33"/>
  <c r="N252" i="33"/>
  <c r="N250" i="33"/>
  <c r="J249" i="33"/>
  <c r="K249" i="33"/>
  <c r="L249" i="33"/>
  <c r="M249" i="33"/>
  <c r="M245" i="33"/>
  <c r="J245" i="33"/>
  <c r="K245" i="33"/>
  <c r="L245" i="33"/>
  <c r="A968" i="71"/>
  <c r="A969" i="71"/>
  <c r="A970" i="71"/>
  <c r="A971" i="71"/>
  <c r="A972" i="71"/>
  <c r="X968" i="71"/>
  <c r="Y968" i="71"/>
  <c r="F254" i="33"/>
  <c r="D254" i="33"/>
  <c r="H25" i="50"/>
  <c r="H31" i="50"/>
  <c r="H29" i="50"/>
  <c r="H28" i="50"/>
  <c r="G19" i="73"/>
  <c r="E251" i="45" l="1"/>
  <c r="D124" i="49"/>
  <c r="E174" i="45"/>
  <c r="D141" i="49"/>
  <c r="R249" i="33"/>
  <c r="R245" i="33"/>
  <c r="R255" i="33"/>
  <c r="R256" i="33"/>
  <c r="I254" i="33"/>
  <c r="D180" i="37"/>
  <c r="D100" i="38"/>
  <c r="D242" i="49" s="1"/>
  <c r="N255" i="33"/>
  <c r="J254" i="33"/>
  <c r="K254" i="33"/>
  <c r="L254" i="33"/>
  <c r="M254" i="33"/>
  <c r="N249" i="33"/>
  <c r="N245" i="33"/>
  <c r="H102" i="50"/>
  <c r="Y967" i="71"/>
  <c r="X967" i="71"/>
  <c r="D967" i="71"/>
  <c r="X965" i="71"/>
  <c r="Y965" i="71"/>
  <c r="X966" i="71"/>
  <c r="Y966" i="71"/>
  <c r="D966" i="71"/>
  <c r="D965" i="71"/>
  <c r="Y964" i="71"/>
  <c r="X964" i="71"/>
  <c r="D964" i="71"/>
  <c r="D963" i="71"/>
  <c r="A962" i="71"/>
  <c r="A963" i="71"/>
  <c r="A964" i="71"/>
  <c r="A965" i="71"/>
  <c r="A966" i="71"/>
  <c r="A967" i="71"/>
  <c r="X963" i="71"/>
  <c r="Y963" i="71"/>
  <c r="D253" i="33"/>
  <c r="E89" i="45" l="1"/>
  <c r="D78" i="96"/>
  <c r="R254" i="33"/>
  <c r="I253" i="33"/>
  <c r="D231" i="37"/>
  <c r="N254" i="33"/>
  <c r="L253" i="33"/>
  <c r="J253" i="33"/>
  <c r="K253" i="33"/>
  <c r="H26" i="50"/>
  <c r="Y962" i="71"/>
  <c r="X962" i="71"/>
  <c r="D962" i="71"/>
  <c r="Y961" i="71"/>
  <c r="X961" i="71"/>
  <c r="D961" i="71"/>
  <c r="Y960" i="71"/>
  <c r="X960" i="71"/>
  <c r="D960" i="71"/>
  <c r="Y959" i="71"/>
  <c r="X959" i="71"/>
  <c r="D959" i="71"/>
  <c r="Y958" i="71"/>
  <c r="X958" i="71"/>
  <c r="D958" i="71"/>
  <c r="Y957" i="71"/>
  <c r="X957" i="71"/>
  <c r="D957" i="71"/>
  <c r="Y956" i="71"/>
  <c r="X956" i="71"/>
  <c r="D956" i="71"/>
  <c r="Y955" i="71"/>
  <c r="X955" i="71"/>
  <c r="D955" i="71"/>
  <c r="D954" i="71"/>
  <c r="A959" i="71"/>
  <c r="A960" i="71"/>
  <c r="A961" i="71"/>
  <c r="A953" i="71"/>
  <c r="A954" i="71"/>
  <c r="A955" i="71"/>
  <c r="A956" i="71"/>
  <c r="A957" i="71"/>
  <c r="A958" i="71"/>
  <c r="X954" i="71"/>
  <c r="Y954" i="71"/>
  <c r="D247" i="33"/>
  <c r="D301" i="38" s="1"/>
  <c r="D244" i="33"/>
  <c r="D246" i="33"/>
  <c r="D116" i="38" s="1"/>
  <c r="D184" i="49" s="1"/>
  <c r="Y953" i="71"/>
  <c r="X953" i="71"/>
  <c r="D953" i="71"/>
  <c r="Y952" i="71"/>
  <c r="X952" i="71"/>
  <c r="D952" i="71"/>
  <c r="Y951" i="71"/>
  <c r="X951" i="71"/>
  <c r="D951" i="71"/>
  <c r="Y950" i="71"/>
  <c r="X950" i="71"/>
  <c r="D950" i="71"/>
  <c r="Y949" i="71"/>
  <c r="X949" i="71"/>
  <c r="D949" i="71"/>
  <c r="A950" i="71"/>
  <c r="A951" i="71"/>
  <c r="A952" i="71"/>
  <c r="Y948" i="71"/>
  <c r="X948" i="71"/>
  <c r="D948" i="71"/>
  <c r="Y947" i="71"/>
  <c r="X947" i="71"/>
  <c r="D947" i="71"/>
  <c r="Y946" i="71"/>
  <c r="X946" i="71"/>
  <c r="D946" i="71"/>
  <c r="Y945" i="71"/>
  <c r="X945" i="71"/>
  <c r="D945" i="71"/>
  <c r="Y944" i="71"/>
  <c r="X944" i="71"/>
  <c r="D944" i="71"/>
  <c r="A943" i="71"/>
  <c r="A944" i="71"/>
  <c r="A945" i="71"/>
  <c r="A946" i="71"/>
  <c r="A947" i="71"/>
  <c r="A948" i="71"/>
  <c r="A949" i="71"/>
  <c r="F239" i="33"/>
  <c r="H16" i="50"/>
  <c r="H15" i="50"/>
  <c r="Y943" i="71"/>
  <c r="X943" i="71"/>
  <c r="D943" i="71"/>
  <c r="Y942" i="71"/>
  <c r="X942" i="71"/>
  <c r="D942" i="71"/>
  <c r="Y941" i="71"/>
  <c r="X941" i="71"/>
  <c r="D941" i="71"/>
  <c r="Y940" i="71"/>
  <c r="X940" i="71"/>
  <c r="D940" i="71"/>
  <c r="D939" i="71"/>
  <c r="A940" i="71"/>
  <c r="A941" i="71"/>
  <c r="A942" i="71"/>
  <c r="A939" i="71"/>
  <c r="X939" i="71"/>
  <c r="Y939" i="71"/>
  <c r="G234" i="33"/>
  <c r="F236" i="33" s="1"/>
  <c r="Y938" i="71"/>
  <c r="X938" i="71"/>
  <c r="D938" i="71"/>
  <c r="A938" i="71"/>
  <c r="Y937" i="71"/>
  <c r="X937" i="71"/>
  <c r="D937" i="71"/>
  <c r="A937" i="71"/>
  <c r="Y936" i="71"/>
  <c r="X936" i="71"/>
  <c r="D936" i="71"/>
  <c r="A936" i="71"/>
  <c r="X934" i="71"/>
  <c r="Y934" i="71"/>
  <c r="X935" i="71"/>
  <c r="Y935" i="71"/>
  <c r="D935" i="71"/>
  <c r="D934" i="71"/>
  <c r="Y933" i="71"/>
  <c r="X933" i="71"/>
  <c r="D933" i="71"/>
  <c r="X931" i="71"/>
  <c r="Y931" i="71"/>
  <c r="X932" i="71"/>
  <c r="Y932" i="71"/>
  <c r="D932" i="71"/>
  <c r="D931" i="71"/>
  <c r="D930" i="71"/>
  <c r="A930" i="71"/>
  <c r="A931" i="71"/>
  <c r="A932" i="71"/>
  <c r="A933" i="71"/>
  <c r="A934" i="71"/>
  <c r="A935" i="71"/>
  <c r="X930" i="71"/>
  <c r="Y930" i="71"/>
  <c r="D242" i="33"/>
  <c r="D221" i="38" s="1"/>
  <c r="D259" i="33"/>
  <c r="D238" i="33"/>
  <c r="F237" i="33"/>
  <c r="D237" i="33"/>
  <c r="I27" i="82"/>
  <c r="I25" i="82"/>
  <c r="I24" i="82"/>
  <c r="I23" i="82"/>
  <c r="H27" i="82"/>
  <c r="H25" i="82"/>
  <c r="H24" i="82"/>
  <c r="H23" i="82"/>
  <c r="E208" i="45" l="1"/>
  <c r="D98" i="49"/>
  <c r="D101" i="98"/>
  <c r="E252" i="45"/>
  <c r="D125" i="49"/>
  <c r="E102" i="45"/>
  <c r="D38" i="96"/>
  <c r="D270" i="38"/>
  <c r="R253" i="33"/>
  <c r="D236" i="37"/>
  <c r="D279" i="38"/>
  <c r="I238" i="33"/>
  <c r="D187" i="38"/>
  <c r="I247" i="33"/>
  <c r="D268" i="37"/>
  <c r="I242" i="33"/>
  <c r="D242" i="37"/>
  <c r="I244" i="33"/>
  <c r="D240" i="37"/>
  <c r="I246" i="33"/>
  <c r="D223" i="37"/>
  <c r="K237" i="33"/>
  <c r="I237" i="33"/>
  <c r="I259" i="33"/>
  <c r="J259" i="33"/>
  <c r="K259" i="33"/>
  <c r="L259" i="33"/>
  <c r="J247" i="33"/>
  <c r="K247" i="33"/>
  <c r="L247" i="33"/>
  <c r="D171" i="37"/>
  <c r="J246" i="33"/>
  <c r="K246" i="33"/>
  <c r="L246" i="33"/>
  <c r="M246" i="33"/>
  <c r="J244" i="33"/>
  <c r="K244" i="33"/>
  <c r="L244" i="33"/>
  <c r="M244" i="33"/>
  <c r="J242" i="33"/>
  <c r="K242" i="33"/>
  <c r="L242" i="33"/>
  <c r="M242" i="33"/>
  <c r="J237" i="33"/>
  <c r="L238" i="33"/>
  <c r="K238" i="33"/>
  <c r="J238" i="33"/>
  <c r="L237" i="33"/>
  <c r="F53" i="50"/>
  <c r="E246" i="45" l="1"/>
  <c r="D138" i="49"/>
  <c r="E260" i="45"/>
  <c r="D134" i="49"/>
  <c r="E101" i="45"/>
  <c r="D177" i="49"/>
  <c r="R238" i="33"/>
  <c r="R242" i="33"/>
  <c r="R246" i="33"/>
  <c r="R237" i="33"/>
  <c r="R259" i="33"/>
  <c r="R244" i="33"/>
  <c r="R247" i="33"/>
  <c r="G53" i="50"/>
  <c r="H53" i="50" s="1"/>
  <c r="N244" i="33"/>
  <c r="N246" i="33"/>
  <c r="N242" i="33"/>
  <c r="H24" i="73"/>
  <c r="G69" i="82"/>
  <c r="I31" i="82" l="1"/>
  <c r="H31" i="82"/>
  <c r="G32" i="82"/>
  <c r="E32" i="82"/>
  <c r="Y929" i="71"/>
  <c r="X929" i="71"/>
  <c r="D929" i="71"/>
  <c r="A929" i="71"/>
  <c r="Y928" i="71"/>
  <c r="X928" i="71"/>
  <c r="Y927" i="71"/>
  <c r="X927" i="71"/>
  <c r="D928" i="71"/>
  <c r="D927" i="71"/>
  <c r="Y926" i="71"/>
  <c r="X926" i="71"/>
  <c r="D926" i="71"/>
  <c r="Y925" i="71"/>
  <c r="X925" i="71"/>
  <c r="D925" i="71"/>
  <c r="D924" i="71"/>
  <c r="A923" i="71"/>
  <c r="A924" i="71"/>
  <c r="A925" i="71"/>
  <c r="A926" i="71"/>
  <c r="A927" i="71"/>
  <c r="A928" i="71"/>
  <c r="X924" i="71"/>
  <c r="Y924" i="71"/>
  <c r="Y923" i="71"/>
  <c r="X923" i="71"/>
  <c r="D923" i="71"/>
  <c r="Y922" i="71"/>
  <c r="X922" i="71"/>
  <c r="D922" i="71"/>
  <c r="Y921" i="71"/>
  <c r="X921" i="71"/>
  <c r="D921" i="71"/>
  <c r="D920" i="71"/>
  <c r="A919" i="71"/>
  <c r="A920" i="71"/>
  <c r="A921" i="71"/>
  <c r="A922" i="71"/>
  <c r="X920" i="71"/>
  <c r="Y920" i="71"/>
  <c r="Y919" i="71"/>
  <c r="X919" i="71"/>
  <c r="Y918" i="71"/>
  <c r="X918" i="71"/>
  <c r="D919" i="71"/>
  <c r="D918" i="71"/>
  <c r="Y917" i="71"/>
  <c r="X917" i="71"/>
  <c r="D917" i="71"/>
  <c r="Y916" i="71"/>
  <c r="X916" i="71"/>
  <c r="D916" i="71"/>
  <c r="Y915" i="71"/>
  <c r="X915" i="71"/>
  <c r="D915" i="71"/>
  <c r="Y914" i="71"/>
  <c r="X914" i="71"/>
  <c r="D914" i="71"/>
  <c r="D913" i="71"/>
  <c r="A913" i="71"/>
  <c r="A914" i="71"/>
  <c r="A915" i="71"/>
  <c r="A916" i="71"/>
  <c r="A917" i="71"/>
  <c r="A918" i="71"/>
  <c r="X913" i="71"/>
  <c r="Y913" i="71"/>
  <c r="F235" i="33"/>
  <c r="D239" i="33"/>
  <c r="D166" i="38" s="1"/>
  <c r="D171" i="49" s="1"/>
  <c r="D235" i="33"/>
  <c r="D160" i="38" s="1"/>
  <c r="D170" i="49" s="1"/>
  <c r="F231" i="33"/>
  <c r="E137" i="45" l="1"/>
  <c r="D26" i="96"/>
  <c r="E138" i="45"/>
  <c r="D25" i="96"/>
  <c r="D169" i="37"/>
  <c r="I235" i="33"/>
  <c r="D170" i="37"/>
  <c r="I239" i="33"/>
  <c r="J239" i="33"/>
  <c r="K239" i="33"/>
  <c r="L239" i="33"/>
  <c r="M239" i="33"/>
  <c r="K235" i="33"/>
  <c r="J235" i="33"/>
  <c r="L235" i="33"/>
  <c r="M235" i="33"/>
  <c r="D236" i="33"/>
  <c r="D234" i="33"/>
  <c r="Y893" i="71"/>
  <c r="X893" i="71"/>
  <c r="D893" i="71"/>
  <c r="A894" i="71"/>
  <c r="A893" i="71"/>
  <c r="Y892" i="71"/>
  <c r="X892" i="71"/>
  <c r="D892" i="71"/>
  <c r="A892" i="71"/>
  <c r="Y891" i="71"/>
  <c r="X891" i="71"/>
  <c r="D891" i="71"/>
  <c r="A891" i="71"/>
  <c r="Y912" i="71"/>
  <c r="X912" i="71"/>
  <c r="D912" i="71"/>
  <c r="Y911" i="71"/>
  <c r="X911" i="71"/>
  <c r="D911" i="71"/>
  <c r="Y910" i="71"/>
  <c r="X910" i="71"/>
  <c r="D910" i="71"/>
  <c r="Y909" i="71"/>
  <c r="X909" i="71"/>
  <c r="D909" i="71"/>
  <c r="Y908" i="71"/>
  <c r="X908" i="71"/>
  <c r="D908" i="71"/>
  <c r="Y907" i="71"/>
  <c r="X907" i="71"/>
  <c r="D907" i="71"/>
  <c r="D906" i="71"/>
  <c r="A905" i="71"/>
  <c r="A906" i="71"/>
  <c r="A907" i="71"/>
  <c r="A908" i="71"/>
  <c r="A909" i="71"/>
  <c r="A910" i="71"/>
  <c r="A911" i="71"/>
  <c r="A912" i="71"/>
  <c r="X906" i="71"/>
  <c r="Y906" i="71"/>
  <c r="F233" i="33"/>
  <c r="F241" i="33"/>
  <c r="D233" i="33"/>
  <c r="D114" i="38" s="1"/>
  <c r="D179" i="49" s="1"/>
  <c r="D241" i="33"/>
  <c r="Y905" i="71"/>
  <c r="X905" i="71"/>
  <c r="D905" i="71"/>
  <c r="Y904" i="71"/>
  <c r="X904" i="71"/>
  <c r="D904" i="71"/>
  <c r="A904" i="71"/>
  <c r="Y903" i="71"/>
  <c r="X903" i="71"/>
  <c r="D903" i="71"/>
  <c r="Y902" i="71"/>
  <c r="X902" i="71"/>
  <c r="D902" i="71"/>
  <c r="Y901" i="71"/>
  <c r="X901" i="71"/>
  <c r="D901" i="71"/>
  <c r="A900" i="71"/>
  <c r="A901" i="71"/>
  <c r="A902" i="71"/>
  <c r="A903" i="71"/>
  <c r="A899" i="71"/>
  <c r="Y900" i="71"/>
  <c r="X900" i="71"/>
  <c r="D900" i="71"/>
  <c r="D899" i="71"/>
  <c r="X899" i="71"/>
  <c r="Y899" i="71"/>
  <c r="Y898" i="71"/>
  <c r="X898" i="71"/>
  <c r="D898" i="71"/>
  <c r="X896" i="71"/>
  <c r="Y896" i="71"/>
  <c r="X897" i="71"/>
  <c r="Y897" i="71"/>
  <c r="D897" i="71"/>
  <c r="D896" i="71"/>
  <c r="Y895" i="71"/>
  <c r="X895" i="71"/>
  <c r="D895" i="71"/>
  <c r="D894" i="71"/>
  <c r="A895" i="71"/>
  <c r="A896" i="71"/>
  <c r="A897" i="71"/>
  <c r="A898" i="71"/>
  <c r="X894" i="71"/>
  <c r="Y894" i="71"/>
  <c r="D229" i="33"/>
  <c r="D129" i="38" s="1"/>
  <c r="D168" i="49" s="1"/>
  <c r="D304" i="37" l="1"/>
  <c r="D151" i="38"/>
  <c r="E187" i="45"/>
  <c r="D33" i="96"/>
  <c r="E140" i="45"/>
  <c r="D23" i="96"/>
  <c r="R239" i="33"/>
  <c r="R235" i="33"/>
  <c r="I234" i="33"/>
  <c r="D297" i="38"/>
  <c r="I236" i="33"/>
  <c r="D192" i="37"/>
  <c r="I241" i="33"/>
  <c r="D179" i="37"/>
  <c r="D98" i="38"/>
  <c r="D241" i="49" s="1"/>
  <c r="D173" i="37"/>
  <c r="I233" i="33"/>
  <c r="D168" i="37"/>
  <c r="I229" i="33"/>
  <c r="M241" i="33"/>
  <c r="J241" i="33"/>
  <c r="K241" i="33"/>
  <c r="L241" i="33"/>
  <c r="N239" i="33"/>
  <c r="J236" i="33"/>
  <c r="K236" i="33"/>
  <c r="L236" i="33"/>
  <c r="M236" i="33"/>
  <c r="N235" i="33"/>
  <c r="J234" i="33"/>
  <c r="K234" i="33"/>
  <c r="M234" i="33"/>
  <c r="L234" i="33"/>
  <c r="L233" i="33"/>
  <c r="M233" i="33"/>
  <c r="J233" i="33"/>
  <c r="K233" i="33"/>
  <c r="K229" i="33"/>
  <c r="L229" i="33"/>
  <c r="M229" i="33"/>
  <c r="J229" i="33"/>
  <c r="E88" i="45" l="1"/>
  <c r="D77" i="96"/>
  <c r="R234" i="33"/>
  <c r="R241" i="33"/>
  <c r="R233" i="33"/>
  <c r="R229" i="33"/>
  <c r="R236" i="33"/>
  <c r="N241" i="33"/>
  <c r="N234" i="33"/>
  <c r="N233" i="33"/>
  <c r="N229" i="33"/>
  <c r="N236" i="33"/>
  <c r="C31" i="50"/>
  <c r="C30" i="50"/>
  <c r="Y890" i="71"/>
  <c r="X890" i="71"/>
  <c r="D890" i="71"/>
  <c r="Y889" i="71"/>
  <c r="X889" i="71"/>
  <c r="D889" i="71"/>
  <c r="A888" i="71"/>
  <c r="A889" i="71"/>
  <c r="A890" i="71"/>
  <c r="F230" i="33"/>
  <c r="D230" i="33"/>
  <c r="Y888" i="71"/>
  <c r="X888" i="71"/>
  <c r="D888" i="71"/>
  <c r="Y887" i="71"/>
  <c r="X887" i="71"/>
  <c r="D887" i="71"/>
  <c r="Y886" i="71"/>
  <c r="X886" i="71"/>
  <c r="D886" i="71"/>
  <c r="Y885" i="71"/>
  <c r="X885" i="71"/>
  <c r="D885" i="71"/>
  <c r="D884" i="71"/>
  <c r="A884" i="71"/>
  <c r="A885" i="71"/>
  <c r="A886" i="71"/>
  <c r="A887" i="71"/>
  <c r="X884" i="71"/>
  <c r="Y884" i="71"/>
  <c r="D240" i="33"/>
  <c r="Y883" i="71"/>
  <c r="X883" i="71"/>
  <c r="D883" i="71"/>
  <c r="A883" i="71"/>
  <c r="Y882" i="71"/>
  <c r="X882" i="71"/>
  <c r="D882" i="71"/>
  <c r="Y881" i="71"/>
  <c r="X881" i="71"/>
  <c r="D881" i="71"/>
  <c r="Y880" i="71"/>
  <c r="X880" i="71"/>
  <c r="D880" i="71"/>
  <c r="Y879" i="71"/>
  <c r="X879" i="71"/>
  <c r="D879" i="71"/>
  <c r="D878" i="71"/>
  <c r="A877" i="71"/>
  <c r="A878" i="71"/>
  <c r="A879" i="71"/>
  <c r="A880" i="71"/>
  <c r="A881" i="71"/>
  <c r="A882" i="71"/>
  <c r="X878" i="71"/>
  <c r="Y878" i="71"/>
  <c r="D228" i="33"/>
  <c r="D110" i="38" s="1"/>
  <c r="D178" i="49" s="1"/>
  <c r="D232" i="33"/>
  <c r="D226" i="33"/>
  <c r="D139" i="38" s="1"/>
  <c r="F221" i="33"/>
  <c r="F220" i="33"/>
  <c r="Y877" i="71"/>
  <c r="X877" i="71"/>
  <c r="D877" i="71"/>
  <c r="Y876" i="71"/>
  <c r="X876" i="71"/>
  <c r="D876" i="71"/>
  <c r="Y875" i="71"/>
  <c r="X875" i="71"/>
  <c r="D875" i="71"/>
  <c r="Y874" i="71"/>
  <c r="X874" i="71"/>
  <c r="D874" i="71"/>
  <c r="Y873" i="71"/>
  <c r="X873" i="71"/>
  <c r="D873" i="71"/>
  <c r="D872" i="71"/>
  <c r="A875" i="71"/>
  <c r="A876" i="71"/>
  <c r="A874" i="71"/>
  <c r="A873" i="71"/>
  <c r="A872" i="71"/>
  <c r="X872" i="71"/>
  <c r="Y872" i="71"/>
  <c r="D243" i="33"/>
  <c r="D119" i="38" s="1"/>
  <c r="D227" i="33"/>
  <c r="D178" i="37" s="1"/>
  <c r="Y871" i="71"/>
  <c r="X871" i="71"/>
  <c r="D871" i="71"/>
  <c r="Y870" i="71"/>
  <c r="X870" i="71"/>
  <c r="D870" i="71"/>
  <c r="Y869" i="71"/>
  <c r="X869" i="71"/>
  <c r="D869" i="71"/>
  <c r="Y868" i="71"/>
  <c r="X868" i="71"/>
  <c r="D868" i="71"/>
  <c r="Y867" i="71"/>
  <c r="X867" i="71"/>
  <c r="D867" i="71"/>
  <c r="Y866" i="71"/>
  <c r="X866" i="71"/>
  <c r="D866" i="71"/>
  <c r="D865" i="71"/>
  <c r="A864" i="71"/>
  <c r="A865" i="71"/>
  <c r="A866" i="71"/>
  <c r="A867" i="71"/>
  <c r="A868" i="71"/>
  <c r="A869" i="71"/>
  <c r="A870" i="71"/>
  <c r="A871" i="71"/>
  <c r="X865" i="71"/>
  <c r="Y865" i="71"/>
  <c r="D223" i="33"/>
  <c r="F217" i="33"/>
  <c r="A2" i="50"/>
  <c r="A2" i="32"/>
  <c r="A2" i="31"/>
  <c r="Y864" i="71"/>
  <c r="X864" i="71"/>
  <c r="D864" i="71"/>
  <c r="Y863" i="71"/>
  <c r="X863" i="71"/>
  <c r="D863" i="71"/>
  <c r="Y862" i="71"/>
  <c r="X862" i="71"/>
  <c r="D862" i="71"/>
  <c r="X858" i="71"/>
  <c r="Y858" i="71"/>
  <c r="X859" i="71"/>
  <c r="Y859" i="71"/>
  <c r="X860" i="71"/>
  <c r="Y860" i="71"/>
  <c r="X861" i="71"/>
  <c r="Y861" i="71"/>
  <c r="D861" i="71"/>
  <c r="A860" i="71"/>
  <c r="A861" i="71"/>
  <c r="A862" i="71"/>
  <c r="A863" i="71"/>
  <c r="E50" i="38"/>
  <c r="E49" i="38"/>
  <c r="D225" i="33"/>
  <c r="D860" i="71"/>
  <c r="D859" i="71"/>
  <c r="D858" i="71"/>
  <c r="Y857" i="71"/>
  <c r="X857" i="71"/>
  <c r="D857" i="71"/>
  <c r="Y856" i="71"/>
  <c r="X856" i="71"/>
  <c r="D856" i="71"/>
  <c r="D855" i="71"/>
  <c r="A855" i="71"/>
  <c r="A856" i="71"/>
  <c r="A857" i="71"/>
  <c r="A858" i="71"/>
  <c r="A859" i="71"/>
  <c r="X855" i="71"/>
  <c r="Y855" i="71"/>
  <c r="E46" i="38"/>
  <c r="D221" i="33"/>
  <c r="D224" i="33"/>
  <c r="D117" i="38" s="1"/>
  <c r="D222" i="33"/>
  <c r="D286" i="38" s="1"/>
  <c r="F214" i="33"/>
  <c r="F213" i="33"/>
  <c r="Y854" i="71"/>
  <c r="X854" i="71"/>
  <c r="D854" i="71"/>
  <c r="A854" i="71"/>
  <c r="A853" i="71"/>
  <c r="Y853" i="71"/>
  <c r="X853" i="71"/>
  <c r="D853" i="71"/>
  <c r="Y852" i="71"/>
  <c r="X852" i="71"/>
  <c r="D852" i="71"/>
  <c r="A852" i="71"/>
  <c r="Y851" i="71"/>
  <c r="X851" i="71"/>
  <c r="D851" i="71"/>
  <c r="A851" i="71"/>
  <c r="Y850" i="71"/>
  <c r="X850" i="71"/>
  <c r="D850" i="71"/>
  <c r="A850" i="71"/>
  <c r="A849" i="71"/>
  <c r="X849" i="71"/>
  <c r="Y849" i="71"/>
  <c r="D849" i="71"/>
  <c r="E45" i="38"/>
  <c r="D217" i="33"/>
  <c r="F212" i="33"/>
  <c r="Y848" i="71"/>
  <c r="X848" i="71"/>
  <c r="D848" i="71"/>
  <c r="A848" i="71"/>
  <c r="Y847" i="71"/>
  <c r="X847" i="71"/>
  <c r="D847" i="71"/>
  <c r="Y846" i="71"/>
  <c r="X846" i="71"/>
  <c r="D846" i="71"/>
  <c r="Y845" i="71"/>
  <c r="X845" i="71"/>
  <c r="D845" i="71"/>
  <c r="Y844" i="71"/>
  <c r="X844" i="71"/>
  <c r="D844" i="71"/>
  <c r="Y843" i="71"/>
  <c r="X843" i="71"/>
  <c r="D843" i="71"/>
  <c r="D842" i="71"/>
  <c r="A841" i="71"/>
  <c r="A842" i="71"/>
  <c r="A843" i="71"/>
  <c r="A844" i="71"/>
  <c r="A845" i="71"/>
  <c r="A846" i="71"/>
  <c r="A847" i="71"/>
  <c r="X842" i="71"/>
  <c r="Y842" i="71"/>
  <c r="D215" i="33"/>
  <c r="D220" i="33"/>
  <c r="F211" i="33"/>
  <c r="D211" i="33"/>
  <c r="Y841" i="71"/>
  <c r="X841" i="71"/>
  <c r="D841" i="71"/>
  <c r="Y840" i="71"/>
  <c r="X840" i="71"/>
  <c r="D840" i="71"/>
  <c r="Y839" i="71"/>
  <c r="X839" i="71"/>
  <c r="D839" i="71"/>
  <c r="Y838" i="71"/>
  <c r="X838" i="71"/>
  <c r="D838" i="71"/>
  <c r="D837" i="71"/>
  <c r="A838" i="71"/>
  <c r="A839" i="71"/>
  <c r="A840" i="71"/>
  <c r="X837" i="71"/>
  <c r="Y837" i="71"/>
  <c r="A837" i="71"/>
  <c r="D216" i="33"/>
  <c r="Y836" i="71"/>
  <c r="X836" i="71"/>
  <c r="D836" i="71"/>
  <c r="A836" i="71"/>
  <c r="Y816" i="71"/>
  <c r="X816" i="71"/>
  <c r="D816" i="71"/>
  <c r="A816" i="71"/>
  <c r="Y835" i="71"/>
  <c r="X835" i="71"/>
  <c r="D835" i="71"/>
  <c r="A835" i="71"/>
  <c r="Y834" i="71"/>
  <c r="X834" i="71"/>
  <c r="D834" i="71"/>
  <c r="D833" i="71"/>
  <c r="D832" i="71"/>
  <c r="D831" i="71"/>
  <c r="D830" i="71"/>
  <c r="X830" i="71"/>
  <c r="Y830" i="71"/>
  <c r="X831" i="71"/>
  <c r="Y831" i="71"/>
  <c r="X832" i="71"/>
  <c r="Y832" i="71"/>
  <c r="X833" i="71"/>
  <c r="Y833" i="71"/>
  <c r="D829" i="71"/>
  <c r="A828" i="71"/>
  <c r="A829" i="71"/>
  <c r="A830" i="71"/>
  <c r="A831" i="71"/>
  <c r="A832" i="71"/>
  <c r="A833" i="71"/>
  <c r="A834" i="71"/>
  <c r="X829" i="71"/>
  <c r="Y829" i="71"/>
  <c r="D218" i="33"/>
  <c r="D203" i="37" s="1"/>
  <c r="D214" i="33"/>
  <c r="F210" i="33"/>
  <c r="F209" i="33"/>
  <c r="Y815" i="71"/>
  <c r="X815" i="71"/>
  <c r="Y828" i="71"/>
  <c r="X828" i="71"/>
  <c r="D828" i="71"/>
  <c r="X826" i="71"/>
  <c r="Y826" i="71"/>
  <c r="X827" i="71"/>
  <c r="Y827" i="71"/>
  <c r="D827" i="71"/>
  <c r="D826" i="71"/>
  <c r="Y825" i="71"/>
  <c r="X825" i="71"/>
  <c r="D825" i="71"/>
  <c r="D824" i="71"/>
  <c r="A824" i="71"/>
  <c r="A825" i="71"/>
  <c r="A826" i="71"/>
  <c r="A827" i="71"/>
  <c r="X824" i="71"/>
  <c r="Y824" i="71"/>
  <c r="D32" i="98" l="1"/>
  <c r="D82" i="49"/>
  <c r="E250" i="45"/>
  <c r="D101" i="49"/>
  <c r="E142" i="45"/>
  <c r="D166" i="49"/>
  <c r="D184" i="38"/>
  <c r="D217" i="38"/>
  <c r="D165" i="38"/>
  <c r="D246" i="38"/>
  <c r="E186" i="45"/>
  <c r="D32" i="96"/>
  <c r="D198" i="38"/>
  <c r="D298" i="38"/>
  <c r="D300" i="37"/>
  <c r="D174" i="38"/>
  <c r="E98" i="45"/>
  <c r="D53" i="96"/>
  <c r="D303" i="37"/>
  <c r="D306" i="38"/>
  <c r="D237" i="37"/>
  <c r="D281" i="38"/>
  <c r="I220" i="33"/>
  <c r="I232" i="33"/>
  <c r="D218" i="38"/>
  <c r="I243" i="33"/>
  <c r="D265" i="37"/>
  <c r="I222" i="33"/>
  <c r="D248" i="37"/>
  <c r="I240" i="33"/>
  <c r="D249" i="37"/>
  <c r="I216" i="33"/>
  <c r="D238" i="37"/>
  <c r="I230" i="33"/>
  <c r="D195" i="37"/>
  <c r="I215" i="33"/>
  <c r="D196" i="37"/>
  <c r="I223" i="33"/>
  <c r="D194" i="37"/>
  <c r="M217" i="33"/>
  <c r="D193" i="37"/>
  <c r="J221" i="33"/>
  <c r="D197" i="37"/>
  <c r="I211" i="33"/>
  <c r="D187" i="37"/>
  <c r="I226" i="33"/>
  <c r="D191" i="37"/>
  <c r="I218" i="33"/>
  <c r="D97" i="38"/>
  <c r="D239" i="49" s="1"/>
  <c r="I227" i="33"/>
  <c r="D94" i="38"/>
  <c r="D240" i="49" s="1"/>
  <c r="D172" i="37"/>
  <c r="I228" i="33"/>
  <c r="I224" i="33"/>
  <c r="D166" i="37"/>
  <c r="L214" i="33"/>
  <c r="D165" i="37"/>
  <c r="J243" i="33"/>
  <c r="K243" i="33"/>
  <c r="L243" i="33"/>
  <c r="M243" i="33"/>
  <c r="J240" i="33"/>
  <c r="K240" i="33"/>
  <c r="L240" i="33"/>
  <c r="L232" i="33"/>
  <c r="J232" i="33"/>
  <c r="K232" i="33"/>
  <c r="J230" i="33"/>
  <c r="K230" i="33"/>
  <c r="L230" i="33"/>
  <c r="M230" i="33"/>
  <c r="J228" i="33"/>
  <c r="K228" i="33"/>
  <c r="M228" i="33"/>
  <c r="L228" i="33"/>
  <c r="J226" i="33"/>
  <c r="K226" i="33"/>
  <c r="L226" i="33"/>
  <c r="M227" i="33"/>
  <c r="K227" i="33"/>
  <c r="L227" i="33"/>
  <c r="J227" i="33"/>
  <c r="I225" i="33"/>
  <c r="J225" i="33"/>
  <c r="K225" i="33"/>
  <c r="L225" i="33"/>
  <c r="L224" i="33"/>
  <c r="K224" i="33"/>
  <c r="J224" i="33"/>
  <c r="M223" i="33"/>
  <c r="L223" i="33"/>
  <c r="K223" i="33"/>
  <c r="J223" i="33"/>
  <c r="M222" i="33"/>
  <c r="L222" i="33"/>
  <c r="K222" i="33"/>
  <c r="J222" i="33"/>
  <c r="L220" i="33"/>
  <c r="I221" i="33"/>
  <c r="K220" i="33"/>
  <c r="M221" i="33"/>
  <c r="J220" i="33"/>
  <c r="L221" i="33"/>
  <c r="K221" i="33"/>
  <c r="M218" i="33"/>
  <c r="L218" i="33"/>
  <c r="K218" i="33"/>
  <c r="J218" i="33"/>
  <c r="I217" i="33"/>
  <c r="J217" i="33"/>
  <c r="K217" i="33"/>
  <c r="L217" i="33"/>
  <c r="L216" i="33"/>
  <c r="K216" i="33"/>
  <c r="J216" i="33"/>
  <c r="M215" i="33"/>
  <c r="J214" i="33"/>
  <c r="K214" i="33"/>
  <c r="L215" i="33"/>
  <c r="I214" i="33"/>
  <c r="K215" i="33"/>
  <c r="J215" i="33"/>
  <c r="M214" i="33"/>
  <c r="L211" i="33"/>
  <c r="K211" i="33"/>
  <c r="J211" i="33"/>
  <c r="A814" i="71"/>
  <c r="A815" i="71"/>
  <c r="A817" i="71"/>
  <c r="A818" i="71"/>
  <c r="A819" i="71"/>
  <c r="A820" i="71"/>
  <c r="A821" i="71"/>
  <c r="A822" i="71"/>
  <c r="A823" i="71"/>
  <c r="D815" i="71"/>
  <c r="Y823" i="71"/>
  <c r="X823" i="71"/>
  <c r="D823" i="71"/>
  <c r="Y822" i="71"/>
  <c r="X822" i="71"/>
  <c r="D822" i="71"/>
  <c r="Y821" i="71"/>
  <c r="X821" i="71"/>
  <c r="D821" i="71"/>
  <c r="D820" i="71"/>
  <c r="X820" i="71"/>
  <c r="Y820" i="71"/>
  <c r="Y819" i="71"/>
  <c r="X819" i="71"/>
  <c r="D819" i="71"/>
  <c r="Y818" i="71"/>
  <c r="X818" i="71"/>
  <c r="D818" i="71"/>
  <c r="D817" i="71"/>
  <c r="X817" i="71"/>
  <c r="Y817" i="71"/>
  <c r="Y814" i="71"/>
  <c r="X814" i="71"/>
  <c r="D814" i="71"/>
  <c r="X813" i="71"/>
  <c r="Y813" i="71"/>
  <c r="D813" i="71"/>
  <c r="Y812" i="71"/>
  <c r="X812" i="71"/>
  <c r="D812" i="71"/>
  <c r="Y811" i="71"/>
  <c r="X811" i="71"/>
  <c r="D811" i="71"/>
  <c r="D810" i="71"/>
  <c r="A813" i="71"/>
  <c r="A809" i="71"/>
  <c r="A810" i="71"/>
  <c r="A811" i="71"/>
  <c r="A812" i="71"/>
  <c r="X810" i="71"/>
  <c r="Y810" i="71"/>
  <c r="D213" i="33"/>
  <c r="D209" i="33"/>
  <c r="D212" i="33"/>
  <c r="F207" i="33"/>
  <c r="F206" i="33"/>
  <c r="F205" i="33"/>
  <c r="Y809" i="71"/>
  <c r="X809" i="71"/>
  <c r="D809" i="71"/>
  <c r="Y808" i="71"/>
  <c r="X808" i="71"/>
  <c r="D808" i="71"/>
  <c r="Y807" i="71"/>
  <c r="X807" i="71"/>
  <c r="Y806" i="71"/>
  <c r="X806" i="71"/>
  <c r="D807" i="71"/>
  <c r="D806" i="71"/>
  <c r="D805" i="71"/>
  <c r="A804" i="71"/>
  <c r="A805" i="71"/>
  <c r="A806" i="71"/>
  <c r="A807" i="71"/>
  <c r="A808" i="71"/>
  <c r="X805" i="71"/>
  <c r="Y805" i="71"/>
  <c r="E222" i="45" l="1"/>
  <c r="D137" i="49"/>
  <c r="D97" i="49"/>
  <c r="D100" i="98"/>
  <c r="R223" i="33"/>
  <c r="E87" i="45"/>
  <c r="D76" i="96"/>
  <c r="E86" i="45"/>
  <c r="D75" i="96"/>
  <c r="D186" i="37"/>
  <c r="R222" i="33"/>
  <c r="R224" i="33"/>
  <c r="R214" i="33"/>
  <c r="R216" i="33"/>
  <c r="R227" i="33"/>
  <c r="R221" i="33"/>
  <c r="R215" i="33"/>
  <c r="R232" i="33"/>
  <c r="R243" i="33"/>
  <c r="R228" i="33"/>
  <c r="R211" i="33"/>
  <c r="R217" i="33"/>
  <c r="R220" i="33"/>
  <c r="R240" i="33"/>
  <c r="R218" i="33"/>
  <c r="R225" i="33"/>
  <c r="R226" i="33"/>
  <c r="R230" i="33"/>
  <c r="D209" i="37"/>
  <c r="D244" i="38"/>
  <c r="D164" i="37"/>
  <c r="D146" i="38"/>
  <c r="D164" i="49" s="1"/>
  <c r="N243" i="33"/>
  <c r="N230" i="33"/>
  <c r="N227" i="33"/>
  <c r="N228" i="33"/>
  <c r="N223" i="33"/>
  <c r="N222" i="33"/>
  <c r="N221" i="33"/>
  <c r="N218" i="33"/>
  <c r="N217" i="33"/>
  <c r="N215" i="33"/>
  <c r="I213" i="33"/>
  <c r="J213" i="33"/>
  <c r="K213" i="33"/>
  <c r="L213" i="33"/>
  <c r="N214" i="33"/>
  <c r="L212" i="33"/>
  <c r="I212" i="33"/>
  <c r="J212" i="33"/>
  <c r="K212" i="33"/>
  <c r="I209" i="33"/>
  <c r="L209" i="33"/>
  <c r="J209" i="33"/>
  <c r="K209" i="33"/>
  <c r="M209" i="33"/>
  <c r="Y804" i="71"/>
  <c r="X804" i="71"/>
  <c r="D804" i="71"/>
  <c r="D803" i="71"/>
  <c r="A802" i="71"/>
  <c r="A803" i="71"/>
  <c r="X803" i="71"/>
  <c r="Y803" i="71"/>
  <c r="Y802" i="71"/>
  <c r="X802" i="71"/>
  <c r="D802" i="71"/>
  <c r="Y801" i="71"/>
  <c r="X801" i="71"/>
  <c r="D801" i="71"/>
  <c r="A801" i="71"/>
  <c r="Y800" i="71"/>
  <c r="X800" i="71"/>
  <c r="D800" i="71"/>
  <c r="A800" i="71"/>
  <c r="D799" i="71"/>
  <c r="A799" i="71"/>
  <c r="X799" i="71"/>
  <c r="Y799" i="71"/>
  <c r="D206" i="33"/>
  <c r="K5" i="81"/>
  <c r="Y798" i="71"/>
  <c r="X798" i="71"/>
  <c r="D798" i="71"/>
  <c r="A798" i="71"/>
  <c r="Y797" i="71"/>
  <c r="X797" i="71"/>
  <c r="D797" i="71"/>
  <c r="Y796" i="71"/>
  <c r="X796" i="71"/>
  <c r="D796" i="71"/>
  <c r="Y795" i="71"/>
  <c r="X795" i="71"/>
  <c r="D795" i="71"/>
  <c r="D794" i="71"/>
  <c r="A793" i="71"/>
  <c r="A794" i="71"/>
  <c r="A795" i="71"/>
  <c r="A796" i="71"/>
  <c r="A797" i="71"/>
  <c r="X794" i="71"/>
  <c r="Y794" i="71"/>
  <c r="D210" i="33"/>
  <c r="D207" i="33"/>
  <c r="E204" i="45" l="1"/>
  <c r="D12" i="98"/>
  <c r="E184" i="45"/>
  <c r="D20" i="96"/>
  <c r="R213" i="33"/>
  <c r="R209" i="33"/>
  <c r="R212" i="33"/>
  <c r="D185" i="37"/>
  <c r="D219" i="38"/>
  <c r="D163" i="37"/>
  <c r="D205" i="38"/>
  <c r="D163" i="49" s="1"/>
  <c r="D81" i="38"/>
  <c r="D238" i="49" s="1"/>
  <c r="D177" i="37"/>
  <c r="J210" i="33"/>
  <c r="K210" i="33"/>
  <c r="L210" i="33"/>
  <c r="M210" i="33"/>
  <c r="I210" i="33"/>
  <c r="N209" i="33"/>
  <c r="J207" i="33"/>
  <c r="K207" i="33"/>
  <c r="L207" i="33"/>
  <c r="M207" i="33"/>
  <c r="I207" i="33"/>
  <c r="L206" i="33"/>
  <c r="I206" i="33"/>
  <c r="J206" i="33"/>
  <c r="K206" i="33"/>
  <c r="M206" i="33"/>
  <c r="M360" i="33"/>
  <c r="M361" i="33"/>
  <c r="M263" i="33" s="1"/>
  <c r="M353" i="33"/>
  <c r="M294" i="33" s="1"/>
  <c r="M354" i="33"/>
  <c r="M355" i="33"/>
  <c r="M358" i="33"/>
  <c r="M359" i="33"/>
  <c r="M240" i="33" s="1"/>
  <c r="M351" i="33"/>
  <c r="M348" i="33"/>
  <c r="M349" i="33"/>
  <c r="M347" i="33"/>
  <c r="E183" i="45" l="1"/>
  <c r="D19" i="96"/>
  <c r="E85" i="45"/>
  <c r="D74" i="96"/>
  <c r="R207" i="33"/>
  <c r="R206" i="33"/>
  <c r="R210" i="33"/>
  <c r="N240" i="33"/>
  <c r="N294" i="33"/>
  <c r="N263" i="33"/>
  <c r="M259" i="33"/>
  <c r="M265" i="33"/>
  <c r="N210" i="33"/>
  <c r="N207" i="33"/>
  <c r="N206" i="33"/>
  <c r="Y793" i="71"/>
  <c r="X793" i="71"/>
  <c r="Y792" i="71"/>
  <c r="X792" i="71"/>
  <c r="Y791" i="71"/>
  <c r="X791" i="71"/>
  <c r="D790" i="71"/>
  <c r="D791" i="71"/>
  <c r="D792" i="71"/>
  <c r="D793" i="71"/>
  <c r="A792" i="71"/>
  <c r="A791" i="71"/>
  <c r="A790" i="71"/>
  <c r="X790" i="71"/>
  <c r="Y790" i="71"/>
  <c r="D205" i="33"/>
  <c r="Y789" i="71"/>
  <c r="X789" i="71"/>
  <c r="D789" i="71"/>
  <c r="Y788" i="71"/>
  <c r="X788" i="71"/>
  <c r="D788" i="71"/>
  <c r="Y787" i="71"/>
  <c r="X787" i="71"/>
  <c r="D787" i="71"/>
  <c r="Y786" i="71"/>
  <c r="X786" i="71"/>
  <c r="D786" i="71"/>
  <c r="Y785" i="71"/>
  <c r="X785" i="71"/>
  <c r="D785" i="71"/>
  <c r="D784" i="71"/>
  <c r="A784" i="71"/>
  <c r="A785" i="71"/>
  <c r="A786" i="71"/>
  <c r="A787" i="71"/>
  <c r="A788" i="71"/>
  <c r="A789" i="71"/>
  <c r="X784" i="71"/>
  <c r="Y784" i="71"/>
  <c r="D203" i="33"/>
  <c r="F27" i="43"/>
  <c r="J27" i="43" s="1"/>
  <c r="S22" i="73"/>
  <c r="Y783" i="71"/>
  <c r="X783" i="71"/>
  <c r="A783" i="71"/>
  <c r="D783" i="71"/>
  <c r="Y782" i="71"/>
  <c r="X782" i="71"/>
  <c r="D782" i="71"/>
  <c r="Y781" i="71"/>
  <c r="X781" i="71"/>
  <c r="D781" i="71"/>
  <c r="Y780" i="71"/>
  <c r="X780" i="71"/>
  <c r="D780" i="71"/>
  <c r="Y779" i="71"/>
  <c r="X779" i="71"/>
  <c r="D779" i="71"/>
  <c r="Y778" i="71"/>
  <c r="X778" i="71"/>
  <c r="D778" i="71"/>
  <c r="D777" i="71"/>
  <c r="A776" i="71"/>
  <c r="A777" i="71"/>
  <c r="A778" i="71"/>
  <c r="A779" i="71"/>
  <c r="A780" i="71"/>
  <c r="A781" i="71"/>
  <c r="A782" i="71"/>
  <c r="X777" i="71"/>
  <c r="Y777" i="71"/>
  <c r="D219" i="33"/>
  <c r="D214" i="37" s="1"/>
  <c r="Y776" i="71"/>
  <c r="X776" i="71"/>
  <c r="D776" i="71"/>
  <c r="Y775" i="71"/>
  <c r="X775" i="71"/>
  <c r="D775" i="71"/>
  <c r="Y774" i="71"/>
  <c r="X774" i="71"/>
  <c r="D774" i="71"/>
  <c r="Y773" i="71"/>
  <c r="X773" i="71"/>
  <c r="D773" i="71"/>
  <c r="Y772" i="71"/>
  <c r="X772" i="71"/>
  <c r="D772" i="71"/>
  <c r="D771" i="71"/>
  <c r="X771" i="71"/>
  <c r="Y771" i="71"/>
  <c r="A775" i="71"/>
  <c r="A774" i="71"/>
  <c r="A773" i="71"/>
  <c r="A772" i="71"/>
  <c r="A771" i="71"/>
  <c r="D202" i="33"/>
  <c r="D201" i="33"/>
  <c r="Y770" i="71"/>
  <c r="X770" i="71"/>
  <c r="Y769" i="71"/>
  <c r="X769" i="71"/>
  <c r="Y768" i="71"/>
  <c r="X768" i="71"/>
  <c r="Y767" i="71"/>
  <c r="X767" i="71"/>
  <c r="Y766" i="71"/>
  <c r="X766" i="71"/>
  <c r="D767" i="71"/>
  <c r="D768" i="71"/>
  <c r="D769" i="71"/>
  <c r="D770" i="71"/>
  <c r="D766" i="71"/>
  <c r="A765" i="71"/>
  <c r="A766" i="71"/>
  <c r="A767" i="71"/>
  <c r="A768" i="71"/>
  <c r="A769" i="71"/>
  <c r="A770" i="71"/>
  <c r="H87" i="50"/>
  <c r="A761" i="71"/>
  <c r="A762" i="71"/>
  <c r="A763" i="71"/>
  <c r="A764" i="71"/>
  <c r="Y765" i="71"/>
  <c r="X765" i="71"/>
  <c r="D765" i="71"/>
  <c r="Y764" i="71"/>
  <c r="X764" i="71"/>
  <c r="D764" i="71"/>
  <c r="Y763" i="71"/>
  <c r="X763" i="71"/>
  <c r="D763" i="71"/>
  <c r="Y762" i="71"/>
  <c r="X762" i="71"/>
  <c r="D762" i="71"/>
  <c r="Y761" i="71"/>
  <c r="X761" i="71"/>
  <c r="D761" i="71"/>
  <c r="D199" i="33"/>
  <c r="D178" i="38" s="1"/>
  <c r="D200" i="33"/>
  <c r="M350" i="33"/>
  <c r="M319" i="33" s="1"/>
  <c r="N319" i="33" s="1"/>
  <c r="D122" i="38" l="1"/>
  <c r="E181" i="45"/>
  <c r="D17" i="96"/>
  <c r="D184" i="37"/>
  <c r="D233" i="38"/>
  <c r="E278" i="45" s="1"/>
  <c r="D162" i="37"/>
  <c r="D186" i="38"/>
  <c r="D162" i="49" s="1"/>
  <c r="N265" i="33"/>
  <c r="N259" i="33"/>
  <c r="D190" i="37"/>
  <c r="D130" i="38"/>
  <c r="D176" i="37"/>
  <c r="D105" i="38"/>
  <c r="D237" i="49" s="1"/>
  <c r="I200" i="33"/>
  <c r="D189" i="37"/>
  <c r="D68" i="38"/>
  <c r="D75" i="49" s="1"/>
  <c r="I199" i="33"/>
  <c r="D161" i="37"/>
  <c r="L219" i="33"/>
  <c r="M219" i="33"/>
  <c r="K219" i="33"/>
  <c r="I219" i="33"/>
  <c r="J219" i="33"/>
  <c r="L205" i="33"/>
  <c r="M205" i="33"/>
  <c r="I205" i="33"/>
  <c r="J205" i="33"/>
  <c r="K205" i="33"/>
  <c r="I203" i="33"/>
  <c r="J203" i="33"/>
  <c r="K203" i="33"/>
  <c r="L203" i="33"/>
  <c r="M203" i="33"/>
  <c r="L202" i="33"/>
  <c r="M202" i="33"/>
  <c r="K202" i="33"/>
  <c r="I202" i="33"/>
  <c r="J202" i="33"/>
  <c r="I201" i="33"/>
  <c r="J201" i="33"/>
  <c r="K201" i="33"/>
  <c r="L201" i="33"/>
  <c r="M201" i="33"/>
  <c r="M200" i="33"/>
  <c r="L200" i="33"/>
  <c r="K200" i="33"/>
  <c r="J200" i="33"/>
  <c r="M199" i="33"/>
  <c r="L199" i="33"/>
  <c r="K199" i="33"/>
  <c r="J199" i="33"/>
  <c r="Y760" i="71"/>
  <c r="X760" i="71"/>
  <c r="D760" i="71"/>
  <c r="Y759" i="71"/>
  <c r="X759" i="71"/>
  <c r="D759" i="71"/>
  <c r="Y758" i="71"/>
  <c r="X758" i="71"/>
  <c r="D758" i="71"/>
  <c r="D757" i="71"/>
  <c r="A757" i="71"/>
  <c r="A758" i="71"/>
  <c r="A759" i="71"/>
  <c r="A760" i="71"/>
  <c r="X757" i="71"/>
  <c r="Y757" i="71"/>
  <c r="E45" i="45" l="1"/>
  <c r="D40" i="98"/>
  <c r="R200" i="33"/>
  <c r="E182" i="45"/>
  <c r="D18" i="96"/>
  <c r="E80" i="45"/>
  <c r="D73" i="96"/>
  <c r="R201" i="33"/>
  <c r="R205" i="33"/>
  <c r="R219" i="33"/>
  <c r="R199" i="33"/>
  <c r="R202" i="33"/>
  <c r="R203" i="33"/>
  <c r="N219" i="33"/>
  <c r="N205" i="33"/>
  <c r="N203" i="33"/>
  <c r="N202" i="33"/>
  <c r="N201" i="33"/>
  <c r="N199" i="33"/>
  <c r="N200" i="33"/>
  <c r="H14" i="82"/>
  <c r="I14" i="82" l="1"/>
  <c r="J14" i="82"/>
  <c r="Y756" i="71"/>
  <c r="X756" i="71"/>
  <c r="D756" i="71"/>
  <c r="Y755" i="71"/>
  <c r="X755" i="71"/>
  <c r="D755" i="71"/>
  <c r="D754" i="71"/>
  <c r="X754" i="71"/>
  <c r="Y754" i="71"/>
  <c r="A756" i="71"/>
  <c r="A755" i="71"/>
  <c r="A754" i="71"/>
  <c r="G25" i="73"/>
  <c r="Y753" i="71"/>
  <c r="X753" i="71"/>
  <c r="D753" i="71"/>
  <c r="D752" i="71"/>
  <c r="A752" i="71"/>
  <c r="A753" i="71"/>
  <c r="X752" i="71"/>
  <c r="Y752" i="71"/>
  <c r="D197" i="33"/>
  <c r="D208" i="33"/>
  <c r="H27" i="50"/>
  <c r="Y751" i="71"/>
  <c r="X751" i="71"/>
  <c r="D751" i="71"/>
  <c r="Y750" i="71"/>
  <c r="X750" i="71"/>
  <c r="D750" i="71"/>
  <c r="Y749" i="71"/>
  <c r="X749" i="71"/>
  <c r="D749" i="71"/>
  <c r="Y748" i="71"/>
  <c r="X748" i="71"/>
  <c r="D748" i="71"/>
  <c r="D747" i="71"/>
  <c r="A747" i="71"/>
  <c r="A748" i="71"/>
  <c r="A749" i="71"/>
  <c r="A750" i="71"/>
  <c r="A751" i="71"/>
  <c r="X747" i="71"/>
  <c r="Y747" i="71"/>
  <c r="D204" i="33"/>
  <c r="Y746" i="71"/>
  <c r="X746" i="71"/>
  <c r="D746" i="71"/>
  <c r="Y745" i="71"/>
  <c r="X745" i="71"/>
  <c r="D745" i="71"/>
  <c r="Y744" i="71"/>
  <c r="X744" i="71"/>
  <c r="D744" i="71"/>
  <c r="Y743" i="71"/>
  <c r="X743" i="71"/>
  <c r="D743" i="71"/>
  <c r="Y742" i="71"/>
  <c r="X742" i="71"/>
  <c r="D742" i="71"/>
  <c r="D741" i="71"/>
  <c r="A741" i="71"/>
  <c r="A742" i="71"/>
  <c r="A743" i="71"/>
  <c r="A744" i="71"/>
  <c r="A745" i="71"/>
  <c r="A746" i="71"/>
  <c r="X741" i="71"/>
  <c r="Y741" i="71"/>
  <c r="D231" i="33"/>
  <c r="D249" i="38" s="1"/>
  <c r="D191" i="33"/>
  <c r="D278" i="37" s="1"/>
  <c r="D194" i="33"/>
  <c r="D193" i="33"/>
  <c r="D308" i="37" s="1"/>
  <c r="D192" i="33"/>
  <c r="D196" i="33"/>
  <c r="D175" i="37" s="1"/>
  <c r="D195" i="33"/>
  <c r="AK114" i="81"/>
  <c r="Y740" i="71"/>
  <c r="X740" i="71"/>
  <c r="D740" i="71"/>
  <c r="A740" i="71"/>
  <c r="Y739" i="71"/>
  <c r="X739" i="71"/>
  <c r="D739" i="71"/>
  <c r="Y738" i="71"/>
  <c r="X738" i="71"/>
  <c r="D738" i="71"/>
  <c r="Y737" i="71"/>
  <c r="X737" i="71"/>
  <c r="D737" i="71"/>
  <c r="D736" i="71"/>
  <c r="A735" i="71"/>
  <c r="A736" i="71"/>
  <c r="A737" i="71"/>
  <c r="A738" i="71"/>
  <c r="A739" i="71"/>
  <c r="X736" i="71"/>
  <c r="Y736" i="71"/>
  <c r="E238" i="45" l="1"/>
  <c r="D121" i="49"/>
  <c r="D158" i="37"/>
  <c r="D296" i="38"/>
  <c r="D161" i="49" s="1"/>
  <c r="M193" i="33"/>
  <c r="D288" i="38"/>
  <c r="D239" i="37"/>
  <c r="D272" i="38"/>
  <c r="D183" i="37"/>
  <c r="D131" i="38"/>
  <c r="D188" i="37"/>
  <c r="D118" i="38"/>
  <c r="I231" i="33"/>
  <c r="D244" i="37"/>
  <c r="D104" i="38"/>
  <c r="D59" i="38"/>
  <c r="D71" i="49" s="1"/>
  <c r="D212" i="37"/>
  <c r="D86" i="38"/>
  <c r="D236" i="49" s="1"/>
  <c r="J231" i="33"/>
  <c r="K231" i="33"/>
  <c r="L231" i="33"/>
  <c r="M231" i="33"/>
  <c r="I191" i="33"/>
  <c r="D57" i="38"/>
  <c r="J208" i="33"/>
  <c r="K208" i="33"/>
  <c r="L208" i="33"/>
  <c r="M208" i="33"/>
  <c r="I208" i="33"/>
  <c r="I204" i="33"/>
  <c r="J204" i="33"/>
  <c r="K204" i="33"/>
  <c r="L204" i="33"/>
  <c r="I196" i="33"/>
  <c r="J196" i="33"/>
  <c r="K196" i="33"/>
  <c r="L196" i="33"/>
  <c r="M196" i="33"/>
  <c r="L197" i="33"/>
  <c r="M197" i="33"/>
  <c r="I197" i="33"/>
  <c r="J197" i="33"/>
  <c r="K197" i="33"/>
  <c r="I192" i="33"/>
  <c r="D141" i="37"/>
  <c r="I194" i="33"/>
  <c r="J194" i="33"/>
  <c r="K194" i="33"/>
  <c r="L194" i="33"/>
  <c r="L195" i="33"/>
  <c r="M195" i="33"/>
  <c r="I195" i="33"/>
  <c r="J195" i="33"/>
  <c r="K195" i="33"/>
  <c r="L193" i="33"/>
  <c r="K193" i="33"/>
  <c r="J193" i="33"/>
  <c r="I193" i="33"/>
  <c r="M192" i="33"/>
  <c r="L192" i="33"/>
  <c r="K192" i="33"/>
  <c r="J192" i="33"/>
  <c r="M191" i="33"/>
  <c r="L191" i="33"/>
  <c r="K191" i="33"/>
  <c r="J191" i="33"/>
  <c r="X731" i="71"/>
  <c r="Y731" i="71"/>
  <c r="X732" i="71"/>
  <c r="Y732" i="71"/>
  <c r="X733" i="71"/>
  <c r="Y733" i="71"/>
  <c r="X734" i="71"/>
  <c r="Y734" i="71"/>
  <c r="X735" i="71"/>
  <c r="Y735" i="71"/>
  <c r="A731" i="71"/>
  <c r="A732" i="71"/>
  <c r="A733" i="71"/>
  <c r="A734" i="71"/>
  <c r="D735" i="71"/>
  <c r="D734" i="71"/>
  <c r="D733" i="71"/>
  <c r="D732" i="71"/>
  <c r="H44" i="50"/>
  <c r="H42" i="50"/>
  <c r="C42" i="50"/>
  <c r="H43" i="50"/>
  <c r="D731" i="71"/>
  <c r="Y730" i="71"/>
  <c r="X730" i="71"/>
  <c r="D730" i="71"/>
  <c r="Y729" i="71"/>
  <c r="X729" i="71"/>
  <c r="D729" i="71"/>
  <c r="Y728" i="71"/>
  <c r="X728" i="71"/>
  <c r="D728" i="71"/>
  <c r="Y727" i="71"/>
  <c r="X727" i="71"/>
  <c r="D727" i="71"/>
  <c r="D726" i="71"/>
  <c r="A725" i="71"/>
  <c r="A726" i="71"/>
  <c r="A727" i="71"/>
  <c r="A728" i="71"/>
  <c r="A729" i="71"/>
  <c r="A730" i="71"/>
  <c r="X726" i="71"/>
  <c r="Y726" i="71"/>
  <c r="H89" i="50"/>
  <c r="H90" i="50"/>
  <c r="H91" i="50"/>
  <c r="H92" i="50"/>
  <c r="H93" i="50"/>
  <c r="H94" i="50"/>
  <c r="H95" i="50"/>
  <c r="H96" i="50"/>
  <c r="H97" i="50"/>
  <c r="H88" i="50"/>
  <c r="Y725" i="71"/>
  <c r="X725" i="71"/>
  <c r="D725" i="71"/>
  <c r="Y724" i="71"/>
  <c r="X724" i="71"/>
  <c r="D724" i="71"/>
  <c r="Y723" i="71"/>
  <c r="X723" i="71"/>
  <c r="D723" i="71"/>
  <c r="Y722" i="71"/>
  <c r="X722" i="71"/>
  <c r="D722" i="71"/>
  <c r="Y721" i="71"/>
  <c r="X721" i="71"/>
  <c r="D721" i="71"/>
  <c r="D720" i="71"/>
  <c r="A719" i="71"/>
  <c r="A720" i="71"/>
  <c r="A721" i="71"/>
  <c r="A722" i="71"/>
  <c r="A723" i="71"/>
  <c r="A724" i="71"/>
  <c r="X720" i="71"/>
  <c r="Y720" i="71"/>
  <c r="D188" i="33"/>
  <c r="Y719" i="71"/>
  <c r="X719" i="71"/>
  <c r="D719" i="71"/>
  <c r="Y718" i="71"/>
  <c r="X718" i="71"/>
  <c r="D718" i="71"/>
  <c r="Y717" i="71"/>
  <c r="X717" i="71"/>
  <c r="D717" i="71"/>
  <c r="D716" i="71"/>
  <c r="A716" i="71"/>
  <c r="A717" i="71"/>
  <c r="A718" i="71"/>
  <c r="X716" i="71"/>
  <c r="Y716" i="71"/>
  <c r="J10" i="75"/>
  <c r="D251" i="49" l="1"/>
  <c r="E277" i="45"/>
  <c r="E230" i="45"/>
  <c r="D112" i="49"/>
  <c r="E92" i="45"/>
  <c r="D247" i="49"/>
  <c r="D49" i="98"/>
  <c r="D64" i="49"/>
  <c r="E271" i="45"/>
  <c r="D135" i="49"/>
  <c r="E41" i="45"/>
  <c r="D67" i="98"/>
  <c r="E70" i="45"/>
  <c r="D121" i="96"/>
  <c r="R192" i="33"/>
  <c r="E79" i="45"/>
  <c r="D72" i="96"/>
  <c r="E180" i="45"/>
  <c r="D16" i="96"/>
  <c r="R197" i="33"/>
  <c r="R191" i="33"/>
  <c r="R193" i="33"/>
  <c r="R208" i="33"/>
  <c r="R194" i="33"/>
  <c r="R204" i="33"/>
  <c r="R195" i="33"/>
  <c r="R196" i="33"/>
  <c r="R231" i="33"/>
  <c r="D142" i="37"/>
  <c r="D103" i="38"/>
  <c r="N231" i="33"/>
  <c r="N208" i="33"/>
  <c r="N197" i="33"/>
  <c r="N196" i="33"/>
  <c r="N195" i="33"/>
  <c r="N191" i="33"/>
  <c r="N192" i="33"/>
  <c r="N193" i="33"/>
  <c r="J188" i="33"/>
  <c r="K188" i="33"/>
  <c r="L188" i="33"/>
  <c r="M188" i="33"/>
  <c r="I188" i="33"/>
  <c r="Y715" i="71"/>
  <c r="X715" i="71"/>
  <c r="D715" i="71"/>
  <c r="Y714" i="71"/>
  <c r="X714" i="71"/>
  <c r="D714" i="71"/>
  <c r="Y713" i="71"/>
  <c r="X713" i="71"/>
  <c r="D713" i="71"/>
  <c r="Y712" i="71"/>
  <c r="X712" i="71"/>
  <c r="D712" i="71"/>
  <c r="Y711" i="71"/>
  <c r="X711" i="71"/>
  <c r="D711" i="71"/>
  <c r="Y710" i="71"/>
  <c r="X710" i="71"/>
  <c r="D710" i="71"/>
  <c r="A712" i="71"/>
  <c r="A713" i="71"/>
  <c r="A714" i="71"/>
  <c r="A715" i="71"/>
  <c r="Y709" i="71"/>
  <c r="X709" i="71"/>
  <c r="D709" i="71"/>
  <c r="Y708" i="71"/>
  <c r="X708" i="71"/>
  <c r="D708" i="71"/>
  <c r="D707" i="71"/>
  <c r="A706" i="71"/>
  <c r="A707" i="71"/>
  <c r="A708" i="71"/>
  <c r="A709" i="71"/>
  <c r="A710" i="71"/>
  <c r="A711" i="71"/>
  <c r="X707" i="71"/>
  <c r="Y707" i="71"/>
  <c r="Y706" i="71"/>
  <c r="X706" i="71"/>
  <c r="D706" i="71"/>
  <c r="Y705" i="71"/>
  <c r="X705" i="71"/>
  <c r="A705" i="71"/>
  <c r="D705" i="71"/>
  <c r="Y704" i="71"/>
  <c r="X704" i="71"/>
  <c r="D704" i="71"/>
  <c r="Y703" i="71"/>
  <c r="X703" i="71"/>
  <c r="D703" i="71"/>
  <c r="Y702" i="71"/>
  <c r="X702" i="71"/>
  <c r="D702" i="71"/>
  <c r="Y701" i="71"/>
  <c r="X701" i="71"/>
  <c r="D701" i="71"/>
  <c r="D700" i="71"/>
  <c r="A699" i="71"/>
  <c r="A700" i="71"/>
  <c r="A701" i="71"/>
  <c r="A702" i="71"/>
  <c r="A703" i="71"/>
  <c r="A704" i="71"/>
  <c r="X700" i="71"/>
  <c r="Y700" i="71"/>
  <c r="D190" i="33"/>
  <c r="D189" i="33"/>
  <c r="D184" i="33"/>
  <c r="D174" i="37" s="1"/>
  <c r="D185" i="33"/>
  <c r="Y699" i="71"/>
  <c r="X699" i="71"/>
  <c r="D699" i="71"/>
  <c r="Y698" i="71"/>
  <c r="X698" i="71"/>
  <c r="D698" i="71"/>
  <c r="E93" i="45" l="1"/>
  <c r="D248" i="49"/>
  <c r="R188" i="33"/>
  <c r="D182" i="37"/>
  <c r="D245" i="38"/>
  <c r="D157" i="37"/>
  <c r="D188" i="38"/>
  <c r="I184" i="33"/>
  <c r="D91" i="38"/>
  <c r="D235" i="49" s="1"/>
  <c r="D138" i="37"/>
  <c r="D90" i="38"/>
  <c r="D234" i="49" s="1"/>
  <c r="M189" i="33"/>
  <c r="I189" i="33"/>
  <c r="J189" i="33"/>
  <c r="K189" i="33"/>
  <c r="L189" i="33"/>
  <c r="I190" i="33"/>
  <c r="K190" i="33"/>
  <c r="J190" i="33"/>
  <c r="L190" i="33"/>
  <c r="M190" i="33"/>
  <c r="N188" i="33"/>
  <c r="I185" i="33"/>
  <c r="J185" i="33"/>
  <c r="K185" i="33"/>
  <c r="L185" i="33"/>
  <c r="M185" i="33"/>
  <c r="M184" i="33"/>
  <c r="L184" i="33"/>
  <c r="K184" i="33"/>
  <c r="J184" i="33"/>
  <c r="D697" i="71"/>
  <c r="A697" i="71"/>
  <c r="A698" i="71"/>
  <c r="X697" i="71"/>
  <c r="Y697" i="71"/>
  <c r="Y696" i="71"/>
  <c r="X696" i="71"/>
  <c r="D696" i="71"/>
  <c r="Y695" i="71"/>
  <c r="X695" i="71"/>
  <c r="D695" i="71"/>
  <c r="D694" i="71"/>
  <c r="Y694" i="71"/>
  <c r="X694" i="71"/>
  <c r="Y693" i="71"/>
  <c r="X693" i="71"/>
  <c r="D693" i="71"/>
  <c r="Y692" i="71"/>
  <c r="X692" i="71"/>
  <c r="D692" i="71"/>
  <c r="Y691" i="71"/>
  <c r="X691" i="71"/>
  <c r="D691" i="71"/>
  <c r="A690" i="71"/>
  <c r="A691" i="71"/>
  <c r="A692" i="71"/>
  <c r="A693" i="71"/>
  <c r="A694" i="71"/>
  <c r="A695" i="71"/>
  <c r="A696" i="71"/>
  <c r="D187" i="33"/>
  <c r="D311" i="37" s="1"/>
  <c r="Y690" i="71"/>
  <c r="X690" i="71"/>
  <c r="D690" i="71"/>
  <c r="Y689" i="71"/>
  <c r="X689" i="71"/>
  <c r="D689" i="71"/>
  <c r="Y688" i="71"/>
  <c r="X688" i="71"/>
  <c r="D688" i="71"/>
  <c r="Y687" i="71"/>
  <c r="X687" i="71"/>
  <c r="D687" i="71"/>
  <c r="Y686" i="71"/>
  <c r="X686" i="71"/>
  <c r="D686" i="71"/>
  <c r="A685" i="71"/>
  <c r="A686" i="71"/>
  <c r="A687" i="71"/>
  <c r="A688" i="71"/>
  <c r="A689" i="71"/>
  <c r="D180" i="33"/>
  <c r="D183" i="33"/>
  <c r="D159" i="37" s="1"/>
  <c r="Y685" i="71"/>
  <c r="X685" i="71"/>
  <c r="D685" i="71"/>
  <c r="Y684" i="71"/>
  <c r="X684" i="71"/>
  <c r="D684" i="71"/>
  <c r="Y683" i="71"/>
  <c r="X683" i="71"/>
  <c r="D683" i="71"/>
  <c r="D682" i="71"/>
  <c r="A681" i="71"/>
  <c r="A682" i="71"/>
  <c r="A683" i="71"/>
  <c r="A684" i="71"/>
  <c r="X682" i="71"/>
  <c r="Y682" i="71"/>
  <c r="D186" i="33"/>
  <c r="Y681" i="71"/>
  <c r="X681" i="71"/>
  <c r="D681" i="71"/>
  <c r="Y680" i="71"/>
  <c r="X680" i="71"/>
  <c r="D680" i="71"/>
  <c r="Y679" i="71"/>
  <c r="X679" i="71"/>
  <c r="D679" i="71"/>
  <c r="Y678" i="71"/>
  <c r="X678" i="71"/>
  <c r="D678" i="71"/>
  <c r="D677" i="71"/>
  <c r="A677" i="71"/>
  <c r="A678" i="71"/>
  <c r="A679" i="71"/>
  <c r="A680" i="71"/>
  <c r="X677" i="71"/>
  <c r="Y677" i="71"/>
  <c r="Y676" i="71"/>
  <c r="X676" i="71"/>
  <c r="D676" i="71"/>
  <c r="Y675" i="71"/>
  <c r="X675" i="71"/>
  <c r="D675" i="71"/>
  <c r="Y674" i="71"/>
  <c r="X674" i="71"/>
  <c r="D674" i="71"/>
  <c r="Y673" i="71"/>
  <c r="X673" i="71"/>
  <c r="D673" i="71"/>
  <c r="Y672" i="71"/>
  <c r="X672" i="71"/>
  <c r="D672" i="71"/>
  <c r="A671" i="71"/>
  <c r="A672" i="71"/>
  <c r="A673" i="71"/>
  <c r="A674" i="71"/>
  <c r="A675" i="71"/>
  <c r="A676" i="71"/>
  <c r="E77" i="45" l="1"/>
  <c r="D87" i="96"/>
  <c r="E78" i="45"/>
  <c r="D71" i="96"/>
  <c r="R184" i="33"/>
  <c r="E179" i="45"/>
  <c r="D15" i="96"/>
  <c r="R185" i="33"/>
  <c r="R189" i="33"/>
  <c r="R190" i="33"/>
  <c r="D227" i="38"/>
  <c r="D298" i="37"/>
  <c r="D143" i="37"/>
  <c r="D106" i="38"/>
  <c r="N190" i="33"/>
  <c r="N189" i="33"/>
  <c r="I187" i="33"/>
  <c r="J187" i="33"/>
  <c r="K187" i="33"/>
  <c r="L187" i="33"/>
  <c r="I186" i="33"/>
  <c r="J186" i="33"/>
  <c r="K186" i="33"/>
  <c r="L186" i="33"/>
  <c r="M186" i="33"/>
  <c r="N185" i="33"/>
  <c r="N184" i="33"/>
  <c r="K180" i="33"/>
  <c r="I180" i="33"/>
  <c r="J180" i="33"/>
  <c r="L180" i="33"/>
  <c r="M180" i="33"/>
  <c r="J183" i="33"/>
  <c r="K183" i="33"/>
  <c r="M183" i="33"/>
  <c r="I183" i="33"/>
  <c r="L183" i="33"/>
  <c r="Y671" i="71"/>
  <c r="X671" i="71"/>
  <c r="D671" i="71"/>
  <c r="Y670" i="71"/>
  <c r="X670" i="71"/>
  <c r="D670" i="71"/>
  <c r="A670" i="71"/>
  <c r="Y669" i="71"/>
  <c r="X669" i="71"/>
  <c r="D669" i="71"/>
  <c r="A669" i="71"/>
  <c r="Y668" i="71"/>
  <c r="X668" i="71"/>
  <c r="D668" i="71"/>
  <c r="A668" i="71"/>
  <c r="D667" i="71"/>
  <c r="A667" i="71"/>
  <c r="X667" i="71"/>
  <c r="Y667" i="71"/>
  <c r="D182" i="33"/>
  <c r="D178" i="33"/>
  <c r="E94" i="45" l="1"/>
  <c r="D249" i="49"/>
  <c r="R180" i="33"/>
  <c r="R187" i="33"/>
  <c r="R183" i="33"/>
  <c r="R186" i="33"/>
  <c r="D144" i="37"/>
  <c r="D141" i="38"/>
  <c r="D118" i="37"/>
  <c r="D85" i="38"/>
  <c r="N186" i="33"/>
  <c r="N180" i="33"/>
  <c r="M182" i="33"/>
  <c r="I182" i="33"/>
  <c r="K182" i="33"/>
  <c r="J182" i="33"/>
  <c r="L182" i="33"/>
  <c r="N183" i="33"/>
  <c r="I178" i="33"/>
  <c r="J178" i="33"/>
  <c r="K178" i="33"/>
  <c r="L178" i="33"/>
  <c r="M178" i="33"/>
  <c r="D250" i="49" l="1"/>
  <c r="E276" i="45"/>
  <c r="E76" i="45"/>
  <c r="D86" i="96"/>
  <c r="R182" i="33"/>
  <c r="R178" i="33"/>
  <c r="N182" i="33"/>
  <c r="N178" i="33"/>
  <c r="Y666" i="71"/>
  <c r="X666" i="71"/>
  <c r="D666" i="71"/>
  <c r="A666" i="71"/>
  <c r="Y665" i="71"/>
  <c r="X665" i="71"/>
  <c r="D665" i="71"/>
  <c r="Y664" i="71"/>
  <c r="X664" i="71"/>
  <c r="D664" i="71"/>
  <c r="Y663" i="71"/>
  <c r="X663" i="71"/>
  <c r="D663" i="71"/>
  <c r="Y662" i="71"/>
  <c r="X662" i="71"/>
  <c r="D662" i="71"/>
  <c r="Y661" i="71"/>
  <c r="X661" i="71"/>
  <c r="D661" i="71"/>
  <c r="A661" i="71"/>
  <c r="A662" i="71"/>
  <c r="A663" i="71"/>
  <c r="A664" i="71"/>
  <c r="A665" i="71"/>
  <c r="D179" i="33"/>
  <c r="D295" i="38" s="1"/>
  <c r="C90" i="50"/>
  <c r="C91" i="50"/>
  <c r="C92" i="50"/>
  <c r="C93" i="50"/>
  <c r="C94" i="50"/>
  <c r="C95" i="50"/>
  <c r="Y660" i="71"/>
  <c r="X660" i="71"/>
  <c r="D660" i="71"/>
  <c r="Y659" i="71"/>
  <c r="X659" i="71"/>
  <c r="D659" i="71"/>
  <c r="Y658" i="71"/>
  <c r="X658" i="71"/>
  <c r="D658" i="71"/>
  <c r="Y657" i="71"/>
  <c r="X657" i="71"/>
  <c r="D657" i="71"/>
  <c r="Y656" i="71"/>
  <c r="X656" i="71"/>
  <c r="D656" i="71"/>
  <c r="D655" i="71"/>
  <c r="A655" i="71"/>
  <c r="A656" i="71"/>
  <c r="A657" i="71"/>
  <c r="A658" i="71"/>
  <c r="A659" i="71"/>
  <c r="A660" i="71"/>
  <c r="X655" i="71"/>
  <c r="Y655" i="71"/>
  <c r="D181" i="33"/>
  <c r="D173" i="33"/>
  <c r="D75" i="38" s="1"/>
  <c r="E58" i="45" s="1"/>
  <c r="D174" i="33"/>
  <c r="E231" i="45" l="1"/>
  <c r="D113" i="49"/>
  <c r="J10" i="43"/>
  <c r="G10" i="43"/>
  <c r="D101" i="37"/>
  <c r="D253" i="38"/>
  <c r="D140" i="37"/>
  <c r="D101" i="38"/>
  <c r="D116" i="37"/>
  <c r="D87" i="38"/>
  <c r="E74" i="45" s="1"/>
  <c r="I173" i="33"/>
  <c r="D108" i="37"/>
  <c r="K181" i="33"/>
  <c r="L181" i="33"/>
  <c r="I181" i="33"/>
  <c r="J181" i="33"/>
  <c r="K179" i="33"/>
  <c r="L179" i="33"/>
  <c r="I179" i="33"/>
  <c r="J179" i="33"/>
  <c r="I174" i="33"/>
  <c r="J174" i="33"/>
  <c r="K174" i="33"/>
  <c r="L174" i="33"/>
  <c r="M174" i="33"/>
  <c r="M173" i="33"/>
  <c r="L173" i="33"/>
  <c r="K173" i="33"/>
  <c r="J173" i="33"/>
  <c r="R173" i="33" s="1"/>
  <c r="H37" i="50"/>
  <c r="C89" i="50"/>
  <c r="C88" i="50"/>
  <c r="C87" i="50"/>
  <c r="Y654" i="71"/>
  <c r="X654" i="71"/>
  <c r="D654" i="71"/>
  <c r="A654" i="71"/>
  <c r="Y653" i="71"/>
  <c r="X653" i="71"/>
  <c r="D653" i="71"/>
  <c r="A653" i="71"/>
  <c r="Y652" i="71"/>
  <c r="X652" i="71"/>
  <c r="D652" i="71"/>
  <c r="A652" i="71"/>
  <c r="Y651" i="71"/>
  <c r="X651" i="71"/>
  <c r="E91" i="45" l="1"/>
  <c r="D246" i="49"/>
  <c r="E220" i="45"/>
  <c r="D136" i="49"/>
  <c r="R181" i="33"/>
  <c r="R174" i="33"/>
  <c r="R179" i="33"/>
  <c r="N173" i="33"/>
  <c r="N174" i="33"/>
  <c r="D651" i="71"/>
  <c r="A651" i="71"/>
  <c r="D650" i="71"/>
  <c r="A650" i="71"/>
  <c r="X650" i="71"/>
  <c r="Y650" i="71"/>
  <c r="Y649" i="71" l="1"/>
  <c r="X649" i="71"/>
  <c r="D649" i="71"/>
  <c r="A649" i="71"/>
  <c r="Y648" i="71"/>
  <c r="X648" i="71"/>
  <c r="D648" i="71"/>
  <c r="A648" i="71"/>
  <c r="Y647" i="71"/>
  <c r="X647" i="71"/>
  <c r="D647" i="71"/>
  <c r="A647" i="71"/>
  <c r="Y646" i="71"/>
  <c r="X646" i="71"/>
  <c r="D646" i="71"/>
  <c r="A646" i="71"/>
  <c r="Y645" i="71"/>
  <c r="X645" i="71"/>
  <c r="D645" i="71"/>
  <c r="A645" i="71"/>
  <c r="D644" i="71"/>
  <c r="A644" i="71"/>
  <c r="X644" i="71"/>
  <c r="Y644" i="71"/>
  <c r="D177" i="33"/>
  <c r="D210" i="38" s="1"/>
  <c r="E176" i="45" s="1"/>
  <c r="H36" i="50"/>
  <c r="Y643" i="71"/>
  <c r="X643" i="71"/>
  <c r="D643" i="71"/>
  <c r="Y642" i="71"/>
  <c r="X642" i="71"/>
  <c r="D642" i="71"/>
  <c r="Y641" i="71"/>
  <c r="X641" i="71"/>
  <c r="D641" i="71"/>
  <c r="Y640" i="71"/>
  <c r="X640" i="71"/>
  <c r="D640" i="71"/>
  <c r="A639" i="71"/>
  <c r="A640" i="71"/>
  <c r="A641" i="71"/>
  <c r="A642" i="71"/>
  <c r="A643" i="71"/>
  <c r="Y639" i="71"/>
  <c r="X639" i="71"/>
  <c r="D639" i="71"/>
  <c r="Y638" i="71"/>
  <c r="X638" i="71"/>
  <c r="D638" i="71"/>
  <c r="Y637" i="71"/>
  <c r="X637" i="71"/>
  <c r="D637" i="71"/>
  <c r="Y636" i="71"/>
  <c r="X636" i="71"/>
  <c r="D636" i="71"/>
  <c r="Y635" i="71"/>
  <c r="X635" i="71"/>
  <c r="D635" i="71"/>
  <c r="D175" i="33"/>
  <c r="D171" i="33"/>
  <c r="A636" i="71"/>
  <c r="A637" i="71"/>
  <c r="A638" i="71"/>
  <c r="Y634" i="71"/>
  <c r="X634" i="71"/>
  <c r="D634" i="71"/>
  <c r="Y633" i="71"/>
  <c r="X633" i="71"/>
  <c r="D633" i="71"/>
  <c r="Y632" i="71"/>
  <c r="X632" i="71"/>
  <c r="D632" i="71"/>
  <c r="Y631" i="71"/>
  <c r="X631" i="71"/>
  <c r="D631" i="71"/>
  <c r="A632" i="71"/>
  <c r="A633" i="71"/>
  <c r="A634" i="71"/>
  <c r="A635" i="71"/>
  <c r="Y630" i="71"/>
  <c r="X630" i="71"/>
  <c r="D630" i="71"/>
  <c r="Y629" i="71"/>
  <c r="X629" i="71"/>
  <c r="D629" i="71"/>
  <c r="Y628" i="71"/>
  <c r="X628" i="71"/>
  <c r="D628" i="71"/>
  <c r="D627" i="71"/>
  <c r="X627" i="71"/>
  <c r="Y627" i="71"/>
  <c r="A629" i="71"/>
  <c r="A630" i="71"/>
  <c r="A631" i="71"/>
  <c r="D198" i="33"/>
  <c r="D172" i="33"/>
  <c r="D170" i="33"/>
  <c r="Y626" i="71"/>
  <c r="X626" i="71"/>
  <c r="D626" i="71"/>
  <c r="Y625" i="71"/>
  <c r="X625" i="71"/>
  <c r="D625" i="71"/>
  <c r="D624" i="71"/>
  <c r="X624" i="71"/>
  <c r="Y624" i="71"/>
  <c r="A625" i="71"/>
  <c r="A626" i="71"/>
  <c r="A627" i="71"/>
  <c r="A628" i="71"/>
  <c r="D226" i="38" l="1"/>
  <c r="D160" i="49" s="1"/>
  <c r="D248" i="38"/>
  <c r="D156" i="37"/>
  <c r="D65" i="38"/>
  <c r="D74" i="49" s="1"/>
  <c r="D213" i="37"/>
  <c r="D139" i="37"/>
  <c r="D95" i="38"/>
  <c r="D117" i="37"/>
  <c r="D93" i="38"/>
  <c r="D109" i="37"/>
  <c r="D80" i="38"/>
  <c r="M170" i="33"/>
  <c r="D160" i="37"/>
  <c r="I198" i="33"/>
  <c r="J198" i="33"/>
  <c r="K198" i="33"/>
  <c r="L198" i="33"/>
  <c r="M198" i="33"/>
  <c r="I177" i="33"/>
  <c r="J177" i="33"/>
  <c r="K177" i="33"/>
  <c r="L177" i="33"/>
  <c r="L175" i="33"/>
  <c r="M175" i="33"/>
  <c r="I175" i="33"/>
  <c r="J175" i="33"/>
  <c r="K175" i="33"/>
  <c r="L172" i="33"/>
  <c r="M172" i="33"/>
  <c r="I172" i="33"/>
  <c r="J172" i="33"/>
  <c r="K172" i="33"/>
  <c r="I171" i="33"/>
  <c r="J171" i="33"/>
  <c r="K171" i="33"/>
  <c r="L171" i="33"/>
  <c r="M171" i="33"/>
  <c r="L170" i="33"/>
  <c r="K170" i="33"/>
  <c r="J170" i="33"/>
  <c r="I170" i="33"/>
  <c r="A624" i="71"/>
  <c r="Y623" i="71"/>
  <c r="X623" i="71"/>
  <c r="D623" i="71"/>
  <c r="Y622" i="71"/>
  <c r="X622" i="71"/>
  <c r="D622" i="71"/>
  <c r="Y621" i="71"/>
  <c r="X621" i="71"/>
  <c r="D621" i="71"/>
  <c r="Y620" i="71"/>
  <c r="X620" i="71"/>
  <c r="D620" i="71"/>
  <c r="D619" i="71"/>
  <c r="A619" i="71"/>
  <c r="A620" i="71"/>
  <c r="A621" i="71"/>
  <c r="A622" i="71"/>
  <c r="A623" i="71"/>
  <c r="X619" i="71"/>
  <c r="Y619" i="71"/>
  <c r="D167" i="33"/>
  <c r="K10" i="75"/>
  <c r="E59" i="45" l="1"/>
  <c r="D232" i="49"/>
  <c r="E90" i="45"/>
  <c r="D245" i="49"/>
  <c r="E44" i="45"/>
  <c r="D61" i="98"/>
  <c r="E75" i="45"/>
  <c r="D85" i="96"/>
  <c r="E177" i="45"/>
  <c r="D13" i="96"/>
  <c r="E178" i="45"/>
  <c r="D14" i="96"/>
  <c r="R175" i="33"/>
  <c r="R171" i="33"/>
  <c r="R170" i="33"/>
  <c r="R172" i="33"/>
  <c r="R198" i="33"/>
  <c r="R177" i="33"/>
  <c r="D106" i="37"/>
  <c r="D236" i="38"/>
  <c r="N198" i="33"/>
  <c r="N175" i="33"/>
  <c r="N171" i="33"/>
  <c r="N172" i="33"/>
  <c r="N170" i="33"/>
  <c r="I167" i="33"/>
  <c r="J167" i="33"/>
  <c r="K167" i="33"/>
  <c r="L167" i="33"/>
  <c r="M167" i="33"/>
  <c r="Y618" i="71"/>
  <c r="X618" i="71"/>
  <c r="D618" i="71"/>
  <c r="Y617" i="71"/>
  <c r="X617" i="71"/>
  <c r="D617" i="71"/>
  <c r="Y616" i="71"/>
  <c r="X616" i="71"/>
  <c r="D616" i="71"/>
  <c r="D615" i="71"/>
  <c r="A615" i="71"/>
  <c r="A616" i="71"/>
  <c r="A617" i="71"/>
  <c r="A618" i="71"/>
  <c r="X615" i="71"/>
  <c r="Y615" i="71"/>
  <c r="D168" i="33"/>
  <c r="D166" i="33"/>
  <c r="Y614" i="71"/>
  <c r="X614" i="71"/>
  <c r="D614" i="71"/>
  <c r="Y613" i="71"/>
  <c r="X613" i="71"/>
  <c r="D613" i="71"/>
  <c r="Y612" i="71"/>
  <c r="X612" i="71"/>
  <c r="D612" i="71"/>
  <c r="A611" i="71"/>
  <c r="A612" i="71"/>
  <c r="A613" i="71"/>
  <c r="A614" i="71"/>
  <c r="Y611" i="71"/>
  <c r="X611" i="71"/>
  <c r="D611" i="71"/>
  <c r="Y610" i="71"/>
  <c r="X610" i="71"/>
  <c r="D610" i="71"/>
  <c r="A610" i="71"/>
  <c r="Y609" i="71"/>
  <c r="X609" i="71"/>
  <c r="D609" i="71"/>
  <c r="A609" i="71"/>
  <c r="D608" i="71"/>
  <c r="A608" i="71"/>
  <c r="X608" i="71"/>
  <c r="Y608" i="71"/>
  <c r="D176" i="33"/>
  <c r="G27" i="73"/>
  <c r="G23" i="73"/>
  <c r="G17" i="73"/>
  <c r="X607" i="71"/>
  <c r="Y607" i="71"/>
  <c r="D607" i="71"/>
  <c r="A607" i="71"/>
  <c r="Y606" i="71"/>
  <c r="X606" i="71"/>
  <c r="D606" i="71"/>
  <c r="A606" i="71"/>
  <c r="Y605" i="71"/>
  <c r="X605" i="71"/>
  <c r="D605" i="71"/>
  <c r="A605" i="71"/>
  <c r="D604" i="71"/>
  <c r="A604" i="71"/>
  <c r="X604" i="71"/>
  <c r="Y604" i="71"/>
  <c r="E237" i="45" l="1"/>
  <c r="D119" i="49"/>
  <c r="R167" i="33"/>
  <c r="D47" i="38"/>
  <c r="D204" i="37"/>
  <c r="D133" i="37"/>
  <c r="D77" i="38"/>
  <c r="D230" i="49" s="1"/>
  <c r="D122" i="37"/>
  <c r="D64" i="38"/>
  <c r="I176" i="33"/>
  <c r="J176" i="33"/>
  <c r="K176" i="33"/>
  <c r="L176" i="33"/>
  <c r="M176" i="33"/>
  <c r="I168" i="33"/>
  <c r="J168" i="33"/>
  <c r="K168" i="33"/>
  <c r="L168" i="33"/>
  <c r="M168" i="33"/>
  <c r="N167" i="33"/>
  <c r="J166" i="33"/>
  <c r="K166" i="33"/>
  <c r="L166" i="33"/>
  <c r="I166" i="33"/>
  <c r="M166" i="33"/>
  <c r="M357" i="33"/>
  <c r="M356" i="33"/>
  <c r="M315" i="33" s="1"/>
  <c r="N315" i="33" s="1"/>
  <c r="M352" i="33"/>
  <c r="M317" i="33" s="1"/>
  <c r="N317" i="33" s="1"/>
  <c r="D48" i="98" l="1"/>
  <c r="D63" i="49"/>
  <c r="E60" i="45"/>
  <c r="D233" i="49"/>
  <c r="E69" i="45"/>
  <c r="D120" i="96"/>
  <c r="E48" i="45"/>
  <c r="D93" i="96"/>
  <c r="R166" i="33"/>
  <c r="R168" i="33"/>
  <c r="R176" i="33"/>
  <c r="M311" i="33"/>
  <c r="M312" i="33"/>
  <c r="M313" i="33"/>
  <c r="N176" i="33"/>
  <c r="N168" i="33"/>
  <c r="N166" i="33"/>
  <c r="M343" i="33"/>
  <c r="M344" i="33"/>
  <c r="M342" i="33"/>
  <c r="M179" i="33" s="1"/>
  <c r="H326" i="38"/>
  <c r="G326" i="38"/>
  <c r="F326" i="38"/>
  <c r="E326" i="38"/>
  <c r="H325" i="38"/>
  <c r="G325" i="38"/>
  <c r="F325" i="38"/>
  <c r="E325" i="38"/>
  <c r="N313" i="33" l="1"/>
  <c r="N179" i="33"/>
  <c r="N311" i="33"/>
  <c r="N312" i="33"/>
  <c r="M345" i="33"/>
  <c r="M237" i="33" s="1"/>
  <c r="M341" i="33"/>
  <c r="M253" i="33" s="1"/>
  <c r="N237" i="33" l="1"/>
  <c r="N253" i="33"/>
  <c r="M256" i="33"/>
  <c r="M262" i="33"/>
  <c r="M187" i="33"/>
  <c r="Y603" i="71"/>
  <c r="X603" i="71"/>
  <c r="D603" i="71"/>
  <c r="Y602" i="71"/>
  <c r="X602" i="71"/>
  <c r="D602" i="71"/>
  <c r="Y601" i="71"/>
  <c r="X601" i="71"/>
  <c r="D601" i="71"/>
  <c r="A601" i="71"/>
  <c r="A602" i="71"/>
  <c r="A603" i="71"/>
  <c r="D169" i="33"/>
  <c r="D164" i="33"/>
  <c r="D245" i="37" l="1"/>
  <c r="D241" i="38"/>
  <c r="N262" i="33"/>
  <c r="N187" i="33"/>
  <c r="N256" i="33"/>
  <c r="D58" i="38"/>
  <c r="E61" i="45" s="1"/>
  <c r="D205" i="37"/>
  <c r="L169" i="33"/>
  <c r="M169" i="33"/>
  <c r="J169" i="33"/>
  <c r="K169" i="33"/>
  <c r="I169" i="33"/>
  <c r="K164" i="33"/>
  <c r="L164" i="33"/>
  <c r="J164" i="33"/>
  <c r="M164" i="33"/>
  <c r="I164" i="33"/>
  <c r="E248" i="45" l="1"/>
  <c r="D120" i="49"/>
  <c r="R169" i="33"/>
  <c r="R164" i="33"/>
  <c r="N169" i="33"/>
  <c r="N164" i="33"/>
  <c r="Y600" i="71"/>
  <c r="X600" i="71"/>
  <c r="Y599" i="71"/>
  <c r="X599" i="71"/>
  <c r="D600" i="71"/>
  <c r="D599" i="71"/>
  <c r="Y598" i="71"/>
  <c r="X598" i="71"/>
  <c r="D598" i="71"/>
  <c r="D597" i="71"/>
  <c r="A597" i="71"/>
  <c r="A598" i="71"/>
  <c r="A599" i="71"/>
  <c r="A600" i="71"/>
  <c r="X597" i="71"/>
  <c r="Y597" i="71"/>
  <c r="D161" i="33"/>
  <c r="D110" i="37" l="1"/>
  <c r="D60" i="38"/>
  <c r="I161" i="33"/>
  <c r="J161" i="33"/>
  <c r="K161" i="33"/>
  <c r="L161" i="33"/>
  <c r="M161" i="33"/>
  <c r="H6" i="50"/>
  <c r="H8" i="50"/>
  <c r="H9" i="50"/>
  <c r="H10" i="50"/>
  <c r="H11" i="50"/>
  <c r="H12" i="50"/>
  <c r="H13" i="50"/>
  <c r="H14" i="50"/>
  <c r="H32" i="50"/>
  <c r="H33" i="50"/>
  <c r="H34" i="50"/>
  <c r="H35" i="50"/>
  <c r="H38" i="50"/>
  <c r="H39" i="50"/>
  <c r="H40" i="50"/>
  <c r="H45" i="50"/>
  <c r="H46" i="50"/>
  <c r="H47" i="50"/>
  <c r="H48" i="50"/>
  <c r="H49" i="50"/>
  <c r="H50" i="50"/>
  <c r="H51" i="50"/>
  <c r="H52" i="50"/>
  <c r="H54" i="50"/>
  <c r="H55" i="50"/>
  <c r="H56" i="50"/>
  <c r="H57" i="50"/>
  <c r="H58" i="50"/>
  <c r="H59" i="50"/>
  <c r="H60" i="50"/>
  <c r="H61" i="50"/>
  <c r="H62" i="50"/>
  <c r="H63" i="50"/>
  <c r="H64" i="50"/>
  <c r="H65" i="50"/>
  <c r="H74" i="50"/>
  <c r="H75" i="50"/>
  <c r="H76" i="50"/>
  <c r="H77" i="50"/>
  <c r="H78" i="50"/>
  <c r="H79" i="50"/>
  <c r="H80" i="50"/>
  <c r="H81" i="50"/>
  <c r="H82" i="50"/>
  <c r="Y596" i="71"/>
  <c r="X596" i="71"/>
  <c r="D596" i="71"/>
  <c r="A596" i="71"/>
  <c r="Y595" i="71"/>
  <c r="X595" i="71"/>
  <c r="D595" i="71"/>
  <c r="A595" i="71"/>
  <c r="Y594" i="71"/>
  <c r="X594" i="71"/>
  <c r="D594" i="71"/>
  <c r="A594" i="71"/>
  <c r="Y593" i="71"/>
  <c r="X593" i="71"/>
  <c r="D593" i="71"/>
  <c r="A593" i="71"/>
  <c r="D592" i="71"/>
  <c r="A592" i="71"/>
  <c r="X592" i="71"/>
  <c r="Y592" i="71"/>
  <c r="D163" i="33"/>
  <c r="D293" i="37" s="1"/>
  <c r="D165" i="33"/>
  <c r="Y591" i="71"/>
  <c r="X591" i="71"/>
  <c r="D591" i="71"/>
  <c r="Y590" i="71"/>
  <c r="X590" i="71"/>
  <c r="D590" i="71"/>
  <c r="Y589" i="71"/>
  <c r="X589" i="71"/>
  <c r="D589" i="71"/>
  <c r="Y588" i="71"/>
  <c r="X588" i="71"/>
  <c r="D588" i="71"/>
  <c r="Y587" i="71"/>
  <c r="X587" i="71"/>
  <c r="D587" i="71"/>
  <c r="A587" i="71"/>
  <c r="A588" i="71"/>
  <c r="A589" i="71"/>
  <c r="A590" i="71"/>
  <c r="A591" i="71"/>
  <c r="E62" i="45" l="1"/>
  <c r="D79" i="96"/>
  <c r="R161" i="33"/>
  <c r="D102" i="38"/>
  <c r="D66" i="38"/>
  <c r="D150" i="37"/>
  <c r="L165" i="33"/>
  <c r="I165" i="33"/>
  <c r="K165" i="33"/>
  <c r="J165" i="33"/>
  <c r="I163" i="33"/>
  <c r="L163" i="33"/>
  <c r="J163" i="33"/>
  <c r="K163" i="33"/>
  <c r="N161" i="33"/>
  <c r="X583" i="71"/>
  <c r="Y583" i="71"/>
  <c r="X584" i="71"/>
  <c r="Y584" i="71"/>
  <c r="X585" i="71"/>
  <c r="Y585" i="71"/>
  <c r="X586" i="71"/>
  <c r="Y586" i="71"/>
  <c r="D586" i="71"/>
  <c r="D585" i="71"/>
  <c r="D584" i="71"/>
  <c r="D583" i="71"/>
  <c r="D582" i="71"/>
  <c r="A582" i="71"/>
  <c r="A583" i="71"/>
  <c r="A584" i="71"/>
  <c r="A585" i="71"/>
  <c r="A586" i="71"/>
  <c r="X582" i="71"/>
  <c r="Y582" i="71"/>
  <c r="D581" i="71"/>
  <c r="Y577" i="71"/>
  <c r="X577" i="71"/>
  <c r="D577" i="71"/>
  <c r="A577" i="71"/>
  <c r="D580" i="71"/>
  <c r="Y579" i="71"/>
  <c r="D579" i="71"/>
  <c r="Y578" i="71"/>
  <c r="D578" i="71"/>
  <c r="A579" i="71"/>
  <c r="A580" i="71"/>
  <c r="A581" i="71"/>
  <c r="A576" i="71"/>
  <c r="A578" i="71"/>
  <c r="D159" i="33"/>
  <c r="X579" i="71"/>
  <c r="X578" i="71"/>
  <c r="Y567" i="71"/>
  <c r="X567" i="71"/>
  <c r="D567" i="71"/>
  <c r="A567" i="71"/>
  <c r="D576" i="71"/>
  <c r="D575" i="71"/>
  <c r="D574" i="71"/>
  <c r="D573" i="71"/>
  <c r="X573" i="71"/>
  <c r="Y573" i="71"/>
  <c r="X574" i="71"/>
  <c r="Y574" i="71"/>
  <c r="X575" i="71"/>
  <c r="Y575" i="71"/>
  <c r="X576" i="71"/>
  <c r="Y576" i="71"/>
  <c r="X580" i="71"/>
  <c r="Y580" i="71"/>
  <c r="X581" i="71"/>
  <c r="Y581" i="71"/>
  <c r="A572" i="71"/>
  <c r="A573" i="71"/>
  <c r="A574" i="71"/>
  <c r="A575" i="71"/>
  <c r="D160" i="33"/>
  <c r="D162" i="33"/>
  <c r="E73" i="45" l="1"/>
  <c r="D231" i="49"/>
  <c r="E46" i="45"/>
  <c r="D208" i="49"/>
  <c r="R163" i="33"/>
  <c r="R165" i="33"/>
  <c r="D105" i="37"/>
  <c r="D230" i="38"/>
  <c r="D111" i="37"/>
  <c r="D53" i="38"/>
  <c r="D27" i="38"/>
  <c r="D120" i="37"/>
  <c r="K162" i="33"/>
  <c r="L162" i="33"/>
  <c r="M162" i="33"/>
  <c r="I162" i="33"/>
  <c r="J162" i="33"/>
  <c r="I159" i="33"/>
  <c r="M159" i="33"/>
  <c r="J159" i="33"/>
  <c r="K159" i="33"/>
  <c r="L159" i="33"/>
  <c r="K160" i="33"/>
  <c r="L160" i="33"/>
  <c r="M160" i="33"/>
  <c r="I160" i="33"/>
  <c r="J160" i="33"/>
  <c r="Y572" i="71"/>
  <c r="X572" i="71"/>
  <c r="D572" i="71"/>
  <c r="Y571" i="71"/>
  <c r="X571" i="71"/>
  <c r="D571" i="71"/>
  <c r="Y570" i="71"/>
  <c r="X570" i="71"/>
  <c r="D570" i="71"/>
  <c r="Y569" i="71"/>
  <c r="X569" i="71"/>
  <c r="D569" i="71"/>
  <c r="Y568" i="71"/>
  <c r="X568" i="71"/>
  <c r="D568" i="71"/>
  <c r="A568" i="71"/>
  <c r="A569" i="71"/>
  <c r="A570" i="71"/>
  <c r="A571" i="71"/>
  <c r="E236" i="45" l="1"/>
  <c r="D118" i="49"/>
  <c r="D72" i="98"/>
  <c r="D60" i="49"/>
  <c r="E68" i="45"/>
  <c r="D118" i="96"/>
  <c r="E63" i="45"/>
  <c r="D80" i="96"/>
  <c r="R160" i="33"/>
  <c r="R159" i="33"/>
  <c r="R162" i="33"/>
  <c r="N162" i="33"/>
  <c r="N159" i="33"/>
  <c r="N160" i="33"/>
  <c r="X563" i="71"/>
  <c r="Y563" i="71"/>
  <c r="D563" i="71"/>
  <c r="A563" i="71"/>
  <c r="Y566" i="71"/>
  <c r="X566" i="71"/>
  <c r="D566" i="71"/>
  <c r="Y565" i="71"/>
  <c r="X565" i="71"/>
  <c r="D565" i="71"/>
  <c r="Y564" i="71"/>
  <c r="X564" i="71"/>
  <c r="D564" i="71"/>
  <c r="D562" i="71"/>
  <c r="A564" i="71"/>
  <c r="A565" i="71"/>
  <c r="A566" i="71"/>
  <c r="A562" i="71"/>
  <c r="X562" i="71"/>
  <c r="Y562" i="71"/>
  <c r="D158" i="33"/>
  <c r="D156" i="33"/>
  <c r="H30" i="82"/>
  <c r="I30" i="82"/>
  <c r="H29" i="82"/>
  <c r="I29" i="82"/>
  <c r="D112" i="37" l="1"/>
  <c r="D84" i="38"/>
  <c r="D135" i="37"/>
  <c r="D79" i="38"/>
  <c r="L158" i="33"/>
  <c r="I158" i="33"/>
  <c r="J158" i="33"/>
  <c r="K158" i="33"/>
  <c r="M156" i="33"/>
  <c r="I156" i="33"/>
  <c r="L156" i="33"/>
  <c r="J156" i="33"/>
  <c r="K156" i="33"/>
  <c r="E47" i="45" l="1"/>
  <c r="D226" i="49"/>
  <c r="E254" i="45"/>
  <c r="D81" i="96"/>
  <c r="R156" i="33"/>
  <c r="R158" i="33"/>
  <c r="N156" i="33"/>
  <c r="Y561" i="71"/>
  <c r="X561" i="71"/>
  <c r="D561" i="71"/>
  <c r="A561" i="71"/>
  <c r="Y560" i="71"/>
  <c r="X560" i="71"/>
  <c r="D560" i="71"/>
  <c r="A560" i="71"/>
  <c r="Y559" i="71"/>
  <c r="X559" i="71"/>
  <c r="D559" i="71"/>
  <c r="Y558" i="71"/>
  <c r="X558" i="71"/>
  <c r="D558" i="71"/>
  <c r="Y557" i="71"/>
  <c r="X557" i="71"/>
  <c r="D557" i="71"/>
  <c r="A558" i="71"/>
  <c r="A559" i="71"/>
  <c r="Y556" i="71"/>
  <c r="X556" i="71"/>
  <c r="D556" i="71"/>
  <c r="Y555" i="71"/>
  <c r="X555" i="71"/>
  <c r="D555" i="71"/>
  <c r="Y554" i="71"/>
  <c r="X554" i="71"/>
  <c r="D554" i="71"/>
  <c r="Y553" i="71"/>
  <c r="X553" i="71"/>
  <c r="D553" i="71"/>
  <c r="Y552" i="71"/>
  <c r="X552" i="71"/>
  <c r="D552" i="71"/>
  <c r="D551" i="71"/>
  <c r="A552" i="71"/>
  <c r="A553" i="71"/>
  <c r="A554" i="71"/>
  <c r="A555" i="71"/>
  <c r="A556" i="71"/>
  <c r="A557" i="71"/>
  <c r="A550" i="71"/>
  <c r="A551" i="71"/>
  <c r="X551" i="71"/>
  <c r="Y551" i="71"/>
  <c r="D155" i="33"/>
  <c r="D157" i="33"/>
  <c r="D154" i="33"/>
  <c r="D115" i="37" s="1"/>
  <c r="Y550" i="71"/>
  <c r="X550" i="71"/>
  <c r="D550" i="71"/>
  <c r="Y549" i="71"/>
  <c r="X549" i="71"/>
  <c r="D549" i="71"/>
  <c r="A549" i="71"/>
  <c r="Y548" i="71"/>
  <c r="X548" i="71"/>
  <c r="D548" i="71"/>
  <c r="Y547" i="71"/>
  <c r="X547" i="71"/>
  <c r="D547" i="71"/>
  <c r="Y546" i="71"/>
  <c r="X546" i="71"/>
  <c r="D546" i="71"/>
  <c r="Y545" i="71"/>
  <c r="X545" i="71"/>
  <c r="D545" i="71"/>
  <c r="A545" i="71"/>
  <c r="A546" i="71"/>
  <c r="A547" i="71"/>
  <c r="A548" i="71"/>
  <c r="Y544" i="71"/>
  <c r="X544" i="71"/>
  <c r="A544" i="71"/>
  <c r="D544" i="71"/>
  <c r="Y543" i="71"/>
  <c r="X543" i="71"/>
  <c r="D543" i="71"/>
  <c r="Y542" i="71"/>
  <c r="X542" i="71"/>
  <c r="D542" i="71"/>
  <c r="Y541" i="71"/>
  <c r="X541" i="71"/>
  <c r="D541" i="71"/>
  <c r="Y540" i="71"/>
  <c r="X540" i="71"/>
  <c r="D540" i="71"/>
  <c r="D539" i="71"/>
  <c r="A538" i="71"/>
  <c r="A539" i="71"/>
  <c r="A540" i="71"/>
  <c r="A541" i="71"/>
  <c r="A542" i="71"/>
  <c r="A543" i="71"/>
  <c r="X539" i="71"/>
  <c r="Y539" i="71"/>
  <c r="D150" i="33"/>
  <c r="D151" i="33"/>
  <c r="Y538" i="71"/>
  <c r="X538" i="71"/>
  <c r="D538" i="71"/>
  <c r="Y537" i="71"/>
  <c r="X537" i="71"/>
  <c r="D537" i="71"/>
  <c r="A537" i="71"/>
  <c r="Y536" i="71"/>
  <c r="X536" i="71"/>
  <c r="D536" i="71"/>
  <c r="A536" i="71"/>
  <c r="Y535" i="71"/>
  <c r="X535" i="71"/>
  <c r="D535" i="71"/>
  <c r="A535" i="71"/>
  <c r="Y534" i="71"/>
  <c r="X534" i="71"/>
  <c r="D534" i="71"/>
  <c r="A534" i="71"/>
  <c r="D533" i="71"/>
  <c r="A533" i="71"/>
  <c r="X533" i="71"/>
  <c r="Y533" i="71"/>
  <c r="Y532" i="71"/>
  <c r="X532" i="71"/>
  <c r="D532" i="71"/>
  <c r="A532" i="71"/>
  <c r="Y531" i="71"/>
  <c r="X531" i="71"/>
  <c r="D531" i="71"/>
  <c r="Y530" i="71"/>
  <c r="X530" i="71"/>
  <c r="D530" i="71"/>
  <c r="D529" i="71"/>
  <c r="A528" i="71"/>
  <c r="A529" i="71"/>
  <c r="A530" i="71"/>
  <c r="A531" i="71"/>
  <c r="X529" i="71"/>
  <c r="Y529" i="71"/>
  <c r="D147" i="33"/>
  <c r="D214" i="38" s="1"/>
  <c r="AG122" i="81"/>
  <c r="Y528" i="71"/>
  <c r="X528" i="71"/>
  <c r="D528" i="71"/>
  <c r="X527" i="71"/>
  <c r="D527" i="71"/>
  <c r="A527" i="71"/>
  <c r="X526" i="71"/>
  <c r="D526" i="71"/>
  <c r="A526" i="71"/>
  <c r="X525" i="71"/>
  <c r="D525" i="71"/>
  <c r="A525" i="71"/>
  <c r="Y525" i="71"/>
  <c r="Y526" i="71"/>
  <c r="Y527" i="71"/>
  <c r="D524" i="71"/>
  <c r="A524" i="71"/>
  <c r="X524" i="71"/>
  <c r="Y524" i="71"/>
  <c r="E234" i="45" l="1"/>
  <c r="D116" i="49"/>
  <c r="D104" i="37"/>
  <c r="D222" i="38"/>
  <c r="D39" i="38"/>
  <c r="D151" i="37"/>
  <c r="D114" i="37"/>
  <c r="D63" i="38"/>
  <c r="D136" i="37"/>
  <c r="D49" i="38"/>
  <c r="I147" i="33"/>
  <c r="D103" i="37"/>
  <c r="M157" i="33"/>
  <c r="I157" i="33"/>
  <c r="J157" i="33"/>
  <c r="K157" i="33"/>
  <c r="L157" i="33"/>
  <c r="I155" i="33"/>
  <c r="L155" i="33"/>
  <c r="K155" i="33"/>
  <c r="M155" i="33"/>
  <c r="J155" i="33"/>
  <c r="M154" i="33"/>
  <c r="K154" i="33"/>
  <c r="L154" i="33"/>
  <c r="I154" i="33"/>
  <c r="J154" i="33"/>
  <c r="I150" i="33"/>
  <c r="J150" i="33"/>
  <c r="K150" i="33"/>
  <c r="L150" i="33"/>
  <c r="M150" i="33"/>
  <c r="L151" i="33"/>
  <c r="M151" i="33"/>
  <c r="K151" i="33"/>
  <c r="I151" i="33"/>
  <c r="J151" i="33"/>
  <c r="R151" i="33" s="1"/>
  <c r="M147" i="33"/>
  <c r="L147" i="33"/>
  <c r="K147" i="33"/>
  <c r="J147" i="33"/>
  <c r="E198" i="45" l="1"/>
  <c r="D225" i="49"/>
  <c r="E235" i="45"/>
  <c r="D117" i="49"/>
  <c r="E193" i="45"/>
  <c r="D212" i="49"/>
  <c r="E65" i="45"/>
  <c r="D83" i="96"/>
  <c r="R147" i="33"/>
  <c r="R155" i="33"/>
  <c r="R157" i="33"/>
  <c r="R150" i="33"/>
  <c r="R154" i="33"/>
  <c r="N157" i="33"/>
  <c r="N155" i="33"/>
  <c r="N154" i="33"/>
  <c r="N151" i="33"/>
  <c r="N150" i="33"/>
  <c r="N147" i="33"/>
  <c r="X523" i="71" l="1"/>
  <c r="Y523" i="71"/>
  <c r="D523" i="71"/>
  <c r="A523" i="71"/>
  <c r="X520" i="71"/>
  <c r="Y520" i="71"/>
  <c r="X521" i="71"/>
  <c r="Y521" i="71"/>
  <c r="X522" i="71"/>
  <c r="Y522" i="71"/>
  <c r="D522" i="71"/>
  <c r="D521" i="71"/>
  <c r="D520" i="71"/>
  <c r="A520" i="71"/>
  <c r="A521" i="71"/>
  <c r="A522" i="71"/>
  <c r="D146" i="33"/>
  <c r="D145" i="33"/>
  <c r="AS82" i="81"/>
  <c r="D102" i="37" l="1"/>
  <c r="D203" i="38"/>
  <c r="D137" i="37"/>
  <c r="D42" i="38"/>
  <c r="I146" i="33"/>
  <c r="K146" i="33"/>
  <c r="L146" i="33"/>
  <c r="M146" i="33"/>
  <c r="J146" i="33"/>
  <c r="I145" i="33"/>
  <c r="J145" i="33"/>
  <c r="K145" i="33"/>
  <c r="L145" i="33"/>
  <c r="M145" i="33"/>
  <c r="D518" i="71"/>
  <c r="D519" i="71"/>
  <c r="D517" i="71"/>
  <c r="X516" i="71"/>
  <c r="Y516" i="71"/>
  <c r="X517" i="71"/>
  <c r="Y517" i="71"/>
  <c r="X518" i="71"/>
  <c r="Y518" i="71"/>
  <c r="X519" i="71"/>
  <c r="Y519" i="71"/>
  <c r="A517" i="71"/>
  <c r="A518" i="71"/>
  <c r="A519" i="71"/>
  <c r="D153" i="33"/>
  <c r="D516" i="71"/>
  <c r="A516" i="71"/>
  <c r="D515" i="71"/>
  <c r="X515" i="71"/>
  <c r="Y515" i="71"/>
  <c r="A515" i="71"/>
  <c r="D514" i="71"/>
  <c r="A514" i="71"/>
  <c r="X514" i="71"/>
  <c r="Y514" i="71"/>
  <c r="E268" i="45" l="1"/>
  <c r="D224" i="49"/>
  <c r="E233" i="45"/>
  <c r="D115" i="49"/>
  <c r="R146" i="33"/>
  <c r="R145" i="33"/>
  <c r="D51" i="38"/>
  <c r="D148" i="37"/>
  <c r="I153" i="33"/>
  <c r="J153" i="33"/>
  <c r="K153" i="33"/>
  <c r="L153" i="33"/>
  <c r="N146" i="33"/>
  <c r="N145" i="33"/>
  <c r="X512" i="71"/>
  <c r="Y512" i="71"/>
  <c r="X513" i="71"/>
  <c r="Y513" i="71"/>
  <c r="D513" i="71"/>
  <c r="D512" i="71"/>
  <c r="Y511" i="71"/>
  <c r="X511" i="71"/>
  <c r="D511" i="71"/>
  <c r="A511" i="71"/>
  <c r="A512" i="71"/>
  <c r="A513" i="71"/>
  <c r="D148" i="33"/>
  <c r="D144" i="33"/>
  <c r="D134" i="37" s="1"/>
  <c r="E43" i="45" l="1"/>
  <c r="D196" i="49"/>
  <c r="R153" i="33"/>
  <c r="D155" i="37"/>
  <c r="D305" i="38"/>
  <c r="L148" i="33"/>
  <c r="I148" i="33"/>
  <c r="J148" i="33"/>
  <c r="K148" i="33"/>
  <c r="M144" i="33"/>
  <c r="I144" i="33"/>
  <c r="L144" i="33"/>
  <c r="K144" i="33"/>
  <c r="J144" i="33"/>
  <c r="Q16" i="73"/>
  <c r="X507" i="71"/>
  <c r="Y507" i="71"/>
  <c r="X508" i="71"/>
  <c r="Y508" i="71"/>
  <c r="X509" i="71"/>
  <c r="Y509" i="71"/>
  <c r="X510" i="71"/>
  <c r="Y510" i="71"/>
  <c r="D510" i="71"/>
  <c r="A506" i="71"/>
  <c r="A507" i="71"/>
  <c r="A508" i="71"/>
  <c r="A509" i="71"/>
  <c r="A510" i="71"/>
  <c r="D507" i="71"/>
  <c r="D508" i="71"/>
  <c r="D509" i="71"/>
  <c r="D152" i="33"/>
  <c r="I41" i="73"/>
  <c r="E266" i="45" l="1"/>
  <c r="D220" i="49"/>
  <c r="R144" i="33"/>
  <c r="R148" i="33"/>
  <c r="D50" i="38"/>
  <c r="D215" i="37"/>
  <c r="J152" i="33"/>
  <c r="K152" i="33"/>
  <c r="L152" i="33"/>
  <c r="I152" i="33"/>
  <c r="N144" i="33"/>
  <c r="X503" i="71"/>
  <c r="Y503" i="71"/>
  <c r="X504" i="71"/>
  <c r="Y504" i="71"/>
  <c r="X505" i="71"/>
  <c r="Y505" i="71"/>
  <c r="X506" i="71"/>
  <c r="Y506" i="71"/>
  <c r="D506" i="71"/>
  <c r="D505" i="71"/>
  <c r="D504" i="71"/>
  <c r="D503" i="71"/>
  <c r="A503" i="71"/>
  <c r="A504" i="71"/>
  <c r="A505" i="71"/>
  <c r="D149" i="33"/>
  <c r="X500" i="71"/>
  <c r="Y500" i="71"/>
  <c r="X501" i="71"/>
  <c r="Y501" i="71"/>
  <c r="X502" i="71"/>
  <c r="Y502" i="71"/>
  <c r="D502" i="71"/>
  <c r="D501" i="71"/>
  <c r="D500" i="71"/>
  <c r="D499" i="71"/>
  <c r="X499" i="71"/>
  <c r="Y499" i="71"/>
  <c r="A499" i="71"/>
  <c r="A500" i="71"/>
  <c r="A501" i="71"/>
  <c r="A502" i="71"/>
  <c r="E5" i="85"/>
  <c r="E9" i="85"/>
  <c r="E7" i="85"/>
  <c r="E11" i="85"/>
  <c r="E13" i="85"/>
  <c r="E15" i="85"/>
  <c r="E17" i="85"/>
  <c r="T28" i="85"/>
  <c r="T23" i="85"/>
  <c r="P28" i="85"/>
  <c r="P23" i="85"/>
  <c r="T14" i="85"/>
  <c r="T9" i="85"/>
  <c r="P14" i="85"/>
  <c r="P9" i="85"/>
  <c r="C2" i="75"/>
  <c r="I317" i="38"/>
  <c r="I318" i="38"/>
  <c r="I319" i="38"/>
  <c r="I320" i="38"/>
  <c r="I321" i="38"/>
  <c r="H300" i="38" s="1"/>
  <c r="I322" i="38"/>
  <c r="I323" i="38"/>
  <c r="I324" i="38"/>
  <c r="H306" i="38" s="1"/>
  <c r="I325" i="38"/>
  <c r="I326" i="38"/>
  <c r="I327" i="38"/>
  <c r="I328" i="38"/>
  <c r="H187" i="38" s="1"/>
  <c r="I329" i="38"/>
  <c r="H305" i="38" s="1"/>
  <c r="I330" i="38"/>
  <c r="I331" i="38"/>
  <c r="I332" i="38"/>
  <c r="K332" i="38" s="1"/>
  <c r="I333" i="38"/>
  <c r="H295" i="38" s="1"/>
  <c r="I334" i="38"/>
  <c r="I335" i="38"/>
  <c r="H269" i="38" s="1"/>
  <c r="I336" i="38"/>
  <c r="I338" i="38"/>
  <c r="I339" i="38"/>
  <c r="I340" i="38"/>
  <c r="H298" i="38" s="1"/>
  <c r="I341" i="38"/>
  <c r="H239" i="38" s="1"/>
  <c r="I342" i="38"/>
  <c r="H272" i="38" s="1"/>
  <c r="I343" i="38"/>
  <c r="I344" i="38"/>
  <c r="I345" i="38"/>
  <c r="H284" i="38" s="1"/>
  <c r="I316" i="38"/>
  <c r="H296" i="38" s="1"/>
  <c r="E42" i="45" l="1"/>
  <c r="D65" i="49"/>
  <c r="D99" i="98"/>
  <c r="R152" i="33"/>
  <c r="H264" i="38"/>
  <c r="H307" i="38"/>
  <c r="H297" i="38"/>
  <c r="H278" i="38"/>
  <c r="H303" i="38"/>
  <c r="H281" i="38"/>
  <c r="H301" i="38"/>
  <c r="H289" i="38"/>
  <c r="H285" i="38"/>
  <c r="H291" i="38"/>
  <c r="H286" i="38"/>
  <c r="H288" i="38"/>
  <c r="H262" i="38"/>
  <c r="H271" i="38"/>
  <c r="H282" i="38"/>
  <c r="H275" i="38"/>
  <c r="H261" i="38"/>
  <c r="H270" i="38"/>
  <c r="H268" i="38"/>
  <c r="K334" i="38"/>
  <c r="I308" i="38" s="1"/>
  <c r="K342" i="38"/>
  <c r="I272" i="38" s="1"/>
  <c r="K340" i="38"/>
  <c r="I298" i="38" s="1"/>
  <c r="H249" i="38"/>
  <c r="H254" i="38"/>
  <c r="H257" i="38"/>
  <c r="K329" i="38"/>
  <c r="I305" i="38" s="1"/>
  <c r="H250" i="38"/>
  <c r="K336" i="38"/>
  <c r="K335" i="38"/>
  <c r="I269" i="38" s="1"/>
  <c r="H241" i="38"/>
  <c r="H266" i="38"/>
  <c r="H256" i="38"/>
  <c r="H245" i="38"/>
  <c r="H243" i="38"/>
  <c r="H248" i="38"/>
  <c r="K343" i="38"/>
  <c r="I291" i="38" s="1"/>
  <c r="H279" i="38"/>
  <c r="H236" i="38"/>
  <c r="K316" i="38"/>
  <c r="I296" i="38" s="1"/>
  <c r="K345" i="38"/>
  <c r="H265" i="38"/>
  <c r="K333" i="38"/>
  <c r="I295" i="38" s="1"/>
  <c r="H253" i="38"/>
  <c r="H232" i="38"/>
  <c r="H246" i="38"/>
  <c r="H218" i="38"/>
  <c r="H244" i="38"/>
  <c r="H217" i="38"/>
  <c r="H235" i="38"/>
  <c r="H221" i="38"/>
  <c r="H230" i="38"/>
  <c r="K339" i="38"/>
  <c r="H242" i="38"/>
  <c r="K344" i="38"/>
  <c r="I258" i="38" s="1"/>
  <c r="H258" i="38"/>
  <c r="H233" i="38"/>
  <c r="H226" i="38"/>
  <c r="H214" i="38"/>
  <c r="K331" i="38"/>
  <c r="I238" i="38" s="1"/>
  <c r="H238" i="38"/>
  <c r="H215" i="38"/>
  <c r="H237" i="38"/>
  <c r="H231" i="38"/>
  <c r="H222" i="38"/>
  <c r="H210" i="38"/>
  <c r="H186" i="38"/>
  <c r="H213" i="38"/>
  <c r="H223" i="38"/>
  <c r="H211" i="38"/>
  <c r="H219" i="38"/>
  <c r="H227" i="38"/>
  <c r="H208" i="38"/>
  <c r="H216" i="38"/>
  <c r="H207" i="38"/>
  <c r="H108" i="38"/>
  <c r="H220" i="38"/>
  <c r="H188" i="38"/>
  <c r="H205" i="38"/>
  <c r="H206" i="38"/>
  <c r="H203" i="38"/>
  <c r="H199" i="38"/>
  <c r="H192" i="38"/>
  <c r="H200" i="38"/>
  <c r="H198" i="38"/>
  <c r="H190" i="38"/>
  <c r="H184" i="38"/>
  <c r="H193" i="38"/>
  <c r="K330" i="38"/>
  <c r="H180" i="38"/>
  <c r="H174" i="38"/>
  <c r="H176" i="38"/>
  <c r="H183" i="38"/>
  <c r="H139" i="38"/>
  <c r="H202" i="38"/>
  <c r="H161" i="38"/>
  <c r="H172" i="38"/>
  <c r="H178" i="38"/>
  <c r="H168" i="38"/>
  <c r="H165" i="38"/>
  <c r="H153" i="38"/>
  <c r="H164" i="38"/>
  <c r="H182" i="38"/>
  <c r="H158" i="38"/>
  <c r="H166" i="38"/>
  <c r="H93" i="38"/>
  <c r="H160" i="38"/>
  <c r="H151" i="38"/>
  <c r="H150" i="38"/>
  <c r="K322" i="38"/>
  <c r="H136" i="38"/>
  <c r="H126" i="38"/>
  <c r="H162" i="38"/>
  <c r="H146" i="38"/>
  <c r="H129" i="38"/>
  <c r="K321" i="38"/>
  <c r="I300" i="38" s="1"/>
  <c r="H141" i="38"/>
  <c r="K338" i="38"/>
  <c r="I142" i="38" s="1"/>
  <c r="H142" i="38"/>
  <c r="K341" i="38"/>
  <c r="H135" i="38"/>
  <c r="H130" i="38"/>
  <c r="H131" i="38"/>
  <c r="H116" i="38"/>
  <c r="H122" i="38"/>
  <c r="K327" i="38"/>
  <c r="I301" i="38" s="1"/>
  <c r="H125" i="38"/>
  <c r="H118" i="38"/>
  <c r="H87" i="38"/>
  <c r="H79" i="38"/>
  <c r="H117" i="38"/>
  <c r="H112" i="38"/>
  <c r="H114" i="38"/>
  <c r="H119" i="38"/>
  <c r="H106" i="38"/>
  <c r="H123" i="38"/>
  <c r="H109" i="38"/>
  <c r="H104" i="38"/>
  <c r="H110" i="38"/>
  <c r="H97" i="38"/>
  <c r="H105" i="38"/>
  <c r="K325" i="38"/>
  <c r="H102" i="38"/>
  <c r="H84" i="38"/>
  <c r="H103" i="38"/>
  <c r="H50" i="38"/>
  <c r="H98" i="38"/>
  <c r="H101" i="38"/>
  <c r="H94" i="38"/>
  <c r="H100" i="38"/>
  <c r="H68" i="38"/>
  <c r="H95" i="38"/>
  <c r="H85" i="38"/>
  <c r="H91" i="38"/>
  <c r="H86" i="38"/>
  <c r="H90" i="38"/>
  <c r="D89" i="38"/>
  <c r="H77" i="38"/>
  <c r="H81" i="38"/>
  <c r="H75" i="38"/>
  <c r="H80" i="38"/>
  <c r="K328" i="38"/>
  <c r="I187" i="38" s="1"/>
  <c r="H66" i="38"/>
  <c r="H42" i="38"/>
  <c r="H65" i="38"/>
  <c r="H53" i="38"/>
  <c r="H64" i="38"/>
  <c r="I236" i="38"/>
  <c r="H63" i="38"/>
  <c r="D113" i="37"/>
  <c r="D67" i="38"/>
  <c r="H49" i="38"/>
  <c r="H60" i="38"/>
  <c r="K324" i="38"/>
  <c r="I306" i="38" s="1"/>
  <c r="H59" i="38"/>
  <c r="K323" i="38"/>
  <c r="H58" i="38"/>
  <c r="K320" i="38"/>
  <c r="H57" i="38"/>
  <c r="K326" i="38"/>
  <c r="H51" i="38"/>
  <c r="K317" i="38"/>
  <c r="H47" i="38"/>
  <c r="K319" i="38"/>
  <c r="H39" i="38"/>
  <c r="K318" i="38"/>
  <c r="H27" i="38"/>
  <c r="I149" i="33"/>
  <c r="J149" i="33"/>
  <c r="K149" i="33"/>
  <c r="L149" i="33"/>
  <c r="M149" i="33"/>
  <c r="P16" i="85"/>
  <c r="T30" i="85"/>
  <c r="D18" i="85" s="1"/>
  <c r="P30" i="85"/>
  <c r="D4" i="85" s="1"/>
  <c r="T16" i="85"/>
  <c r="E66" i="45" l="1"/>
  <c r="D84" i="96"/>
  <c r="E64" i="45"/>
  <c r="D82" i="96"/>
  <c r="R149" i="33"/>
  <c r="I264" i="38"/>
  <c r="I307" i="38"/>
  <c r="I297" i="38"/>
  <c r="I278" i="38"/>
  <c r="I303" i="38"/>
  <c r="I288" i="38"/>
  <c r="I241" i="38"/>
  <c r="I289" i="38"/>
  <c r="I282" i="38"/>
  <c r="I286" i="38"/>
  <c r="I275" i="38"/>
  <c r="I246" i="38"/>
  <c r="I281" i="38"/>
  <c r="I250" i="38"/>
  <c r="I279" i="38"/>
  <c r="I285" i="38"/>
  <c r="I265" i="38"/>
  <c r="I284" i="38"/>
  <c r="I266" i="38"/>
  <c r="I271" i="38"/>
  <c r="I270" i="38"/>
  <c r="I268" i="38"/>
  <c r="I249" i="38"/>
  <c r="I262" i="38"/>
  <c r="I257" i="38"/>
  <c r="I261" i="38"/>
  <c r="I245" i="38"/>
  <c r="I210" i="38"/>
  <c r="I256" i="38"/>
  <c r="I242" i="38"/>
  <c r="I254" i="38"/>
  <c r="I243" i="38"/>
  <c r="I248" i="38"/>
  <c r="I253" i="38"/>
  <c r="I218" i="38"/>
  <c r="I244" i="38"/>
  <c r="I217" i="38"/>
  <c r="I235" i="38"/>
  <c r="I221" i="38"/>
  <c r="I230" i="38"/>
  <c r="I233" i="38"/>
  <c r="I172" i="38"/>
  <c r="I239" i="38"/>
  <c r="I237" i="38"/>
  <c r="I232" i="38"/>
  <c r="I214" i="38"/>
  <c r="I222" i="38"/>
  <c r="I231" i="38"/>
  <c r="I223" i="38"/>
  <c r="I211" i="38"/>
  <c r="I186" i="38"/>
  <c r="I213" i="38"/>
  <c r="I219" i="38"/>
  <c r="I227" i="38"/>
  <c r="I226" i="38"/>
  <c r="I208" i="38"/>
  <c r="I216" i="38"/>
  <c r="I207" i="38"/>
  <c r="I108" i="38"/>
  <c r="I220" i="38"/>
  <c r="I188" i="38"/>
  <c r="I199" i="38"/>
  <c r="I205" i="38"/>
  <c r="I206" i="38"/>
  <c r="I203" i="38"/>
  <c r="I117" i="38"/>
  <c r="I102" i="38"/>
  <c r="I198" i="38"/>
  <c r="I192" i="38"/>
  <c r="I200" i="38"/>
  <c r="I202" i="38"/>
  <c r="I215" i="38"/>
  <c r="I190" i="38"/>
  <c r="I184" i="38"/>
  <c r="I193" i="38"/>
  <c r="I180" i="38"/>
  <c r="I176" i="38"/>
  <c r="I183" i="38"/>
  <c r="I164" i="38"/>
  <c r="I174" i="38"/>
  <c r="I168" i="38"/>
  <c r="I178" i="38"/>
  <c r="I182" i="38"/>
  <c r="I160" i="38"/>
  <c r="I165" i="38"/>
  <c r="I158" i="38"/>
  <c r="I166" i="38"/>
  <c r="I135" i="38"/>
  <c r="I161" i="38"/>
  <c r="I80" i="38"/>
  <c r="I153" i="38"/>
  <c r="I150" i="38"/>
  <c r="I151" i="38"/>
  <c r="I162" i="38"/>
  <c r="I136" i="38"/>
  <c r="I146" i="38"/>
  <c r="I125" i="38"/>
  <c r="I139" i="38"/>
  <c r="I129" i="38"/>
  <c r="I141" i="38"/>
  <c r="I130" i="38"/>
  <c r="I122" i="38"/>
  <c r="I131" i="38"/>
  <c r="I110" i="38"/>
  <c r="I126" i="38"/>
  <c r="I105" i="38"/>
  <c r="I101" i="38"/>
  <c r="I116" i="38"/>
  <c r="I118" i="38"/>
  <c r="I109" i="38"/>
  <c r="I112" i="38"/>
  <c r="I123" i="38"/>
  <c r="I114" i="38"/>
  <c r="I119" i="38"/>
  <c r="I100" i="38"/>
  <c r="I104" i="38"/>
  <c r="I103" i="38"/>
  <c r="I106" i="38"/>
  <c r="I91" i="38"/>
  <c r="I98" i="38"/>
  <c r="I95" i="38"/>
  <c r="I94" i="38"/>
  <c r="I90" i="38"/>
  <c r="I97" i="38"/>
  <c r="I57" i="38"/>
  <c r="I93" i="38"/>
  <c r="H89" i="38"/>
  <c r="I89" i="38"/>
  <c r="I66" i="38"/>
  <c r="I87" i="38"/>
  <c r="I58" i="38"/>
  <c r="I86" i="38"/>
  <c r="I81" i="38"/>
  <c r="I85" i="38"/>
  <c r="I65" i="38"/>
  <c r="I84" i="38"/>
  <c r="I59" i="38"/>
  <c r="I79" i="38"/>
  <c r="I63" i="38"/>
  <c r="I75" i="38"/>
  <c r="I60" i="38"/>
  <c r="I77" i="38"/>
  <c r="H67" i="38"/>
  <c r="I67" i="38"/>
  <c r="I64" i="38"/>
  <c r="I68" i="38"/>
  <c r="I27" i="38"/>
  <c r="I53" i="38"/>
  <c r="I51" i="38"/>
  <c r="I50" i="38"/>
  <c r="I47" i="38"/>
  <c r="I49" i="38"/>
  <c r="I39" i="38"/>
  <c r="I42" i="38"/>
  <c r="N149" i="33"/>
  <c r="D16" i="85"/>
  <c r="D10" i="85"/>
  <c r="D14" i="85"/>
  <c r="D8" i="85"/>
  <c r="D6" i="85"/>
  <c r="D12" i="85"/>
  <c r="D142" i="33"/>
  <c r="H34" i="73"/>
  <c r="K2" i="71"/>
  <c r="X498" i="71"/>
  <c r="Y498" i="71"/>
  <c r="X497" i="71"/>
  <c r="Y497" i="71"/>
  <c r="D496" i="71"/>
  <c r="D497" i="71"/>
  <c r="D498" i="71"/>
  <c r="X496" i="71"/>
  <c r="Y496" i="71"/>
  <c r="A496" i="71"/>
  <c r="A497" i="71"/>
  <c r="A498" i="71"/>
  <c r="X495" i="71"/>
  <c r="Y495" i="71"/>
  <c r="D495" i="71"/>
  <c r="D494" i="71"/>
  <c r="X494" i="71"/>
  <c r="Y494" i="71"/>
  <c r="A493" i="71"/>
  <c r="A494" i="71"/>
  <c r="A495" i="71"/>
  <c r="G37" i="73"/>
  <c r="D147" i="37" l="1"/>
  <c r="D148" i="38"/>
  <c r="D195" i="49" s="1"/>
  <c r="K142" i="33"/>
  <c r="J142" i="33"/>
  <c r="I142" i="33"/>
  <c r="L142" i="33"/>
  <c r="M142" i="33"/>
  <c r="J36" i="76"/>
  <c r="E192" i="45" l="1"/>
  <c r="D59" i="96"/>
  <c r="R142" i="33"/>
  <c r="H148" i="38"/>
  <c r="I148" i="38"/>
  <c r="N142" i="33"/>
  <c r="N327" i="33"/>
  <c r="N328" i="33"/>
  <c r="N329" i="33"/>
  <c r="N330" i="33"/>
  <c r="N335" i="33"/>
  <c r="N341" i="33"/>
  <c r="N342" i="33"/>
  <c r="N343" i="33"/>
  <c r="N344" i="33"/>
  <c r="N345" i="33"/>
  <c r="N347" i="33"/>
  <c r="N348" i="33"/>
  <c r="N349" i="33"/>
  <c r="N350" i="33"/>
  <c r="N351" i="33"/>
  <c r="N352" i="33"/>
  <c r="N353" i="33"/>
  <c r="N354" i="33"/>
  <c r="N355" i="33"/>
  <c r="N356" i="33"/>
  <c r="N357" i="33"/>
  <c r="N358" i="33"/>
  <c r="N359" i="33"/>
  <c r="N360" i="33"/>
  <c r="N361" i="33"/>
  <c r="N324" i="33"/>
  <c r="N325" i="33"/>
  <c r="N326" i="33"/>
  <c r="N323" i="33"/>
  <c r="N337" i="33"/>
  <c r="M300" i="33"/>
  <c r="N339" i="33"/>
  <c r="N300" i="33" l="1"/>
  <c r="N340" i="33"/>
  <c r="M216" i="33"/>
  <c r="Y493" i="71"/>
  <c r="X493" i="71"/>
  <c r="A492" i="71"/>
  <c r="D493" i="71"/>
  <c r="D492" i="71"/>
  <c r="X492" i="71"/>
  <c r="Y492" i="71"/>
  <c r="A468" i="71"/>
  <c r="A471" i="71"/>
  <c r="A472" i="71"/>
  <c r="A473" i="71"/>
  <c r="A474" i="71"/>
  <c r="A475" i="71"/>
  <c r="A476" i="71"/>
  <c r="A477" i="71"/>
  <c r="A478" i="71"/>
  <c r="A479" i="71"/>
  <c r="A480" i="71"/>
  <c r="A481" i="71"/>
  <c r="A482" i="71"/>
  <c r="A483" i="71"/>
  <c r="A484" i="71"/>
  <c r="A485" i="71"/>
  <c r="A486" i="71"/>
  <c r="A487" i="71"/>
  <c r="A488" i="71"/>
  <c r="A489" i="71"/>
  <c r="A490" i="71"/>
  <c r="A491" i="71"/>
  <c r="Y491" i="71"/>
  <c r="X491" i="71"/>
  <c r="Y490" i="71"/>
  <c r="X490" i="71"/>
  <c r="D490" i="71"/>
  <c r="Y489" i="71"/>
  <c r="X489" i="71"/>
  <c r="D489" i="71"/>
  <c r="Y488" i="71"/>
  <c r="X488" i="71"/>
  <c r="D488" i="71"/>
  <c r="D487" i="71"/>
  <c r="X487" i="71"/>
  <c r="Y487" i="71"/>
  <c r="N216" i="33" l="1"/>
  <c r="D140" i="33"/>
  <c r="D54" i="38" s="1"/>
  <c r="D228" i="49" s="1"/>
  <c r="D141" i="33"/>
  <c r="C24" i="50"/>
  <c r="C21" i="50"/>
  <c r="C22" i="50"/>
  <c r="C26" i="50"/>
  <c r="C27" i="50"/>
  <c r="C28" i="50"/>
  <c r="AI26" i="81"/>
  <c r="D143" i="33"/>
  <c r="C29" i="50"/>
  <c r="Y486" i="71"/>
  <c r="X486" i="71"/>
  <c r="D486" i="71"/>
  <c r="D482" i="71"/>
  <c r="D483" i="71"/>
  <c r="D484" i="71"/>
  <c r="X482" i="71"/>
  <c r="Y482" i="71"/>
  <c r="X483" i="71"/>
  <c r="Y483" i="71"/>
  <c r="X484" i="71"/>
  <c r="Y484" i="71"/>
  <c r="X485" i="71"/>
  <c r="Y485" i="71"/>
  <c r="E51" i="45" l="1"/>
  <c r="D89" i="96"/>
  <c r="D107" i="37"/>
  <c r="D189" i="38"/>
  <c r="D28" i="38"/>
  <c r="D219" i="49" s="1"/>
  <c r="D154" i="37"/>
  <c r="I54" i="38"/>
  <c r="H54" i="38"/>
  <c r="D129" i="37"/>
  <c r="D61" i="38"/>
  <c r="D227" i="49" s="1"/>
  <c r="M143" i="33"/>
  <c r="L143" i="33"/>
  <c r="K143" i="33"/>
  <c r="J143" i="33"/>
  <c r="I143" i="33"/>
  <c r="M141" i="33"/>
  <c r="L141" i="33"/>
  <c r="K141" i="33"/>
  <c r="J141" i="33"/>
  <c r="I141" i="33"/>
  <c r="L140" i="33"/>
  <c r="K140" i="33"/>
  <c r="J140" i="33"/>
  <c r="I140" i="33"/>
  <c r="M140" i="33"/>
  <c r="X480" i="71"/>
  <c r="X481" i="71"/>
  <c r="D480" i="71"/>
  <c r="D481" i="71"/>
  <c r="Y479" i="71"/>
  <c r="Y480" i="71"/>
  <c r="Y481" i="71"/>
  <c r="X477" i="71"/>
  <c r="X478" i="71"/>
  <c r="X479" i="71"/>
  <c r="D479" i="71"/>
  <c r="D477" i="71"/>
  <c r="D476" i="71"/>
  <c r="X476" i="71"/>
  <c r="Y470" i="71"/>
  <c r="Y471" i="71"/>
  <c r="Y472" i="71"/>
  <c r="Y473" i="71"/>
  <c r="Y474" i="71"/>
  <c r="Y475" i="71"/>
  <c r="Y476" i="71"/>
  <c r="Y477" i="71"/>
  <c r="Y478" i="71"/>
  <c r="X470" i="71"/>
  <c r="X471" i="71"/>
  <c r="X472" i="71"/>
  <c r="X473" i="71"/>
  <c r="X474" i="71"/>
  <c r="X475" i="71"/>
  <c r="A469" i="71"/>
  <c r="A470" i="71"/>
  <c r="X469" i="71"/>
  <c r="Y469" i="71"/>
  <c r="D468" i="71"/>
  <c r="D469" i="71"/>
  <c r="D470" i="71"/>
  <c r="D471" i="71"/>
  <c r="D472" i="71"/>
  <c r="D473" i="71"/>
  <c r="D474" i="71"/>
  <c r="D475" i="71"/>
  <c r="X468" i="71"/>
  <c r="Y468" i="71"/>
  <c r="G95" i="37"/>
  <c r="G96" i="37"/>
  <c r="G97" i="37"/>
  <c r="G94" i="37"/>
  <c r="J12" i="26"/>
  <c r="K12" i="26" s="1"/>
  <c r="G98" i="37"/>
  <c r="G99" i="37"/>
  <c r="G100" i="37"/>
  <c r="G93" i="37"/>
  <c r="G92" i="37"/>
  <c r="G91" i="37"/>
  <c r="G90" i="37"/>
  <c r="G89" i="37"/>
  <c r="D137" i="33"/>
  <c r="D138" i="33"/>
  <c r="D247" i="38" s="1"/>
  <c r="E219" i="45" s="1"/>
  <c r="G85" i="37"/>
  <c r="G86" i="37"/>
  <c r="G87" i="37"/>
  <c r="G88" i="37"/>
  <c r="Y467" i="71"/>
  <c r="X467" i="71"/>
  <c r="D467" i="71"/>
  <c r="A467" i="71"/>
  <c r="D132" i="33"/>
  <c r="D73" i="38" s="1"/>
  <c r="D194" i="49" s="1"/>
  <c r="G80" i="37"/>
  <c r="G81" i="37"/>
  <c r="G82" i="37"/>
  <c r="G83" i="37"/>
  <c r="G84" i="37"/>
  <c r="G79" i="37"/>
  <c r="X466" i="71"/>
  <c r="D466" i="71"/>
  <c r="X465" i="71"/>
  <c r="D465" i="71"/>
  <c r="Y465" i="71"/>
  <c r="Y466" i="71"/>
  <c r="D464" i="71"/>
  <c r="A463" i="71"/>
  <c r="A464" i="71"/>
  <c r="A465" i="71"/>
  <c r="A466" i="71"/>
  <c r="X464" i="71"/>
  <c r="Y464" i="71"/>
  <c r="D139" i="33"/>
  <c r="D130" i="33"/>
  <c r="D155" i="38" s="1"/>
  <c r="D38" i="49" s="1"/>
  <c r="G77" i="37"/>
  <c r="G78" i="37"/>
  <c r="G76" i="37"/>
  <c r="Y463" i="71"/>
  <c r="X463" i="71"/>
  <c r="Y462" i="71"/>
  <c r="X462" i="71"/>
  <c r="D462" i="71"/>
  <c r="Y461" i="71"/>
  <c r="X461" i="71"/>
  <c r="D461" i="71"/>
  <c r="D460" i="71"/>
  <c r="Y460" i="71"/>
  <c r="X460" i="71"/>
  <c r="D459" i="71"/>
  <c r="A461" i="71"/>
  <c r="A462" i="71"/>
  <c r="A459" i="71"/>
  <c r="A460" i="71"/>
  <c r="X459" i="71"/>
  <c r="Y459" i="71"/>
  <c r="D134" i="33"/>
  <c r="D153" i="37" s="1"/>
  <c r="C82" i="50"/>
  <c r="G72" i="37"/>
  <c r="G73" i="37"/>
  <c r="G74" i="37"/>
  <c r="G75" i="37"/>
  <c r="Y458" i="71"/>
  <c r="X458" i="71"/>
  <c r="A458" i="71"/>
  <c r="Y457" i="71"/>
  <c r="X457" i="71"/>
  <c r="D457" i="71"/>
  <c r="Y456" i="71"/>
  <c r="X456" i="71"/>
  <c r="D456" i="71"/>
  <c r="Y455" i="71"/>
  <c r="X455" i="71"/>
  <c r="D455" i="71"/>
  <c r="Y454" i="71"/>
  <c r="X454" i="71"/>
  <c r="D454" i="71"/>
  <c r="D453" i="71"/>
  <c r="A453" i="71"/>
  <c r="A454" i="71"/>
  <c r="A455" i="71"/>
  <c r="A456" i="71"/>
  <c r="A457" i="71"/>
  <c r="X453" i="71"/>
  <c r="Y453" i="71"/>
  <c r="D133" i="33"/>
  <c r="D72" i="38" s="1"/>
  <c r="P15" i="73"/>
  <c r="C14" i="66"/>
  <c r="G69" i="37"/>
  <c r="G70" i="37"/>
  <c r="G71" i="37"/>
  <c r="G68" i="37"/>
  <c r="G64" i="37"/>
  <c r="G65" i="37"/>
  <c r="G66" i="37"/>
  <c r="G67" i="37"/>
  <c r="G63" i="37"/>
  <c r="D452" i="71"/>
  <c r="Y452" i="71"/>
  <c r="X452" i="71"/>
  <c r="Y451" i="71"/>
  <c r="X451" i="71"/>
  <c r="D451" i="71"/>
  <c r="Y450" i="71"/>
  <c r="X450" i="71"/>
  <c r="D450" i="71"/>
  <c r="A449" i="71"/>
  <c r="A450" i="71"/>
  <c r="A451" i="71"/>
  <c r="A452" i="71"/>
  <c r="Y449" i="71"/>
  <c r="X449" i="71"/>
  <c r="Y448" i="71"/>
  <c r="X448" i="71"/>
  <c r="D448" i="71"/>
  <c r="Y447" i="71"/>
  <c r="X447" i="71"/>
  <c r="D447" i="71"/>
  <c r="Y446" i="71"/>
  <c r="X446" i="71"/>
  <c r="D446" i="71"/>
  <c r="Y445" i="71"/>
  <c r="X445" i="71"/>
  <c r="D445" i="71"/>
  <c r="D444" i="71"/>
  <c r="A443" i="71"/>
  <c r="A444" i="71"/>
  <c r="A445" i="71"/>
  <c r="A446" i="71"/>
  <c r="A447" i="71"/>
  <c r="A448" i="71"/>
  <c r="X444" i="71"/>
  <c r="Y444" i="71"/>
  <c r="J128" i="33"/>
  <c r="Q22" i="73"/>
  <c r="Y443" i="71"/>
  <c r="X443" i="71"/>
  <c r="Y442" i="71"/>
  <c r="X442" i="71"/>
  <c r="D442" i="71"/>
  <c r="A442" i="71"/>
  <c r="Y441" i="71"/>
  <c r="X441" i="71"/>
  <c r="D441" i="71"/>
  <c r="Y440" i="71"/>
  <c r="X440" i="71"/>
  <c r="D440" i="71"/>
  <c r="D439" i="71"/>
  <c r="A439" i="71"/>
  <c r="A440" i="71"/>
  <c r="A441" i="71"/>
  <c r="X439" i="71"/>
  <c r="Y439" i="71"/>
  <c r="G62" i="37"/>
  <c r="E232" i="45" l="1"/>
  <c r="D114" i="49"/>
  <c r="E125" i="45"/>
  <c r="D46" i="98"/>
  <c r="D135" i="96"/>
  <c r="H28" i="38"/>
  <c r="E265" i="45"/>
  <c r="E53" i="45"/>
  <c r="D92" i="96"/>
  <c r="E50" i="45"/>
  <c r="D88" i="96"/>
  <c r="E72" i="45"/>
  <c r="D58" i="96"/>
  <c r="R143" i="33"/>
  <c r="R140" i="33"/>
  <c r="R141" i="33"/>
  <c r="H247" i="38"/>
  <c r="I247" i="38"/>
  <c r="D228" i="37"/>
  <c r="H189" i="38"/>
  <c r="I189" i="38"/>
  <c r="H155" i="38"/>
  <c r="I155" i="38"/>
  <c r="D216" i="37"/>
  <c r="D171" i="38"/>
  <c r="I130" i="33"/>
  <c r="D225" i="37"/>
  <c r="I73" i="38"/>
  <c r="H73" i="38"/>
  <c r="I72" i="38"/>
  <c r="H72" i="38"/>
  <c r="I28" i="38"/>
  <c r="D130" i="37"/>
  <c r="D69" i="38"/>
  <c r="D229" i="49" s="1"/>
  <c r="H61" i="38"/>
  <c r="I61" i="38"/>
  <c r="M132" i="33"/>
  <c r="D146" i="37"/>
  <c r="M134" i="33"/>
  <c r="D44" i="38"/>
  <c r="M133" i="33"/>
  <c r="D132" i="37"/>
  <c r="N143" i="33"/>
  <c r="N141" i="33"/>
  <c r="N140" i="33"/>
  <c r="M139" i="33"/>
  <c r="K139" i="33"/>
  <c r="J139" i="33"/>
  <c r="I139" i="33"/>
  <c r="L139" i="33"/>
  <c r="J138" i="33"/>
  <c r="L138" i="33"/>
  <c r="K138" i="33"/>
  <c r="I138" i="33"/>
  <c r="I137" i="33"/>
  <c r="J137" i="33"/>
  <c r="K137" i="33"/>
  <c r="L137" i="33"/>
  <c r="M137" i="33"/>
  <c r="I135" i="33"/>
  <c r="J135" i="33"/>
  <c r="K135" i="33"/>
  <c r="L135" i="33"/>
  <c r="M135" i="33"/>
  <c r="K134" i="33"/>
  <c r="I134" i="33"/>
  <c r="J134" i="33"/>
  <c r="L134" i="33"/>
  <c r="K133" i="33"/>
  <c r="L133" i="33"/>
  <c r="I133" i="33"/>
  <c r="J133" i="33"/>
  <c r="I132" i="33"/>
  <c r="J132" i="33"/>
  <c r="K132" i="33"/>
  <c r="L132" i="33"/>
  <c r="K130" i="33"/>
  <c r="M130" i="33"/>
  <c r="L130" i="33"/>
  <c r="J130" i="33"/>
  <c r="M128" i="33"/>
  <c r="L128" i="33"/>
  <c r="K128" i="33"/>
  <c r="R128" i="33" s="1"/>
  <c r="I128" i="33"/>
  <c r="G59" i="37"/>
  <c r="G60" i="37"/>
  <c r="G61" i="37"/>
  <c r="G58" i="37"/>
  <c r="Y438" i="71"/>
  <c r="X438" i="71"/>
  <c r="D438" i="71"/>
  <c r="Y437" i="71"/>
  <c r="X437" i="71"/>
  <c r="D437" i="71"/>
  <c r="Y436" i="71"/>
  <c r="X436" i="71"/>
  <c r="D436" i="71"/>
  <c r="A436" i="71"/>
  <c r="A437" i="71"/>
  <c r="A438" i="71"/>
  <c r="D136" i="33"/>
  <c r="D152" i="37" s="1"/>
  <c r="G53" i="37"/>
  <c r="G54" i="37"/>
  <c r="G55" i="37"/>
  <c r="G56" i="37"/>
  <c r="G57" i="37"/>
  <c r="G52" i="37"/>
  <c r="Y435" i="71"/>
  <c r="X435" i="71"/>
  <c r="Y434" i="71"/>
  <c r="X434" i="71"/>
  <c r="D434" i="71"/>
  <c r="Y433" i="71"/>
  <c r="X433" i="71"/>
  <c r="D433" i="71"/>
  <c r="A433" i="71"/>
  <c r="A434" i="71"/>
  <c r="A435" i="71"/>
  <c r="A432" i="71"/>
  <c r="Y432" i="71"/>
  <c r="X432" i="71"/>
  <c r="D432" i="71"/>
  <c r="D125" i="33"/>
  <c r="D129" i="33"/>
  <c r="Y431" i="71"/>
  <c r="X431" i="71"/>
  <c r="Y430" i="71"/>
  <c r="X430" i="71"/>
  <c r="D430" i="71"/>
  <c r="Y429" i="71"/>
  <c r="X429" i="71"/>
  <c r="D429" i="71"/>
  <c r="Y428" i="71"/>
  <c r="X428" i="71"/>
  <c r="D428" i="71"/>
  <c r="D427" i="71"/>
  <c r="A427" i="71"/>
  <c r="A428" i="71"/>
  <c r="A429" i="71"/>
  <c r="A430" i="71"/>
  <c r="A431" i="71"/>
  <c r="X427" i="71"/>
  <c r="Y427" i="71"/>
  <c r="I45" i="82"/>
  <c r="E195" i="45" l="1"/>
  <c r="D217" i="49"/>
  <c r="D26" i="98"/>
  <c r="D53" i="49"/>
  <c r="E115" i="45"/>
  <c r="D122" i="96"/>
  <c r="E52" i="45"/>
  <c r="D90" i="96"/>
  <c r="R139" i="33"/>
  <c r="R135" i="33"/>
  <c r="R132" i="33"/>
  <c r="R134" i="33"/>
  <c r="R138" i="33"/>
  <c r="R130" i="33"/>
  <c r="R133" i="33"/>
  <c r="R137" i="33"/>
  <c r="H171" i="38"/>
  <c r="I171" i="38"/>
  <c r="D224" i="37"/>
  <c r="D132" i="38"/>
  <c r="I69" i="38"/>
  <c r="H69" i="38"/>
  <c r="D62" i="38"/>
  <c r="D191" i="49" s="1"/>
  <c r="D145" i="37"/>
  <c r="I44" i="38"/>
  <c r="H44" i="38"/>
  <c r="D23" i="38"/>
  <c r="N139" i="33"/>
  <c r="N137" i="33"/>
  <c r="N135" i="33"/>
  <c r="L136" i="33"/>
  <c r="M136" i="33"/>
  <c r="I136" i="33"/>
  <c r="J136" i="33"/>
  <c r="K136" i="33"/>
  <c r="N132" i="33"/>
  <c r="N134" i="33"/>
  <c r="N133" i="33"/>
  <c r="N130" i="33"/>
  <c r="M129" i="33"/>
  <c r="J129" i="33"/>
  <c r="K129" i="33"/>
  <c r="L129" i="33"/>
  <c r="I129" i="33"/>
  <c r="N128" i="33"/>
  <c r="L126" i="33"/>
  <c r="M126" i="33"/>
  <c r="I126" i="33"/>
  <c r="J126" i="33"/>
  <c r="K126" i="33"/>
  <c r="I125" i="33"/>
  <c r="J125" i="33"/>
  <c r="K125" i="33"/>
  <c r="L125" i="33"/>
  <c r="M125" i="33"/>
  <c r="G49" i="37"/>
  <c r="G50" i="37"/>
  <c r="G51" i="37"/>
  <c r="G48" i="37"/>
  <c r="E11" i="38"/>
  <c r="G46" i="37"/>
  <c r="G47" i="37"/>
  <c r="G45" i="37"/>
  <c r="Y426" i="71"/>
  <c r="X426" i="71"/>
  <c r="A426" i="71"/>
  <c r="Y425" i="71"/>
  <c r="X425" i="71"/>
  <c r="D425" i="71"/>
  <c r="Y424" i="71"/>
  <c r="X424" i="71"/>
  <c r="D424" i="71"/>
  <c r="Y423" i="71"/>
  <c r="X423" i="71"/>
  <c r="D423" i="71"/>
  <c r="Y422" i="71"/>
  <c r="X422" i="71"/>
  <c r="D422" i="71"/>
  <c r="D421" i="71"/>
  <c r="A421" i="71"/>
  <c r="A422" i="71"/>
  <c r="A423" i="71"/>
  <c r="A424" i="71"/>
  <c r="A425" i="71"/>
  <c r="X421" i="71"/>
  <c r="Y421" i="71"/>
  <c r="D127" i="33"/>
  <c r="D131" i="33"/>
  <c r="D292" i="38" s="1"/>
  <c r="G42" i="37"/>
  <c r="G43" i="37"/>
  <c r="G44" i="37"/>
  <c r="G41" i="37"/>
  <c r="Y420" i="71"/>
  <c r="X420" i="71"/>
  <c r="D420" i="71"/>
  <c r="A420" i="71"/>
  <c r="Y419" i="71"/>
  <c r="X419" i="71"/>
  <c r="A419" i="71"/>
  <c r="D419" i="71"/>
  <c r="Y418" i="71"/>
  <c r="X418" i="71"/>
  <c r="D418" i="71"/>
  <c r="A418" i="71"/>
  <c r="D417" i="71"/>
  <c r="A417" i="71"/>
  <c r="X417" i="71"/>
  <c r="Y417" i="71"/>
  <c r="G38" i="37"/>
  <c r="G39" i="37"/>
  <c r="G40" i="37"/>
  <c r="G37" i="37"/>
  <c r="X415" i="71"/>
  <c r="Y415" i="71"/>
  <c r="X416" i="71"/>
  <c r="Y416" i="71"/>
  <c r="D415" i="71"/>
  <c r="Y414" i="71"/>
  <c r="X414" i="71"/>
  <c r="D414" i="71"/>
  <c r="Y413" i="71"/>
  <c r="X413" i="71"/>
  <c r="D413" i="71"/>
  <c r="Y412" i="71"/>
  <c r="X412" i="71"/>
  <c r="D412" i="71"/>
  <c r="D411" i="71"/>
  <c r="A411" i="71"/>
  <c r="A412" i="71"/>
  <c r="A413" i="71"/>
  <c r="A414" i="71"/>
  <c r="A415" i="71"/>
  <c r="A416" i="71"/>
  <c r="X411" i="71"/>
  <c r="Y411" i="71"/>
  <c r="D121" i="33"/>
  <c r="D120" i="33"/>
  <c r="Y410" i="71"/>
  <c r="X410" i="71"/>
  <c r="A410" i="71"/>
  <c r="Y409" i="71"/>
  <c r="X409" i="71"/>
  <c r="D409" i="71"/>
  <c r="A409" i="71"/>
  <c r="Y408" i="71"/>
  <c r="X408" i="71"/>
  <c r="D408" i="71"/>
  <c r="A408" i="71"/>
  <c r="Y407" i="71"/>
  <c r="X407" i="71"/>
  <c r="D407" i="71"/>
  <c r="A407" i="71"/>
  <c r="D406" i="71"/>
  <c r="A406" i="71"/>
  <c r="X406" i="71"/>
  <c r="Y406" i="71"/>
  <c r="E221" i="45" l="1"/>
  <c r="D149" i="49"/>
  <c r="D19" i="98"/>
  <c r="D50" i="49"/>
  <c r="E19" i="45"/>
  <c r="D216" i="49"/>
  <c r="E112" i="45"/>
  <c r="D129" i="96"/>
  <c r="E71" i="45"/>
  <c r="D55" i="96"/>
  <c r="R126" i="33"/>
  <c r="R125" i="33"/>
  <c r="R136" i="33"/>
  <c r="R129" i="33"/>
  <c r="H292" i="38"/>
  <c r="I292" i="38"/>
  <c r="D229" i="37"/>
  <c r="D277" i="37"/>
  <c r="D156" i="38"/>
  <c r="H132" i="38"/>
  <c r="I132" i="38"/>
  <c r="D131" i="37"/>
  <c r="D76" i="38"/>
  <c r="I62" i="38"/>
  <c r="H62" i="38"/>
  <c r="H23" i="38"/>
  <c r="D76" i="37"/>
  <c r="D41" i="38"/>
  <c r="D198" i="49" s="1"/>
  <c r="I23" i="38"/>
  <c r="N136" i="33"/>
  <c r="M131" i="33"/>
  <c r="J131" i="33"/>
  <c r="L131" i="33"/>
  <c r="K131" i="33"/>
  <c r="I131" i="33"/>
  <c r="N129" i="33"/>
  <c r="I127" i="33"/>
  <c r="M127" i="33"/>
  <c r="J127" i="33"/>
  <c r="K127" i="33"/>
  <c r="L127" i="33"/>
  <c r="N125" i="33"/>
  <c r="N126" i="33"/>
  <c r="L121" i="33"/>
  <c r="M121" i="33"/>
  <c r="I121" i="33"/>
  <c r="J121" i="33"/>
  <c r="K121" i="33"/>
  <c r="I120" i="33"/>
  <c r="J120" i="33"/>
  <c r="K120" i="33"/>
  <c r="L120" i="33"/>
  <c r="M120" i="33"/>
  <c r="I122" i="33"/>
  <c r="J122" i="33"/>
  <c r="K122" i="33"/>
  <c r="L122" i="33"/>
  <c r="M122" i="33"/>
  <c r="G36" i="37"/>
  <c r="G35" i="37"/>
  <c r="G34" i="37"/>
  <c r="G33" i="37"/>
  <c r="G32" i="37"/>
  <c r="G31" i="37"/>
  <c r="D21" i="98" l="1"/>
  <c r="D52" i="49"/>
  <c r="E114" i="45"/>
  <c r="D123" i="96"/>
  <c r="E49" i="45"/>
  <c r="D91" i="96"/>
  <c r="E13" i="45"/>
  <c r="D61" i="96"/>
  <c r="R122" i="33"/>
  <c r="R121" i="33"/>
  <c r="R127" i="33"/>
  <c r="R120" i="33"/>
  <c r="R131" i="33"/>
  <c r="H156" i="38"/>
  <c r="I156" i="38"/>
  <c r="I76" i="38"/>
  <c r="H76" i="38"/>
  <c r="H41" i="38"/>
  <c r="I41" i="38"/>
  <c r="N131" i="33"/>
  <c r="N127" i="33"/>
  <c r="N121" i="33"/>
  <c r="N120" i="33"/>
  <c r="N122" i="33"/>
  <c r="Y405" i="71"/>
  <c r="X405" i="71"/>
  <c r="D405" i="71"/>
  <c r="Y404" i="71"/>
  <c r="X404" i="71"/>
  <c r="D404" i="71"/>
  <c r="Y403" i="71"/>
  <c r="X403" i="71"/>
  <c r="D403" i="71"/>
  <c r="D402" i="71"/>
  <c r="A402" i="71"/>
  <c r="A403" i="71"/>
  <c r="A404" i="71"/>
  <c r="A405" i="71"/>
  <c r="X402" i="71"/>
  <c r="Y402" i="71"/>
  <c r="Y396" i="71"/>
  <c r="X396" i="71"/>
  <c r="D396" i="71"/>
  <c r="A395" i="71"/>
  <c r="A396" i="71"/>
  <c r="A397" i="71"/>
  <c r="A398" i="71"/>
  <c r="A399" i="71"/>
  <c r="A400" i="71"/>
  <c r="A401" i="71"/>
  <c r="Y401" i="71"/>
  <c r="X401" i="71"/>
  <c r="Y400" i="71"/>
  <c r="X400" i="71"/>
  <c r="D400" i="71"/>
  <c r="Y399" i="71"/>
  <c r="X399" i="71"/>
  <c r="D399" i="71"/>
  <c r="Y398" i="71"/>
  <c r="X398" i="71"/>
  <c r="D398" i="71"/>
  <c r="Y397" i="71"/>
  <c r="X397" i="71"/>
  <c r="D397" i="71"/>
  <c r="Y395" i="71"/>
  <c r="X395" i="71"/>
  <c r="Y394" i="71"/>
  <c r="X394" i="71"/>
  <c r="D394" i="71"/>
  <c r="Y393" i="71"/>
  <c r="X393" i="71"/>
  <c r="D393" i="71"/>
  <c r="Y392" i="71"/>
  <c r="X392" i="71"/>
  <c r="D392" i="71"/>
  <c r="A394" i="71"/>
  <c r="A393" i="71"/>
  <c r="A392" i="71"/>
  <c r="G30" i="37"/>
  <c r="G29" i="37"/>
  <c r="G28" i="37"/>
  <c r="G27" i="37"/>
  <c r="G26" i="37"/>
  <c r="G25" i="37"/>
  <c r="D123" i="33"/>
  <c r="D115" i="33"/>
  <c r="D217" i="37" s="1"/>
  <c r="D116" i="33"/>
  <c r="D118" i="33"/>
  <c r="Y391" i="71"/>
  <c r="X391" i="71"/>
  <c r="A391" i="71"/>
  <c r="Y390" i="71"/>
  <c r="X390" i="71"/>
  <c r="D390" i="71"/>
  <c r="A390" i="71"/>
  <c r="Y389" i="71"/>
  <c r="X389" i="71"/>
  <c r="D389" i="71"/>
  <c r="A389" i="71"/>
  <c r="Y388" i="71"/>
  <c r="X388" i="71"/>
  <c r="D388" i="71"/>
  <c r="A388" i="71"/>
  <c r="A387" i="71"/>
  <c r="Y387" i="71"/>
  <c r="X387" i="71"/>
  <c r="D387" i="71"/>
  <c r="D124" i="33"/>
  <c r="X383" i="71"/>
  <c r="Y383" i="71"/>
  <c r="X384" i="71"/>
  <c r="Y384" i="71"/>
  <c r="X385" i="71"/>
  <c r="Y385" i="71"/>
  <c r="X386" i="71"/>
  <c r="Y386" i="71"/>
  <c r="D386" i="71"/>
  <c r="D385" i="71"/>
  <c r="D384" i="71"/>
  <c r="D383" i="71"/>
  <c r="Y382" i="71"/>
  <c r="X382" i="71"/>
  <c r="D382" i="71"/>
  <c r="A382" i="71"/>
  <c r="A383" i="71"/>
  <c r="A384" i="71"/>
  <c r="A385" i="71"/>
  <c r="A386" i="71"/>
  <c r="Y381" i="71"/>
  <c r="X381" i="71"/>
  <c r="A381" i="71"/>
  <c r="Y380" i="71"/>
  <c r="X380" i="71"/>
  <c r="D380" i="71"/>
  <c r="Y379" i="71"/>
  <c r="X379" i="71"/>
  <c r="D379" i="71"/>
  <c r="Y378" i="71"/>
  <c r="X378" i="71"/>
  <c r="D378" i="71"/>
  <c r="Y377" i="71"/>
  <c r="X377" i="71"/>
  <c r="D377" i="71"/>
  <c r="A377" i="71"/>
  <c r="A378" i="71"/>
  <c r="A379" i="71"/>
  <c r="A380" i="71"/>
  <c r="D292" i="37"/>
  <c r="K114" i="33"/>
  <c r="C20" i="50"/>
  <c r="C81" i="50"/>
  <c r="C80" i="50"/>
  <c r="C79" i="50"/>
  <c r="Y376" i="71"/>
  <c r="X376" i="71"/>
  <c r="A376" i="71"/>
  <c r="D375" i="71"/>
  <c r="A375" i="71"/>
  <c r="Y375" i="71"/>
  <c r="X375" i="71"/>
  <c r="Y374" i="71"/>
  <c r="X374" i="71"/>
  <c r="D374" i="71"/>
  <c r="A374" i="71"/>
  <c r="Y373" i="71"/>
  <c r="X373" i="71"/>
  <c r="D373" i="71"/>
  <c r="A373" i="71"/>
  <c r="D110" i="33"/>
  <c r="D111" i="33"/>
  <c r="D111" i="38" s="1"/>
  <c r="D109" i="33"/>
  <c r="D170" i="38" s="1"/>
  <c r="L108" i="33"/>
  <c r="D42" i="98" l="1"/>
  <c r="D42" i="49"/>
  <c r="D71" i="98"/>
  <c r="D61" i="49"/>
  <c r="E169" i="45"/>
  <c r="D132" i="96"/>
  <c r="E96" i="45"/>
  <c r="D119" i="96"/>
  <c r="D50" i="37"/>
  <c r="D276" i="38"/>
  <c r="H170" i="38"/>
  <c r="I170" i="38"/>
  <c r="D98" i="37"/>
  <c r="D143" i="38"/>
  <c r="D45" i="49" s="1"/>
  <c r="H111" i="38"/>
  <c r="I111" i="38"/>
  <c r="D121" i="37"/>
  <c r="D70" i="38"/>
  <c r="D62" i="49" s="1"/>
  <c r="D19" i="38"/>
  <c r="D25" i="38"/>
  <c r="D205" i="49" s="1"/>
  <c r="D87" i="37"/>
  <c r="M123" i="33"/>
  <c r="I109" i="33"/>
  <c r="D99" i="37"/>
  <c r="L110" i="33"/>
  <c r="D81" i="37"/>
  <c r="I124" i="33"/>
  <c r="J124" i="33"/>
  <c r="K124" i="33"/>
  <c r="L124" i="33"/>
  <c r="J123" i="33"/>
  <c r="K123" i="33"/>
  <c r="L123" i="33"/>
  <c r="I123" i="33"/>
  <c r="J118" i="33"/>
  <c r="K118" i="33"/>
  <c r="L118" i="33"/>
  <c r="M118" i="33"/>
  <c r="I118" i="33"/>
  <c r="K119" i="33"/>
  <c r="I119" i="33"/>
  <c r="L119" i="33"/>
  <c r="J119" i="33"/>
  <c r="L116" i="33"/>
  <c r="M116" i="33"/>
  <c r="K116" i="33"/>
  <c r="I116" i="33"/>
  <c r="J116" i="33"/>
  <c r="I115" i="33"/>
  <c r="J115" i="33"/>
  <c r="K115" i="33"/>
  <c r="L115" i="33"/>
  <c r="M115" i="33"/>
  <c r="I117" i="33"/>
  <c r="J117" i="33"/>
  <c r="K117" i="33"/>
  <c r="M117" i="33"/>
  <c r="L117" i="33"/>
  <c r="J111" i="33"/>
  <c r="D36" i="37"/>
  <c r="M114" i="33"/>
  <c r="M111" i="33"/>
  <c r="L111" i="33"/>
  <c r="J114" i="33"/>
  <c r="R114" i="33" s="1"/>
  <c r="I111" i="33"/>
  <c r="I114" i="33"/>
  <c r="L114" i="33"/>
  <c r="K111" i="33"/>
  <c r="J110" i="33"/>
  <c r="K110" i="33"/>
  <c r="I110" i="33"/>
  <c r="M109" i="33"/>
  <c r="L109" i="33"/>
  <c r="K109" i="33"/>
  <c r="M110" i="33"/>
  <c r="J109" i="33"/>
  <c r="K108" i="33"/>
  <c r="J108" i="33"/>
  <c r="I108" i="33"/>
  <c r="M108" i="33"/>
  <c r="Y372" i="71"/>
  <c r="X372" i="71"/>
  <c r="A372" i="71"/>
  <c r="D372" i="71"/>
  <c r="Y371" i="71"/>
  <c r="X371" i="71"/>
  <c r="D371" i="71"/>
  <c r="A371" i="71"/>
  <c r="Y370" i="71"/>
  <c r="X370" i="71"/>
  <c r="A370" i="71"/>
  <c r="D370" i="71"/>
  <c r="D369" i="71"/>
  <c r="X369" i="71"/>
  <c r="Y369" i="71"/>
  <c r="A369" i="71"/>
  <c r="D113" i="33"/>
  <c r="C65" i="50"/>
  <c r="E240" i="45" l="1"/>
  <c r="D145" i="49"/>
  <c r="E17" i="45"/>
  <c r="D215" i="49"/>
  <c r="E107" i="45"/>
  <c r="D34" i="98"/>
  <c r="E171" i="45"/>
  <c r="D50" i="98"/>
  <c r="E7" i="45"/>
  <c r="D69" i="96"/>
  <c r="R115" i="33"/>
  <c r="R108" i="33"/>
  <c r="R117" i="33"/>
  <c r="R123" i="33"/>
  <c r="R116" i="33"/>
  <c r="R110" i="33"/>
  <c r="R124" i="33"/>
  <c r="R109" i="33"/>
  <c r="R111" i="33"/>
  <c r="R119" i="33"/>
  <c r="R118" i="33"/>
  <c r="H276" i="38"/>
  <c r="I276" i="38"/>
  <c r="H143" i="38"/>
  <c r="I143" i="38"/>
  <c r="I70" i="38"/>
  <c r="H70" i="38"/>
  <c r="I19" i="38"/>
  <c r="I25" i="38"/>
  <c r="H19" i="38"/>
  <c r="H25" i="38"/>
  <c r="D86" i="37"/>
  <c r="D29" i="38"/>
  <c r="N123" i="33"/>
  <c r="N118" i="33"/>
  <c r="N116" i="33"/>
  <c r="N115" i="33"/>
  <c r="N117" i="33"/>
  <c r="N114" i="33"/>
  <c r="J113" i="33"/>
  <c r="I113" i="33"/>
  <c r="L113" i="33"/>
  <c r="M113" i="33"/>
  <c r="K113" i="33"/>
  <c r="N111" i="33"/>
  <c r="N109" i="33"/>
  <c r="N110" i="33"/>
  <c r="N108" i="33"/>
  <c r="D105" i="33"/>
  <c r="M148" i="33"/>
  <c r="C75" i="50"/>
  <c r="C76" i="50"/>
  <c r="C77" i="50"/>
  <c r="C78" i="50"/>
  <c r="C74" i="50"/>
  <c r="C72" i="50"/>
  <c r="C73" i="50"/>
  <c r="C67" i="50"/>
  <c r="D112" i="33"/>
  <c r="D287" i="38" s="1"/>
  <c r="D106" i="33"/>
  <c r="D107" i="33"/>
  <c r="D313" i="37" s="1"/>
  <c r="D18" i="99" s="1"/>
  <c r="X368" i="71"/>
  <c r="Y368" i="71"/>
  <c r="D368" i="71"/>
  <c r="X366" i="71"/>
  <c r="Y366" i="71"/>
  <c r="X367" i="71"/>
  <c r="Y367" i="71"/>
  <c r="D367" i="71"/>
  <c r="D366" i="71"/>
  <c r="D365" i="71"/>
  <c r="A365" i="71"/>
  <c r="A366" i="71"/>
  <c r="A367" i="71"/>
  <c r="A368" i="71"/>
  <c r="X365" i="71"/>
  <c r="Y365" i="71"/>
  <c r="G39" i="73"/>
  <c r="G35" i="73"/>
  <c r="G29" i="73"/>
  <c r="Y159" i="71"/>
  <c r="X159" i="71"/>
  <c r="E242" i="45" l="1"/>
  <c r="D143" i="49"/>
  <c r="E194" i="45"/>
  <c r="D214" i="49"/>
  <c r="R113" i="33"/>
  <c r="H287" i="38"/>
  <c r="I287" i="38"/>
  <c r="D251" i="38"/>
  <c r="D54" i="37"/>
  <c r="D201" i="38"/>
  <c r="N148" i="33"/>
  <c r="D107" i="38"/>
  <c r="D85" i="37"/>
  <c r="D35" i="38"/>
  <c r="I29" i="38"/>
  <c r="H29" i="38"/>
  <c r="D80" i="37"/>
  <c r="D15" i="38"/>
  <c r="M119" i="33"/>
  <c r="N338" i="33"/>
  <c r="N113" i="33"/>
  <c r="M112" i="33"/>
  <c r="I112" i="33"/>
  <c r="J112" i="33"/>
  <c r="K112" i="33"/>
  <c r="L112" i="33"/>
  <c r="I107" i="33"/>
  <c r="J107" i="33"/>
  <c r="K107" i="33"/>
  <c r="L107" i="33"/>
  <c r="I106" i="33"/>
  <c r="J106" i="33"/>
  <c r="K106" i="33"/>
  <c r="L106" i="33"/>
  <c r="M106" i="33"/>
  <c r="I105" i="33"/>
  <c r="J105" i="33"/>
  <c r="K105" i="33"/>
  <c r="L105" i="33"/>
  <c r="M105" i="33"/>
  <c r="E196" i="45" l="1"/>
  <c r="D221" i="49"/>
  <c r="E225" i="45"/>
  <c r="D147" i="49"/>
  <c r="E16" i="45"/>
  <c r="D213" i="49"/>
  <c r="R107" i="33"/>
  <c r="E6" i="45"/>
  <c r="D66" i="96"/>
  <c r="R106" i="33"/>
  <c r="R112" i="33"/>
  <c r="R105" i="33"/>
  <c r="H251" i="38"/>
  <c r="I251" i="38"/>
  <c r="H201" i="38"/>
  <c r="I201" i="38"/>
  <c r="N119" i="33"/>
  <c r="H107" i="38"/>
  <c r="I107" i="38"/>
  <c r="I35" i="38"/>
  <c r="H35" i="38"/>
  <c r="I15" i="38"/>
  <c r="H15" i="38"/>
  <c r="N112" i="33"/>
  <c r="N106" i="33"/>
  <c r="N105" i="33"/>
  <c r="Y364" i="71"/>
  <c r="X364" i="71"/>
  <c r="D364" i="71"/>
  <c r="A364" i="71"/>
  <c r="Y363" i="71"/>
  <c r="X363" i="71"/>
  <c r="D363" i="71"/>
  <c r="Y362" i="71"/>
  <c r="X362" i="71"/>
  <c r="D362" i="71"/>
  <c r="Y361" i="71"/>
  <c r="X361" i="71"/>
  <c r="D361" i="71"/>
  <c r="Y360" i="71"/>
  <c r="X360" i="71"/>
  <c r="D360" i="71"/>
  <c r="Y359" i="71"/>
  <c r="X359" i="71"/>
  <c r="D359" i="71"/>
  <c r="A359" i="71"/>
  <c r="A360" i="71"/>
  <c r="A361" i="71"/>
  <c r="A362" i="71"/>
  <c r="A363" i="71"/>
  <c r="Y358" i="71" l="1"/>
  <c r="X358" i="71"/>
  <c r="D358" i="71"/>
  <c r="A358" i="71"/>
  <c r="Y357" i="71"/>
  <c r="X357" i="71"/>
  <c r="D357" i="71"/>
  <c r="Y356" i="71"/>
  <c r="X356" i="71"/>
  <c r="D356" i="71"/>
  <c r="Y355" i="71"/>
  <c r="X355" i="71"/>
  <c r="D355" i="71"/>
  <c r="Y354" i="71"/>
  <c r="X354" i="71"/>
  <c r="D354" i="71"/>
  <c r="Y353" i="71"/>
  <c r="X353" i="71"/>
  <c r="D353" i="71"/>
  <c r="A355" i="71"/>
  <c r="A356" i="71"/>
  <c r="A357" i="71"/>
  <c r="A354" i="71"/>
  <c r="A353" i="71"/>
  <c r="D104" i="33"/>
  <c r="E7" i="38"/>
  <c r="Y352" i="71"/>
  <c r="X352" i="71"/>
  <c r="D352" i="71"/>
  <c r="Y351" i="71"/>
  <c r="X351" i="71"/>
  <c r="D351" i="71"/>
  <c r="Y350" i="71"/>
  <c r="X350" i="71"/>
  <c r="D350" i="71"/>
  <c r="Y349" i="71"/>
  <c r="X349" i="71"/>
  <c r="D349" i="71"/>
  <c r="A349" i="71"/>
  <c r="A350" i="71"/>
  <c r="A351" i="71"/>
  <c r="A352" i="71"/>
  <c r="D100" i="33"/>
  <c r="D149" i="37" s="1"/>
  <c r="D33" i="37" l="1"/>
  <c r="D163" i="38"/>
  <c r="D54" i="49" s="1"/>
  <c r="I104" i="33"/>
  <c r="J104" i="33"/>
  <c r="K104" i="33"/>
  <c r="L104" i="33"/>
  <c r="M104" i="33"/>
  <c r="I100" i="33"/>
  <c r="J100" i="33"/>
  <c r="K100" i="33"/>
  <c r="L100" i="33"/>
  <c r="M100" i="33"/>
  <c r="M7" i="43"/>
  <c r="E116" i="45" l="1"/>
  <c r="D30" i="98"/>
  <c r="R104" i="33"/>
  <c r="R100" i="33"/>
  <c r="H163" i="38"/>
  <c r="I163" i="38"/>
  <c r="N104" i="33"/>
  <c r="N100" i="33"/>
  <c r="Y348" i="71"/>
  <c r="X348" i="71"/>
  <c r="D348" i="71"/>
  <c r="A348" i="71"/>
  <c r="Y347" i="71"/>
  <c r="X347" i="71"/>
  <c r="D347" i="71"/>
  <c r="A347" i="71"/>
  <c r="Y346" i="71"/>
  <c r="X346" i="71"/>
  <c r="D346" i="71"/>
  <c r="Y345" i="71"/>
  <c r="X345" i="71"/>
  <c r="D345" i="71"/>
  <c r="Y344" i="71"/>
  <c r="X344" i="71"/>
  <c r="D344" i="71"/>
  <c r="D343" i="71"/>
  <c r="A343" i="71"/>
  <c r="A344" i="71"/>
  <c r="A345" i="71"/>
  <c r="A346" i="71"/>
  <c r="X343" i="71"/>
  <c r="Y343" i="71"/>
  <c r="D101" i="33"/>
  <c r="D103" i="33"/>
  <c r="Y342" i="71"/>
  <c r="X342" i="71"/>
  <c r="D342" i="71"/>
  <c r="A342" i="71"/>
  <c r="Y341" i="71"/>
  <c r="X341" i="71"/>
  <c r="D341" i="71"/>
  <c r="A341" i="71"/>
  <c r="Y340" i="71"/>
  <c r="X340" i="71"/>
  <c r="A340" i="71"/>
  <c r="D340" i="71"/>
  <c r="Y339" i="71"/>
  <c r="X339" i="71"/>
  <c r="X337" i="71"/>
  <c r="Y337" i="71"/>
  <c r="X338" i="71"/>
  <c r="Y338" i="71"/>
  <c r="A337" i="71"/>
  <c r="A338" i="71"/>
  <c r="A339" i="71"/>
  <c r="D337" i="71"/>
  <c r="D338" i="71"/>
  <c r="D339" i="71"/>
  <c r="D93" i="37" l="1"/>
  <c r="D304" i="38"/>
  <c r="D100" i="37"/>
  <c r="D209" i="38"/>
  <c r="D26" i="49" s="1"/>
  <c r="I103" i="33"/>
  <c r="J103" i="33"/>
  <c r="K103" i="33"/>
  <c r="L103" i="33"/>
  <c r="K101" i="33"/>
  <c r="L101" i="33"/>
  <c r="J101" i="33"/>
  <c r="M101" i="33"/>
  <c r="I101" i="33"/>
  <c r="J165" i="81"/>
  <c r="E267" i="45" l="1"/>
  <c r="D223" i="49"/>
  <c r="E166" i="45"/>
  <c r="D78" i="98"/>
  <c r="R101" i="33"/>
  <c r="R103" i="33"/>
  <c r="H304" i="38"/>
  <c r="I304" i="38"/>
  <c r="H209" i="38"/>
  <c r="I209" i="38"/>
  <c r="N101" i="33"/>
  <c r="X335" i="71"/>
  <c r="Y335" i="71"/>
  <c r="X336" i="71"/>
  <c r="Y336" i="71"/>
  <c r="D336" i="71"/>
  <c r="D335" i="71"/>
  <c r="Y334" i="71"/>
  <c r="X334" i="71"/>
  <c r="D334" i="71"/>
  <c r="Y333" i="71"/>
  <c r="X333" i="71"/>
  <c r="D333" i="71"/>
  <c r="A333" i="71"/>
  <c r="A334" i="71"/>
  <c r="A335" i="71"/>
  <c r="A336" i="71"/>
  <c r="D97" i="33"/>
  <c r="Y332" i="71"/>
  <c r="X332" i="71"/>
  <c r="D332" i="71"/>
  <c r="Y331" i="71"/>
  <c r="X331" i="71"/>
  <c r="D331" i="71"/>
  <c r="D330" i="71"/>
  <c r="X330" i="71"/>
  <c r="Y330" i="71"/>
  <c r="A330" i="71"/>
  <c r="A331" i="71"/>
  <c r="A332" i="71"/>
  <c r="Y329" i="71"/>
  <c r="X329" i="71"/>
  <c r="D329" i="71"/>
  <c r="D328" i="71"/>
  <c r="D327" i="71"/>
  <c r="D326" i="71"/>
  <c r="D325" i="71"/>
  <c r="Y328" i="71"/>
  <c r="X328" i="71"/>
  <c r="Y327" i="71"/>
  <c r="X327" i="71"/>
  <c r="Y326" i="71"/>
  <c r="X326" i="71"/>
  <c r="Y325" i="71"/>
  <c r="X325" i="71"/>
  <c r="Y324" i="71"/>
  <c r="X324" i="71"/>
  <c r="D324" i="71"/>
  <c r="A324" i="71"/>
  <c r="A325" i="71"/>
  <c r="A326" i="71"/>
  <c r="A327" i="71"/>
  <c r="A328" i="71"/>
  <c r="A329" i="71"/>
  <c r="D95" i="33"/>
  <c r="D96" i="33"/>
  <c r="D102" i="33"/>
  <c r="D92" i="37" l="1"/>
  <c r="D302" i="38"/>
  <c r="D272" i="37"/>
  <c r="D185" i="38"/>
  <c r="D119" i="37"/>
  <c r="D115" i="38"/>
  <c r="D79" i="37"/>
  <c r="D32" i="38"/>
  <c r="D202" i="49" s="1"/>
  <c r="J102" i="33"/>
  <c r="I102" i="33"/>
  <c r="K102" i="33"/>
  <c r="L102" i="33"/>
  <c r="I97" i="33"/>
  <c r="J97" i="33"/>
  <c r="K97" i="33"/>
  <c r="M97" i="33"/>
  <c r="L97" i="33"/>
  <c r="J96" i="33"/>
  <c r="K96" i="33"/>
  <c r="L96" i="33"/>
  <c r="M96" i="33"/>
  <c r="I96" i="33"/>
  <c r="K95" i="33"/>
  <c r="M95" i="33"/>
  <c r="I95" i="33"/>
  <c r="J95" i="33"/>
  <c r="L95" i="33"/>
  <c r="C27" i="66"/>
  <c r="C26" i="66"/>
  <c r="C25" i="66"/>
  <c r="E6" i="38"/>
  <c r="X323" i="71"/>
  <c r="Y323" i="71"/>
  <c r="D323" i="71"/>
  <c r="Y322" i="71"/>
  <c r="X322" i="71"/>
  <c r="D322" i="71"/>
  <c r="A322" i="71"/>
  <c r="Y321" i="71"/>
  <c r="X321" i="71"/>
  <c r="D321" i="71"/>
  <c r="Y320" i="71"/>
  <c r="X320" i="71"/>
  <c r="D320" i="71"/>
  <c r="Y319" i="71"/>
  <c r="X319" i="71"/>
  <c r="D319" i="71"/>
  <c r="A319" i="71"/>
  <c r="A320" i="71"/>
  <c r="A321" i="71"/>
  <c r="A323" i="71"/>
  <c r="Y294" i="71"/>
  <c r="X294" i="71"/>
  <c r="D294" i="71"/>
  <c r="A294" i="71"/>
  <c r="Y318" i="71"/>
  <c r="X318" i="71"/>
  <c r="D318" i="71"/>
  <c r="A318" i="71"/>
  <c r="Y317" i="71"/>
  <c r="X317" i="71"/>
  <c r="D317" i="71"/>
  <c r="A317" i="71"/>
  <c r="Y316" i="71"/>
  <c r="X316" i="71"/>
  <c r="D316" i="71"/>
  <c r="A316" i="71"/>
  <c r="Y315" i="71"/>
  <c r="X315" i="71"/>
  <c r="D315" i="71"/>
  <c r="A315" i="71"/>
  <c r="D93" i="33"/>
  <c r="D92" i="33"/>
  <c r="Y314" i="71"/>
  <c r="X314" i="71"/>
  <c r="D314" i="71"/>
  <c r="A314" i="71"/>
  <c r="Y313" i="71"/>
  <c r="X313" i="71"/>
  <c r="D313" i="71"/>
  <c r="A313" i="71"/>
  <c r="Y312" i="71"/>
  <c r="X312" i="71"/>
  <c r="D312" i="71"/>
  <c r="A312" i="71"/>
  <c r="Y311" i="71"/>
  <c r="X311" i="71"/>
  <c r="D311" i="71"/>
  <c r="Y310" i="71"/>
  <c r="X310" i="71"/>
  <c r="D310" i="71"/>
  <c r="Y309" i="71"/>
  <c r="X309" i="71"/>
  <c r="D309" i="71"/>
  <c r="D308" i="71"/>
  <c r="X308" i="71"/>
  <c r="Y308" i="71"/>
  <c r="A311" i="71"/>
  <c r="A310" i="71"/>
  <c r="A309" i="71"/>
  <c r="A308" i="71"/>
  <c r="D94" i="33"/>
  <c r="D90" i="33"/>
  <c r="D144" i="38" s="1"/>
  <c r="D98" i="33"/>
  <c r="Y307" i="71"/>
  <c r="X307" i="71"/>
  <c r="D307" i="71"/>
  <c r="Y306" i="71"/>
  <c r="X306" i="71"/>
  <c r="D306" i="71"/>
  <c r="Y305" i="71"/>
  <c r="X305" i="71"/>
  <c r="D305" i="71"/>
  <c r="Y304" i="71"/>
  <c r="X304" i="71"/>
  <c r="D304" i="71"/>
  <c r="Y303" i="71"/>
  <c r="X303" i="71"/>
  <c r="D303" i="71"/>
  <c r="A304" i="71"/>
  <c r="A305" i="71"/>
  <c r="A306" i="71"/>
  <c r="A307" i="71"/>
  <c r="D91" i="37"/>
  <c r="Y302" i="71"/>
  <c r="X302" i="71"/>
  <c r="D302" i="71"/>
  <c r="Y301" i="71"/>
  <c r="X301" i="71"/>
  <c r="D301" i="71"/>
  <c r="Y300" i="71"/>
  <c r="X300" i="71"/>
  <c r="D300" i="71"/>
  <c r="Y299" i="71"/>
  <c r="X299" i="71"/>
  <c r="D299" i="71"/>
  <c r="Y298" i="71"/>
  <c r="X298" i="71"/>
  <c r="D298" i="71"/>
  <c r="A298" i="71"/>
  <c r="A299" i="71"/>
  <c r="A300" i="71"/>
  <c r="A301" i="71"/>
  <c r="A302" i="71"/>
  <c r="A303" i="71"/>
  <c r="D89" i="33"/>
  <c r="Y297" i="71"/>
  <c r="X297" i="71"/>
  <c r="D297" i="71"/>
  <c r="Y296" i="71"/>
  <c r="X296" i="71"/>
  <c r="D296" i="71"/>
  <c r="Y295" i="71"/>
  <c r="X295" i="71"/>
  <c r="D295" i="71"/>
  <c r="Y293" i="71"/>
  <c r="X293" i="71"/>
  <c r="D293" i="71"/>
  <c r="Y292" i="71"/>
  <c r="X292" i="71"/>
  <c r="D292" i="71"/>
  <c r="Y291" i="71"/>
  <c r="X291" i="71"/>
  <c r="D291" i="71"/>
  <c r="A291" i="71"/>
  <c r="A292" i="71"/>
  <c r="A293" i="71"/>
  <c r="A295" i="71"/>
  <c r="A296" i="71"/>
  <c r="A297" i="71"/>
  <c r="D88" i="33"/>
  <c r="D212" i="38" s="1"/>
  <c r="B21" i="37"/>
  <c r="B20" i="37"/>
  <c r="B19" i="37"/>
  <c r="Y290" i="71"/>
  <c r="X290" i="71"/>
  <c r="D290" i="71"/>
  <c r="Y289" i="71"/>
  <c r="X289" i="71"/>
  <c r="D289" i="71"/>
  <c r="Y288" i="71"/>
  <c r="X288" i="71"/>
  <c r="D288" i="71"/>
  <c r="Y287" i="71"/>
  <c r="X287" i="71"/>
  <c r="D287" i="71"/>
  <c r="Y286" i="71"/>
  <c r="X286" i="71"/>
  <c r="D286" i="71"/>
  <c r="A287" i="71"/>
  <c r="A288" i="71"/>
  <c r="A289" i="71"/>
  <c r="A290" i="71"/>
  <c r="D285" i="71"/>
  <c r="D284" i="71"/>
  <c r="D283" i="71"/>
  <c r="D282" i="71"/>
  <c r="D281" i="71"/>
  <c r="X284" i="71"/>
  <c r="Y284" i="71"/>
  <c r="X285" i="71"/>
  <c r="Y285" i="71"/>
  <c r="A284" i="71"/>
  <c r="A285" i="71"/>
  <c r="A286" i="71"/>
  <c r="A283" i="71"/>
  <c r="Y283" i="71"/>
  <c r="X283" i="71"/>
  <c r="A282" i="71"/>
  <c r="Y282" i="71"/>
  <c r="X282" i="71"/>
  <c r="Y281" i="71"/>
  <c r="X281" i="71"/>
  <c r="A281" i="71"/>
  <c r="D99" i="33"/>
  <c r="D86" i="33"/>
  <c r="D145" i="38" s="1"/>
  <c r="D34" i="38"/>
  <c r="D83" i="33"/>
  <c r="Y280" i="71"/>
  <c r="X280" i="71"/>
  <c r="D280" i="71"/>
  <c r="A280" i="71"/>
  <c r="D279" i="71"/>
  <c r="X279" i="71"/>
  <c r="Y279" i="71"/>
  <c r="A279" i="71"/>
  <c r="D85" i="33"/>
  <c r="D30" i="38" s="1"/>
  <c r="D206" i="49" s="1"/>
  <c r="D81" i="33"/>
  <c r="D46" i="38" s="1"/>
  <c r="D197" i="49" s="1"/>
  <c r="X275" i="71"/>
  <c r="Y275" i="71"/>
  <c r="X276" i="71"/>
  <c r="Y276" i="71"/>
  <c r="X277" i="71"/>
  <c r="Y277" i="71"/>
  <c r="X278" i="71"/>
  <c r="Y278" i="71"/>
  <c r="A278" i="71"/>
  <c r="D278" i="71"/>
  <c r="D277" i="71"/>
  <c r="A277" i="71"/>
  <c r="A276" i="71"/>
  <c r="D276" i="71"/>
  <c r="D275" i="71"/>
  <c r="A275" i="71"/>
  <c r="A274" i="71"/>
  <c r="D274" i="71"/>
  <c r="X274" i="71"/>
  <c r="Y274" i="71"/>
  <c r="D79" i="33"/>
  <c r="D82" i="33"/>
  <c r="D194" i="38" s="1"/>
  <c r="D28" i="49" s="1"/>
  <c r="D22" i="98" l="1"/>
  <c r="D49" i="49"/>
  <c r="D20" i="98"/>
  <c r="D51" i="49"/>
  <c r="E95" i="45"/>
  <c r="D58" i="49"/>
  <c r="D92" i="98"/>
  <c r="D83" i="98"/>
  <c r="D25" i="49"/>
  <c r="D79" i="98"/>
  <c r="D27" i="49"/>
  <c r="E127" i="45"/>
  <c r="D74" i="98"/>
  <c r="E113" i="45"/>
  <c r="D124" i="96"/>
  <c r="E111" i="45"/>
  <c r="D128" i="96"/>
  <c r="E165" i="45"/>
  <c r="D102" i="96"/>
  <c r="E128" i="45"/>
  <c r="D103" i="96"/>
  <c r="E18" i="45"/>
  <c r="D60" i="96"/>
  <c r="E9" i="45"/>
  <c r="D65" i="96"/>
  <c r="E14" i="45"/>
  <c r="D70" i="96"/>
  <c r="R97" i="33"/>
  <c r="R96" i="33"/>
  <c r="R95" i="33"/>
  <c r="R102" i="33"/>
  <c r="I302" i="38"/>
  <c r="H302" i="38"/>
  <c r="D52" i="37"/>
  <c r="D290" i="38"/>
  <c r="E243" i="45" s="1"/>
  <c r="D39" i="37"/>
  <c r="D225" i="38"/>
  <c r="D35" i="49" s="1"/>
  <c r="H212" i="38"/>
  <c r="I212" i="38"/>
  <c r="H194" i="38"/>
  <c r="I194" i="38"/>
  <c r="H185" i="38"/>
  <c r="I185" i="38"/>
  <c r="H145" i="38"/>
  <c r="I145" i="38"/>
  <c r="I79" i="33"/>
  <c r="D140" i="38"/>
  <c r="D39" i="49" s="1"/>
  <c r="D34" i="37"/>
  <c r="D137" i="38"/>
  <c r="D55" i="49" s="1"/>
  <c r="H144" i="38"/>
  <c r="I144" i="38"/>
  <c r="H115" i="38"/>
  <c r="I115" i="38"/>
  <c r="I82" i="33"/>
  <c r="D273" i="37"/>
  <c r="H46" i="38"/>
  <c r="I46" i="38"/>
  <c r="I34" i="38"/>
  <c r="H32" i="38"/>
  <c r="I32" i="38"/>
  <c r="H30" i="38"/>
  <c r="I30" i="38"/>
  <c r="D84" i="37"/>
  <c r="D38" i="38"/>
  <c r="D24" i="38"/>
  <c r="D201" i="49" s="1"/>
  <c r="D16" i="38"/>
  <c r="D199" i="49" s="1"/>
  <c r="D97" i="37"/>
  <c r="D14" i="38"/>
  <c r="D200" i="49" s="1"/>
  <c r="I84" i="33"/>
  <c r="D90" i="37"/>
  <c r="I85" i="33"/>
  <c r="D82" i="37"/>
  <c r="I83" i="33"/>
  <c r="D77" i="37"/>
  <c r="J89" i="33"/>
  <c r="D78" i="37"/>
  <c r="I81" i="33"/>
  <c r="D71" i="37"/>
  <c r="I88" i="33"/>
  <c r="D37" i="37"/>
  <c r="I90" i="33"/>
  <c r="D32" i="37"/>
  <c r="L86" i="33"/>
  <c r="D31" i="37"/>
  <c r="I99" i="33"/>
  <c r="L99" i="33"/>
  <c r="M99" i="33"/>
  <c r="J99" i="33"/>
  <c r="K99" i="33"/>
  <c r="N97" i="33"/>
  <c r="K98" i="33"/>
  <c r="L98" i="33"/>
  <c r="M98" i="33"/>
  <c r="I98" i="33"/>
  <c r="J98" i="33"/>
  <c r="N95" i="33"/>
  <c r="N96" i="33"/>
  <c r="J94" i="33"/>
  <c r="I94" i="33"/>
  <c r="K94" i="33"/>
  <c r="L94" i="33"/>
  <c r="M94" i="33"/>
  <c r="I93" i="33"/>
  <c r="J93" i="33"/>
  <c r="K93" i="33"/>
  <c r="L93" i="33"/>
  <c r="M93" i="33"/>
  <c r="L92" i="33"/>
  <c r="K92" i="33"/>
  <c r="M92" i="33"/>
  <c r="I92" i="33"/>
  <c r="J92" i="33"/>
  <c r="I91" i="33"/>
  <c r="J91" i="33"/>
  <c r="K91" i="33"/>
  <c r="L91" i="33"/>
  <c r="M91" i="33"/>
  <c r="J90" i="33"/>
  <c r="M90" i="33"/>
  <c r="K90" i="33"/>
  <c r="L90" i="33"/>
  <c r="I89" i="33"/>
  <c r="M88" i="33"/>
  <c r="L88" i="33"/>
  <c r="K88" i="33"/>
  <c r="M89" i="33"/>
  <c r="J88" i="33"/>
  <c r="L89" i="33"/>
  <c r="K89" i="33"/>
  <c r="K86" i="33"/>
  <c r="M85" i="33"/>
  <c r="L85" i="33"/>
  <c r="J86" i="33"/>
  <c r="K85" i="33"/>
  <c r="I86" i="33"/>
  <c r="M86" i="33"/>
  <c r="J85" i="33"/>
  <c r="M84" i="33"/>
  <c r="L84" i="33"/>
  <c r="K84" i="33"/>
  <c r="J84" i="33"/>
  <c r="M83" i="33"/>
  <c r="L83" i="33"/>
  <c r="K83" i="33"/>
  <c r="J83" i="33"/>
  <c r="M82" i="33"/>
  <c r="L82" i="33"/>
  <c r="K82" i="33"/>
  <c r="J82" i="33"/>
  <c r="M81" i="33"/>
  <c r="L81" i="33"/>
  <c r="K81" i="33"/>
  <c r="J81" i="33"/>
  <c r="M79" i="33"/>
  <c r="L79" i="33"/>
  <c r="K79" i="33"/>
  <c r="J79" i="33"/>
  <c r="E15" i="45" l="1"/>
  <c r="D209" i="49"/>
  <c r="E122" i="45"/>
  <c r="D56" i="98"/>
  <c r="E210" i="45"/>
  <c r="D44" i="98"/>
  <c r="D134" i="96"/>
  <c r="E117" i="45"/>
  <c r="D51" i="98"/>
  <c r="E8" i="45"/>
  <c r="D62" i="96"/>
  <c r="E5" i="45"/>
  <c r="D63" i="96"/>
  <c r="E10" i="45"/>
  <c r="D64" i="96"/>
  <c r="R88" i="33"/>
  <c r="R91" i="33"/>
  <c r="R85" i="33"/>
  <c r="R92" i="33"/>
  <c r="R81" i="33"/>
  <c r="R83" i="33"/>
  <c r="R99" i="33"/>
  <c r="R93" i="33"/>
  <c r="R89" i="33"/>
  <c r="R94" i="33"/>
  <c r="R98" i="33"/>
  <c r="R90" i="33"/>
  <c r="R79" i="33"/>
  <c r="R82" i="33"/>
  <c r="R84" i="33"/>
  <c r="R86" i="33"/>
  <c r="H290" i="38"/>
  <c r="I290" i="38"/>
  <c r="H225" i="38"/>
  <c r="I225" i="38"/>
  <c r="H137" i="38"/>
  <c r="I137" i="38"/>
  <c r="H140" i="38"/>
  <c r="I140" i="38"/>
  <c r="I16" i="38"/>
  <c r="I24" i="38"/>
  <c r="H38" i="38"/>
  <c r="I38" i="38"/>
  <c r="H16" i="38"/>
  <c r="H24" i="38"/>
  <c r="H14" i="38"/>
  <c r="I14" i="38"/>
  <c r="N99" i="33"/>
  <c r="N98" i="33"/>
  <c r="N94" i="33"/>
  <c r="N93" i="33"/>
  <c r="N92" i="33"/>
  <c r="N91" i="33"/>
  <c r="N89" i="33"/>
  <c r="N88" i="33"/>
  <c r="N90" i="33"/>
  <c r="N85" i="33"/>
  <c r="N86" i="33"/>
  <c r="N84" i="33"/>
  <c r="N83" i="33"/>
  <c r="N82" i="33"/>
  <c r="N81" i="33"/>
  <c r="N79" i="33"/>
  <c r="Y273" i="71"/>
  <c r="X273" i="71"/>
  <c r="D273" i="71"/>
  <c r="A273" i="71"/>
  <c r="Y272" i="71"/>
  <c r="X272" i="71"/>
  <c r="D272" i="71"/>
  <c r="Y271" i="71"/>
  <c r="X271" i="71"/>
  <c r="D271" i="71"/>
  <c r="D270" i="71"/>
  <c r="X270" i="71"/>
  <c r="Y270" i="71"/>
  <c r="A272" i="71"/>
  <c r="A271" i="71"/>
  <c r="A270" i="71"/>
  <c r="D87" i="33"/>
  <c r="D80" i="33"/>
  <c r="I52" i="82"/>
  <c r="I53" i="82"/>
  <c r="I54" i="82"/>
  <c r="I51" i="82"/>
  <c r="I49" i="82"/>
  <c r="I48" i="82"/>
  <c r="I47" i="82"/>
  <c r="I46" i="82"/>
  <c r="I42" i="82"/>
  <c r="I41" i="82"/>
  <c r="I40" i="82"/>
  <c r="I39" i="82"/>
  <c r="I38" i="82"/>
  <c r="I37" i="82"/>
  <c r="I36" i="82"/>
  <c r="I35" i="82"/>
  <c r="I22" i="82"/>
  <c r="I26" i="82"/>
  <c r="I28" i="82"/>
  <c r="D53" i="37" l="1"/>
  <c r="D280" i="38"/>
  <c r="D89" i="37"/>
  <c r="D21" i="38"/>
  <c r="L87" i="33"/>
  <c r="I87" i="33"/>
  <c r="M87" i="33"/>
  <c r="J87" i="33"/>
  <c r="K87" i="33"/>
  <c r="M80" i="33"/>
  <c r="I80" i="33"/>
  <c r="J80" i="33"/>
  <c r="K80" i="33"/>
  <c r="L80" i="33"/>
  <c r="E197" i="45" l="1"/>
  <c r="D222" i="49"/>
  <c r="E244" i="45"/>
  <c r="D142" i="49"/>
  <c r="R87" i="33"/>
  <c r="R80" i="33"/>
  <c r="H280" i="38"/>
  <c r="I280" i="38"/>
  <c r="I21" i="38"/>
  <c r="H21" i="38"/>
  <c r="N87" i="33"/>
  <c r="N80" i="33"/>
  <c r="J1" i="82"/>
  <c r="I87" i="82"/>
  <c r="H87" i="82"/>
  <c r="G87" i="82"/>
  <c r="E87" i="82"/>
  <c r="F77" i="82"/>
  <c r="F76" i="82"/>
  <c r="F75" i="82"/>
  <c r="F74" i="82"/>
  <c r="F73" i="82"/>
  <c r="I69" i="82"/>
  <c r="H69" i="82"/>
  <c r="E69" i="82"/>
  <c r="F67" i="82"/>
  <c r="F66" i="82"/>
  <c r="F65" i="82"/>
  <c r="F63" i="82"/>
  <c r="F61" i="82"/>
  <c r="F60" i="82"/>
  <c r="H55" i="82"/>
  <c r="G55" i="82"/>
  <c r="F55" i="82"/>
  <c r="E55" i="82"/>
  <c r="G43" i="82"/>
  <c r="F43" i="82"/>
  <c r="E43" i="82"/>
  <c r="H42" i="82"/>
  <c r="H41" i="82"/>
  <c r="H40" i="82"/>
  <c r="H39" i="82"/>
  <c r="H38" i="82"/>
  <c r="H37" i="82"/>
  <c r="H36" i="82"/>
  <c r="H35" i="82"/>
  <c r="H28" i="82"/>
  <c r="H26" i="82"/>
  <c r="H22" i="82"/>
  <c r="H21" i="82" l="1"/>
  <c r="H32" i="82" s="1"/>
  <c r="I21" i="82"/>
  <c r="G88" i="82"/>
  <c r="F87" i="82"/>
  <c r="I88" i="82"/>
  <c r="F69" i="82"/>
  <c r="E88" i="82"/>
  <c r="H43" i="82"/>
  <c r="H88" i="82" s="1"/>
  <c r="F88" i="82" l="1"/>
  <c r="B18" i="37"/>
  <c r="X269" i="71"/>
  <c r="Y269" i="71"/>
  <c r="D269" i="71"/>
  <c r="A269" i="71"/>
  <c r="X267" i="71"/>
  <c r="Y267" i="71"/>
  <c r="X268" i="71"/>
  <c r="Y268" i="71"/>
  <c r="D268" i="71"/>
  <c r="D267" i="71"/>
  <c r="Y266" i="71"/>
  <c r="X266" i="71"/>
  <c r="D266" i="71"/>
  <c r="A268" i="71"/>
  <c r="A267" i="71"/>
  <c r="A266" i="71"/>
  <c r="X260" i="71"/>
  <c r="Y260" i="71"/>
  <c r="X261" i="71"/>
  <c r="Y261" i="71"/>
  <c r="X262" i="71"/>
  <c r="Y262" i="71"/>
  <c r="X263" i="71"/>
  <c r="Y263" i="71"/>
  <c r="X264" i="71"/>
  <c r="Y264" i="71"/>
  <c r="X265" i="71"/>
  <c r="Y265" i="71"/>
  <c r="D265" i="71"/>
  <c r="A265" i="71"/>
  <c r="D264" i="71"/>
  <c r="A264" i="71"/>
  <c r="D263" i="71"/>
  <c r="D262" i="71"/>
  <c r="D261" i="71"/>
  <c r="D260" i="71"/>
  <c r="A263" i="71"/>
  <c r="A262" i="71"/>
  <c r="A261" i="71"/>
  <c r="A260" i="71"/>
  <c r="D74" i="33"/>
  <c r="D77" i="33"/>
  <c r="X253" i="71"/>
  <c r="Y253" i="71"/>
  <c r="X254" i="71"/>
  <c r="Y254" i="71"/>
  <c r="X255" i="71"/>
  <c r="Y255" i="71"/>
  <c r="X256" i="71"/>
  <c r="Y256" i="71"/>
  <c r="X257" i="71"/>
  <c r="Y257" i="71"/>
  <c r="X258" i="71"/>
  <c r="Y258" i="71"/>
  <c r="X259" i="71"/>
  <c r="Y259" i="71"/>
  <c r="D259" i="71"/>
  <c r="A259" i="71"/>
  <c r="D258" i="71"/>
  <c r="A258" i="71"/>
  <c r="D257" i="71"/>
  <c r="A257" i="71"/>
  <c r="D256" i="71"/>
  <c r="D255" i="71"/>
  <c r="D254" i="71"/>
  <c r="A256" i="71"/>
  <c r="A255" i="71"/>
  <c r="A254" i="71"/>
  <c r="D75" i="33"/>
  <c r="D179" i="38" s="1"/>
  <c r="D71" i="33"/>
  <c r="D253" i="71"/>
  <c r="Y252" i="71"/>
  <c r="X252" i="71"/>
  <c r="D252" i="71"/>
  <c r="A253" i="71"/>
  <c r="A252" i="71"/>
  <c r="Y237" i="71"/>
  <c r="X237" i="71"/>
  <c r="A237" i="71"/>
  <c r="D237" i="71"/>
  <c r="X248" i="71"/>
  <c r="Y248" i="71"/>
  <c r="X249" i="71"/>
  <c r="Y249" i="71"/>
  <c r="X250" i="71"/>
  <c r="Y250" i="71"/>
  <c r="X251" i="71"/>
  <c r="Y251" i="71"/>
  <c r="D251" i="71"/>
  <c r="A251" i="71"/>
  <c r="D250" i="71"/>
  <c r="D249" i="71"/>
  <c r="D248" i="71"/>
  <c r="D247" i="71"/>
  <c r="A250" i="71"/>
  <c r="A249" i="71"/>
  <c r="A248" i="71"/>
  <c r="A247" i="71"/>
  <c r="X247" i="71"/>
  <c r="Y247" i="71"/>
  <c r="D72" i="33"/>
  <c r="X245" i="71"/>
  <c r="Y245" i="71"/>
  <c r="X246" i="71"/>
  <c r="Y246" i="71"/>
  <c r="D246" i="71"/>
  <c r="D78" i="33"/>
  <c r="D149" i="38" s="1"/>
  <c r="D56" i="49" s="1"/>
  <c r="D245" i="71"/>
  <c r="Y244" i="71"/>
  <c r="X244" i="71"/>
  <c r="D244" i="71"/>
  <c r="Y243" i="71"/>
  <c r="X243" i="71"/>
  <c r="D243" i="71"/>
  <c r="A243" i="71"/>
  <c r="A244" i="71"/>
  <c r="A245" i="71"/>
  <c r="A246" i="71"/>
  <c r="D38" i="73"/>
  <c r="C25" i="50"/>
  <c r="C23" i="50"/>
  <c r="X241" i="71"/>
  <c r="Y241" i="71"/>
  <c r="X242" i="71"/>
  <c r="Y242" i="71"/>
  <c r="A242" i="71"/>
  <c r="D242" i="71"/>
  <c r="A241" i="71"/>
  <c r="D241" i="71"/>
  <c r="Y240" i="71"/>
  <c r="X240" i="71"/>
  <c r="D240" i="71"/>
  <c r="X238" i="71"/>
  <c r="Y238" i="71"/>
  <c r="X239" i="71"/>
  <c r="Y239" i="71"/>
  <c r="A240" i="71"/>
  <c r="A239" i="71"/>
  <c r="A238" i="71"/>
  <c r="D239" i="71"/>
  <c r="D238" i="71"/>
  <c r="D69" i="33"/>
  <c r="D134" i="38" s="1"/>
  <c r="D70" i="33"/>
  <c r="D181" i="38" s="1"/>
  <c r="D190" i="49" s="1"/>
  <c r="Y236" i="71"/>
  <c r="X236" i="71"/>
  <c r="D236" i="71"/>
  <c r="Y235" i="71"/>
  <c r="X235" i="71"/>
  <c r="D235" i="71"/>
  <c r="Y234" i="71"/>
  <c r="X234" i="71"/>
  <c r="D234" i="71"/>
  <c r="A236" i="71"/>
  <c r="A235" i="71"/>
  <c r="A234" i="71"/>
  <c r="C62" i="50"/>
  <c r="C64" i="50"/>
  <c r="X231" i="71"/>
  <c r="Y231" i="71"/>
  <c r="X232" i="71"/>
  <c r="Y232" i="71"/>
  <c r="X233" i="71"/>
  <c r="Y233" i="71"/>
  <c r="D233" i="71"/>
  <c r="D232" i="71"/>
  <c r="D231" i="71"/>
  <c r="A233" i="71"/>
  <c r="A232" i="71"/>
  <c r="A231" i="71"/>
  <c r="X228" i="71"/>
  <c r="Y228" i="71"/>
  <c r="X229" i="71"/>
  <c r="Y229" i="71"/>
  <c r="X230" i="71"/>
  <c r="Y230" i="71"/>
  <c r="D230" i="71"/>
  <c r="A230" i="71"/>
  <c r="D229" i="71"/>
  <c r="A229" i="71"/>
  <c r="A228" i="71"/>
  <c r="D228" i="71"/>
  <c r="D227" i="71"/>
  <c r="A227" i="71"/>
  <c r="X227" i="71"/>
  <c r="Y227" i="71"/>
  <c r="D76" i="33"/>
  <c r="D67" i="33"/>
  <c r="D68" i="33"/>
  <c r="D154" i="38" s="1"/>
  <c r="X224" i="71"/>
  <c r="Y224" i="71"/>
  <c r="X225" i="71"/>
  <c r="Y225" i="71"/>
  <c r="X226" i="71"/>
  <c r="Y226" i="71"/>
  <c r="D226" i="71"/>
  <c r="A226" i="71"/>
  <c r="A225" i="71"/>
  <c r="D225" i="71"/>
  <c r="D224" i="71"/>
  <c r="A224" i="71"/>
  <c r="X223" i="71"/>
  <c r="Y223" i="71"/>
  <c r="D223" i="71"/>
  <c r="A223" i="71"/>
  <c r="D73" i="33"/>
  <c r="D240" i="38" s="1"/>
  <c r="D30" i="49" l="1"/>
  <c r="D139" i="96"/>
  <c r="D47" i="98"/>
  <c r="D40" i="49"/>
  <c r="E175" i="45"/>
  <c r="D148" i="49"/>
  <c r="D23" i="98"/>
  <c r="D48" i="49"/>
  <c r="E129" i="45"/>
  <c r="D66" i="98"/>
  <c r="E118" i="45"/>
  <c r="D52" i="98"/>
  <c r="E215" i="45"/>
  <c r="D130" i="96"/>
  <c r="E110" i="45"/>
  <c r="D127" i="96"/>
  <c r="E191" i="45"/>
  <c r="D54" i="96"/>
  <c r="H240" i="38"/>
  <c r="I240" i="38"/>
  <c r="D274" i="37"/>
  <c r="D197" i="38"/>
  <c r="H179" i="38"/>
  <c r="I179" i="38"/>
  <c r="D72" i="37"/>
  <c r="D169" i="38"/>
  <c r="D189" i="49" s="1"/>
  <c r="H181" i="38"/>
  <c r="I181" i="38"/>
  <c r="I71" i="33"/>
  <c r="D173" i="38"/>
  <c r="I149" i="38"/>
  <c r="H149" i="38"/>
  <c r="H154" i="38"/>
  <c r="I154" i="38"/>
  <c r="H134" i="38"/>
  <c r="I134" i="38"/>
  <c r="I67" i="33"/>
  <c r="D37" i="38"/>
  <c r="I72" i="33"/>
  <c r="D31" i="38"/>
  <c r="D83" i="37"/>
  <c r="D13" i="38"/>
  <c r="M70" i="33"/>
  <c r="D73" i="37"/>
  <c r="I73" i="33"/>
  <c r="D57" i="37"/>
  <c r="K69" i="33"/>
  <c r="D25" i="37"/>
  <c r="J68" i="33"/>
  <c r="D26" i="37"/>
  <c r="L78" i="33"/>
  <c r="K78" i="33"/>
  <c r="J78" i="33"/>
  <c r="I78" i="33"/>
  <c r="M78" i="33"/>
  <c r="I76" i="33"/>
  <c r="J76" i="33"/>
  <c r="K76" i="33"/>
  <c r="L76" i="33"/>
  <c r="M76" i="33"/>
  <c r="L77" i="33"/>
  <c r="M77" i="33"/>
  <c r="J77" i="33"/>
  <c r="I77" i="33"/>
  <c r="K77" i="33"/>
  <c r="I75" i="33"/>
  <c r="J75" i="33"/>
  <c r="K75" i="33"/>
  <c r="L75" i="33"/>
  <c r="M75" i="33"/>
  <c r="I74" i="33"/>
  <c r="J74" i="33"/>
  <c r="K74" i="33"/>
  <c r="L74" i="33"/>
  <c r="M74" i="33"/>
  <c r="M73" i="33"/>
  <c r="L73" i="33"/>
  <c r="K73" i="33"/>
  <c r="J73" i="33"/>
  <c r="M72" i="33"/>
  <c r="L72" i="33"/>
  <c r="K72" i="33"/>
  <c r="J72" i="33"/>
  <c r="L70" i="33"/>
  <c r="K70" i="33"/>
  <c r="M71" i="33"/>
  <c r="J70" i="33"/>
  <c r="L71" i="33"/>
  <c r="I70" i="33"/>
  <c r="K71" i="33"/>
  <c r="J71" i="33"/>
  <c r="I69" i="33"/>
  <c r="J69" i="33"/>
  <c r="M69" i="33"/>
  <c r="L69" i="33"/>
  <c r="M67" i="33"/>
  <c r="I68" i="33"/>
  <c r="K67" i="33"/>
  <c r="L67" i="33"/>
  <c r="M68" i="33"/>
  <c r="J67" i="33"/>
  <c r="L68" i="33"/>
  <c r="K68" i="33"/>
  <c r="D60" i="33"/>
  <c r="D55" i="38" s="1"/>
  <c r="D192" i="49" s="1"/>
  <c r="M163" i="33"/>
  <c r="M269" i="33"/>
  <c r="M314" i="33"/>
  <c r="D32" i="49" l="1"/>
  <c r="D141" i="96"/>
  <c r="D29" i="49"/>
  <c r="D138" i="96"/>
  <c r="D68" i="49"/>
  <c r="D96" i="98"/>
  <c r="E12" i="45"/>
  <c r="D207" i="49"/>
  <c r="D67" i="49"/>
  <c r="D97" i="98"/>
  <c r="E126" i="45"/>
  <c r="D75" i="98"/>
  <c r="E131" i="45"/>
  <c r="D64" i="98"/>
  <c r="E29" i="45"/>
  <c r="D114" i="96"/>
  <c r="E28" i="45"/>
  <c r="D113" i="96"/>
  <c r="E143" i="45"/>
  <c r="D42" i="96"/>
  <c r="E67" i="45"/>
  <c r="D56" i="96"/>
  <c r="R70" i="33"/>
  <c r="R74" i="33"/>
  <c r="R78" i="33"/>
  <c r="R69" i="33"/>
  <c r="R76" i="33"/>
  <c r="R68" i="33"/>
  <c r="R73" i="33"/>
  <c r="R77" i="33"/>
  <c r="R67" i="33"/>
  <c r="R71" i="33"/>
  <c r="R72" i="33"/>
  <c r="R75" i="33"/>
  <c r="H197" i="38"/>
  <c r="I197" i="38"/>
  <c r="H173" i="38"/>
  <c r="I173" i="38"/>
  <c r="H169" i="38"/>
  <c r="I169" i="38"/>
  <c r="N314" i="33"/>
  <c r="N269" i="33"/>
  <c r="M224" i="33"/>
  <c r="M307" i="33"/>
  <c r="M277" i="33"/>
  <c r="M304" i="33"/>
  <c r="M232" i="33"/>
  <c r="M266" i="33"/>
  <c r="M226" i="33"/>
  <c r="M248" i="33"/>
  <c r="M247" i="33"/>
  <c r="I55" i="38"/>
  <c r="H55" i="38"/>
  <c r="M194" i="33"/>
  <c r="M238" i="33"/>
  <c r="M212" i="33"/>
  <c r="M225" i="33"/>
  <c r="M204" i="33"/>
  <c r="M220" i="33"/>
  <c r="M153" i="33"/>
  <c r="M213" i="33"/>
  <c r="N334" i="33"/>
  <c r="M211" i="33"/>
  <c r="I37" i="38"/>
  <c r="H37" i="38"/>
  <c r="I31" i="38"/>
  <c r="H31" i="38"/>
  <c r="N163" i="33"/>
  <c r="M165" i="33"/>
  <c r="M181" i="33"/>
  <c r="M158" i="33"/>
  <c r="M177" i="33"/>
  <c r="H13" i="38"/>
  <c r="I13" i="38"/>
  <c r="N333" i="33"/>
  <c r="M152" i="33"/>
  <c r="M103" i="33"/>
  <c r="N332" i="33"/>
  <c r="M102" i="33"/>
  <c r="N336" i="33"/>
  <c r="N331" i="33"/>
  <c r="M138" i="33"/>
  <c r="D74" i="37"/>
  <c r="M107" i="33"/>
  <c r="M124" i="33"/>
  <c r="N78" i="33"/>
  <c r="N77" i="33"/>
  <c r="N76" i="33"/>
  <c r="N75" i="33"/>
  <c r="N74" i="33"/>
  <c r="N70" i="33"/>
  <c r="N73" i="33"/>
  <c r="N72" i="33"/>
  <c r="N71" i="33"/>
  <c r="N69" i="33"/>
  <c r="N67" i="33"/>
  <c r="N68" i="33"/>
  <c r="D65" i="33"/>
  <c r="D64" i="33"/>
  <c r="D157" i="38" s="1"/>
  <c r="X217" i="71"/>
  <c r="Y217" i="71"/>
  <c r="X218" i="71"/>
  <c r="Y218" i="71"/>
  <c r="X219" i="71"/>
  <c r="Y219" i="71"/>
  <c r="X220" i="71"/>
  <c r="Y220" i="71"/>
  <c r="X221" i="71"/>
  <c r="Y221" i="71"/>
  <c r="X222" i="71"/>
  <c r="Y222" i="71"/>
  <c r="A222" i="71"/>
  <c r="A221" i="71"/>
  <c r="A220" i="71"/>
  <c r="D222" i="71"/>
  <c r="D221" i="71"/>
  <c r="D220" i="71"/>
  <c r="D219" i="71"/>
  <c r="D218" i="71"/>
  <c r="D217" i="71"/>
  <c r="A219" i="71"/>
  <c r="A218" i="71"/>
  <c r="A217" i="71"/>
  <c r="Y216" i="71"/>
  <c r="X216" i="71"/>
  <c r="A216" i="71"/>
  <c r="A215" i="71"/>
  <c r="Y215" i="71"/>
  <c r="X215" i="71"/>
  <c r="D216" i="71"/>
  <c r="D215" i="71"/>
  <c r="D39" i="98" l="1"/>
  <c r="D43" i="49"/>
  <c r="E120" i="45"/>
  <c r="D133" i="96"/>
  <c r="H157" i="38"/>
  <c r="I157" i="38"/>
  <c r="D75" i="37"/>
  <c r="D159" i="38"/>
  <c r="D193" i="49" s="1"/>
  <c r="N181" i="33"/>
  <c r="N304" i="33"/>
  <c r="N124" i="33"/>
  <c r="N103" i="33"/>
  <c r="N165" i="33"/>
  <c r="N213" i="33"/>
  <c r="N277" i="33"/>
  <c r="N194" i="33"/>
  <c r="N107" i="33"/>
  <c r="N152" i="33"/>
  <c r="N153" i="33"/>
  <c r="N307" i="33"/>
  <c r="N220" i="33"/>
  <c r="N247" i="33"/>
  <c r="N224" i="33"/>
  <c r="N204" i="33"/>
  <c r="N248" i="33"/>
  <c r="N225" i="33"/>
  <c r="N226" i="33"/>
  <c r="N177" i="33"/>
  <c r="N212" i="33"/>
  <c r="N266" i="33"/>
  <c r="N158" i="33"/>
  <c r="N211" i="33"/>
  <c r="N238" i="33"/>
  <c r="N232" i="33"/>
  <c r="N138" i="33"/>
  <c r="N102" i="33"/>
  <c r="L65" i="33"/>
  <c r="M65" i="33"/>
  <c r="K65" i="33"/>
  <c r="J65" i="33"/>
  <c r="I65" i="33"/>
  <c r="I64" i="33"/>
  <c r="J64" i="33"/>
  <c r="K64" i="33"/>
  <c r="L64" i="33"/>
  <c r="M64" i="33"/>
  <c r="Y214" i="71"/>
  <c r="X214" i="71"/>
  <c r="D214" i="71"/>
  <c r="A214" i="71"/>
  <c r="Y213" i="71"/>
  <c r="X213" i="71"/>
  <c r="D213" i="71"/>
  <c r="A213" i="71"/>
  <c r="Y212" i="71"/>
  <c r="X212" i="71"/>
  <c r="D212" i="71"/>
  <c r="A212" i="71"/>
  <c r="D63" i="33"/>
  <c r="C63" i="50"/>
  <c r="C61" i="50"/>
  <c r="C60" i="50"/>
  <c r="C59" i="50"/>
  <c r="Y211" i="71"/>
  <c r="X211" i="71"/>
  <c r="D211" i="71"/>
  <c r="A211" i="71"/>
  <c r="Y210" i="71"/>
  <c r="X210" i="71"/>
  <c r="A210" i="71"/>
  <c r="D210" i="71"/>
  <c r="D62" i="33"/>
  <c r="D43" i="38" s="1"/>
  <c r="D59" i="33"/>
  <c r="D113" i="38" s="1"/>
  <c r="X207" i="71"/>
  <c r="Y207" i="71"/>
  <c r="X208" i="71"/>
  <c r="Y208" i="71"/>
  <c r="X209" i="71"/>
  <c r="Y209" i="71"/>
  <c r="D209" i="71"/>
  <c r="A209" i="71"/>
  <c r="D208" i="71"/>
  <c r="A208" i="71"/>
  <c r="A207" i="71"/>
  <c r="D207" i="71"/>
  <c r="Y206" i="71"/>
  <c r="X206" i="71"/>
  <c r="A206" i="71"/>
  <c r="D206" i="71"/>
  <c r="D66" i="33"/>
  <c r="D127" i="38" s="1"/>
  <c r="D57" i="49" s="1"/>
  <c r="H10" i="75"/>
  <c r="X203" i="71"/>
  <c r="Y203" i="71"/>
  <c r="X204" i="71"/>
  <c r="Y204" i="71"/>
  <c r="X205" i="71"/>
  <c r="Y205" i="71"/>
  <c r="D205" i="71"/>
  <c r="A205" i="71"/>
  <c r="A204" i="71"/>
  <c r="D204" i="71"/>
  <c r="A203" i="71"/>
  <c r="D203" i="71"/>
  <c r="X201" i="71"/>
  <c r="Y201" i="71"/>
  <c r="X202" i="71"/>
  <c r="Y202" i="71"/>
  <c r="D202" i="71"/>
  <c r="A202" i="71"/>
  <c r="D159" i="71"/>
  <c r="A160" i="71"/>
  <c r="A159" i="71"/>
  <c r="A201" i="71"/>
  <c r="D201" i="71"/>
  <c r="J39" i="75"/>
  <c r="D29" i="98" l="1"/>
  <c r="D46" i="49"/>
  <c r="D66" i="49"/>
  <c r="D98" i="98"/>
  <c r="E119" i="45"/>
  <c r="D53" i="98"/>
  <c r="E108" i="45"/>
  <c r="D125" i="96"/>
  <c r="E97" i="45"/>
  <c r="D112" i="96"/>
  <c r="E145" i="45"/>
  <c r="D57" i="96"/>
  <c r="R65" i="33"/>
  <c r="R64" i="33"/>
  <c r="H159" i="38"/>
  <c r="I159" i="38"/>
  <c r="D27" i="37"/>
  <c r="D177" i="38"/>
  <c r="H127" i="38"/>
  <c r="I127" i="38"/>
  <c r="I113" i="38"/>
  <c r="H113" i="38"/>
  <c r="H43" i="38"/>
  <c r="I43" i="38"/>
  <c r="D30" i="37"/>
  <c r="I66" i="33"/>
  <c r="K66" i="33"/>
  <c r="J66" i="33"/>
  <c r="L66" i="33"/>
  <c r="M66" i="33"/>
  <c r="N64" i="33"/>
  <c r="N65" i="33"/>
  <c r="J62" i="33"/>
  <c r="K62" i="33"/>
  <c r="L62" i="33"/>
  <c r="M62" i="33"/>
  <c r="I62" i="33"/>
  <c r="M63" i="33"/>
  <c r="I63" i="33"/>
  <c r="J63" i="33"/>
  <c r="L63" i="33"/>
  <c r="K63" i="33"/>
  <c r="J59" i="33"/>
  <c r="K59" i="33"/>
  <c r="L59" i="33"/>
  <c r="I59" i="33"/>
  <c r="M59" i="33"/>
  <c r="I60" i="33"/>
  <c r="J60" i="33"/>
  <c r="K60" i="33"/>
  <c r="L60" i="33"/>
  <c r="M60" i="33"/>
  <c r="D31" i="49" l="1"/>
  <c r="D140" i="96"/>
  <c r="E130" i="45"/>
  <c r="D65" i="98"/>
  <c r="R66" i="33"/>
  <c r="R59" i="33"/>
  <c r="R63" i="33"/>
  <c r="R60" i="33"/>
  <c r="R62" i="33"/>
  <c r="H177" i="38"/>
  <c r="I177" i="38"/>
  <c r="N66" i="33"/>
  <c r="N63" i="33"/>
  <c r="N62" i="33"/>
  <c r="N59" i="33"/>
  <c r="N60" i="33"/>
  <c r="D14" i="37"/>
  <c r="D16" i="37"/>
  <c r="D18" i="37"/>
  <c r="D19" i="37"/>
  <c r="D20" i="37"/>
  <c r="D21" i="37"/>
  <c r="D22" i="37"/>
  <c r="D23" i="37"/>
  <c r="D24" i="37"/>
  <c r="X199" i="71"/>
  <c r="Y199" i="71"/>
  <c r="X200" i="71"/>
  <c r="Y200" i="71"/>
  <c r="D200" i="71"/>
  <c r="D199" i="71"/>
  <c r="A200" i="71"/>
  <c r="A199" i="71"/>
  <c r="D57" i="33"/>
  <c r="D124" i="38" s="1"/>
  <c r="D56" i="33"/>
  <c r="D228" i="38" s="1"/>
  <c r="E4" i="76"/>
  <c r="X191" i="71"/>
  <c r="Y191" i="71"/>
  <c r="X192" i="71"/>
  <c r="Y192" i="71"/>
  <c r="X193" i="71"/>
  <c r="Y193" i="71"/>
  <c r="X194" i="71"/>
  <c r="Y194" i="71"/>
  <c r="X195" i="71"/>
  <c r="Y195" i="71"/>
  <c r="X196" i="71"/>
  <c r="Y196" i="71"/>
  <c r="X197" i="71"/>
  <c r="Y197" i="71"/>
  <c r="X198" i="71"/>
  <c r="Y198" i="71"/>
  <c r="D198" i="71"/>
  <c r="A198" i="71"/>
  <c r="D197" i="71"/>
  <c r="A197" i="71"/>
  <c r="D196" i="71"/>
  <c r="A196" i="71"/>
  <c r="A195" i="71"/>
  <c r="D195" i="71"/>
  <c r="D6" i="33"/>
  <c r="D260" i="38" s="1"/>
  <c r="D95" i="49" s="1"/>
  <c r="D7" i="33"/>
  <c r="D8" i="33"/>
  <c r="D9" i="33"/>
  <c r="D10" i="33"/>
  <c r="D11" i="33"/>
  <c r="D12" i="33"/>
  <c r="D13" i="33"/>
  <c r="D14" i="33"/>
  <c r="D15" i="33"/>
  <c r="D33" i="38" s="1"/>
  <c r="D16" i="33"/>
  <c r="D17" i="33"/>
  <c r="D18" i="33"/>
  <c r="D19" i="33"/>
  <c r="D20" i="33"/>
  <c r="D36" i="38" s="1"/>
  <c r="D21" i="33"/>
  <c r="D22" i="33"/>
  <c r="D167" i="38" s="1"/>
  <c r="D175" i="49" s="1"/>
  <c r="D23" i="33"/>
  <c r="D40" i="38" s="1"/>
  <c r="D24" i="33"/>
  <c r="D25" i="33"/>
  <c r="D26" i="33"/>
  <c r="D27" i="33"/>
  <c r="D28" i="33"/>
  <c r="D29" i="33"/>
  <c r="D30" i="33"/>
  <c r="D45" i="38" s="1"/>
  <c r="D31" i="33"/>
  <c r="D32" i="33"/>
  <c r="D33" i="33"/>
  <c r="D34" i="33"/>
  <c r="D48" i="38" s="1"/>
  <c r="D35" i="33"/>
  <c r="D36" i="33"/>
  <c r="D37" i="33"/>
  <c r="D38" i="33"/>
  <c r="D147" i="38" s="1"/>
  <c r="D169" i="49" s="1"/>
  <c r="D39" i="33"/>
  <c r="D40" i="33"/>
  <c r="D41" i="33"/>
  <c r="D42" i="33"/>
  <c r="D43" i="33"/>
  <c r="D44" i="33"/>
  <c r="D45" i="33"/>
  <c r="D52" i="38" s="1"/>
  <c r="D46" i="33"/>
  <c r="D47" i="33"/>
  <c r="D48" i="33"/>
  <c r="D49" i="33"/>
  <c r="D191" i="38" s="1"/>
  <c r="D50" i="33"/>
  <c r="D299" i="38" s="1"/>
  <c r="D51" i="33"/>
  <c r="D52" i="33"/>
  <c r="D61" i="33"/>
  <c r="D58" i="33"/>
  <c r="D259" i="38" s="1"/>
  <c r="E241" i="45" s="1"/>
  <c r="D54" i="33"/>
  <c r="D175" i="38" s="1"/>
  <c r="D37" i="49" s="1"/>
  <c r="D53" i="33"/>
  <c r="D234" i="38" s="1"/>
  <c r="D55" i="33"/>
  <c r="D5" i="33"/>
  <c r="D5" i="71"/>
  <c r="D6" i="71"/>
  <c r="D7" i="71"/>
  <c r="D8" i="71"/>
  <c r="D9" i="71"/>
  <c r="D10" i="71"/>
  <c r="D11" i="71"/>
  <c r="D12" i="71"/>
  <c r="D13" i="71"/>
  <c r="D14" i="71"/>
  <c r="D15" i="71"/>
  <c r="D16" i="71"/>
  <c r="D17" i="71"/>
  <c r="D18" i="71"/>
  <c r="D19" i="71"/>
  <c r="D20" i="71"/>
  <c r="D21" i="71"/>
  <c r="D22" i="71"/>
  <c r="D23" i="71"/>
  <c r="D24" i="71"/>
  <c r="D25" i="71"/>
  <c r="D26" i="71"/>
  <c r="D27" i="71"/>
  <c r="D28" i="71"/>
  <c r="D29" i="71"/>
  <c r="D30" i="71"/>
  <c r="D31" i="71"/>
  <c r="D32" i="71"/>
  <c r="D33" i="71"/>
  <c r="D34" i="71"/>
  <c r="D35" i="71"/>
  <c r="D36" i="71"/>
  <c r="D37" i="71"/>
  <c r="D38" i="71"/>
  <c r="D39" i="71"/>
  <c r="D40" i="71"/>
  <c r="D41" i="71"/>
  <c r="D42" i="71"/>
  <c r="D43" i="71"/>
  <c r="D44" i="71"/>
  <c r="D46" i="71"/>
  <c r="D47" i="71"/>
  <c r="D48" i="71"/>
  <c r="D49" i="71"/>
  <c r="D50" i="71"/>
  <c r="D51" i="71"/>
  <c r="D52" i="71"/>
  <c r="D53" i="71"/>
  <c r="D54" i="71"/>
  <c r="D55" i="71"/>
  <c r="D56" i="71"/>
  <c r="D57" i="71"/>
  <c r="D58" i="71"/>
  <c r="D59" i="71"/>
  <c r="D60" i="71"/>
  <c r="D61" i="71"/>
  <c r="D62" i="71"/>
  <c r="D63" i="71"/>
  <c r="D64" i="71"/>
  <c r="D65" i="71"/>
  <c r="D66" i="71"/>
  <c r="D67" i="71"/>
  <c r="D68" i="71"/>
  <c r="D69" i="71"/>
  <c r="D70" i="71"/>
  <c r="D71" i="71"/>
  <c r="D72" i="71"/>
  <c r="D73" i="71"/>
  <c r="D74" i="71"/>
  <c r="D75" i="71"/>
  <c r="D76" i="71"/>
  <c r="D77" i="71"/>
  <c r="D78" i="71"/>
  <c r="D79" i="71"/>
  <c r="D80" i="71"/>
  <c r="D81" i="71"/>
  <c r="D82" i="71"/>
  <c r="D83" i="71"/>
  <c r="D84" i="71"/>
  <c r="D85" i="71"/>
  <c r="D86" i="71"/>
  <c r="D87" i="71"/>
  <c r="D88" i="71"/>
  <c r="D89" i="71"/>
  <c r="D90" i="71"/>
  <c r="D91" i="71"/>
  <c r="D92" i="71"/>
  <c r="D93" i="71"/>
  <c r="D94" i="71"/>
  <c r="D95" i="71"/>
  <c r="D96" i="71"/>
  <c r="D97" i="71"/>
  <c r="D98" i="71"/>
  <c r="D99" i="71"/>
  <c r="D100" i="71"/>
  <c r="D101" i="71"/>
  <c r="D102" i="71"/>
  <c r="D103" i="71"/>
  <c r="D104" i="71"/>
  <c r="D105" i="71"/>
  <c r="D106" i="71"/>
  <c r="D107" i="71"/>
  <c r="D108" i="71"/>
  <c r="D109" i="71"/>
  <c r="D110" i="71"/>
  <c r="D111" i="71"/>
  <c r="D112" i="71"/>
  <c r="D113" i="71"/>
  <c r="D114" i="71"/>
  <c r="D115" i="71"/>
  <c r="D116" i="71"/>
  <c r="D117" i="71"/>
  <c r="D118" i="71"/>
  <c r="D119" i="71"/>
  <c r="D120" i="71"/>
  <c r="D121" i="71"/>
  <c r="D122" i="71"/>
  <c r="D123" i="71"/>
  <c r="D124" i="71"/>
  <c r="D125" i="71"/>
  <c r="D126" i="71"/>
  <c r="D127" i="71"/>
  <c r="D128" i="71"/>
  <c r="D129" i="71"/>
  <c r="D130" i="71"/>
  <c r="D131" i="71"/>
  <c r="D132" i="71"/>
  <c r="D133" i="71"/>
  <c r="D134" i="71"/>
  <c r="D135" i="71"/>
  <c r="D136" i="71"/>
  <c r="D137" i="71"/>
  <c r="D138" i="71"/>
  <c r="D139" i="71"/>
  <c r="D140" i="71"/>
  <c r="D141" i="71"/>
  <c r="D142" i="71"/>
  <c r="D143" i="71"/>
  <c r="D144" i="71"/>
  <c r="D145" i="71"/>
  <c r="D146" i="71"/>
  <c r="D147" i="71"/>
  <c r="D148" i="71"/>
  <c r="D149" i="71"/>
  <c r="D150" i="71"/>
  <c r="D151" i="71"/>
  <c r="D152" i="71"/>
  <c r="D153" i="71"/>
  <c r="D154" i="71"/>
  <c r="D155" i="71"/>
  <c r="D156" i="71"/>
  <c r="D157" i="71"/>
  <c r="D158" i="71"/>
  <c r="D160" i="71"/>
  <c r="D161" i="71"/>
  <c r="D162" i="71"/>
  <c r="D163" i="71"/>
  <c r="D164" i="71"/>
  <c r="D165" i="71"/>
  <c r="D166" i="71"/>
  <c r="D167" i="71"/>
  <c r="D168" i="71"/>
  <c r="D169" i="71"/>
  <c r="D170" i="71"/>
  <c r="D171" i="71"/>
  <c r="D172" i="71"/>
  <c r="D173" i="71"/>
  <c r="D174" i="71"/>
  <c r="D175" i="71"/>
  <c r="D176" i="71"/>
  <c r="D177" i="71"/>
  <c r="D178" i="71"/>
  <c r="D179" i="71"/>
  <c r="D180" i="71"/>
  <c r="D181" i="71"/>
  <c r="D182" i="71"/>
  <c r="D183" i="71"/>
  <c r="D184" i="71"/>
  <c r="D185" i="71"/>
  <c r="D186" i="71"/>
  <c r="D187" i="71"/>
  <c r="D188" i="71"/>
  <c r="D189" i="71"/>
  <c r="D190" i="71"/>
  <c r="D191" i="71"/>
  <c r="D192" i="71"/>
  <c r="D193" i="71"/>
  <c r="D194" i="71"/>
  <c r="D4" i="71"/>
  <c r="A194" i="71"/>
  <c r="C48" i="50"/>
  <c r="C21" i="66"/>
  <c r="C20" i="66"/>
  <c r="Y190" i="71"/>
  <c r="X190" i="71"/>
  <c r="A190" i="71"/>
  <c r="A191" i="71"/>
  <c r="A192" i="71"/>
  <c r="A193" i="71"/>
  <c r="C58" i="50"/>
  <c r="C57" i="50"/>
  <c r="C56" i="50"/>
  <c r="C54" i="50"/>
  <c r="C53" i="50"/>
  <c r="C52" i="50"/>
  <c r="C51" i="50"/>
  <c r="C50" i="50"/>
  <c r="C49" i="50"/>
  <c r="C47" i="50"/>
  <c r="C46" i="50"/>
  <c r="C45" i="50"/>
  <c r="C44" i="50"/>
  <c r="C43" i="50"/>
  <c r="C41" i="50"/>
  <c r="C40" i="50"/>
  <c r="C39" i="50"/>
  <c r="C38" i="50"/>
  <c r="C37" i="50"/>
  <c r="C36" i="50"/>
  <c r="C35" i="50"/>
  <c r="C34" i="50"/>
  <c r="C33" i="50"/>
  <c r="C32" i="50"/>
  <c r="C19" i="50"/>
  <c r="C18" i="50"/>
  <c r="C17" i="50"/>
  <c r="C16" i="50"/>
  <c r="C15" i="50"/>
  <c r="C14" i="50"/>
  <c r="C13" i="50"/>
  <c r="C12" i="50"/>
  <c r="C11" i="50"/>
  <c r="C10" i="50"/>
  <c r="C9" i="50"/>
  <c r="C8" i="50"/>
  <c r="C7" i="50"/>
  <c r="C6" i="50"/>
  <c r="C5" i="50"/>
  <c r="B9" i="37"/>
  <c r="B10" i="37"/>
  <c r="B11" i="37"/>
  <c r="B12" i="37"/>
  <c r="B13" i="37"/>
  <c r="B14" i="37"/>
  <c r="B15" i="37"/>
  <c r="B16" i="37"/>
  <c r="B17" i="37"/>
  <c r="B8" i="37"/>
  <c r="B7" i="37"/>
  <c r="B6" i="37"/>
  <c r="B5" i="37"/>
  <c r="Y189" i="71"/>
  <c r="X189" i="71"/>
  <c r="A189" i="71"/>
  <c r="Y188" i="71"/>
  <c r="X188" i="71"/>
  <c r="A188" i="71"/>
  <c r="X187" i="71"/>
  <c r="Y187" i="71"/>
  <c r="A187" i="71"/>
  <c r="L164" i="81"/>
  <c r="L163" i="81"/>
  <c r="L162" i="81"/>
  <c r="L161" i="81"/>
  <c r="L160" i="81"/>
  <c r="AO122" i="81"/>
  <c r="AM122" i="81"/>
  <c r="AK122" i="81"/>
  <c r="AI122" i="81"/>
  <c r="AE122" i="81"/>
  <c r="AC122" i="81"/>
  <c r="AA122" i="81"/>
  <c r="Y122" i="81"/>
  <c r="W122" i="81"/>
  <c r="U122" i="81"/>
  <c r="S122" i="81"/>
  <c r="Q122" i="81"/>
  <c r="O122" i="81"/>
  <c r="M122" i="81"/>
  <c r="K122" i="81"/>
  <c r="I122" i="81"/>
  <c r="G122" i="81"/>
  <c r="E122" i="81"/>
  <c r="C122" i="81"/>
  <c r="AS114" i="81"/>
  <c r="AQ114" i="81"/>
  <c r="AO114" i="81"/>
  <c r="AM114" i="81"/>
  <c r="AI114" i="81"/>
  <c r="AG114" i="81"/>
  <c r="AE114" i="81"/>
  <c r="AC114" i="81"/>
  <c r="AA114" i="81"/>
  <c r="Y114" i="81"/>
  <c r="W114" i="81"/>
  <c r="U114" i="81"/>
  <c r="S114" i="81"/>
  <c r="Q114" i="81"/>
  <c r="O114" i="81"/>
  <c r="M114" i="81"/>
  <c r="K114" i="81"/>
  <c r="I114" i="81"/>
  <c r="G114" i="81"/>
  <c r="E114" i="81"/>
  <c r="C114" i="81"/>
  <c r="AS106" i="81"/>
  <c r="AQ106" i="81"/>
  <c r="AO106" i="81"/>
  <c r="AM106" i="81"/>
  <c r="AK106" i="81"/>
  <c r="AI106" i="81"/>
  <c r="AG106" i="81"/>
  <c r="AE106" i="81"/>
  <c r="AC106" i="81"/>
  <c r="AA106" i="81"/>
  <c r="Y106" i="81"/>
  <c r="W106" i="81"/>
  <c r="U106" i="81"/>
  <c r="S106" i="81"/>
  <c r="Q106" i="81"/>
  <c r="O106" i="81"/>
  <c r="M106" i="81"/>
  <c r="K106" i="81"/>
  <c r="I106" i="81"/>
  <c r="G106" i="81"/>
  <c r="E106" i="81"/>
  <c r="C106" i="81"/>
  <c r="AS98" i="81"/>
  <c r="AO98" i="81"/>
  <c r="AM98" i="81"/>
  <c r="AK98" i="81"/>
  <c r="AI98" i="81"/>
  <c r="AG98" i="81"/>
  <c r="AE98" i="81"/>
  <c r="AC98" i="81"/>
  <c r="AA98" i="81"/>
  <c r="Y98" i="81"/>
  <c r="W98" i="81"/>
  <c r="U98" i="81"/>
  <c r="S98" i="81"/>
  <c r="Q98" i="81"/>
  <c r="O98" i="81"/>
  <c r="M98" i="81"/>
  <c r="K98" i="81"/>
  <c r="I98" i="81"/>
  <c r="G98" i="81"/>
  <c r="E98" i="81"/>
  <c r="C98" i="81"/>
  <c r="AS90" i="81"/>
  <c r="AQ90" i="81"/>
  <c r="AO90" i="81"/>
  <c r="AM90" i="81"/>
  <c r="AK90" i="81"/>
  <c r="AI90" i="81"/>
  <c r="AG90" i="81"/>
  <c r="AE90" i="81"/>
  <c r="AC90" i="81"/>
  <c r="AA90" i="81"/>
  <c r="Y90" i="81"/>
  <c r="W90" i="81"/>
  <c r="U90" i="81"/>
  <c r="S90" i="81"/>
  <c r="Q90" i="81"/>
  <c r="O90" i="81"/>
  <c r="M90" i="81"/>
  <c r="K90" i="81"/>
  <c r="I90" i="81"/>
  <c r="G90" i="81"/>
  <c r="E90" i="81"/>
  <c r="C90" i="81"/>
  <c r="AQ82" i="81"/>
  <c r="AO82" i="81"/>
  <c r="AM82" i="81"/>
  <c r="AK82" i="81"/>
  <c r="AI82" i="81"/>
  <c r="AG82" i="81"/>
  <c r="AE82" i="81"/>
  <c r="AC82" i="81"/>
  <c r="AA82" i="81"/>
  <c r="Y82" i="81"/>
  <c r="W82" i="81"/>
  <c r="U82" i="81"/>
  <c r="S82" i="81"/>
  <c r="Q82" i="81"/>
  <c r="O82" i="81"/>
  <c r="M82" i="81"/>
  <c r="K82" i="81"/>
  <c r="I82" i="81"/>
  <c r="G82" i="81"/>
  <c r="E82" i="81"/>
  <c r="C82" i="81"/>
  <c r="AS74" i="81"/>
  <c r="AQ74" i="81"/>
  <c r="AO74" i="81"/>
  <c r="AM74" i="81"/>
  <c r="AK74" i="81"/>
  <c r="AI74" i="81"/>
  <c r="AG74" i="81"/>
  <c r="I74" i="81"/>
  <c r="G74" i="81"/>
  <c r="E74" i="81"/>
  <c r="C74" i="81"/>
  <c r="AS66" i="81"/>
  <c r="AQ66" i="81"/>
  <c r="AO66" i="81"/>
  <c r="AM66" i="81"/>
  <c r="AK66" i="81"/>
  <c r="AI66" i="81"/>
  <c r="AG66" i="81"/>
  <c r="AE66" i="81"/>
  <c r="AC66" i="81"/>
  <c r="AA66" i="81"/>
  <c r="Y66" i="81"/>
  <c r="W66" i="81"/>
  <c r="U66" i="81"/>
  <c r="S66" i="81"/>
  <c r="Q66" i="81"/>
  <c r="O66" i="81"/>
  <c r="M66" i="81"/>
  <c r="K66" i="81"/>
  <c r="I66" i="81"/>
  <c r="G66" i="81"/>
  <c r="E66" i="81"/>
  <c r="C66" i="81"/>
  <c r="AS58" i="81"/>
  <c r="AQ58" i="81"/>
  <c r="AO58" i="81"/>
  <c r="AM58" i="81"/>
  <c r="AK58" i="81"/>
  <c r="AI58" i="81"/>
  <c r="AG58" i="81"/>
  <c r="AE58" i="81"/>
  <c r="AC58" i="81"/>
  <c r="AA58" i="81"/>
  <c r="Y58" i="81"/>
  <c r="W58" i="81"/>
  <c r="U58" i="81"/>
  <c r="S58" i="81"/>
  <c r="Q58" i="81"/>
  <c r="O58" i="81"/>
  <c r="M58" i="81"/>
  <c r="K58" i="81"/>
  <c r="I58" i="81"/>
  <c r="G58" i="81"/>
  <c r="E58" i="81"/>
  <c r="C58" i="81"/>
  <c r="AS50" i="81"/>
  <c r="AQ50" i="81"/>
  <c r="AO50" i="81"/>
  <c r="AM50" i="81"/>
  <c r="AK50" i="81"/>
  <c r="AI50" i="81"/>
  <c r="AG50" i="81"/>
  <c r="AE50" i="81"/>
  <c r="AC50" i="81"/>
  <c r="AA50" i="81"/>
  <c r="Y50" i="81"/>
  <c r="W50" i="81"/>
  <c r="U50" i="81"/>
  <c r="S50" i="81"/>
  <c r="Q50" i="81"/>
  <c r="O50" i="81"/>
  <c r="M50" i="81"/>
  <c r="K50" i="81"/>
  <c r="I50" i="81"/>
  <c r="G50" i="81"/>
  <c r="E50" i="81"/>
  <c r="C50" i="81"/>
  <c r="AS42" i="81"/>
  <c r="AQ42" i="81"/>
  <c r="AO42" i="81"/>
  <c r="AM42" i="81"/>
  <c r="AS34" i="81"/>
  <c r="AQ34" i="81"/>
  <c r="AO34" i="81"/>
  <c r="AM34" i="81"/>
  <c r="AK34" i="81"/>
  <c r="AI34" i="81"/>
  <c r="AG34" i="81"/>
  <c r="AE34" i="81"/>
  <c r="AC34" i="81"/>
  <c r="AA34" i="81"/>
  <c r="Y34" i="81"/>
  <c r="W34" i="81"/>
  <c r="U34" i="81"/>
  <c r="S34" i="81"/>
  <c r="Q34" i="81"/>
  <c r="O34" i="81"/>
  <c r="M34" i="81"/>
  <c r="K34" i="81"/>
  <c r="I34" i="81"/>
  <c r="G34" i="81"/>
  <c r="E34" i="81"/>
  <c r="C34" i="81"/>
  <c r="AS26" i="81"/>
  <c r="AQ26" i="81"/>
  <c r="AO26" i="81"/>
  <c r="AM26" i="81"/>
  <c r="AK26" i="81"/>
  <c r="AG26" i="81"/>
  <c r="AE26" i="81"/>
  <c r="AC26" i="81"/>
  <c r="AA26" i="81"/>
  <c r="Y26" i="81"/>
  <c r="W26" i="81"/>
  <c r="U26" i="81"/>
  <c r="S26" i="81"/>
  <c r="Q26" i="81"/>
  <c r="O26" i="81"/>
  <c r="M26" i="81"/>
  <c r="K26" i="81"/>
  <c r="I26" i="81"/>
  <c r="G26" i="81"/>
  <c r="E26" i="81"/>
  <c r="C26" i="81"/>
  <c r="AS18" i="81"/>
  <c r="AQ18" i="81"/>
  <c r="AO18" i="81"/>
  <c r="AM18" i="81"/>
  <c r="AK18" i="81"/>
  <c r="AI18" i="81"/>
  <c r="AG18" i="81"/>
  <c r="AE18" i="81"/>
  <c r="AC18" i="81"/>
  <c r="AA18" i="81"/>
  <c r="Y18" i="81"/>
  <c r="W18" i="81"/>
  <c r="U18" i="81"/>
  <c r="S18" i="81"/>
  <c r="U12" i="81"/>
  <c r="W12" i="81" s="1"/>
  <c r="Y12" i="81" s="1"/>
  <c r="AA12" i="81" s="1"/>
  <c r="AC12" i="81" s="1"/>
  <c r="AE12" i="81" s="1"/>
  <c r="AG12" i="81" s="1"/>
  <c r="AI12" i="81" s="1"/>
  <c r="AK12" i="81" s="1"/>
  <c r="AM12" i="81" s="1"/>
  <c r="AO12" i="81" s="1"/>
  <c r="AQ12" i="81" s="1"/>
  <c r="AS12" i="81" s="1"/>
  <c r="C20" i="81" s="1"/>
  <c r="E20" i="81" s="1"/>
  <c r="G20" i="81" s="1"/>
  <c r="I20" i="81" s="1"/>
  <c r="K20" i="81" s="1"/>
  <c r="M20" i="81" s="1"/>
  <c r="O20" i="81" s="1"/>
  <c r="Q20" i="81" s="1"/>
  <c r="S20" i="81" s="1"/>
  <c r="U20" i="81" s="1"/>
  <c r="W20" i="81" s="1"/>
  <c r="Y20" i="81" s="1"/>
  <c r="AA20" i="81" s="1"/>
  <c r="AC20" i="81" s="1"/>
  <c r="AE20" i="81" s="1"/>
  <c r="AG20" i="81" s="1"/>
  <c r="AI20" i="81" s="1"/>
  <c r="AK20" i="81" s="1"/>
  <c r="AM20" i="81" s="1"/>
  <c r="AO20" i="81" s="1"/>
  <c r="AQ20" i="81" s="1"/>
  <c r="AS20" i="81" s="1"/>
  <c r="C28" i="81" s="1"/>
  <c r="E28" i="81" s="1"/>
  <c r="G28" i="81" s="1"/>
  <c r="I28" i="81" s="1"/>
  <c r="K28" i="81" s="1"/>
  <c r="M28" i="81" s="1"/>
  <c r="O28" i="81" s="1"/>
  <c r="Q28" i="81" s="1"/>
  <c r="S28" i="81" s="1"/>
  <c r="U28" i="81" s="1"/>
  <c r="W28" i="81" s="1"/>
  <c r="Y28" i="81" s="1"/>
  <c r="AA28" i="81" s="1"/>
  <c r="AC28" i="81" s="1"/>
  <c r="AE28" i="81" s="1"/>
  <c r="AG28" i="81" s="1"/>
  <c r="AI28" i="81" s="1"/>
  <c r="AK28" i="81" s="1"/>
  <c r="AM28" i="81" s="1"/>
  <c r="AO28" i="81" s="1"/>
  <c r="AQ28" i="81" s="1"/>
  <c r="AS28" i="81" s="1"/>
  <c r="C36" i="81" s="1"/>
  <c r="E36" i="81" s="1"/>
  <c r="G36" i="81" s="1"/>
  <c r="I36" i="81" s="1"/>
  <c r="K36" i="81" s="1"/>
  <c r="M36" i="81" s="1"/>
  <c r="O36" i="81" s="1"/>
  <c r="Q36" i="81" s="1"/>
  <c r="S36" i="81" s="1"/>
  <c r="U36" i="81" s="1"/>
  <c r="W36" i="81" s="1"/>
  <c r="Y36" i="81" s="1"/>
  <c r="AA36" i="81" s="1"/>
  <c r="AC36" i="81" s="1"/>
  <c r="AE36" i="81" s="1"/>
  <c r="AG36" i="81" s="1"/>
  <c r="AI36" i="81" s="1"/>
  <c r="AK36" i="81" s="1"/>
  <c r="AM36" i="81" s="1"/>
  <c r="AO36" i="81" s="1"/>
  <c r="AQ36" i="81" s="1"/>
  <c r="AS36" i="81" s="1"/>
  <c r="C44" i="81" s="1"/>
  <c r="E44" i="81" s="1"/>
  <c r="G44" i="81" s="1"/>
  <c r="I44" i="81" s="1"/>
  <c r="K44" i="81" s="1"/>
  <c r="M44" i="81" s="1"/>
  <c r="O44" i="81" s="1"/>
  <c r="Q44" i="81" s="1"/>
  <c r="S44" i="81" s="1"/>
  <c r="U44" i="81" s="1"/>
  <c r="W44" i="81" s="1"/>
  <c r="Y44" i="81" s="1"/>
  <c r="AA44" i="81" s="1"/>
  <c r="AC44" i="81" s="1"/>
  <c r="AE44" i="81" s="1"/>
  <c r="AG44" i="81" s="1"/>
  <c r="AI44" i="81" s="1"/>
  <c r="AK44" i="81" s="1"/>
  <c r="AM44" i="81" s="1"/>
  <c r="AO44" i="81" s="1"/>
  <c r="AQ44" i="81" s="1"/>
  <c r="AS44" i="81" s="1"/>
  <c r="C52" i="81" s="1"/>
  <c r="E52" i="81" s="1"/>
  <c r="G52" i="81" s="1"/>
  <c r="I52" i="81" s="1"/>
  <c r="K52" i="81" s="1"/>
  <c r="M52" i="81" s="1"/>
  <c r="O52" i="81" s="1"/>
  <c r="Q52" i="81" s="1"/>
  <c r="S52" i="81" s="1"/>
  <c r="U52" i="81" s="1"/>
  <c r="W52" i="81" s="1"/>
  <c r="Y52" i="81" s="1"/>
  <c r="AA52" i="81" s="1"/>
  <c r="AC52" i="81" s="1"/>
  <c r="AE52" i="81" s="1"/>
  <c r="AG52" i="81" s="1"/>
  <c r="AI52" i="81" s="1"/>
  <c r="AK52" i="81" s="1"/>
  <c r="AM52" i="81" s="1"/>
  <c r="AO52" i="81" s="1"/>
  <c r="AQ52" i="81" s="1"/>
  <c r="AS52" i="81" s="1"/>
  <c r="C60" i="81" s="1"/>
  <c r="E60" i="81" s="1"/>
  <c r="G60" i="81" s="1"/>
  <c r="I60" i="81" s="1"/>
  <c r="K60" i="81" s="1"/>
  <c r="M60" i="81" s="1"/>
  <c r="O60" i="81" s="1"/>
  <c r="Q60" i="81" s="1"/>
  <c r="S60" i="81" s="1"/>
  <c r="U60" i="81" s="1"/>
  <c r="W60" i="81" s="1"/>
  <c r="Y60" i="81" s="1"/>
  <c r="AA60" i="81" s="1"/>
  <c r="AC60" i="81" s="1"/>
  <c r="AE60" i="81" s="1"/>
  <c r="AG60" i="81" s="1"/>
  <c r="AI60" i="81" s="1"/>
  <c r="AK60" i="81" s="1"/>
  <c r="AM60" i="81" s="1"/>
  <c r="AO60" i="81" s="1"/>
  <c r="AQ60" i="81" s="1"/>
  <c r="AS60" i="81" s="1"/>
  <c r="C68" i="81" s="1"/>
  <c r="E68" i="81" s="1"/>
  <c r="G68" i="81" s="1"/>
  <c r="I68" i="81" s="1"/>
  <c r="K68" i="81" s="1"/>
  <c r="M68" i="81" s="1"/>
  <c r="O68" i="81" s="1"/>
  <c r="Q68" i="81" s="1"/>
  <c r="S68" i="81" s="1"/>
  <c r="U68" i="81" s="1"/>
  <c r="W68" i="81" s="1"/>
  <c r="Y68" i="81" s="1"/>
  <c r="AA68" i="81" s="1"/>
  <c r="AC68" i="81" s="1"/>
  <c r="AE68" i="81" s="1"/>
  <c r="AG68" i="81" s="1"/>
  <c r="AI68" i="81" s="1"/>
  <c r="AK68" i="81" s="1"/>
  <c r="AM68" i="81" s="1"/>
  <c r="AO68" i="81" s="1"/>
  <c r="AQ68" i="81" s="1"/>
  <c r="AS68" i="81" s="1"/>
  <c r="C76" i="81" s="1"/>
  <c r="E76" i="81" s="1"/>
  <c r="G76" i="81" s="1"/>
  <c r="I76" i="81" s="1"/>
  <c r="K76" i="81" s="1"/>
  <c r="M76" i="81" s="1"/>
  <c r="O76" i="81" s="1"/>
  <c r="Q76" i="81" s="1"/>
  <c r="S76" i="81" s="1"/>
  <c r="U76" i="81" s="1"/>
  <c r="W76" i="81" s="1"/>
  <c r="Y76" i="81" s="1"/>
  <c r="AA76" i="81" s="1"/>
  <c r="AC76" i="81" s="1"/>
  <c r="AE76" i="81" s="1"/>
  <c r="AG76" i="81" s="1"/>
  <c r="AI76" i="81" s="1"/>
  <c r="AK76" i="81" s="1"/>
  <c r="AM76" i="81" s="1"/>
  <c r="AO76" i="81" s="1"/>
  <c r="AQ76" i="81" s="1"/>
  <c r="AS76" i="81" s="1"/>
  <c r="C84" i="81" s="1"/>
  <c r="E84" i="81" s="1"/>
  <c r="G84" i="81" s="1"/>
  <c r="I84" i="81" s="1"/>
  <c r="K84" i="81" s="1"/>
  <c r="M84" i="81" s="1"/>
  <c r="O84" i="81" s="1"/>
  <c r="Q84" i="81" s="1"/>
  <c r="S84" i="81" s="1"/>
  <c r="U84" i="81" s="1"/>
  <c r="W84" i="81" s="1"/>
  <c r="Y84" i="81" s="1"/>
  <c r="AA84" i="81" s="1"/>
  <c r="AC84" i="81" s="1"/>
  <c r="AE84" i="81" s="1"/>
  <c r="AG84" i="81" s="1"/>
  <c r="AI84" i="81" s="1"/>
  <c r="AK84" i="81" s="1"/>
  <c r="AM84" i="81" s="1"/>
  <c r="AO84" i="81" s="1"/>
  <c r="AQ84" i="81" s="1"/>
  <c r="AS84" i="81" s="1"/>
  <c r="C92" i="81" s="1"/>
  <c r="E92" i="81" s="1"/>
  <c r="G92" i="81" s="1"/>
  <c r="I92" i="81" s="1"/>
  <c r="K92" i="81" s="1"/>
  <c r="M92" i="81" s="1"/>
  <c r="O92" i="81" s="1"/>
  <c r="Q92" i="81" s="1"/>
  <c r="S92" i="81" s="1"/>
  <c r="U92" i="81" s="1"/>
  <c r="W92" i="81" s="1"/>
  <c r="Y92" i="81" s="1"/>
  <c r="AA92" i="81" s="1"/>
  <c r="AC92" i="81" s="1"/>
  <c r="AE92" i="81" s="1"/>
  <c r="AG92" i="81" s="1"/>
  <c r="AI92" i="81" s="1"/>
  <c r="AK92" i="81" s="1"/>
  <c r="AM92" i="81" s="1"/>
  <c r="AO92" i="81" s="1"/>
  <c r="AQ92" i="81" s="1"/>
  <c r="AS92" i="81" s="1"/>
  <c r="C100" i="81" s="1"/>
  <c r="E100" i="81" s="1"/>
  <c r="G100" i="81" s="1"/>
  <c r="I100" i="81" s="1"/>
  <c r="K100" i="81" s="1"/>
  <c r="M100" i="81" s="1"/>
  <c r="O100" i="81" s="1"/>
  <c r="Q100" i="81" s="1"/>
  <c r="S100" i="81" s="1"/>
  <c r="U100" i="81" s="1"/>
  <c r="W100" i="81" s="1"/>
  <c r="Y100" i="81" s="1"/>
  <c r="AA100" i="81" s="1"/>
  <c r="AC100" i="81" s="1"/>
  <c r="AE100" i="81" s="1"/>
  <c r="AG100" i="81" s="1"/>
  <c r="AI100" i="81" s="1"/>
  <c r="AK100" i="81" s="1"/>
  <c r="AM100" i="81" s="1"/>
  <c r="AO100" i="81" s="1"/>
  <c r="AQ100" i="81" s="1"/>
  <c r="AS100" i="81" s="1"/>
  <c r="C108" i="81" s="1"/>
  <c r="E108" i="81" s="1"/>
  <c r="G108" i="81" s="1"/>
  <c r="I108" i="81" s="1"/>
  <c r="K108" i="81" s="1"/>
  <c r="M108" i="81" s="1"/>
  <c r="O108" i="81" s="1"/>
  <c r="Q108" i="81" s="1"/>
  <c r="S108" i="81" s="1"/>
  <c r="U108" i="81" s="1"/>
  <c r="W108" i="81" s="1"/>
  <c r="Y108" i="81" s="1"/>
  <c r="AA108" i="81" s="1"/>
  <c r="AC108" i="81" s="1"/>
  <c r="AE108" i="81" s="1"/>
  <c r="AG108" i="81" s="1"/>
  <c r="AI108" i="81" s="1"/>
  <c r="AK108" i="81" s="1"/>
  <c r="AM108" i="81" s="1"/>
  <c r="AO108" i="81" s="1"/>
  <c r="AQ108" i="81" s="1"/>
  <c r="AS108" i="81" s="1"/>
  <c r="C116" i="81" s="1"/>
  <c r="E116" i="81" s="1"/>
  <c r="G116" i="81" s="1"/>
  <c r="I116" i="81" s="1"/>
  <c r="K116" i="81" s="1"/>
  <c r="M116" i="81" s="1"/>
  <c r="O116" i="81" s="1"/>
  <c r="Q116" i="81" s="1"/>
  <c r="S116" i="81" s="1"/>
  <c r="U116" i="81" s="1"/>
  <c r="W116" i="81" s="1"/>
  <c r="Y116" i="81" s="1"/>
  <c r="AA116" i="81" s="1"/>
  <c r="AC116" i="81" s="1"/>
  <c r="AE116" i="81" s="1"/>
  <c r="AG116" i="81" s="1"/>
  <c r="AI116" i="81" s="1"/>
  <c r="AK116" i="81" s="1"/>
  <c r="AM116" i="81" s="1"/>
  <c r="AO116" i="81" s="1"/>
  <c r="Q12" i="81"/>
  <c r="G603" i="80"/>
  <c r="G601" i="80"/>
  <c r="G599" i="80"/>
  <c r="G597" i="80"/>
  <c r="G595" i="80"/>
  <c r="G593" i="80"/>
  <c r="G591" i="80"/>
  <c r="G589" i="80"/>
  <c r="G587" i="80"/>
  <c r="G585" i="80"/>
  <c r="G583" i="80"/>
  <c r="G581" i="80"/>
  <c r="G579" i="80"/>
  <c r="G577" i="80"/>
  <c r="G575" i="80"/>
  <c r="G573" i="80"/>
  <c r="G571" i="80"/>
  <c r="G569" i="80"/>
  <c r="G567" i="80"/>
  <c r="G565" i="80"/>
  <c r="G563" i="80"/>
  <c r="G561" i="80"/>
  <c r="G559" i="80"/>
  <c r="G557" i="80"/>
  <c r="G555" i="80"/>
  <c r="G553" i="80"/>
  <c r="G551" i="80"/>
  <c r="G549" i="80"/>
  <c r="G547" i="80"/>
  <c r="G545" i="80"/>
  <c r="G543" i="80"/>
  <c r="G541" i="80"/>
  <c r="G539" i="80"/>
  <c r="G537" i="80"/>
  <c r="G535" i="80"/>
  <c r="G533" i="80"/>
  <c r="G531" i="80"/>
  <c r="G529" i="80"/>
  <c r="G527" i="80"/>
  <c r="G525" i="80"/>
  <c r="G523" i="80"/>
  <c r="G521" i="80"/>
  <c r="G519" i="80"/>
  <c r="G517" i="80"/>
  <c r="G515" i="80"/>
  <c r="G513" i="80"/>
  <c r="G511" i="80"/>
  <c r="G509" i="80"/>
  <c r="G507" i="80"/>
  <c r="G505" i="80"/>
  <c r="G503" i="80"/>
  <c r="G501" i="80"/>
  <c r="G499" i="80"/>
  <c r="G497" i="80"/>
  <c r="G495" i="80"/>
  <c r="G493" i="80"/>
  <c r="G491" i="80"/>
  <c r="G489" i="80"/>
  <c r="G487" i="80"/>
  <c r="G485" i="80"/>
  <c r="G483" i="80"/>
  <c r="G481" i="80"/>
  <c r="G479" i="80"/>
  <c r="G477" i="80"/>
  <c r="G475" i="80"/>
  <c r="G473" i="80"/>
  <c r="G471" i="80"/>
  <c r="G469" i="80"/>
  <c r="G467" i="80"/>
  <c r="G465" i="80"/>
  <c r="G463" i="80"/>
  <c r="G461" i="80"/>
  <c r="G459" i="80"/>
  <c r="G457" i="80"/>
  <c r="G455" i="80"/>
  <c r="G453" i="80"/>
  <c r="G451" i="80"/>
  <c r="G449" i="80"/>
  <c r="G447" i="80"/>
  <c r="G445" i="80"/>
  <c r="G443" i="80"/>
  <c r="G441" i="80"/>
  <c r="G439" i="80"/>
  <c r="G437" i="80"/>
  <c r="G435" i="80"/>
  <c r="G433" i="80"/>
  <c r="G431" i="80"/>
  <c r="G429" i="80"/>
  <c r="G427" i="80"/>
  <c r="G425" i="80"/>
  <c r="G423" i="80"/>
  <c r="G421" i="80"/>
  <c r="G419" i="80"/>
  <c r="G417" i="80"/>
  <c r="G415" i="80"/>
  <c r="G413" i="80"/>
  <c r="G411" i="80"/>
  <c r="G409" i="80"/>
  <c r="G407" i="80"/>
  <c r="G405" i="80"/>
  <c r="G403" i="80"/>
  <c r="G401" i="80"/>
  <c r="G399" i="80"/>
  <c r="G397" i="80"/>
  <c r="G395" i="80"/>
  <c r="G393" i="80"/>
  <c r="G391" i="80"/>
  <c r="G389" i="80"/>
  <c r="G387" i="80"/>
  <c r="G385" i="80"/>
  <c r="G383" i="80"/>
  <c r="G381" i="80"/>
  <c r="G379" i="80"/>
  <c r="G377" i="80"/>
  <c r="G375" i="80"/>
  <c r="G373" i="80"/>
  <c r="G371" i="80"/>
  <c r="G369" i="80"/>
  <c r="G367" i="80"/>
  <c r="G365" i="80"/>
  <c r="G363" i="80"/>
  <c r="G361" i="80"/>
  <c r="G359" i="80"/>
  <c r="G357" i="80"/>
  <c r="G355" i="80"/>
  <c r="G353" i="80"/>
  <c r="G351" i="80"/>
  <c r="G349" i="80"/>
  <c r="G347" i="80"/>
  <c r="G345" i="80"/>
  <c r="G343" i="80"/>
  <c r="G341" i="80"/>
  <c r="G339" i="80"/>
  <c r="G337" i="80"/>
  <c r="G335" i="80"/>
  <c r="G333" i="80"/>
  <c r="G331" i="80"/>
  <c r="G329" i="80"/>
  <c r="G327" i="80"/>
  <c r="G325" i="80"/>
  <c r="G323" i="80"/>
  <c r="G321" i="80"/>
  <c r="G319" i="80"/>
  <c r="G317" i="80"/>
  <c r="G315" i="80"/>
  <c r="G313" i="80"/>
  <c r="G311" i="80"/>
  <c r="G309" i="80"/>
  <c r="G307" i="80"/>
  <c r="G305" i="80"/>
  <c r="G303" i="80"/>
  <c r="G301" i="80"/>
  <c r="G299" i="80"/>
  <c r="G297" i="80"/>
  <c r="G295" i="80"/>
  <c r="G293" i="80"/>
  <c r="G291" i="80"/>
  <c r="G289" i="80"/>
  <c r="G287" i="80"/>
  <c r="G285" i="80"/>
  <c r="G283" i="80"/>
  <c r="G281" i="80"/>
  <c r="G279" i="80"/>
  <c r="G277" i="80"/>
  <c r="G275" i="80"/>
  <c r="G273" i="80"/>
  <c r="G271" i="80"/>
  <c r="G269" i="80"/>
  <c r="G267" i="80"/>
  <c r="G265" i="80"/>
  <c r="G263" i="80"/>
  <c r="G261" i="80"/>
  <c r="G259" i="80"/>
  <c r="G257" i="80"/>
  <c r="G255" i="80"/>
  <c r="G253" i="80"/>
  <c r="G251" i="80"/>
  <c r="G249" i="80"/>
  <c r="G247" i="80"/>
  <c r="G245" i="80"/>
  <c r="G243" i="80"/>
  <c r="G241" i="80"/>
  <c r="G239" i="80"/>
  <c r="G237" i="80"/>
  <c r="G235" i="80"/>
  <c r="G233" i="80"/>
  <c r="G231" i="80"/>
  <c r="G229" i="80"/>
  <c r="G227" i="80"/>
  <c r="G225" i="80"/>
  <c r="G223" i="80"/>
  <c r="G221" i="80"/>
  <c r="G219" i="80"/>
  <c r="G217" i="80"/>
  <c r="G215" i="80"/>
  <c r="G213" i="80"/>
  <c r="G211" i="80"/>
  <c r="G209" i="80"/>
  <c r="G207" i="80"/>
  <c r="G205" i="80"/>
  <c r="G203" i="80"/>
  <c r="G201" i="80"/>
  <c r="G199" i="80"/>
  <c r="G197" i="80"/>
  <c r="G195" i="80"/>
  <c r="G193" i="80"/>
  <c r="G191" i="80"/>
  <c r="G189" i="80"/>
  <c r="G187" i="80"/>
  <c r="G185" i="80"/>
  <c r="G183" i="80"/>
  <c r="G181" i="80"/>
  <c r="G179" i="80"/>
  <c r="G177" i="80"/>
  <c r="G175" i="80"/>
  <c r="G173" i="80"/>
  <c r="G171" i="80"/>
  <c r="G169" i="80"/>
  <c r="G167" i="80"/>
  <c r="G165" i="80"/>
  <c r="G163" i="80"/>
  <c r="G161" i="80"/>
  <c r="G159" i="80"/>
  <c r="G157" i="80"/>
  <c r="G155" i="80"/>
  <c r="G153" i="80"/>
  <c r="G151" i="80"/>
  <c r="G149" i="80"/>
  <c r="G147" i="80"/>
  <c r="G145" i="80"/>
  <c r="G143" i="80"/>
  <c r="G141" i="80"/>
  <c r="G139" i="80"/>
  <c r="G137" i="80"/>
  <c r="G135" i="80"/>
  <c r="G133" i="80"/>
  <c r="G131" i="80"/>
  <c r="G129" i="80"/>
  <c r="G127" i="80"/>
  <c r="G125" i="80"/>
  <c r="G123" i="80"/>
  <c r="G121" i="80"/>
  <c r="G119" i="80"/>
  <c r="G117" i="80"/>
  <c r="G115" i="80"/>
  <c r="G113" i="80"/>
  <c r="G111" i="80"/>
  <c r="G109" i="80"/>
  <c r="G107" i="80"/>
  <c r="G105" i="80"/>
  <c r="G103" i="80"/>
  <c r="G101" i="80"/>
  <c r="G99" i="80"/>
  <c r="G97" i="80"/>
  <c r="G95" i="80"/>
  <c r="G93" i="80"/>
  <c r="G91" i="80"/>
  <c r="G89" i="80"/>
  <c r="G87" i="80"/>
  <c r="G85" i="80"/>
  <c r="G83" i="80"/>
  <c r="G81" i="80"/>
  <c r="G79" i="80"/>
  <c r="G77" i="80"/>
  <c r="G75" i="80"/>
  <c r="G73" i="80"/>
  <c r="G71" i="80"/>
  <c r="G69" i="80"/>
  <c r="G67" i="80"/>
  <c r="G65" i="80"/>
  <c r="G63" i="80"/>
  <c r="G61" i="80"/>
  <c r="G59" i="80"/>
  <c r="G57" i="80"/>
  <c r="G55" i="80"/>
  <c r="G53" i="80"/>
  <c r="G51" i="80"/>
  <c r="G49" i="80"/>
  <c r="G47" i="80"/>
  <c r="G43" i="80"/>
  <c r="G41" i="80"/>
  <c r="G39" i="80"/>
  <c r="G37" i="80"/>
  <c r="G35" i="80"/>
  <c r="G33" i="80"/>
  <c r="G31" i="80"/>
  <c r="G29" i="80"/>
  <c r="G27" i="80"/>
  <c r="G25" i="80"/>
  <c r="G23" i="80"/>
  <c r="G21" i="80"/>
  <c r="G19" i="80"/>
  <c r="G17" i="80"/>
  <c r="G15" i="80"/>
  <c r="G13" i="80"/>
  <c r="G11" i="80"/>
  <c r="G9" i="80"/>
  <c r="G7" i="80"/>
  <c r="I6" i="80"/>
  <c r="I8" i="80" s="1"/>
  <c r="I10" i="80" s="1"/>
  <c r="I12" i="80" s="1"/>
  <c r="I14" i="80" s="1"/>
  <c r="I16" i="80" s="1"/>
  <c r="I18" i="80" s="1"/>
  <c r="I20" i="80" s="1"/>
  <c r="I22" i="80" s="1"/>
  <c r="I24" i="80" s="1"/>
  <c r="I26" i="80" s="1"/>
  <c r="I28" i="80" s="1"/>
  <c r="I30" i="80" s="1"/>
  <c r="I32" i="80" s="1"/>
  <c r="I34" i="80" s="1"/>
  <c r="I36" i="80" s="1"/>
  <c r="I38" i="80" s="1"/>
  <c r="I40" i="80" s="1"/>
  <c r="G5" i="80"/>
  <c r="O2" i="80"/>
  <c r="E217" i="45" l="1"/>
  <c r="D156" i="49"/>
  <c r="D33" i="98"/>
  <c r="D79" i="49"/>
  <c r="E216" i="45"/>
  <c r="D157" i="49"/>
  <c r="D37" i="98"/>
  <c r="D76" i="49"/>
  <c r="D28" i="98"/>
  <c r="D47" i="49"/>
  <c r="E218" i="45"/>
  <c r="D155" i="49"/>
  <c r="D43" i="98"/>
  <c r="D41" i="49"/>
  <c r="D38" i="98"/>
  <c r="D78" i="49"/>
  <c r="D36" i="98"/>
  <c r="D80" i="49"/>
  <c r="D31" i="98"/>
  <c r="D81" i="49"/>
  <c r="D35" i="98"/>
  <c r="D77" i="49"/>
  <c r="E124" i="45"/>
  <c r="D54" i="98"/>
  <c r="D136" i="96"/>
  <c r="E168" i="45"/>
  <c r="D131" i="96"/>
  <c r="E109" i="45"/>
  <c r="D126" i="96"/>
  <c r="E40" i="45"/>
  <c r="D111" i="96"/>
  <c r="E38" i="45"/>
  <c r="D109" i="96"/>
  <c r="E35" i="45"/>
  <c r="D106" i="96"/>
  <c r="E37" i="45"/>
  <c r="D108" i="96"/>
  <c r="E36" i="45"/>
  <c r="D107" i="96"/>
  <c r="E223" i="45"/>
  <c r="D5" i="98"/>
  <c r="E39" i="45"/>
  <c r="D110" i="96"/>
  <c r="E139" i="45"/>
  <c r="D24" i="96"/>
  <c r="E135" i="45"/>
  <c r="D30" i="96"/>
  <c r="H299" i="38"/>
  <c r="I299" i="38"/>
  <c r="D46" i="37"/>
  <c r="D294" i="38"/>
  <c r="D45" i="37"/>
  <c r="D283" i="38"/>
  <c r="D246" i="37"/>
  <c r="D277" i="38"/>
  <c r="D127" i="37"/>
  <c r="D263" i="38"/>
  <c r="D93" i="49" s="1"/>
  <c r="D267" i="37"/>
  <c r="D267" i="38"/>
  <c r="D96" i="49" s="1"/>
  <c r="D48" i="37"/>
  <c r="D273" i="38"/>
  <c r="D55" i="37"/>
  <c r="D274" i="38"/>
  <c r="D128" i="37"/>
  <c r="D255" i="38"/>
  <c r="H259" i="38"/>
  <c r="I259" i="38"/>
  <c r="D211" i="37"/>
  <c r="D63" i="37"/>
  <c r="I234" i="38"/>
  <c r="H234" i="38"/>
  <c r="D47" i="37"/>
  <c r="D229" i="38"/>
  <c r="H228" i="38"/>
  <c r="I228" i="38"/>
  <c r="H191" i="38"/>
  <c r="I191" i="38"/>
  <c r="D67" i="37"/>
  <c r="D204" i="38"/>
  <c r="D174" i="49" s="1"/>
  <c r="D68" i="37"/>
  <c r="D195" i="38"/>
  <c r="D173" i="49" s="1"/>
  <c r="D40" i="37"/>
  <c r="D224" i="38"/>
  <c r="D36" i="49" s="1"/>
  <c r="D66" i="37"/>
  <c r="D196" i="38"/>
  <c r="D172" i="49" s="1"/>
  <c r="H175" i="38"/>
  <c r="I175" i="38"/>
  <c r="H167" i="38"/>
  <c r="I167" i="38"/>
  <c r="D126" i="37"/>
  <c r="D138" i="38"/>
  <c r="H147" i="38"/>
  <c r="I147" i="38"/>
  <c r="D88" i="37"/>
  <c r="D133" i="38"/>
  <c r="D181" i="49" s="1"/>
  <c r="D120" i="38"/>
  <c r="D152" i="38"/>
  <c r="D176" i="49" s="1"/>
  <c r="I124" i="38"/>
  <c r="H124" i="38"/>
  <c r="D167" i="37"/>
  <c r="D128" i="38"/>
  <c r="D167" i="49" s="1"/>
  <c r="D70" i="37"/>
  <c r="D121" i="38"/>
  <c r="D180" i="49" s="1"/>
  <c r="H96" i="81"/>
  <c r="J96" i="81"/>
  <c r="D44" i="37"/>
  <c r="D99" i="38"/>
  <c r="D49" i="37"/>
  <c r="D96" i="38"/>
  <c r="D43" i="37"/>
  <c r="D92" i="38"/>
  <c r="D88" i="38"/>
  <c r="D83" i="38"/>
  <c r="D102" i="49" s="1"/>
  <c r="D125" i="37"/>
  <c r="D82" i="38"/>
  <c r="I42" i="80"/>
  <c r="I44" i="80" s="1"/>
  <c r="I46" i="80" s="1"/>
  <c r="I48" i="80" s="1"/>
  <c r="I50" i="80" s="1"/>
  <c r="I52" i="80" s="1"/>
  <c r="I54" i="80" s="1"/>
  <c r="I56" i="80" s="1"/>
  <c r="I58" i="80" s="1"/>
  <c r="I60" i="80" s="1"/>
  <c r="I62" i="80" s="1"/>
  <c r="I64" i="80" s="1"/>
  <c r="I66" i="80" s="1"/>
  <c r="I68" i="80" s="1"/>
  <c r="I70" i="80" s="1"/>
  <c r="I72" i="80" s="1"/>
  <c r="I74" i="80" s="1"/>
  <c r="I76" i="80" s="1"/>
  <c r="I78" i="80" s="1"/>
  <c r="I80" i="80" s="1"/>
  <c r="I82" i="80" s="1"/>
  <c r="I84" i="80" s="1"/>
  <c r="I86" i="80" s="1"/>
  <c r="I88" i="80" s="1"/>
  <c r="I90" i="80" s="1"/>
  <c r="I92" i="80" s="1"/>
  <c r="I94" i="80" s="1"/>
  <c r="I96" i="80" s="1"/>
  <c r="I98" i="80" s="1"/>
  <c r="I100" i="80" s="1"/>
  <c r="I102" i="80" s="1"/>
  <c r="I104" i="80" s="1"/>
  <c r="I106" i="80" s="1"/>
  <c r="I108" i="80" s="1"/>
  <c r="I110" i="80" s="1"/>
  <c r="I112" i="80" s="1"/>
  <c r="I114" i="80" s="1"/>
  <c r="I116" i="80" s="1"/>
  <c r="I118" i="80" s="1"/>
  <c r="I120" i="80" s="1"/>
  <c r="I122" i="80" s="1"/>
  <c r="I124" i="80" s="1"/>
  <c r="I126" i="80" s="1"/>
  <c r="I128" i="80" s="1"/>
  <c r="I130" i="80" s="1"/>
  <c r="I132" i="80" s="1"/>
  <c r="I134" i="80" s="1"/>
  <c r="I136" i="80" s="1"/>
  <c r="I138" i="80" s="1"/>
  <c r="I140" i="80" s="1"/>
  <c r="I142" i="80" s="1"/>
  <c r="I144" i="80" s="1"/>
  <c r="I146" i="80" s="1"/>
  <c r="I148" i="80" s="1"/>
  <c r="I150" i="80" s="1"/>
  <c r="I152" i="80" s="1"/>
  <c r="I154" i="80" s="1"/>
  <c r="I156" i="80" s="1"/>
  <c r="I158" i="80" s="1"/>
  <c r="I160" i="80" s="1"/>
  <c r="I162" i="80" s="1"/>
  <c r="I164" i="80" s="1"/>
  <c r="I166" i="80" s="1"/>
  <c r="I168" i="80" s="1"/>
  <c r="I170" i="80" s="1"/>
  <c r="I172" i="80" s="1"/>
  <c r="I174" i="80" s="1"/>
  <c r="I176" i="80" s="1"/>
  <c r="I178" i="80" s="1"/>
  <c r="I180" i="80" s="1"/>
  <c r="I182" i="80" s="1"/>
  <c r="I184" i="80" s="1"/>
  <c r="I186" i="80" s="1"/>
  <c r="I188" i="80" s="1"/>
  <c r="I190" i="80" s="1"/>
  <c r="I192" i="80" s="1"/>
  <c r="I194" i="80" s="1"/>
  <c r="I196" i="80" s="1"/>
  <c r="I198" i="80" s="1"/>
  <c r="I200" i="80" s="1"/>
  <c r="I202" i="80" s="1"/>
  <c r="I204" i="80" s="1"/>
  <c r="I206" i="80" s="1"/>
  <c r="I208" i="80" s="1"/>
  <c r="I210" i="80" s="1"/>
  <c r="I212" i="80" s="1"/>
  <c r="I214" i="80" s="1"/>
  <c r="I216" i="80" s="1"/>
  <c r="I218" i="80" s="1"/>
  <c r="I220" i="80" s="1"/>
  <c r="I222" i="80" s="1"/>
  <c r="I224" i="80" s="1"/>
  <c r="I226" i="80" s="1"/>
  <c r="I228" i="80" s="1"/>
  <c r="I230" i="80" s="1"/>
  <c r="I232" i="80" s="1"/>
  <c r="I234" i="80" s="1"/>
  <c r="I236" i="80" s="1"/>
  <c r="I238" i="80" s="1"/>
  <c r="I240" i="80" s="1"/>
  <c r="I242" i="80" s="1"/>
  <c r="I244" i="80" s="1"/>
  <c r="I246" i="80" s="1"/>
  <c r="I248" i="80" s="1"/>
  <c r="I250" i="80" s="1"/>
  <c r="I252" i="80" s="1"/>
  <c r="I254" i="80" s="1"/>
  <c r="I256" i="80" s="1"/>
  <c r="I258" i="80" s="1"/>
  <c r="I260" i="80" s="1"/>
  <c r="I262" i="80" s="1"/>
  <c r="I264" i="80" s="1"/>
  <c r="I266" i="80" s="1"/>
  <c r="I268" i="80" s="1"/>
  <c r="I270" i="80" s="1"/>
  <c r="I272" i="80" s="1"/>
  <c r="I274" i="80" s="1"/>
  <c r="I276" i="80" s="1"/>
  <c r="I278" i="80" s="1"/>
  <c r="I280" i="80" s="1"/>
  <c r="I282" i="80" s="1"/>
  <c r="I284" i="80" s="1"/>
  <c r="I286" i="80" s="1"/>
  <c r="I288" i="80" s="1"/>
  <c r="I290" i="80" s="1"/>
  <c r="I292" i="80" s="1"/>
  <c r="I294" i="80" s="1"/>
  <c r="I296" i="80" s="1"/>
  <c r="I298" i="80" s="1"/>
  <c r="I300" i="80" s="1"/>
  <c r="I302" i="80" s="1"/>
  <c r="I304" i="80" s="1"/>
  <c r="I306" i="80" s="1"/>
  <c r="I308" i="80" s="1"/>
  <c r="I310" i="80" s="1"/>
  <c r="I312" i="80" s="1"/>
  <c r="I314" i="80" s="1"/>
  <c r="I316" i="80" s="1"/>
  <c r="I318" i="80" s="1"/>
  <c r="I320" i="80" s="1"/>
  <c r="I322" i="80" s="1"/>
  <c r="I324" i="80" s="1"/>
  <c r="I326" i="80" s="1"/>
  <c r="I328" i="80" s="1"/>
  <c r="I330" i="80" s="1"/>
  <c r="I332" i="80" s="1"/>
  <c r="I334" i="80" s="1"/>
  <c r="I336" i="80" s="1"/>
  <c r="I338" i="80" s="1"/>
  <c r="I340" i="80" s="1"/>
  <c r="I342" i="80" s="1"/>
  <c r="I344" i="80" s="1"/>
  <c r="I346" i="80" s="1"/>
  <c r="I348" i="80" s="1"/>
  <c r="I350" i="80" s="1"/>
  <c r="I352" i="80" s="1"/>
  <c r="I354" i="80" s="1"/>
  <c r="I356" i="80" s="1"/>
  <c r="I358" i="80" s="1"/>
  <c r="I360" i="80" s="1"/>
  <c r="I362" i="80" s="1"/>
  <c r="I364" i="80" s="1"/>
  <c r="I366" i="80" s="1"/>
  <c r="I368" i="80" s="1"/>
  <c r="I370" i="80" s="1"/>
  <c r="I372" i="80" s="1"/>
  <c r="I374" i="80" s="1"/>
  <c r="I376" i="80" s="1"/>
  <c r="I378" i="80" s="1"/>
  <c r="I380" i="80" s="1"/>
  <c r="I382" i="80" s="1"/>
  <c r="I384" i="80" s="1"/>
  <c r="I386" i="80" s="1"/>
  <c r="I388" i="80" s="1"/>
  <c r="I390" i="80" s="1"/>
  <c r="I392" i="80" s="1"/>
  <c r="I394" i="80" s="1"/>
  <c r="I396" i="80" s="1"/>
  <c r="I398" i="80" s="1"/>
  <c r="I400" i="80" s="1"/>
  <c r="I402" i="80" s="1"/>
  <c r="I404" i="80" s="1"/>
  <c r="I406" i="80" s="1"/>
  <c r="I408" i="80" s="1"/>
  <c r="I410" i="80" s="1"/>
  <c r="I412" i="80" s="1"/>
  <c r="I414" i="80" s="1"/>
  <c r="I416" i="80" s="1"/>
  <c r="I418" i="80" s="1"/>
  <c r="I420" i="80" s="1"/>
  <c r="I422" i="80" s="1"/>
  <c r="I424" i="80" s="1"/>
  <c r="I426" i="80" s="1"/>
  <c r="I428" i="80" s="1"/>
  <c r="I430" i="80" s="1"/>
  <c r="I432" i="80" s="1"/>
  <c r="I434" i="80" s="1"/>
  <c r="I436" i="80" s="1"/>
  <c r="I438" i="80" s="1"/>
  <c r="I440" i="80" s="1"/>
  <c r="I442" i="80" s="1"/>
  <c r="I444" i="80" s="1"/>
  <c r="I446" i="80" s="1"/>
  <c r="I448" i="80" s="1"/>
  <c r="I450" i="80" s="1"/>
  <c r="I452" i="80" s="1"/>
  <c r="I454" i="80" s="1"/>
  <c r="I456" i="80" s="1"/>
  <c r="I458" i="80" s="1"/>
  <c r="I460" i="80" s="1"/>
  <c r="I462" i="80" s="1"/>
  <c r="I464" i="80" s="1"/>
  <c r="I466" i="80" s="1"/>
  <c r="I468" i="80" s="1"/>
  <c r="I470" i="80" s="1"/>
  <c r="I472" i="80" s="1"/>
  <c r="I474" i="80" s="1"/>
  <c r="I476" i="80" s="1"/>
  <c r="I478" i="80" s="1"/>
  <c r="I480" i="80" s="1"/>
  <c r="I482" i="80" s="1"/>
  <c r="I484" i="80" s="1"/>
  <c r="I486" i="80" s="1"/>
  <c r="I488" i="80" s="1"/>
  <c r="I490" i="80" s="1"/>
  <c r="I492" i="80" s="1"/>
  <c r="I494" i="80" s="1"/>
  <c r="I496" i="80" s="1"/>
  <c r="I498" i="80" s="1"/>
  <c r="I500" i="80" s="1"/>
  <c r="I502" i="80" s="1"/>
  <c r="I504" i="80" s="1"/>
  <c r="I506" i="80" s="1"/>
  <c r="I508" i="80" s="1"/>
  <c r="I510" i="80" s="1"/>
  <c r="I512" i="80" s="1"/>
  <c r="I514" i="80" s="1"/>
  <c r="I516" i="80" s="1"/>
  <c r="I518" i="80" s="1"/>
  <c r="I520" i="80" s="1"/>
  <c r="I522" i="80" s="1"/>
  <c r="I524" i="80" s="1"/>
  <c r="I526" i="80" s="1"/>
  <c r="I528" i="80" s="1"/>
  <c r="I530" i="80" s="1"/>
  <c r="I532" i="80" s="1"/>
  <c r="I534" i="80" s="1"/>
  <c r="I536" i="80" s="1"/>
  <c r="I538" i="80" s="1"/>
  <c r="I540" i="80" s="1"/>
  <c r="I542" i="80" s="1"/>
  <c r="I544" i="80" s="1"/>
  <c r="I546" i="80" s="1"/>
  <c r="I548" i="80" s="1"/>
  <c r="I550" i="80" s="1"/>
  <c r="I552" i="80" s="1"/>
  <c r="I554" i="80" s="1"/>
  <c r="I556" i="80" s="1"/>
  <c r="I558" i="80" s="1"/>
  <c r="I560" i="80" s="1"/>
  <c r="I562" i="80" s="1"/>
  <c r="I564" i="80" s="1"/>
  <c r="I566" i="80" s="1"/>
  <c r="I568" i="80" s="1"/>
  <c r="I570" i="80" s="1"/>
  <c r="I572" i="80" s="1"/>
  <c r="I574" i="80" s="1"/>
  <c r="I576" i="80" s="1"/>
  <c r="I578" i="80" s="1"/>
  <c r="I580" i="80" s="1"/>
  <c r="I582" i="80" s="1"/>
  <c r="I584" i="80" s="1"/>
  <c r="I586" i="80" s="1"/>
  <c r="I588" i="80" s="1"/>
  <c r="I590" i="80" s="1"/>
  <c r="I592" i="80" s="1"/>
  <c r="I594" i="80" s="1"/>
  <c r="I596" i="80" s="1"/>
  <c r="I598" i="80" s="1"/>
  <c r="I600" i="80" s="1"/>
  <c r="I602" i="80" s="1"/>
  <c r="I604" i="80" s="1"/>
  <c r="I606" i="80" s="1"/>
  <c r="I608" i="80" s="1"/>
  <c r="I610" i="80" s="1"/>
  <c r="I612" i="80" s="1"/>
  <c r="I614" i="80" s="1"/>
  <c r="I616" i="80" s="1"/>
  <c r="M5" i="33"/>
  <c r="D78" i="38"/>
  <c r="AR120" i="81"/>
  <c r="J128" i="81"/>
  <c r="H128" i="81"/>
  <c r="F128" i="81"/>
  <c r="D128" i="81"/>
  <c r="AT120" i="81"/>
  <c r="D11" i="37"/>
  <c r="D74" i="38"/>
  <c r="D86" i="49" s="1"/>
  <c r="D13" i="37"/>
  <c r="D71" i="38"/>
  <c r="L165" i="81"/>
  <c r="I52" i="38"/>
  <c r="H52" i="38"/>
  <c r="D124" i="37"/>
  <c r="D56" i="38"/>
  <c r="I48" i="38"/>
  <c r="H48" i="38"/>
  <c r="I45" i="38"/>
  <c r="H45" i="38"/>
  <c r="I40" i="38"/>
  <c r="H40" i="38"/>
  <c r="I36" i="38"/>
  <c r="H36" i="38"/>
  <c r="I33" i="38"/>
  <c r="H33" i="38"/>
  <c r="D26" i="38"/>
  <c r="D69" i="49" s="1"/>
  <c r="D51" i="37"/>
  <c r="D61" i="37"/>
  <c r="D123" i="37"/>
  <c r="D28" i="37"/>
  <c r="D20" i="38"/>
  <c r="D70" i="49" s="1"/>
  <c r="D35" i="37"/>
  <c r="D22" i="38"/>
  <c r="G165" i="81"/>
  <c r="T32" i="81"/>
  <c r="D65" i="37"/>
  <c r="D15" i="37"/>
  <c r="D94" i="37"/>
  <c r="D69" i="37"/>
  <c r="D41" i="37"/>
  <c r="D96" i="37"/>
  <c r="D42" i="37"/>
  <c r="D95" i="37"/>
  <c r="D64" i="37"/>
  <c r="D56" i="37"/>
  <c r="D38" i="37"/>
  <c r="D17" i="37"/>
  <c r="I53" i="33"/>
  <c r="D62" i="37"/>
  <c r="D7" i="38"/>
  <c r="D150" i="49" s="1"/>
  <c r="D58" i="37"/>
  <c r="D6" i="38"/>
  <c r="D152" i="49" s="1"/>
  <c r="D60" i="37"/>
  <c r="D8" i="38"/>
  <c r="D151" i="49" s="1"/>
  <c r="D59" i="37"/>
  <c r="K52" i="33"/>
  <c r="D29" i="37"/>
  <c r="I61" i="33"/>
  <c r="J61" i="33"/>
  <c r="K61" i="33"/>
  <c r="L61" i="33"/>
  <c r="M61" i="33"/>
  <c r="D12" i="37"/>
  <c r="K58" i="33"/>
  <c r="L58" i="33"/>
  <c r="I58" i="33"/>
  <c r="J58" i="33"/>
  <c r="M58" i="33"/>
  <c r="M56" i="33"/>
  <c r="I56" i="33"/>
  <c r="L56" i="33"/>
  <c r="J56" i="33"/>
  <c r="K56" i="33"/>
  <c r="M57" i="33"/>
  <c r="L57" i="33"/>
  <c r="I57" i="33"/>
  <c r="K57" i="33"/>
  <c r="J57" i="33"/>
  <c r="K55" i="33"/>
  <c r="I55" i="33"/>
  <c r="L55" i="33"/>
  <c r="M55" i="33"/>
  <c r="J55" i="33"/>
  <c r="M52" i="33"/>
  <c r="I52" i="33"/>
  <c r="I162" i="81"/>
  <c r="J54" i="33"/>
  <c r="L54" i="33"/>
  <c r="M54" i="33"/>
  <c r="K54" i="33"/>
  <c r="I54" i="33"/>
  <c r="L52" i="33"/>
  <c r="M53" i="33"/>
  <c r="J52" i="33"/>
  <c r="L53" i="33"/>
  <c r="K53" i="33"/>
  <c r="J53" i="33"/>
  <c r="I161" i="81"/>
  <c r="J120" i="81"/>
  <c r="R64" i="81"/>
  <c r="I163" i="81"/>
  <c r="I164" i="81"/>
  <c r="AR80" i="81"/>
  <c r="R48" i="81"/>
  <c r="D72" i="81"/>
  <c r="AP96" i="81"/>
  <c r="V104" i="81"/>
  <c r="AR24" i="81"/>
  <c r="F40" i="81"/>
  <c r="F56" i="81"/>
  <c r="AD72" i="81"/>
  <c r="AL104" i="81"/>
  <c r="J112" i="81"/>
  <c r="L48" i="81"/>
  <c r="AN120" i="81"/>
  <c r="X120" i="81"/>
  <c r="H120" i="81"/>
  <c r="AN112" i="81"/>
  <c r="X112" i="81"/>
  <c r="H112" i="81"/>
  <c r="AR104" i="81"/>
  <c r="AB104" i="81"/>
  <c r="L104" i="81"/>
  <c r="AF96" i="81"/>
  <c r="P96" i="81"/>
  <c r="AJ88" i="81"/>
  <c r="T88" i="81"/>
  <c r="D88" i="81"/>
  <c r="AN80" i="81"/>
  <c r="X80" i="81"/>
  <c r="H80" i="81"/>
  <c r="AR72" i="81"/>
  <c r="AB72" i="81"/>
  <c r="L72" i="81"/>
  <c r="AF64" i="81"/>
  <c r="P64" i="81"/>
  <c r="AJ56" i="81"/>
  <c r="T56" i="81"/>
  <c r="D56" i="81"/>
  <c r="AN48" i="81"/>
  <c r="X48" i="81"/>
  <c r="H48" i="81"/>
  <c r="AR40" i="81"/>
  <c r="AB40" i="81"/>
  <c r="L40" i="81"/>
  <c r="AF32" i="81"/>
  <c r="P32" i="81"/>
  <c r="AJ24" i="81"/>
  <c r="T24" i="81"/>
  <c r="D24" i="81"/>
  <c r="AP16" i="81"/>
  <c r="Z16" i="81"/>
  <c r="AL120" i="81"/>
  <c r="V120" i="81"/>
  <c r="F120" i="81"/>
  <c r="AL112" i="81"/>
  <c r="V112" i="81"/>
  <c r="F112" i="81"/>
  <c r="AP104" i="81"/>
  <c r="Z104" i="81"/>
  <c r="J104" i="81"/>
  <c r="AT96" i="81"/>
  <c r="AD96" i="81"/>
  <c r="N96" i="81"/>
  <c r="AH88" i="81"/>
  <c r="R88" i="81"/>
  <c r="AL80" i="81"/>
  <c r="V80" i="81"/>
  <c r="F80" i="81"/>
  <c r="AP72" i="81"/>
  <c r="Z72" i="81"/>
  <c r="J72" i="81"/>
  <c r="AT64" i="81"/>
  <c r="AD64" i="81"/>
  <c r="N64" i="81"/>
  <c r="AH56" i="81"/>
  <c r="R56" i="81"/>
  <c r="AL48" i="81"/>
  <c r="V48" i="81"/>
  <c r="F48" i="81"/>
  <c r="AJ120" i="81"/>
  <c r="T120" i="81"/>
  <c r="D120" i="81"/>
  <c r="AJ112" i="81"/>
  <c r="T112" i="81"/>
  <c r="D112" i="81"/>
  <c r="AN104" i="81"/>
  <c r="X104" i="81"/>
  <c r="H104" i="81"/>
  <c r="AR96" i="81"/>
  <c r="AB96" i="81"/>
  <c r="L96" i="81"/>
  <c r="AF88" i="81"/>
  <c r="P88" i="81"/>
  <c r="AJ80" i="81"/>
  <c r="T80" i="81"/>
  <c r="D80" i="81"/>
  <c r="AN72" i="81"/>
  <c r="X72" i="81"/>
  <c r="H72" i="81"/>
  <c r="AR64" i="81"/>
  <c r="AB64" i="81"/>
  <c r="L64" i="81"/>
  <c r="AF56" i="81"/>
  <c r="P56" i="81"/>
  <c r="AJ48" i="81"/>
  <c r="T48" i="81"/>
  <c r="D48" i="81"/>
  <c r="AN40" i="81"/>
  <c r="X40" i="81"/>
  <c r="H40" i="81"/>
  <c r="AR32" i="81"/>
  <c r="AB32" i="81"/>
  <c r="L32" i="81"/>
  <c r="AF24" i="81"/>
  <c r="P24" i="81"/>
  <c r="AL16" i="81"/>
  <c r="V16" i="81"/>
  <c r="AF120" i="81"/>
  <c r="P120" i="81"/>
  <c r="AF112" i="81"/>
  <c r="P112" i="81"/>
  <c r="AJ104" i="81"/>
  <c r="T104" i="81"/>
  <c r="D104" i="81"/>
  <c r="AN96" i="81"/>
  <c r="X96" i="81"/>
  <c r="AR88" i="81"/>
  <c r="AB88" i="81"/>
  <c r="L88" i="81"/>
  <c r="AD120" i="81"/>
  <c r="N120" i="81"/>
  <c r="AT112" i="81"/>
  <c r="AD112" i="81"/>
  <c r="N112" i="81"/>
  <c r="AH104" i="81"/>
  <c r="R104" i="81"/>
  <c r="AL96" i="81"/>
  <c r="V96" i="81"/>
  <c r="F96" i="81"/>
  <c r="AP88" i="81"/>
  <c r="Z88" i="81"/>
  <c r="J88" i="81"/>
  <c r="AT80" i="81"/>
  <c r="AD80" i="81"/>
  <c r="N80" i="81"/>
  <c r="AH72" i="81"/>
  <c r="R72" i="81"/>
  <c r="AL64" i="81"/>
  <c r="V64" i="81"/>
  <c r="F64" i="81"/>
  <c r="AP56" i="81"/>
  <c r="Z56" i="81"/>
  <c r="J56" i="81"/>
  <c r="AT48" i="81"/>
  <c r="AD48" i="81"/>
  <c r="N48" i="81"/>
  <c r="AH40" i="81"/>
  <c r="R40" i="81"/>
  <c r="AL32" i="81"/>
  <c r="V32" i="81"/>
  <c r="F32" i="81"/>
  <c r="AP24" i="81"/>
  <c r="Z24" i="81"/>
  <c r="J24" i="81"/>
  <c r="AF16" i="81"/>
  <c r="AB120" i="81"/>
  <c r="L120" i="81"/>
  <c r="AR112" i="81"/>
  <c r="AB112" i="81"/>
  <c r="L112" i="81"/>
  <c r="AF104" i="81"/>
  <c r="P104" i="81"/>
  <c r="AJ96" i="81"/>
  <c r="T96" i="81"/>
  <c r="D96" i="81"/>
  <c r="AN88" i="81"/>
  <c r="X88" i="81"/>
  <c r="H88" i="81"/>
  <c r="N104" i="81"/>
  <c r="R96" i="81"/>
  <c r="AD88" i="81"/>
  <c r="AP80" i="81"/>
  <c r="J80" i="81"/>
  <c r="V72" i="81"/>
  <c r="AJ64" i="81"/>
  <c r="D64" i="81"/>
  <c r="X56" i="81"/>
  <c r="AP48" i="81"/>
  <c r="J48" i="81"/>
  <c r="AD40" i="81"/>
  <c r="D40" i="81"/>
  <c r="AH32" i="81"/>
  <c r="H32" i="81"/>
  <c r="AN24" i="81"/>
  <c r="N24" i="81"/>
  <c r="X16" i="81"/>
  <c r="F104" i="81"/>
  <c r="V88" i="81"/>
  <c r="AH80" i="81"/>
  <c r="T72" i="81"/>
  <c r="AH64" i="81"/>
  <c r="V56" i="81"/>
  <c r="AH48" i="81"/>
  <c r="Z40" i="81"/>
  <c r="AD32" i="81"/>
  <c r="D32" i="81"/>
  <c r="AL24" i="81"/>
  <c r="L24" i="81"/>
  <c r="AT16" i="81"/>
  <c r="T16" i="81"/>
  <c r="N88" i="81"/>
  <c r="AF80" i="81"/>
  <c r="P72" i="81"/>
  <c r="Z64" i="81"/>
  <c r="AT56" i="81"/>
  <c r="N56" i="81"/>
  <c r="AF48" i="81"/>
  <c r="V40" i="81"/>
  <c r="Z32" i="81"/>
  <c r="AH24" i="81"/>
  <c r="H24" i="81"/>
  <c r="AR16" i="81"/>
  <c r="AP120" i="81"/>
  <c r="AP112" i="81"/>
  <c r="F88" i="81"/>
  <c r="AB80" i="81"/>
  <c r="AT72" i="81"/>
  <c r="N72" i="81"/>
  <c r="X64" i="81"/>
  <c r="AR56" i="81"/>
  <c r="L56" i="81"/>
  <c r="AB48" i="81"/>
  <c r="AT40" i="81"/>
  <c r="T40" i="81"/>
  <c r="X32" i="81"/>
  <c r="AD24" i="81"/>
  <c r="F24" i="81"/>
  <c r="AN16" i="81"/>
  <c r="AH120" i="81"/>
  <c r="AH112" i="81"/>
  <c r="AT104" i="81"/>
  <c r="Z80" i="81"/>
  <c r="AL72" i="81"/>
  <c r="F72" i="81"/>
  <c r="T64" i="81"/>
  <c r="AN56" i="81"/>
  <c r="H56" i="81"/>
  <c r="Z48" i="81"/>
  <c r="AP40" i="81"/>
  <c r="P40" i="81"/>
  <c r="AT32" i="81"/>
  <c r="AB24" i="81"/>
  <c r="AJ16" i="81"/>
  <c r="R120" i="81"/>
  <c r="R112" i="81"/>
  <c r="AD104" i="81"/>
  <c r="AH96" i="81"/>
  <c r="AT88" i="81"/>
  <c r="P80" i="81"/>
  <c r="AF72" i="81"/>
  <c r="AP64" i="81"/>
  <c r="J64" i="81"/>
  <c r="AD56" i="81"/>
  <c r="P48" i="81"/>
  <c r="AJ40" i="81"/>
  <c r="J40" i="81"/>
  <c r="AN32" i="81"/>
  <c r="N32" i="81"/>
  <c r="AT24" i="81"/>
  <c r="V24" i="81"/>
  <c r="AD16" i="81"/>
  <c r="R24" i="81"/>
  <c r="AR48" i="81"/>
  <c r="X24" i="81"/>
  <c r="AB16" i="81"/>
  <c r="N40" i="81"/>
  <c r="AB56" i="81"/>
  <c r="AJ72" i="81"/>
  <c r="Z112" i="81"/>
  <c r="Z120" i="81"/>
  <c r="R32" i="81"/>
  <c r="AJ32" i="81"/>
  <c r="AN64" i="81"/>
  <c r="AL88" i="81"/>
  <c r="AP32" i="81"/>
  <c r="Z96" i="81"/>
  <c r="AH16" i="81"/>
  <c r="AF40" i="81"/>
  <c r="AL56" i="81"/>
  <c r="L80" i="81"/>
  <c r="J32" i="81"/>
  <c r="AL40" i="81"/>
  <c r="H64" i="81"/>
  <c r="R80" i="81"/>
  <c r="I160" i="81"/>
  <c r="E165" i="81"/>
  <c r="X176" i="71"/>
  <c r="Y176" i="71"/>
  <c r="X177" i="71"/>
  <c r="Y177" i="71"/>
  <c r="X178" i="71"/>
  <c r="Y178" i="71"/>
  <c r="X179" i="71"/>
  <c r="Y179" i="71"/>
  <c r="X180" i="71"/>
  <c r="Y180" i="71"/>
  <c r="X181" i="71"/>
  <c r="Y181" i="71"/>
  <c r="X182" i="71"/>
  <c r="Y182" i="71"/>
  <c r="X183" i="71"/>
  <c r="Y183" i="71"/>
  <c r="X184" i="71"/>
  <c r="Y184" i="71"/>
  <c r="X185" i="71"/>
  <c r="Y185" i="71"/>
  <c r="X186" i="71"/>
  <c r="Y186" i="71"/>
  <c r="A185" i="71"/>
  <c r="A184" i="71"/>
  <c r="A183" i="71"/>
  <c r="A182" i="71"/>
  <c r="A181" i="71"/>
  <c r="A177" i="71"/>
  <c r="A178" i="71"/>
  <c r="A179" i="71"/>
  <c r="A180" i="71"/>
  <c r="A186" i="71"/>
  <c r="A176" i="71"/>
  <c r="D9" i="38"/>
  <c r="D158" i="49" s="1"/>
  <c r="D10" i="38"/>
  <c r="D11" i="38"/>
  <c r="D153" i="49" s="1"/>
  <c r="D12" i="38"/>
  <c r="D203" i="49" s="1"/>
  <c r="D17" i="38"/>
  <c r="D18" i="38"/>
  <c r="D204" i="49" s="1"/>
  <c r="D5" i="38"/>
  <c r="D154" i="49" s="1"/>
  <c r="D59" i="98" l="1"/>
  <c r="D72" i="49"/>
  <c r="E84" i="45"/>
  <c r="D106" i="49"/>
  <c r="D12" i="96"/>
  <c r="D159" i="49"/>
  <c r="D7" i="98"/>
  <c r="D87" i="49"/>
  <c r="D73" i="98"/>
  <c r="D59" i="49"/>
  <c r="E82" i="45"/>
  <c r="D103" i="49"/>
  <c r="E226" i="45"/>
  <c r="D107" i="49"/>
  <c r="D21" i="96"/>
  <c r="D165" i="49"/>
  <c r="D60" i="98"/>
  <c r="D73" i="49"/>
  <c r="E83" i="45"/>
  <c r="D105" i="49"/>
  <c r="E227" i="45"/>
  <c r="D108" i="49"/>
  <c r="D14" i="98"/>
  <c r="D84" i="49"/>
  <c r="D8" i="98"/>
  <c r="D85" i="49"/>
  <c r="D16" i="98"/>
  <c r="D88" i="49"/>
  <c r="E229" i="45"/>
  <c r="D110" i="49"/>
  <c r="E205" i="45"/>
  <c r="D94" i="49"/>
  <c r="E228" i="45"/>
  <c r="D109" i="49"/>
  <c r="E173" i="45"/>
  <c r="D104" i="49"/>
  <c r="E245" i="45"/>
  <c r="D144" i="49"/>
  <c r="E255" i="45"/>
  <c r="D111" i="49"/>
  <c r="D9" i="98"/>
  <c r="D15" i="98"/>
  <c r="D115" i="96"/>
  <c r="D68" i="98"/>
  <c r="E123" i="45"/>
  <c r="D55" i="98"/>
  <c r="D137" i="96"/>
  <c r="D10" i="98"/>
  <c r="E33" i="45"/>
  <c r="D104" i="96"/>
  <c r="E32" i="45"/>
  <c r="D116" i="96"/>
  <c r="E34" i="45"/>
  <c r="D105" i="96"/>
  <c r="E30" i="45"/>
  <c r="D117" i="96"/>
  <c r="E224" i="45"/>
  <c r="D6" i="98"/>
  <c r="E56" i="45"/>
  <c r="D51" i="96"/>
  <c r="E104" i="45"/>
  <c r="D34" i="96"/>
  <c r="E201" i="45"/>
  <c r="D45" i="96"/>
  <c r="E133" i="45"/>
  <c r="D29" i="96"/>
  <c r="E55" i="45"/>
  <c r="D43" i="96"/>
  <c r="E141" i="45"/>
  <c r="D22" i="96"/>
  <c r="E11" i="45"/>
  <c r="D68" i="96"/>
  <c r="E134" i="45"/>
  <c r="D31" i="96"/>
  <c r="E136" i="45"/>
  <c r="D27" i="96"/>
  <c r="E20" i="45"/>
  <c r="D67" i="96"/>
  <c r="E54" i="45"/>
  <c r="D44" i="96"/>
  <c r="E100" i="45"/>
  <c r="D35" i="96"/>
  <c r="E132" i="45"/>
  <c r="D28" i="96"/>
  <c r="E214" i="45"/>
  <c r="D50" i="96"/>
  <c r="E57" i="45"/>
  <c r="D52" i="96"/>
  <c r="R57" i="33"/>
  <c r="R52" i="33"/>
  <c r="R55" i="33"/>
  <c r="R58" i="33"/>
  <c r="R61" i="33"/>
  <c r="R53" i="33"/>
  <c r="R56" i="33"/>
  <c r="R54" i="33"/>
  <c r="H120" i="38"/>
  <c r="E185" i="45"/>
  <c r="H277" i="38"/>
  <c r="I277" i="38"/>
  <c r="H283" i="38"/>
  <c r="I283" i="38"/>
  <c r="H294" i="38"/>
  <c r="I294" i="38"/>
  <c r="H273" i="38"/>
  <c r="I273" i="38"/>
  <c r="H267" i="38"/>
  <c r="I267" i="38"/>
  <c r="H263" i="38"/>
  <c r="I263" i="38"/>
  <c r="I274" i="38"/>
  <c r="H274" i="38"/>
  <c r="H260" i="38"/>
  <c r="I260" i="38"/>
  <c r="H255" i="38"/>
  <c r="I255" i="38"/>
  <c r="H229" i="38"/>
  <c r="I229" i="38"/>
  <c r="H224" i="38"/>
  <c r="I224" i="38"/>
  <c r="H195" i="38"/>
  <c r="I195" i="38"/>
  <c r="H204" i="38"/>
  <c r="I204" i="38"/>
  <c r="H196" i="38"/>
  <c r="I196" i="38"/>
  <c r="I120" i="38"/>
  <c r="H152" i="38"/>
  <c r="I152" i="38"/>
  <c r="H133" i="38"/>
  <c r="I133" i="38"/>
  <c r="H138" i="38"/>
  <c r="I138" i="38"/>
  <c r="H128" i="38"/>
  <c r="I128" i="38"/>
  <c r="I121" i="38"/>
  <c r="H121" i="38"/>
  <c r="H83" i="38"/>
  <c r="E81" i="45"/>
  <c r="H99" i="38"/>
  <c r="I99" i="38"/>
  <c r="I96" i="38"/>
  <c r="H96" i="38"/>
  <c r="H92" i="38"/>
  <c r="I92" i="38"/>
  <c r="H88" i="38"/>
  <c r="I88" i="38"/>
  <c r="I83" i="38"/>
  <c r="I82" i="38"/>
  <c r="H82" i="38"/>
  <c r="I78" i="38"/>
  <c r="H78" i="38"/>
  <c r="I74" i="38"/>
  <c r="H74" i="38"/>
  <c r="I71" i="38"/>
  <c r="H71" i="38"/>
  <c r="H26" i="38"/>
  <c r="E31" i="45"/>
  <c r="I10" i="38"/>
  <c r="E27" i="45"/>
  <c r="I9" i="38"/>
  <c r="E26" i="45"/>
  <c r="I5" i="38"/>
  <c r="E25" i="45"/>
  <c r="I11" i="38"/>
  <c r="E24" i="45"/>
  <c r="I6" i="38"/>
  <c r="E23" i="45"/>
  <c r="I56" i="38"/>
  <c r="H56" i="38"/>
  <c r="I8" i="38"/>
  <c r="E22" i="45"/>
  <c r="I7" i="38"/>
  <c r="E21" i="45"/>
  <c r="I26" i="38"/>
  <c r="I22" i="38"/>
  <c r="H22" i="38"/>
  <c r="I20" i="38"/>
  <c r="H20" i="38"/>
  <c r="H18" i="38"/>
  <c r="I18" i="38"/>
  <c r="H17" i="38"/>
  <c r="I17" i="38"/>
  <c r="I12" i="38"/>
  <c r="H12" i="38"/>
  <c r="H11" i="38"/>
  <c r="H8" i="38"/>
  <c r="H9" i="38"/>
  <c r="H6" i="38"/>
  <c r="H5" i="38"/>
  <c r="H10" i="38"/>
  <c r="H7" i="38"/>
  <c r="N61" i="33"/>
  <c r="N58" i="33"/>
  <c r="N57" i="33"/>
  <c r="N56" i="33"/>
  <c r="N55" i="33"/>
  <c r="N54" i="33"/>
  <c r="N52" i="33"/>
  <c r="N53" i="33"/>
  <c r="I165" i="81"/>
  <c r="H3" i="38" l="1"/>
  <c r="I3" i="38"/>
  <c r="X173" i="71"/>
  <c r="Y173" i="71"/>
  <c r="X174" i="71"/>
  <c r="Y174" i="71"/>
  <c r="X175" i="71"/>
  <c r="Y175" i="71"/>
  <c r="A175" i="71"/>
  <c r="A174" i="71"/>
  <c r="A173" i="71"/>
  <c r="B54" i="32"/>
  <c r="C31" i="66"/>
  <c r="C30" i="66"/>
  <c r="C24" i="66"/>
  <c r="C23" i="66"/>
  <c r="C22" i="66"/>
  <c r="C19" i="66"/>
  <c r="C18" i="66"/>
  <c r="C15" i="66"/>
  <c r="C12" i="66"/>
  <c r="C11" i="66"/>
  <c r="C10" i="66"/>
  <c r="C9" i="66"/>
  <c r="C6" i="66"/>
  <c r="C5" i="66"/>
  <c r="C4" i="66"/>
  <c r="C3" i="66"/>
  <c r="O14" i="73" l="1"/>
  <c r="A172" i="71" l="1"/>
  <c r="A171" i="71"/>
  <c r="A170" i="71"/>
  <c r="A169" i="71"/>
  <c r="X169" i="71"/>
  <c r="Y169" i="71"/>
  <c r="X170" i="71"/>
  <c r="Y170" i="71"/>
  <c r="X171" i="71"/>
  <c r="Y171" i="71"/>
  <c r="X172" i="71"/>
  <c r="Y172" i="71"/>
  <c r="A303" i="76"/>
  <c r="A302" i="76"/>
  <c r="A301" i="76"/>
  <c r="A300" i="76"/>
  <c r="A299" i="76"/>
  <c r="A298" i="76"/>
  <c r="A297" i="76"/>
  <c r="A296" i="76"/>
  <c r="A295" i="76"/>
  <c r="A294" i="76"/>
  <c r="A293" i="76"/>
  <c r="A292" i="76"/>
  <c r="A291" i="76"/>
  <c r="A290" i="76"/>
  <c r="A289" i="76"/>
  <c r="A288" i="76"/>
  <c r="A287" i="76"/>
  <c r="A286" i="76"/>
  <c r="A285" i="76"/>
  <c r="A284" i="76"/>
  <c r="A283" i="76"/>
  <c r="A282" i="76"/>
  <c r="A281" i="76"/>
  <c r="A280" i="76"/>
  <c r="A279" i="76"/>
  <c r="A278" i="76"/>
  <c r="A277" i="76"/>
  <c r="A276" i="76"/>
  <c r="A275" i="76"/>
  <c r="A274" i="76"/>
  <c r="A273" i="76"/>
  <c r="A272" i="76"/>
  <c r="A271" i="76"/>
  <c r="A270" i="76"/>
  <c r="A269" i="76"/>
  <c r="A268" i="76"/>
  <c r="A267" i="76"/>
  <c r="A266" i="76"/>
  <c r="A265" i="76"/>
  <c r="A264" i="76"/>
  <c r="A263" i="76"/>
  <c r="A262" i="76"/>
  <c r="A261" i="76"/>
  <c r="A260" i="76"/>
  <c r="A259" i="76"/>
  <c r="A258" i="76"/>
  <c r="A257" i="76"/>
  <c r="A256" i="76"/>
  <c r="A255" i="76"/>
  <c r="A254" i="76"/>
  <c r="A253" i="76"/>
  <c r="A252" i="76"/>
  <c r="A251" i="76"/>
  <c r="A250" i="76"/>
  <c r="A249" i="76"/>
  <c r="A248" i="76"/>
  <c r="A247" i="76"/>
  <c r="A246" i="76"/>
  <c r="A245" i="76"/>
  <c r="A244" i="76"/>
  <c r="A243" i="76"/>
  <c r="A242" i="76"/>
  <c r="A241" i="76"/>
  <c r="A240" i="76"/>
  <c r="A239" i="76"/>
  <c r="A238" i="76"/>
  <c r="A237" i="76"/>
  <c r="A236" i="76"/>
  <c r="A235" i="76"/>
  <c r="A234" i="76"/>
  <c r="A233" i="76"/>
  <c r="A232" i="76"/>
  <c r="A231" i="76"/>
  <c r="A230" i="76"/>
  <c r="A229" i="76"/>
  <c r="A228" i="76"/>
  <c r="A227" i="76"/>
  <c r="A226" i="76"/>
  <c r="A225" i="76"/>
  <c r="A224" i="76"/>
  <c r="A223" i="76"/>
  <c r="A222" i="76"/>
  <c r="A221" i="76"/>
  <c r="A220" i="76"/>
  <c r="A219" i="76"/>
  <c r="A218" i="76"/>
  <c r="A217" i="76"/>
  <c r="A216" i="76"/>
  <c r="A215" i="76"/>
  <c r="A214" i="76"/>
  <c r="A213" i="76"/>
  <c r="A212" i="76"/>
  <c r="A211" i="76"/>
  <c r="A210" i="76"/>
  <c r="A209" i="76"/>
  <c r="A208" i="76"/>
  <c r="A207" i="76"/>
  <c r="A206" i="76"/>
  <c r="A205" i="76"/>
  <c r="A204" i="76"/>
  <c r="A203" i="76"/>
  <c r="A202" i="76"/>
  <c r="A201" i="76"/>
  <c r="A200" i="76"/>
  <c r="A199" i="76"/>
  <c r="A198" i="76"/>
  <c r="A197" i="76"/>
  <c r="A196" i="76"/>
  <c r="A195" i="76"/>
  <c r="A194" i="76"/>
  <c r="A193" i="76"/>
  <c r="A192" i="76"/>
  <c r="A191" i="76"/>
  <c r="A190" i="76"/>
  <c r="A189" i="76"/>
  <c r="A188" i="76"/>
  <c r="A187" i="76"/>
  <c r="A186" i="76"/>
  <c r="A185" i="76"/>
  <c r="A184" i="76"/>
  <c r="A183" i="76"/>
  <c r="A182" i="76"/>
  <c r="A181" i="76"/>
  <c r="A180" i="76"/>
  <c r="A179" i="76"/>
  <c r="A178" i="76"/>
  <c r="A177" i="76"/>
  <c r="A176" i="76"/>
  <c r="A175" i="76"/>
  <c r="A174" i="76"/>
  <c r="A173" i="76"/>
  <c r="A172" i="76"/>
  <c r="A171" i="76"/>
  <c r="A170" i="76"/>
  <c r="A169" i="76"/>
  <c r="A168" i="76"/>
  <c r="A167" i="76"/>
  <c r="A166" i="76"/>
  <c r="A165" i="76"/>
  <c r="A164" i="76"/>
  <c r="A163" i="76"/>
  <c r="A162" i="76"/>
  <c r="A161" i="76"/>
  <c r="A160" i="76"/>
  <c r="A159" i="76"/>
  <c r="A158" i="76"/>
  <c r="A157" i="76"/>
  <c r="A156" i="76"/>
  <c r="A155" i="76"/>
  <c r="A154" i="76"/>
  <c r="A153" i="76"/>
  <c r="A152" i="76"/>
  <c r="A151" i="76"/>
  <c r="A150" i="76"/>
  <c r="A149" i="76"/>
  <c r="A148" i="76"/>
  <c r="A147" i="76"/>
  <c r="A146" i="76"/>
  <c r="A145" i="76"/>
  <c r="A144" i="76"/>
  <c r="A143" i="76"/>
  <c r="A142" i="76"/>
  <c r="A141" i="76"/>
  <c r="A140" i="76"/>
  <c r="A139" i="76"/>
  <c r="A138" i="76"/>
  <c r="A137" i="76"/>
  <c r="A136" i="76"/>
  <c r="A135" i="76"/>
  <c r="A134" i="76"/>
  <c r="A133" i="76"/>
  <c r="A132" i="76"/>
  <c r="A131" i="76"/>
  <c r="A130" i="76"/>
  <c r="A129" i="76"/>
  <c r="A128" i="76"/>
  <c r="A127" i="76"/>
  <c r="A126" i="76"/>
  <c r="A125" i="76"/>
  <c r="A124" i="76"/>
  <c r="A123" i="76"/>
  <c r="A122" i="76"/>
  <c r="A121" i="76"/>
  <c r="A120" i="76"/>
  <c r="A119" i="76"/>
  <c r="A118" i="76"/>
  <c r="A117" i="76"/>
  <c r="A116" i="76"/>
  <c r="A115" i="76"/>
  <c r="A114" i="76"/>
  <c r="A113" i="76"/>
  <c r="A112" i="76"/>
  <c r="A111" i="76"/>
  <c r="A110" i="76"/>
  <c r="A109" i="76"/>
  <c r="A108" i="76"/>
  <c r="A107" i="76"/>
  <c r="A106" i="76"/>
  <c r="A105" i="76"/>
  <c r="A104" i="76"/>
  <c r="A103" i="76"/>
  <c r="A102" i="76"/>
  <c r="A101" i="76"/>
  <c r="A100" i="76"/>
  <c r="A99" i="76"/>
  <c r="A98" i="76"/>
  <c r="A97" i="76"/>
  <c r="A96" i="76"/>
  <c r="A95" i="76"/>
  <c r="A94" i="76"/>
  <c r="A93" i="76"/>
  <c r="A92" i="76"/>
  <c r="A91" i="76"/>
  <c r="A90" i="76"/>
  <c r="A89" i="76"/>
  <c r="A88" i="76"/>
  <c r="A87" i="76"/>
  <c r="A86" i="76"/>
  <c r="A85" i="76"/>
  <c r="A84" i="76"/>
  <c r="A83" i="76"/>
  <c r="A82" i="76"/>
  <c r="A81" i="76"/>
  <c r="A80" i="76"/>
  <c r="A79" i="76"/>
  <c r="A78" i="76"/>
  <c r="A77" i="76"/>
  <c r="A76" i="76"/>
  <c r="A75" i="76"/>
  <c r="A74" i="76"/>
  <c r="A73" i="76"/>
  <c r="A72" i="76"/>
  <c r="A71" i="76"/>
  <c r="A70" i="76"/>
  <c r="A69" i="76"/>
  <c r="A68" i="76"/>
  <c r="A67" i="76"/>
  <c r="A66" i="76"/>
  <c r="A65" i="76"/>
  <c r="A64" i="76"/>
  <c r="A63" i="76"/>
  <c r="A62" i="76"/>
  <c r="A61" i="76"/>
  <c r="A60" i="76"/>
  <c r="A59" i="76"/>
  <c r="A58" i="76"/>
  <c r="A57" i="76"/>
  <c r="A56" i="76"/>
  <c r="A55" i="76"/>
  <c r="A54" i="76"/>
  <c r="A53" i="76"/>
  <c r="A52" i="76"/>
  <c r="A51" i="76"/>
  <c r="A50" i="76"/>
  <c r="A49" i="76"/>
  <c r="A48" i="76"/>
  <c r="A47" i="76"/>
  <c r="A46" i="76"/>
  <c r="A45" i="76"/>
  <c r="A44" i="76"/>
  <c r="A43" i="76"/>
  <c r="A42" i="76"/>
  <c r="A41" i="76"/>
  <c r="A40" i="76"/>
  <c r="A39" i="76"/>
  <c r="A38" i="76"/>
  <c r="A37" i="76"/>
  <c r="A36" i="76"/>
  <c r="A35" i="76"/>
  <c r="A34" i="76"/>
  <c r="A33" i="76"/>
  <c r="A32" i="76"/>
  <c r="A31" i="76"/>
  <c r="A30" i="76"/>
  <c r="A29" i="76"/>
  <c r="A28" i="76"/>
  <c r="A27" i="76"/>
  <c r="A26" i="76"/>
  <c r="A25" i="76"/>
  <c r="A24" i="76"/>
  <c r="A23" i="76"/>
  <c r="A22" i="76"/>
  <c r="A21" i="76"/>
  <c r="A20" i="76"/>
  <c r="A19" i="76"/>
  <c r="A18" i="76"/>
  <c r="A17" i="76"/>
  <c r="A16" i="76"/>
  <c r="A15" i="76"/>
  <c r="A14" i="76"/>
  <c r="A13" i="76"/>
  <c r="A12" i="76"/>
  <c r="A11" i="76"/>
  <c r="A10" i="76"/>
  <c r="A9" i="76"/>
  <c r="A8" i="76"/>
  <c r="A7" i="76"/>
  <c r="A6" i="76"/>
  <c r="A5" i="76"/>
  <c r="J42" i="75"/>
  <c r="K42" i="75" s="1"/>
  <c r="H42" i="75"/>
  <c r="J41" i="75"/>
  <c r="K41" i="75" s="1"/>
  <c r="H41" i="75"/>
  <c r="J40" i="75"/>
  <c r="K40" i="75" s="1"/>
  <c r="H40" i="75"/>
  <c r="K39" i="75"/>
  <c r="H39" i="75"/>
  <c r="J38" i="75"/>
  <c r="K38" i="75" s="1"/>
  <c r="H38" i="75"/>
  <c r="J37" i="75"/>
  <c r="K37" i="75" s="1"/>
  <c r="H37" i="75"/>
  <c r="J36" i="75"/>
  <c r="K36" i="75" s="1"/>
  <c r="H36" i="75"/>
  <c r="J35" i="75"/>
  <c r="K35" i="75" s="1"/>
  <c r="H35" i="75"/>
  <c r="J34" i="75"/>
  <c r="K34" i="75" s="1"/>
  <c r="H34" i="75"/>
  <c r="J33" i="75"/>
  <c r="K33" i="75" s="1"/>
  <c r="H33" i="75"/>
  <c r="J32" i="75"/>
  <c r="K32" i="75" s="1"/>
  <c r="H32" i="75"/>
  <c r="J31" i="75"/>
  <c r="K31" i="75" s="1"/>
  <c r="H31" i="75"/>
  <c r="J30" i="75"/>
  <c r="K30" i="75" s="1"/>
  <c r="H30" i="75"/>
  <c r="J29" i="75"/>
  <c r="K29" i="75" s="1"/>
  <c r="H29" i="75"/>
  <c r="J28" i="75"/>
  <c r="K28" i="75" s="1"/>
  <c r="H28" i="75"/>
  <c r="J27" i="75"/>
  <c r="K27" i="75" s="1"/>
  <c r="H27" i="75"/>
  <c r="J26" i="75"/>
  <c r="K26" i="75" s="1"/>
  <c r="H26" i="75"/>
  <c r="J25" i="75"/>
  <c r="K25" i="75" s="1"/>
  <c r="H25" i="75"/>
  <c r="J24" i="75"/>
  <c r="K24" i="75" s="1"/>
  <c r="H24" i="75"/>
  <c r="J23" i="75"/>
  <c r="K23" i="75" s="1"/>
  <c r="H23" i="75"/>
  <c r="J22" i="75"/>
  <c r="K22" i="75" s="1"/>
  <c r="H22" i="75"/>
  <c r="J21" i="75"/>
  <c r="K21" i="75" s="1"/>
  <c r="H21" i="75"/>
  <c r="J20" i="75"/>
  <c r="K20" i="75" s="1"/>
  <c r="H20" i="75"/>
  <c r="J19" i="75"/>
  <c r="K19" i="75" s="1"/>
  <c r="H19" i="75"/>
  <c r="J18" i="75"/>
  <c r="K18" i="75" s="1"/>
  <c r="H18" i="75"/>
  <c r="J17" i="75"/>
  <c r="K17" i="75" s="1"/>
  <c r="H17" i="75"/>
  <c r="J16" i="75"/>
  <c r="K16" i="75" s="1"/>
  <c r="H16" i="75"/>
  <c r="J15" i="75"/>
  <c r="K15" i="75" s="1"/>
  <c r="H15" i="75"/>
  <c r="J14" i="75"/>
  <c r="K14" i="75" s="1"/>
  <c r="H14" i="75"/>
  <c r="J13" i="75"/>
  <c r="K13" i="75" s="1"/>
  <c r="H13" i="75"/>
  <c r="J12" i="75"/>
  <c r="K12" i="75" s="1"/>
  <c r="H12" i="75"/>
  <c r="J11" i="75"/>
  <c r="K11" i="75" s="1"/>
  <c r="H11" i="75"/>
  <c r="J9" i="75"/>
  <c r="K9" i="75" s="1"/>
  <c r="H9" i="75"/>
  <c r="J8" i="75"/>
  <c r="K8" i="75" s="1"/>
  <c r="G2" i="75"/>
  <c r="J6" i="75"/>
  <c r="K6" i="75" s="1"/>
  <c r="H6" i="75"/>
  <c r="A6" i="75"/>
  <c r="A7" i="75" s="1"/>
  <c r="A8" i="75" s="1"/>
  <c r="A9" i="75" s="1"/>
  <c r="J5" i="75"/>
  <c r="H5" i="75"/>
  <c r="D2" i="75"/>
  <c r="X165" i="71"/>
  <c r="Y165" i="71"/>
  <c r="X166" i="71"/>
  <c r="Y166" i="71"/>
  <c r="X167" i="71"/>
  <c r="Y167" i="71"/>
  <c r="X168" i="71"/>
  <c r="Y168" i="71"/>
  <c r="A168" i="71"/>
  <c r="A167" i="71"/>
  <c r="A166" i="71"/>
  <c r="A165" i="71"/>
  <c r="X160" i="71"/>
  <c r="Y160" i="71"/>
  <c r="X161" i="71"/>
  <c r="Y161" i="71"/>
  <c r="X162" i="71"/>
  <c r="Y162" i="71"/>
  <c r="X163" i="71"/>
  <c r="Y163" i="71"/>
  <c r="X164" i="71"/>
  <c r="Y164" i="71"/>
  <c r="A164" i="71"/>
  <c r="A163" i="71"/>
  <c r="A162" i="71"/>
  <c r="A161" i="71"/>
  <c r="X157" i="71"/>
  <c r="Y157" i="71"/>
  <c r="X158" i="71"/>
  <c r="Y158" i="71"/>
  <c r="A158" i="71"/>
  <c r="I45" i="33"/>
  <c r="A157" i="71"/>
  <c r="Y156" i="71"/>
  <c r="X156" i="71"/>
  <c r="Y155" i="71"/>
  <c r="X155" i="71"/>
  <c r="A156" i="71"/>
  <c r="A155" i="71"/>
  <c r="X151" i="71"/>
  <c r="Y151" i="71"/>
  <c r="X152" i="71"/>
  <c r="Y152" i="71"/>
  <c r="X153" i="71"/>
  <c r="Y153" i="71"/>
  <c r="X154" i="71"/>
  <c r="Y154" i="71"/>
  <c r="A154" i="71"/>
  <c r="A153" i="71"/>
  <c r="A152" i="71"/>
  <c r="A151" i="71"/>
  <c r="X147" i="71"/>
  <c r="Y147" i="71"/>
  <c r="X148" i="71"/>
  <c r="Y148" i="71"/>
  <c r="X149" i="71"/>
  <c r="Y149" i="71"/>
  <c r="X150" i="71"/>
  <c r="Y150" i="71"/>
  <c r="A150" i="71"/>
  <c r="A149" i="71"/>
  <c r="A148" i="71"/>
  <c r="A147" i="71"/>
  <c r="Y146" i="71"/>
  <c r="X146" i="71"/>
  <c r="Y145" i="71"/>
  <c r="X145" i="71"/>
  <c r="Q3" i="33"/>
  <c r="A146" i="71"/>
  <c r="A145" i="71"/>
  <c r="C8" i="66"/>
  <c r="C7" i="66"/>
  <c r="Y144" i="71"/>
  <c r="X144" i="71"/>
  <c r="A144" i="71"/>
  <c r="Y143" i="71"/>
  <c r="X143" i="71"/>
  <c r="Y142" i="71"/>
  <c r="X142" i="71"/>
  <c r="Y141" i="71"/>
  <c r="X141" i="71"/>
  <c r="Y140" i="71"/>
  <c r="X140" i="71"/>
  <c r="A143" i="71"/>
  <c r="A142" i="71"/>
  <c r="A141" i="71"/>
  <c r="A140" i="71"/>
  <c r="J43" i="33"/>
  <c r="X135" i="71"/>
  <c r="Y135" i="71"/>
  <c r="X136" i="71"/>
  <c r="Y136" i="71"/>
  <c r="X137" i="71"/>
  <c r="Y137" i="71"/>
  <c r="X138" i="71"/>
  <c r="Y138" i="71"/>
  <c r="X139" i="71"/>
  <c r="Y139" i="71"/>
  <c r="A139" i="71"/>
  <c r="A138" i="71"/>
  <c r="A137" i="71"/>
  <c r="A136" i="71"/>
  <c r="A135" i="71"/>
  <c r="E45" i="31"/>
  <c r="F45" i="31" s="1"/>
  <c r="D45" i="32" s="1"/>
  <c r="E54" i="31"/>
  <c r="F54" i="31" s="1"/>
  <c r="B54" i="31"/>
  <c r="E53" i="31"/>
  <c r="F53" i="31" s="1"/>
  <c r="B53" i="31"/>
  <c r="E52" i="31"/>
  <c r="E51" i="31"/>
  <c r="F51" i="31" s="1"/>
  <c r="E50" i="31"/>
  <c r="F50" i="31" s="1"/>
  <c r="E49" i="31"/>
  <c r="F49" i="31" s="1"/>
  <c r="E48" i="31"/>
  <c r="E47" i="31"/>
  <c r="E46" i="31"/>
  <c r="F46" i="31" s="1"/>
  <c r="E44" i="31"/>
  <c r="E43" i="31"/>
  <c r="E42" i="31"/>
  <c r="Y134" i="71"/>
  <c r="X134" i="71"/>
  <c r="A134" i="71"/>
  <c r="Y133" i="71"/>
  <c r="X133" i="71"/>
  <c r="A133" i="71"/>
  <c r="I40" i="33"/>
  <c r="Y128" i="71"/>
  <c r="Y129" i="71"/>
  <c r="Y130" i="71"/>
  <c r="Y131" i="71"/>
  <c r="Y132" i="71"/>
  <c r="X132" i="71"/>
  <c r="X131" i="71"/>
  <c r="X130" i="71"/>
  <c r="X129" i="71"/>
  <c r="X128" i="71"/>
  <c r="A132" i="71"/>
  <c r="A131" i="71"/>
  <c r="A130" i="71"/>
  <c r="A129" i="71"/>
  <c r="A128" i="71"/>
  <c r="A127" i="71"/>
  <c r="A126" i="71"/>
  <c r="A125" i="71"/>
  <c r="Y127" i="71"/>
  <c r="X127" i="71"/>
  <c r="Y126" i="71"/>
  <c r="X126" i="71"/>
  <c r="Y125" i="71"/>
  <c r="X125" i="71"/>
  <c r="J38" i="33"/>
  <c r="K44" i="33"/>
  <c r="Y124" i="71"/>
  <c r="Y123" i="71"/>
  <c r="Y122" i="71"/>
  <c r="X124" i="71"/>
  <c r="X123" i="71"/>
  <c r="X122" i="71"/>
  <c r="A124" i="71"/>
  <c r="A123" i="71"/>
  <c r="A122" i="71"/>
  <c r="Y121" i="71"/>
  <c r="X121" i="71"/>
  <c r="Y120" i="71"/>
  <c r="X120" i="71"/>
  <c r="A121" i="71"/>
  <c r="A120" i="71"/>
  <c r="Y119" i="71"/>
  <c r="Y118" i="71"/>
  <c r="Y117" i="71"/>
  <c r="X119" i="71"/>
  <c r="X118" i="71"/>
  <c r="X117" i="71"/>
  <c r="A119" i="71"/>
  <c r="A118" i="71"/>
  <c r="A117" i="71"/>
  <c r="X114" i="71"/>
  <c r="Y114" i="71"/>
  <c r="X115" i="71"/>
  <c r="Y115" i="71"/>
  <c r="X116" i="71"/>
  <c r="Y116" i="71"/>
  <c r="X113" i="71"/>
  <c r="Y113" i="71"/>
  <c r="A116" i="71"/>
  <c r="A115" i="71"/>
  <c r="A114" i="71"/>
  <c r="X104" i="71"/>
  <c r="Y104" i="71"/>
  <c r="X105" i="71"/>
  <c r="Y105" i="71"/>
  <c r="X106" i="71"/>
  <c r="Y106" i="71"/>
  <c r="X107" i="71"/>
  <c r="Y107" i="71"/>
  <c r="X108" i="71"/>
  <c r="Y108" i="71"/>
  <c r="X109" i="71"/>
  <c r="Y109" i="71"/>
  <c r="X110" i="71"/>
  <c r="Y110" i="71"/>
  <c r="X111" i="71"/>
  <c r="Y111" i="71"/>
  <c r="X112" i="71"/>
  <c r="Y112" i="71"/>
  <c r="X103" i="71"/>
  <c r="Y103" i="71"/>
  <c r="M37" i="33"/>
  <c r="A113" i="71"/>
  <c r="A112" i="71"/>
  <c r="F3" i="73"/>
  <c r="H50" i="73"/>
  <c r="I49" i="73" s="1"/>
  <c r="D50" i="73"/>
  <c r="H48" i="73"/>
  <c r="I47" i="73" s="1"/>
  <c r="D48" i="73"/>
  <c r="H46" i="73"/>
  <c r="I45" i="73" s="1"/>
  <c r="I43" i="73"/>
  <c r="D44" i="73"/>
  <c r="H40" i="73"/>
  <c r="I39" i="73" s="1"/>
  <c r="D40" i="73"/>
  <c r="H38" i="73"/>
  <c r="I37" i="73" s="1"/>
  <c r="H36" i="73"/>
  <c r="I35" i="73" s="1"/>
  <c r="D36" i="73"/>
  <c r="D34" i="73"/>
  <c r="A33" i="73"/>
  <c r="A35" i="73" s="1"/>
  <c r="A37" i="73" s="1"/>
  <c r="A39" i="73" s="1"/>
  <c r="A41" i="73" s="1"/>
  <c r="A43" i="73" s="1"/>
  <c r="A45" i="73" s="1"/>
  <c r="A47" i="73" s="1"/>
  <c r="A49" i="73" s="1"/>
  <c r="H30" i="73"/>
  <c r="I30" i="73" s="1"/>
  <c r="H28" i="73"/>
  <c r="I28" i="73" s="1"/>
  <c r="H26" i="73"/>
  <c r="I26" i="73" s="1"/>
  <c r="I23" i="73"/>
  <c r="I22" i="73"/>
  <c r="H20" i="73"/>
  <c r="I19" i="73" s="1"/>
  <c r="I17" i="73"/>
  <c r="M16" i="73"/>
  <c r="I15" i="73"/>
  <c r="U14" i="73"/>
  <c r="S14" i="73"/>
  <c r="Q14" i="73"/>
  <c r="P14" i="73"/>
  <c r="M14" i="73"/>
  <c r="I12" i="73"/>
  <c r="M11" i="73"/>
  <c r="I11" i="73" s="1"/>
  <c r="K4" i="73"/>
  <c r="L4" i="73"/>
  <c r="M4" i="73"/>
  <c r="N4" i="73" s="1"/>
  <c r="O4" i="73" s="1"/>
  <c r="P4" i="73" s="1"/>
  <c r="Q4" i="73" s="1"/>
  <c r="R4" i="73" s="1"/>
  <c r="S4" i="73" s="1"/>
  <c r="T4" i="73" s="1"/>
  <c r="U4" i="73" s="1"/>
  <c r="V4" i="73" s="1"/>
  <c r="W4" i="73" s="1"/>
  <c r="X4" i="73" s="1"/>
  <c r="Y4" i="73" s="1"/>
  <c r="Z4" i="73" s="1"/>
  <c r="AA4" i="73" s="1"/>
  <c r="AB4" i="73" s="1"/>
  <c r="AC4" i="73" s="1"/>
  <c r="AD4" i="73" s="1"/>
  <c r="AE4" i="73" s="1"/>
  <c r="I27" i="73"/>
  <c r="D7" i="32"/>
  <c r="D8" i="32"/>
  <c r="D9" i="32"/>
  <c r="D14" i="32"/>
  <c r="D15" i="32"/>
  <c r="D16" i="32"/>
  <c r="D17" i="32"/>
  <c r="D18" i="32"/>
  <c r="D19" i="32"/>
  <c r="D20" i="32"/>
  <c r="D21" i="32"/>
  <c r="D22" i="32"/>
  <c r="D23" i="32"/>
  <c r="D24" i="32"/>
  <c r="D25" i="32"/>
  <c r="D26" i="32"/>
  <c r="D27" i="32"/>
  <c r="D28" i="32"/>
  <c r="D29" i="32"/>
  <c r="D30" i="32"/>
  <c r="D31" i="32"/>
  <c r="D32" i="32"/>
  <c r="D33" i="32"/>
  <c r="D34" i="32"/>
  <c r="D35" i="32"/>
  <c r="D36" i="32"/>
  <c r="D37" i="32"/>
  <c r="D38" i="32"/>
  <c r="D39" i="32"/>
  <c r="D40" i="32"/>
  <c r="D41" i="32"/>
  <c r="D6" i="32"/>
  <c r="A111" i="71"/>
  <c r="A110" i="71"/>
  <c r="A109" i="71"/>
  <c r="A108" i="71"/>
  <c r="K39" i="33"/>
  <c r="K35" i="33"/>
  <c r="A107" i="71"/>
  <c r="A106" i="71"/>
  <c r="A105" i="71"/>
  <c r="A104" i="71"/>
  <c r="A103" i="71"/>
  <c r="A102" i="71"/>
  <c r="X102" i="71"/>
  <c r="Y102" i="71"/>
  <c r="X98" i="71"/>
  <c r="Y98" i="71"/>
  <c r="X99" i="71"/>
  <c r="Y99" i="71"/>
  <c r="X100" i="71"/>
  <c r="Y100" i="71"/>
  <c r="X101" i="71"/>
  <c r="Y101" i="71"/>
  <c r="D6" i="37"/>
  <c r="L33" i="33"/>
  <c r="X97" i="71"/>
  <c r="Y97" i="71"/>
  <c r="X96" i="71"/>
  <c r="Y96" i="71"/>
  <c r="X95" i="71"/>
  <c r="Y95" i="71"/>
  <c r="X94" i="71"/>
  <c r="Y94" i="71"/>
  <c r="X93" i="71"/>
  <c r="Y93" i="71"/>
  <c r="X92" i="71"/>
  <c r="Y92" i="71"/>
  <c r="M32" i="33"/>
  <c r="X91" i="71"/>
  <c r="Y91" i="71"/>
  <c r="X90" i="71"/>
  <c r="Y90" i="71"/>
  <c r="X89" i="71"/>
  <c r="Y89" i="71"/>
  <c r="L31" i="33"/>
  <c r="X88" i="71"/>
  <c r="Y88" i="71"/>
  <c r="X87" i="71"/>
  <c r="Y87" i="71"/>
  <c r="X86" i="71"/>
  <c r="Y86" i="71"/>
  <c r="X85" i="71"/>
  <c r="Y85" i="71"/>
  <c r="AI8" i="71"/>
  <c r="AC13" i="71" s="1"/>
  <c r="AJ8" i="71"/>
  <c r="AD63" i="71" s="1"/>
  <c r="AK8" i="71"/>
  <c r="AE23" i="71" s="1"/>
  <c r="AI9" i="71"/>
  <c r="AJ9" i="71"/>
  <c r="AK9" i="71"/>
  <c r="AE7" i="71" s="1"/>
  <c r="AI10" i="71"/>
  <c r="AC103" i="71" s="1"/>
  <c r="AJ10" i="71"/>
  <c r="AK10" i="71"/>
  <c r="AE103" i="71" s="1"/>
  <c r="AK5" i="71"/>
  <c r="AJ5" i="71"/>
  <c r="AI5" i="71"/>
  <c r="AK4" i="71"/>
  <c r="AE102" i="71" s="1"/>
  <c r="AJ4" i="71"/>
  <c r="AD102" i="71" s="1"/>
  <c r="AI4" i="71"/>
  <c r="AC102" i="71" s="1"/>
  <c r="AK7" i="71"/>
  <c r="AJ7" i="71"/>
  <c r="AI7" i="71"/>
  <c r="AC66" i="71" s="1"/>
  <c r="AK6" i="71"/>
  <c r="AJ6" i="71"/>
  <c r="AI6" i="71"/>
  <c r="X84" i="71"/>
  <c r="Y84" i="71"/>
  <c r="X82" i="71"/>
  <c r="Y82" i="71"/>
  <c r="Y83" i="71"/>
  <c r="X83" i="71"/>
  <c r="X81" i="71"/>
  <c r="Y81" i="71"/>
  <c r="K29" i="33"/>
  <c r="X78" i="71"/>
  <c r="Y78" i="71"/>
  <c r="X79" i="71"/>
  <c r="Y79" i="71"/>
  <c r="X80" i="71"/>
  <c r="Y80" i="71"/>
  <c r="X77" i="71"/>
  <c r="Y77" i="71"/>
  <c r="A6" i="33"/>
  <c r="A7" i="33"/>
  <c r="A8" i="33"/>
  <c r="A9" i="33"/>
  <c r="A5" i="33"/>
  <c r="X69" i="71"/>
  <c r="Y69" i="71"/>
  <c r="A69" i="71"/>
  <c r="A70" i="71"/>
  <c r="L26" i="33"/>
  <c r="X71" i="71"/>
  <c r="Y71" i="71"/>
  <c r="X72" i="71"/>
  <c r="Y72" i="71"/>
  <c r="X75" i="71"/>
  <c r="Y75" i="71"/>
  <c r="X74" i="71"/>
  <c r="Y74" i="71"/>
  <c r="X73" i="71"/>
  <c r="Y73" i="71"/>
  <c r="X76" i="71"/>
  <c r="Y76" i="71"/>
  <c r="X70" i="71"/>
  <c r="Y70" i="71"/>
  <c r="X68" i="71"/>
  <c r="Y68" i="71"/>
  <c r="X67" i="71"/>
  <c r="Y67" i="71"/>
  <c r="X66" i="71"/>
  <c r="Y66" i="71"/>
  <c r="I22" i="33"/>
  <c r="L21" i="33"/>
  <c r="Y63" i="71"/>
  <c r="X63" i="71"/>
  <c r="A63" i="71"/>
  <c r="X65" i="71"/>
  <c r="Y65" i="71"/>
  <c r="X64" i="71"/>
  <c r="Y64" i="71"/>
  <c r="A6" i="71"/>
  <c r="A7" i="71"/>
  <c r="A8" i="71"/>
  <c r="A9" i="71"/>
  <c r="A10" i="71"/>
  <c r="A11" i="71"/>
  <c r="A12" i="71"/>
  <c r="A13" i="71"/>
  <c r="A14" i="71"/>
  <c r="A15" i="71"/>
  <c r="A16" i="71"/>
  <c r="A17" i="71"/>
  <c r="A18" i="71"/>
  <c r="A19" i="71"/>
  <c r="A20" i="71"/>
  <c r="A21" i="71"/>
  <c r="A22" i="71"/>
  <c r="A23" i="71"/>
  <c r="A24" i="71"/>
  <c r="A25" i="71"/>
  <c r="A26" i="71"/>
  <c r="A27" i="71"/>
  <c r="A28" i="71"/>
  <c r="A29" i="71"/>
  <c r="A30" i="71"/>
  <c r="A31" i="71"/>
  <c r="A32" i="71"/>
  <c r="A33" i="71"/>
  <c r="A34" i="71"/>
  <c r="A35" i="71"/>
  <c r="A36" i="71"/>
  <c r="A37" i="71"/>
  <c r="A38" i="71"/>
  <c r="A39" i="71"/>
  <c r="A40" i="71"/>
  <c r="A41" i="71"/>
  <c r="A42" i="71"/>
  <c r="A43" i="71"/>
  <c r="A44" i="71"/>
  <c r="A46" i="71"/>
  <c r="A47" i="71"/>
  <c r="A48" i="71"/>
  <c r="A49" i="71"/>
  <c r="A50" i="71"/>
  <c r="A51" i="71"/>
  <c r="A52" i="71"/>
  <c r="A53" i="71"/>
  <c r="A54" i="71"/>
  <c r="A55" i="71"/>
  <c r="A56" i="71"/>
  <c r="A57" i="71"/>
  <c r="A58" i="71"/>
  <c r="A59" i="71"/>
  <c r="A60" i="71"/>
  <c r="A61" i="71"/>
  <c r="A62" i="71"/>
  <c r="A64" i="71"/>
  <c r="A65" i="71"/>
  <c r="A66" i="71"/>
  <c r="A67" i="71"/>
  <c r="A68" i="71"/>
  <c r="A71" i="71"/>
  <c r="A72" i="71"/>
  <c r="A75" i="71"/>
  <c r="A74" i="71"/>
  <c r="A73" i="71"/>
  <c r="A76" i="71"/>
  <c r="A77" i="71"/>
  <c r="A78" i="71"/>
  <c r="A79" i="71"/>
  <c r="A80" i="71"/>
  <c r="A81" i="71"/>
  <c r="A82" i="71"/>
  <c r="A83" i="71"/>
  <c r="A84" i="71"/>
  <c r="A85" i="71"/>
  <c r="A86" i="71"/>
  <c r="A87" i="71"/>
  <c r="A88" i="71"/>
  <c r="A89" i="71"/>
  <c r="A90" i="71"/>
  <c r="A91" i="71"/>
  <c r="A92" i="71"/>
  <c r="A93" i="71"/>
  <c r="A94" i="71"/>
  <c r="A95" i="71"/>
  <c r="A96" i="71"/>
  <c r="A97" i="71"/>
  <c r="A98" i="71"/>
  <c r="A99" i="71"/>
  <c r="A100" i="71"/>
  <c r="A101" i="71"/>
  <c r="A5" i="71"/>
  <c r="A4" i="71"/>
  <c r="L19" i="33"/>
  <c r="Y62" i="71"/>
  <c r="X62" i="71"/>
  <c r="X61" i="71"/>
  <c r="Y61" i="71"/>
  <c r="X5" i="71"/>
  <c r="X6" i="71"/>
  <c r="X7" i="71"/>
  <c r="X8" i="71"/>
  <c r="X9" i="71"/>
  <c r="X10" i="71"/>
  <c r="X11" i="71"/>
  <c r="X12" i="71"/>
  <c r="X13" i="71"/>
  <c r="X14" i="71"/>
  <c r="X15" i="71"/>
  <c r="X16" i="71"/>
  <c r="X17" i="71"/>
  <c r="X18" i="71"/>
  <c r="X19" i="71"/>
  <c r="X20" i="71"/>
  <c r="X21" i="71"/>
  <c r="X22" i="71"/>
  <c r="X23" i="71"/>
  <c r="X24" i="71"/>
  <c r="X25" i="71"/>
  <c r="X26" i="71"/>
  <c r="X27" i="71"/>
  <c r="X28" i="71"/>
  <c r="X29" i="71"/>
  <c r="X30" i="71"/>
  <c r="X31" i="71"/>
  <c r="X32" i="71"/>
  <c r="X33" i="71"/>
  <c r="X34" i="71"/>
  <c r="X35" i="71"/>
  <c r="X36" i="71"/>
  <c r="X37" i="71"/>
  <c r="X39" i="71"/>
  <c r="X38" i="71"/>
  <c r="X40" i="71"/>
  <c r="X41" i="71"/>
  <c r="X42" i="71"/>
  <c r="X43" i="71"/>
  <c r="X44" i="71"/>
  <c r="X46" i="71"/>
  <c r="X47" i="71"/>
  <c r="X48" i="71"/>
  <c r="X49" i="71"/>
  <c r="X50" i="71"/>
  <c r="X51" i="71"/>
  <c r="X52" i="71"/>
  <c r="X53" i="71"/>
  <c r="X54" i="71"/>
  <c r="X55" i="71"/>
  <c r="X56" i="71"/>
  <c r="X57" i="71"/>
  <c r="X58" i="71"/>
  <c r="X59" i="71"/>
  <c r="X60" i="71"/>
  <c r="X4" i="71"/>
  <c r="Y60" i="71"/>
  <c r="Y59" i="71"/>
  <c r="Y58" i="71"/>
  <c r="Y57" i="71"/>
  <c r="Y56" i="71"/>
  <c r="Y55" i="71"/>
  <c r="Y54" i="71"/>
  <c r="Y53" i="71"/>
  <c r="Y52" i="71"/>
  <c r="Y51" i="71"/>
  <c r="Y50" i="71"/>
  <c r="Y49" i="71"/>
  <c r="Y48" i="71"/>
  <c r="Y47" i="71"/>
  <c r="Y46" i="71"/>
  <c r="Y44" i="71"/>
  <c r="Y43" i="71"/>
  <c r="Y42" i="71"/>
  <c r="Y41" i="71"/>
  <c r="Y40" i="71"/>
  <c r="Y38" i="71"/>
  <c r="Y39" i="71"/>
  <c r="Y37" i="71"/>
  <c r="Y36" i="71"/>
  <c r="Y35" i="71"/>
  <c r="Y33" i="71"/>
  <c r="Y32" i="71"/>
  <c r="Y31" i="71"/>
  <c r="Y30" i="71"/>
  <c r="Y29" i="71"/>
  <c r="Y28" i="71"/>
  <c r="Y27" i="71"/>
  <c r="Y26" i="71"/>
  <c r="Y25" i="71"/>
  <c r="Y24" i="71"/>
  <c r="Y23" i="71"/>
  <c r="Y22" i="71"/>
  <c r="Y21" i="71"/>
  <c r="Y20" i="71"/>
  <c r="Y19" i="71"/>
  <c r="Y18" i="71"/>
  <c r="Y17" i="71"/>
  <c r="Y16" i="71"/>
  <c r="Y15" i="71"/>
  <c r="Y14" i="71"/>
  <c r="Y13" i="71"/>
  <c r="Y12" i="71"/>
  <c r="Y11" i="71"/>
  <c r="Y10" i="71"/>
  <c r="Y9" i="71"/>
  <c r="Y8" i="71"/>
  <c r="Y7" i="71"/>
  <c r="Y6" i="71"/>
  <c r="Y5" i="71"/>
  <c r="Y4" i="71"/>
  <c r="Y34" i="71"/>
  <c r="L27" i="33"/>
  <c r="B2" i="71"/>
  <c r="I16" i="33"/>
  <c r="L5" i="33"/>
  <c r="G2" i="71"/>
  <c r="H2" i="71"/>
  <c r="I2" i="71"/>
  <c r="J2" i="71"/>
  <c r="L2" i="71"/>
  <c r="M2" i="71"/>
  <c r="N2" i="71"/>
  <c r="O2" i="71"/>
  <c r="P2" i="71"/>
  <c r="Q2" i="71"/>
  <c r="R2" i="71"/>
  <c r="K11" i="33"/>
  <c r="K17" i="33"/>
  <c r="K6" i="33"/>
  <c r="D8" i="37"/>
  <c r="E33" i="43"/>
  <c r="J33" i="43" s="1"/>
  <c r="E25" i="43"/>
  <c r="E17" i="43"/>
  <c r="J17" i="43" s="1"/>
  <c r="E16" i="43"/>
  <c r="J16" i="43" s="1"/>
  <c r="C7" i="32"/>
  <c r="C8" i="32"/>
  <c r="C9" i="32"/>
  <c r="C14" i="32"/>
  <c r="C15" i="32"/>
  <c r="C16" i="32"/>
  <c r="C17" i="32"/>
  <c r="C18" i="32"/>
  <c r="C19" i="32"/>
  <c r="C20" i="32"/>
  <c r="C21" i="32"/>
  <c r="C22" i="32"/>
  <c r="C23" i="32"/>
  <c r="C24" i="32"/>
  <c r="C25" i="32"/>
  <c r="C26" i="32"/>
  <c r="C27" i="32"/>
  <c r="C28" i="32"/>
  <c r="C29" i="32"/>
  <c r="C30" i="32"/>
  <c r="C31" i="32"/>
  <c r="C32" i="32"/>
  <c r="C33" i="32"/>
  <c r="C34" i="32"/>
  <c r="C35" i="32"/>
  <c r="C36" i="32"/>
  <c r="C37" i="32"/>
  <c r="C38" i="32"/>
  <c r="C39" i="32"/>
  <c r="C40" i="32"/>
  <c r="C41" i="32"/>
  <c r="C42" i="32"/>
  <c r="C43" i="32"/>
  <c r="C44" i="32"/>
  <c r="C45" i="32"/>
  <c r="C46" i="32"/>
  <c r="C47" i="32"/>
  <c r="C48" i="32"/>
  <c r="C49" i="32"/>
  <c r="C50" i="32"/>
  <c r="C51" i="32"/>
  <c r="C52" i="32"/>
  <c r="B53" i="32" s="1"/>
  <c r="C6" i="32"/>
  <c r="B6" i="32"/>
  <c r="B9" i="31"/>
  <c r="B9" i="32" s="1"/>
  <c r="B14" i="32"/>
  <c r="B15" i="31"/>
  <c r="B15" i="32" s="1"/>
  <c r="B16" i="31"/>
  <c r="B16" i="32" s="1"/>
  <c r="B17" i="31"/>
  <c r="B17" i="32" s="1"/>
  <c r="B18" i="31"/>
  <c r="B18" i="32" s="1"/>
  <c r="B19" i="31"/>
  <c r="B19" i="32" s="1"/>
  <c r="B20" i="31"/>
  <c r="B20" i="32" s="1"/>
  <c r="B21" i="31"/>
  <c r="B21" i="32" s="1"/>
  <c r="B22" i="31"/>
  <c r="B22" i="32" s="1"/>
  <c r="B23" i="31"/>
  <c r="B23" i="32" s="1"/>
  <c r="B24" i="31"/>
  <c r="B24" i="32" s="1"/>
  <c r="B25" i="31"/>
  <c r="B25" i="32" s="1"/>
  <c r="B26" i="31"/>
  <c r="B26" i="32" s="1"/>
  <c r="B27" i="31"/>
  <c r="B27" i="32" s="1"/>
  <c r="B28" i="31"/>
  <c r="B28" i="32" s="1"/>
  <c r="B29" i="31"/>
  <c r="B29" i="32" s="1"/>
  <c r="B30" i="31"/>
  <c r="B30" i="32" s="1"/>
  <c r="B31" i="31"/>
  <c r="B31" i="32" s="1"/>
  <c r="B32" i="31"/>
  <c r="B32" i="32" s="1"/>
  <c r="B33" i="31"/>
  <c r="B33" i="32" s="1"/>
  <c r="B34" i="31"/>
  <c r="B34" i="32" s="1"/>
  <c r="B35" i="31"/>
  <c r="B35" i="32" s="1"/>
  <c r="B36" i="31"/>
  <c r="B36" i="32" s="1"/>
  <c r="B37" i="31"/>
  <c r="B37" i="32" s="1"/>
  <c r="B38" i="31"/>
  <c r="B38" i="32" s="1"/>
  <c r="B39" i="31"/>
  <c r="B39" i="32" s="1"/>
  <c r="B40" i="31"/>
  <c r="B40" i="32" s="1"/>
  <c r="B41" i="31"/>
  <c r="B41" i="32" s="1"/>
  <c r="B42" i="31"/>
  <c r="B42" i="32" s="1"/>
  <c r="B43" i="31"/>
  <c r="B43" i="32" s="1"/>
  <c r="B44" i="31"/>
  <c r="B44" i="32" s="1"/>
  <c r="B45" i="31"/>
  <c r="B45" i="32" s="1"/>
  <c r="B46" i="31"/>
  <c r="B46" i="32" s="1"/>
  <c r="B47" i="31"/>
  <c r="B47" i="32" s="1"/>
  <c r="B48" i="31"/>
  <c r="B48" i="32" s="1"/>
  <c r="B49" i="31"/>
  <c r="B49" i="32" s="1"/>
  <c r="B50" i="31"/>
  <c r="B50" i="32" s="1"/>
  <c r="B51" i="31"/>
  <c r="B51" i="32" s="1"/>
  <c r="B52" i="31"/>
  <c r="B52" i="32" s="1"/>
  <c r="B8" i="31"/>
  <c r="B8" i="32" s="1"/>
  <c r="B7" i="31"/>
  <c r="B7" i="32" s="1"/>
  <c r="A6" i="66"/>
  <c r="A7" i="66" s="1"/>
  <c r="A8" i="66" s="1"/>
  <c r="A9" i="66" s="1"/>
  <c r="A10" i="66" s="1"/>
  <c r="A11" i="66" s="1"/>
  <c r="A12" i="66" s="1"/>
  <c r="A13" i="66" s="1"/>
  <c r="L33" i="66"/>
  <c r="B15" i="58"/>
  <c r="B1" i="58"/>
  <c r="G40" i="43"/>
  <c r="B5" i="58"/>
  <c r="B6" i="58"/>
  <c r="B7" i="58"/>
  <c r="B8" i="58"/>
  <c r="B9" i="58"/>
  <c r="B12" i="58"/>
  <c r="B13" i="58"/>
  <c r="B16" i="58"/>
  <c r="B18" i="58"/>
  <c r="B20" i="58"/>
  <c r="G7" i="43"/>
  <c r="G8" i="43"/>
  <c r="G9" i="43"/>
  <c r="G21" i="43"/>
  <c r="G12" i="43"/>
  <c r="G13" i="43"/>
  <c r="G14" i="43"/>
  <c r="G18" i="43"/>
  <c r="G19" i="43"/>
  <c r="G22" i="43"/>
  <c r="G23" i="43"/>
  <c r="G24" i="43"/>
  <c r="G27" i="43"/>
  <c r="G28" i="43"/>
  <c r="G29" i="43"/>
  <c r="G30" i="43"/>
  <c r="G31" i="43"/>
  <c r="G32" i="43"/>
  <c r="G33" i="43"/>
  <c r="G34" i="43"/>
  <c r="G37" i="43"/>
  <c r="G38" i="43"/>
  <c r="G39" i="43"/>
  <c r="M3" i="49"/>
  <c r="N4" i="48"/>
  <c r="G25" i="48"/>
  <c r="U3" i="46"/>
  <c r="F6" i="46"/>
  <c r="F7" i="46" s="1"/>
  <c r="F8" i="46" s="1"/>
  <c r="F9" i="46" s="1"/>
  <c r="F10" i="46" s="1"/>
  <c r="F11" i="46" s="1"/>
  <c r="F12" i="46" s="1"/>
  <c r="F13" i="46" s="1"/>
  <c r="F14" i="46" s="1"/>
  <c r="F15" i="46" s="1"/>
  <c r="F16" i="46" s="1"/>
  <c r="F17" i="46" s="1"/>
  <c r="F18" i="46" s="1"/>
  <c r="F19" i="46" s="1"/>
  <c r="F20" i="46" s="1"/>
  <c r="F21" i="46" s="1"/>
  <c r="F22" i="46" s="1"/>
  <c r="F23" i="46" s="1"/>
  <c r="A6" i="38"/>
  <c r="A7" i="38" s="1"/>
  <c r="A8" i="38" s="1"/>
  <c r="A9" i="38" s="1"/>
  <c r="A10" i="38" s="1"/>
  <c r="A11" i="38" s="1"/>
  <c r="A12" i="38" s="1"/>
  <c r="A13" i="38" s="1"/>
  <c r="A14" i="38" s="1"/>
  <c r="A15" i="38" s="1"/>
  <c r="A16" i="38" s="1"/>
  <c r="A17" i="38" s="1"/>
  <c r="A18" i="38" s="1"/>
  <c r="A19" i="38" s="1"/>
  <c r="A20" i="38" s="1"/>
  <c r="A21" i="38" s="1"/>
  <c r="A22" i="38" s="1"/>
  <c r="A23" i="38" s="1"/>
  <c r="A24" i="38" s="1"/>
  <c r="A25" i="38" s="1"/>
  <c r="A26" i="38" s="1"/>
  <c r="A27" i="38" s="1"/>
  <c r="A28" i="38" s="1"/>
  <c r="A29" i="38" s="1"/>
  <c r="A30" i="38" s="1"/>
  <c r="A31" i="38" s="1"/>
  <c r="A32" i="38" s="1"/>
  <c r="A33" i="38" s="1"/>
  <c r="A34" i="38" s="1"/>
  <c r="A35" i="38" s="1"/>
  <c r="A36" i="38" s="1"/>
  <c r="A37" i="38" s="1"/>
  <c r="A38" i="38" s="1"/>
  <c r="A39" i="38" s="1"/>
  <c r="A40" i="38" s="1"/>
  <c r="A41" i="38" s="1"/>
  <c r="A42" i="38" s="1"/>
  <c r="A43" i="38" s="1"/>
  <c r="A44" i="38" s="1"/>
  <c r="A45" i="38" s="1"/>
  <c r="A46" i="38" s="1"/>
  <c r="A47" i="38" s="1"/>
  <c r="A48" i="38" s="1"/>
  <c r="A49" i="38" s="1"/>
  <c r="A50" i="38" s="1"/>
  <c r="A51" i="38" s="1"/>
  <c r="A52" i="38" s="1"/>
  <c r="A53" i="38" s="1"/>
  <c r="A54" i="38" s="1"/>
  <c r="A55" i="38" s="1"/>
  <c r="A56" i="38" s="1"/>
  <c r="A57" i="38" s="1"/>
  <c r="A58" i="38" s="1"/>
  <c r="A59" i="38" s="1"/>
  <c r="A60" i="38" s="1"/>
  <c r="A61" i="38" s="1"/>
  <c r="A62" i="38" s="1"/>
  <c r="A63" i="38" s="1"/>
  <c r="A64" i="38" s="1"/>
  <c r="A65" i="38" s="1"/>
  <c r="A66" i="38" s="1"/>
  <c r="A67" i="38" s="1"/>
  <c r="A68" i="38" s="1"/>
  <c r="A69" i="38" s="1"/>
  <c r="A70" i="38" s="1"/>
  <c r="A71" i="38" s="1"/>
  <c r="A72" i="38" s="1"/>
  <c r="A73" i="38" s="1"/>
  <c r="A74" i="38" s="1"/>
  <c r="A75" i="38" s="1"/>
  <c r="A76" i="38" s="1"/>
  <c r="A77" i="38" s="1"/>
  <c r="A78" i="38" s="1"/>
  <c r="A79" i="38" s="1"/>
  <c r="A80" i="38" s="1"/>
  <c r="A81" i="38" s="1"/>
  <c r="A82" i="38" s="1"/>
  <c r="A83" i="38" s="1"/>
  <c r="A84" i="38" s="1"/>
  <c r="A85" i="38" s="1"/>
  <c r="A86" i="38" s="1"/>
  <c r="A87" i="38" s="1"/>
  <c r="A88" i="38" s="1"/>
  <c r="A89" i="38" s="1"/>
  <c r="A90" i="38" s="1"/>
  <c r="A91" i="38" s="1"/>
  <c r="A92" i="38" s="1"/>
  <c r="A93" i="38" s="1"/>
  <c r="A94" i="38" s="1"/>
  <c r="A95" i="38" s="1"/>
  <c r="A96" i="38" s="1"/>
  <c r="A97" i="38" s="1"/>
  <c r="A98" i="38" s="1"/>
  <c r="A99" i="38" s="1"/>
  <c r="A100" i="38" s="1"/>
  <c r="A101" i="38" s="1"/>
  <c r="A102" i="38" s="1"/>
  <c r="A103" i="38" s="1"/>
  <c r="A104" i="38" s="1"/>
  <c r="A105" i="38" s="1"/>
  <c r="A106" i="38" s="1"/>
  <c r="A107" i="38" s="1"/>
  <c r="A108" i="38" s="1"/>
  <c r="A109" i="38" s="1"/>
  <c r="A110" i="38" s="1"/>
  <c r="A111" i="38" s="1"/>
  <c r="A112" i="38" s="1"/>
  <c r="A113" i="38" s="1"/>
  <c r="A114" i="38" s="1"/>
  <c r="A115" i="38" s="1"/>
  <c r="A116" i="38" s="1"/>
  <c r="A117" i="38" s="1"/>
  <c r="A118" i="38" s="1"/>
  <c r="A119" i="38" s="1"/>
  <c r="A120" i="38" s="1"/>
  <c r="A121" i="38" s="1"/>
  <c r="A122" i="38" s="1"/>
  <c r="A123" i="38" s="1"/>
  <c r="A124" i="38" s="1"/>
  <c r="A125" i="38" s="1"/>
  <c r="A126" i="38" s="1"/>
  <c r="A127" i="38" s="1"/>
  <c r="A128" i="38" s="1"/>
  <c r="A129" i="38" s="1"/>
  <c r="A130" i="38" s="1"/>
  <c r="A131" i="38" s="1"/>
  <c r="A132" i="38" s="1"/>
  <c r="A133" i="38" s="1"/>
  <c r="A134" i="38" s="1"/>
  <c r="A135" i="38" s="1"/>
  <c r="A136" i="38" s="1"/>
  <c r="A137" i="38" s="1"/>
  <c r="A138" i="38" s="1"/>
  <c r="A139" i="38" s="1"/>
  <c r="A140" i="38" s="1"/>
  <c r="A141" i="38" s="1"/>
  <c r="A142" i="38" s="1"/>
  <c r="A143" i="38" s="1"/>
  <c r="A144" i="38" s="1"/>
  <c r="A145" i="38" s="1"/>
  <c r="A146" i="38" s="1"/>
  <c r="A147" i="38" s="1"/>
  <c r="A148" i="38" s="1"/>
  <c r="A149" i="38" s="1"/>
  <c r="A150" i="38" s="1"/>
  <c r="A151" i="38" s="1"/>
  <c r="A152" i="38" s="1"/>
  <c r="A153" i="38" s="1"/>
  <c r="A154" i="38" s="1"/>
  <c r="A155" i="38" s="1"/>
  <c r="A156" i="38" s="1"/>
  <c r="A157" i="38" s="1"/>
  <c r="A158" i="38" s="1"/>
  <c r="A159" i="38" s="1"/>
  <c r="A160" i="38" s="1"/>
  <c r="A161" i="38" s="1"/>
  <c r="A162" i="38" s="1"/>
  <c r="A163" i="38" s="1"/>
  <c r="A164" i="38" s="1"/>
  <c r="A165" i="38" s="1"/>
  <c r="A166" i="38" s="1"/>
  <c r="A167" i="38" s="1"/>
  <c r="A168" i="38" s="1"/>
  <c r="A169" i="38" s="1"/>
  <c r="A170" i="38" s="1"/>
  <c r="A171" i="38" s="1"/>
  <c r="A172" i="38" s="1"/>
  <c r="A173" i="38" s="1"/>
  <c r="A174" i="38" s="1"/>
  <c r="A175" i="38" s="1"/>
  <c r="A176" i="38" s="1"/>
  <c r="A177" i="38" s="1"/>
  <c r="A178" i="38" s="1"/>
  <c r="A179" i="38" s="1"/>
  <c r="A180" i="38" s="1"/>
  <c r="A181" i="38" s="1"/>
  <c r="A182" i="38" s="1"/>
  <c r="A183" i="38" s="1"/>
  <c r="A184" i="38" s="1"/>
  <c r="A185" i="38" s="1"/>
  <c r="A186" i="38" s="1"/>
  <c r="A187" i="38" s="1"/>
  <c r="A188" i="38" s="1"/>
  <c r="A189" i="38" s="1"/>
  <c r="A190" i="38" s="1"/>
  <c r="A191" i="38" s="1"/>
  <c r="A192" i="38" s="1"/>
  <c r="A193" i="38" s="1"/>
  <c r="A194" i="38" s="1"/>
  <c r="A195" i="38" s="1"/>
  <c r="A196" i="38" s="1"/>
  <c r="A197" i="38" s="1"/>
  <c r="A198" i="38" s="1"/>
  <c r="A199" i="38" s="1"/>
  <c r="A200" i="38" s="1"/>
  <c r="A201" i="38" s="1"/>
  <c r="A202" i="38" s="1"/>
  <c r="A203" i="38" s="1"/>
  <c r="A204" i="38" s="1"/>
  <c r="A205" i="38" s="1"/>
  <c r="A206" i="38" s="1"/>
  <c r="A207" i="38" s="1"/>
  <c r="A208" i="38" s="1"/>
  <c r="A209" i="38" s="1"/>
  <c r="A210" i="38" s="1"/>
  <c r="A211" i="38" s="1"/>
  <c r="A212" i="38" s="1"/>
  <c r="A213" i="38" s="1"/>
  <c r="A214" i="38" s="1"/>
  <c r="A215" i="38" s="1"/>
  <c r="A216" i="38" s="1"/>
  <c r="A217" i="38" s="1"/>
  <c r="A218" i="38" s="1"/>
  <c r="A219" i="38" s="1"/>
  <c r="A220" i="38" s="1"/>
  <c r="A221" i="38" s="1"/>
  <c r="A222" i="38" s="1"/>
  <c r="A223" i="38" s="1"/>
  <c r="A224" i="38" s="1"/>
  <c r="A225" i="38" s="1"/>
  <c r="A226" i="38" s="1"/>
  <c r="A227" i="38" s="1"/>
  <c r="A228" i="38" s="1"/>
  <c r="A229" i="38" s="1"/>
  <c r="A230" i="38" s="1"/>
  <c r="A231" i="38" s="1"/>
  <c r="A232" i="38" s="1"/>
  <c r="A233" i="38" s="1"/>
  <c r="A234" i="38" s="1"/>
  <c r="A235" i="38" s="1"/>
  <c r="A236" i="38" s="1"/>
  <c r="A237" i="38" s="1"/>
  <c r="A238" i="38" s="1"/>
  <c r="A239" i="38" s="1"/>
  <c r="A240" i="38" s="1"/>
  <c r="A241" i="38" s="1"/>
  <c r="A242" i="38" s="1"/>
  <c r="A243" i="38" s="1"/>
  <c r="A244" i="38" s="1"/>
  <c r="A245" i="38" s="1"/>
  <c r="A246" i="38" s="1"/>
  <c r="A247" i="38" s="1"/>
  <c r="A248" i="38" s="1"/>
  <c r="A249" i="38" s="1"/>
  <c r="A250" i="38" s="1"/>
  <c r="A251" i="38" s="1"/>
  <c r="A252" i="38" s="1"/>
  <c r="A253" i="38" s="1"/>
  <c r="A254" i="38" s="1"/>
  <c r="A255" i="38" s="1"/>
  <c r="A256" i="38" s="1"/>
  <c r="A257" i="38" s="1"/>
  <c r="A258" i="38" s="1"/>
  <c r="A259" i="38" s="1"/>
  <c r="A260" i="38" s="1"/>
  <c r="A261" i="38" s="1"/>
  <c r="A262" i="38" s="1"/>
  <c r="A263" i="38" s="1"/>
  <c r="A264" i="38" s="1"/>
  <c r="A265" i="38" s="1"/>
  <c r="A266" i="38" s="1"/>
  <c r="A267" i="38" s="1"/>
  <c r="A268" i="38" s="1"/>
  <c r="A269" i="38" s="1"/>
  <c r="A270" i="38" s="1"/>
  <c r="A271" i="38" s="1"/>
  <c r="A272" i="38" s="1"/>
  <c r="A273" i="38" s="1"/>
  <c r="A274" i="38" s="1"/>
  <c r="A275" i="38" s="1"/>
  <c r="A276" i="38" s="1"/>
  <c r="A277" i="38" s="1"/>
  <c r="A278" i="38" s="1"/>
  <c r="A279" i="38" s="1"/>
  <c r="A280" i="38" s="1"/>
  <c r="A281" i="38" s="1"/>
  <c r="A282" i="38" s="1"/>
  <c r="A283" i="38" s="1"/>
  <c r="A284" i="38" s="1"/>
  <c r="A285" i="38" s="1"/>
  <c r="A286" i="38" s="1"/>
  <c r="A287" i="38" s="1"/>
  <c r="A288" i="38" s="1"/>
  <c r="A289" i="38" s="1"/>
  <c r="A290" i="38" s="1"/>
  <c r="A291" i="38" s="1"/>
  <c r="A292" i="38" s="1"/>
  <c r="A293" i="38" s="1"/>
  <c r="A294" i="38" s="1"/>
  <c r="A295" i="38" s="1"/>
  <c r="A1" i="37"/>
  <c r="B2" i="48" s="1"/>
  <c r="B1" i="45" s="1"/>
  <c r="A2" i="33"/>
  <c r="A2" i="37" s="1"/>
  <c r="G3" i="32"/>
  <c r="A7" i="32"/>
  <c r="A8" i="32" s="1"/>
  <c r="A9" i="32" s="1"/>
  <c r="J3" i="31"/>
  <c r="A7" i="31"/>
  <c r="A8" i="31" s="1"/>
  <c r="A9" i="31" s="1"/>
  <c r="A10" i="31" s="1"/>
  <c r="A11" i="31" s="1"/>
  <c r="A12" i="31" s="1"/>
  <c r="A13" i="31" s="1"/>
  <c r="A14" i="31" s="1"/>
  <c r="A15" i="31" s="1"/>
  <c r="A16" i="31" s="1"/>
  <c r="A17" i="31" s="1"/>
  <c r="A18" i="31" s="1"/>
  <c r="A19" i="31" s="1"/>
  <c r="A20" i="31" s="1"/>
  <c r="A21" i="31" s="1"/>
  <c r="A22" i="31" s="1"/>
  <c r="A23" i="31" s="1"/>
  <c r="A24" i="31" s="1"/>
  <c r="A25" i="31" s="1"/>
  <c r="A26" i="31" s="1"/>
  <c r="A27" i="31" s="1"/>
  <c r="A28" i="31" s="1"/>
  <c r="A29" i="31" s="1"/>
  <c r="A30" i="31" s="1"/>
  <c r="A31" i="31" s="1"/>
  <c r="A32" i="31" s="1"/>
  <c r="A33" i="31" s="1"/>
  <c r="A34" i="31" s="1"/>
  <c r="A35" i="31" s="1"/>
  <c r="A36" i="31" s="1"/>
  <c r="A37" i="31" s="1"/>
  <c r="A38" i="31" s="1"/>
  <c r="A39" i="31" s="1"/>
  <c r="A40" i="31" s="1"/>
  <c r="A41" i="31" s="1"/>
  <c r="A42" i="31" s="1"/>
  <c r="A43" i="31" s="1"/>
  <c r="A44" i="31" s="1"/>
  <c r="A45" i="31" s="1"/>
  <c r="A46" i="31" s="1"/>
  <c r="A47" i="31" s="1"/>
  <c r="A48" i="31" s="1"/>
  <c r="A49" i="31" s="1"/>
  <c r="A50" i="31" s="1"/>
  <c r="A51" i="31" s="1"/>
  <c r="A52" i="31" s="1"/>
  <c r="A53" i="31" s="1"/>
  <c r="A54" i="31" s="1"/>
  <c r="A55" i="31" s="1"/>
  <c r="J10" i="26"/>
  <c r="K10" i="26" s="1"/>
  <c r="C11" i="26"/>
  <c r="C12" i="26" s="1"/>
  <c r="K6" i="81"/>
  <c r="M6" i="81"/>
  <c r="J14" i="26"/>
  <c r="C18" i="26"/>
  <c r="C19" i="26" s="1"/>
  <c r="J17" i="26"/>
  <c r="M8" i="81" s="1"/>
  <c r="K9" i="81"/>
  <c r="M9" i="81"/>
  <c r="A7" i="50"/>
  <c r="A8" i="50" s="1"/>
  <c r="A9" i="50" s="1"/>
  <c r="A10" i="50" s="1"/>
  <c r="A11" i="50" s="1"/>
  <c r="A12" i="50" s="1"/>
  <c r="A13" i="50" s="1"/>
  <c r="A14" i="50" s="1"/>
  <c r="A15" i="50" s="1"/>
  <c r="A16" i="50" s="1"/>
  <c r="A17" i="50" s="1"/>
  <c r="A18" i="50" s="1"/>
  <c r="A19" i="50" s="1"/>
  <c r="A20" i="50" s="1"/>
  <c r="A21" i="50" s="1"/>
  <c r="A22" i="50" s="1"/>
  <c r="A23" i="50" s="1"/>
  <c r="A24" i="50" s="1"/>
  <c r="A25" i="50" s="1"/>
  <c r="A26" i="50" s="1"/>
  <c r="F24" i="46" l="1"/>
  <c r="F25" i="46" s="1"/>
  <c r="F26" i="46" s="1"/>
  <c r="F27" i="46" s="1"/>
  <c r="F28" i="46" s="1"/>
  <c r="F29" i="46" s="1"/>
  <c r="F30" i="46" s="1"/>
  <c r="F31" i="46" s="1"/>
  <c r="K8" i="81"/>
  <c r="P8" i="81" s="1"/>
  <c r="A296" i="38"/>
  <c r="A297" i="38" s="1"/>
  <c r="A298" i="38" s="1"/>
  <c r="A299" i="38" s="1"/>
  <c r="G16" i="43"/>
  <c r="J25" i="43"/>
  <c r="G25" i="43"/>
  <c r="G17" i="43"/>
  <c r="I18" i="73"/>
  <c r="I29" i="73"/>
  <c r="G14" i="73"/>
  <c r="A10" i="32"/>
  <c r="A11" i="32" s="1"/>
  <c r="A12" i="32" s="1"/>
  <c r="A13" i="32" s="1"/>
  <c r="A14" i="32" s="1"/>
  <c r="A15" i="32" s="1"/>
  <c r="A16" i="32" s="1"/>
  <c r="A17" i="32" s="1"/>
  <c r="A18" i="32" s="1"/>
  <c r="A19" i="32" s="1"/>
  <c r="A20" i="32" s="1"/>
  <c r="A21" i="32" s="1"/>
  <c r="A22" i="32" s="1"/>
  <c r="A23" i="32" s="1"/>
  <c r="A24" i="32" s="1"/>
  <c r="A25" i="32" s="1"/>
  <c r="A26" i="32" s="1"/>
  <c r="A27" i="32" s="1"/>
  <c r="A28" i="32" s="1"/>
  <c r="A29" i="32" s="1"/>
  <c r="A30" i="32" s="1"/>
  <c r="A31" i="32" s="1"/>
  <c r="A32" i="32" s="1"/>
  <c r="A33" i="32" s="1"/>
  <c r="A34" i="32" s="1"/>
  <c r="A35" i="32" s="1"/>
  <c r="A36" i="32" s="1"/>
  <c r="A37" i="32" s="1"/>
  <c r="A38" i="32" s="1"/>
  <c r="A39" i="32" s="1"/>
  <c r="A40" i="32" s="1"/>
  <c r="A41" i="32" s="1"/>
  <c r="A42" i="32" s="1"/>
  <c r="A43" i="32" s="1"/>
  <c r="A44" i="32" s="1"/>
  <c r="A45" i="32" s="1"/>
  <c r="A46" i="32" s="1"/>
  <c r="A47" i="32" s="1"/>
  <c r="A48" i="32" s="1"/>
  <c r="A49" i="32" s="1"/>
  <c r="A50" i="32" s="1"/>
  <c r="A51" i="32" s="1"/>
  <c r="A52" i="32" s="1"/>
  <c r="A53" i="32" s="1"/>
  <c r="A54" i="32" s="1"/>
  <c r="A55" i="32" s="1"/>
  <c r="F43" i="31"/>
  <c r="D43" i="32" s="1"/>
  <c r="F52" i="31"/>
  <c r="D52" i="32" s="1"/>
  <c r="F44" i="31"/>
  <c r="D44" i="32" s="1"/>
  <c r="F47" i="31"/>
  <c r="D47" i="32" s="1"/>
  <c r="E64" i="31"/>
  <c r="F42" i="31"/>
  <c r="F48" i="31"/>
  <c r="D48" i="32" s="1"/>
  <c r="P7" i="81"/>
  <c r="K14" i="26"/>
  <c r="P9" i="81"/>
  <c r="N7" i="43"/>
  <c r="O7" i="43" s="1"/>
  <c r="A10" i="75"/>
  <c r="A11" i="75" s="1"/>
  <c r="A12" i="75" s="1"/>
  <c r="A13" i="75" s="1"/>
  <c r="A14" i="75" s="1"/>
  <c r="A15" i="75" s="1"/>
  <c r="A16" i="75" s="1"/>
  <c r="A17" i="75" s="1"/>
  <c r="A18" i="75" s="1"/>
  <c r="A19" i="75" s="1"/>
  <c r="A20" i="75" s="1"/>
  <c r="A21" i="75" s="1"/>
  <c r="A22" i="75" s="1"/>
  <c r="A23" i="75" s="1"/>
  <c r="A24" i="75" s="1"/>
  <c r="A25" i="75" s="1"/>
  <c r="A26" i="75" s="1"/>
  <c r="A27" i="75" s="1"/>
  <c r="A28" i="75" s="1"/>
  <c r="A29" i="75" s="1"/>
  <c r="A30" i="75" s="1"/>
  <c r="A31" i="75" s="1"/>
  <c r="A32" i="75" s="1"/>
  <c r="A33" i="75" s="1"/>
  <c r="A34" i="75" s="1"/>
  <c r="A35" i="75" s="1"/>
  <c r="A36" i="75" s="1"/>
  <c r="A37" i="75" s="1"/>
  <c r="A38" i="75" s="1"/>
  <c r="A39" i="75" s="1"/>
  <c r="A40" i="75" s="1"/>
  <c r="A41" i="75" s="1"/>
  <c r="A42" i="75" s="1"/>
  <c r="D51" i="32"/>
  <c r="D49" i="32"/>
  <c r="P6" i="81"/>
  <c r="K18" i="26"/>
  <c r="J9" i="26"/>
  <c r="K9" i="26" s="1"/>
  <c r="N33" i="66"/>
  <c r="B3" i="48"/>
  <c r="B2" i="45" s="1"/>
  <c r="A2" i="43"/>
  <c r="K17" i="26"/>
  <c r="I24" i="73"/>
  <c r="A14" i="66"/>
  <c r="A15" i="66" s="1"/>
  <c r="AC7" i="71"/>
  <c r="AC4" i="71"/>
  <c r="I20" i="73"/>
  <c r="AF102" i="71"/>
  <c r="AD41" i="71"/>
  <c r="AD103" i="71"/>
  <c r="AF103" i="71" s="1"/>
  <c r="I21" i="73"/>
  <c r="I25" i="73"/>
  <c r="A27" i="50"/>
  <c r="A28" i="50" s="1"/>
  <c r="A29" i="50" s="1"/>
  <c r="A30" i="50" s="1"/>
  <c r="A31" i="50" s="1"/>
  <c r="A32" i="50" s="1"/>
  <c r="I13" i="73"/>
  <c r="M5" i="81"/>
  <c r="P5" i="81" s="1"/>
  <c r="AD46" i="71"/>
  <c r="AE22" i="71"/>
  <c r="C33" i="66"/>
  <c r="F33" i="66"/>
  <c r="D33" i="66"/>
  <c r="M33" i="66"/>
  <c r="J33" i="66"/>
  <c r="H33" i="66"/>
  <c r="E33" i="66"/>
  <c r="I33" i="66"/>
  <c r="G33" i="66"/>
  <c r="D46" i="32"/>
  <c r="D50" i="32"/>
  <c r="AD92" i="71"/>
  <c r="K20" i="33"/>
  <c r="D9" i="37"/>
  <c r="J23" i="33"/>
  <c r="D10" i="37"/>
  <c r="K30" i="33"/>
  <c r="D7" i="37"/>
  <c r="I51" i="33"/>
  <c r="K51" i="33"/>
  <c r="L51" i="33"/>
  <c r="M51" i="33"/>
  <c r="J51" i="33"/>
  <c r="K50" i="33"/>
  <c r="L50" i="33"/>
  <c r="M50" i="33"/>
  <c r="I50" i="33"/>
  <c r="J50" i="33"/>
  <c r="AC71" i="71"/>
  <c r="AE89" i="71"/>
  <c r="AD4" i="71"/>
  <c r="AE37" i="71"/>
  <c r="AE52" i="71"/>
  <c r="AE11" i="71"/>
  <c r="AE60" i="71"/>
  <c r="AD81" i="71"/>
  <c r="AE28" i="71"/>
  <c r="AD55" i="71"/>
  <c r="AC40" i="71"/>
  <c r="AD14" i="71"/>
  <c r="AD64" i="71"/>
  <c r="AD20" i="71"/>
  <c r="AD5" i="71"/>
  <c r="AD6" i="71"/>
  <c r="AD48" i="71"/>
  <c r="AE73" i="71"/>
  <c r="AE77" i="71"/>
  <c r="AC95" i="71"/>
  <c r="AD98" i="71"/>
  <c r="AD18" i="71"/>
  <c r="AD47" i="71"/>
  <c r="AE79" i="71"/>
  <c r="AC43" i="71"/>
  <c r="AD21" i="71"/>
  <c r="AC29" i="71"/>
  <c r="I49" i="33"/>
  <c r="J49" i="33"/>
  <c r="K49" i="33"/>
  <c r="L49" i="33"/>
  <c r="M49" i="33"/>
  <c r="I48" i="33"/>
  <c r="J48" i="33"/>
  <c r="K48" i="33"/>
  <c r="L48" i="33"/>
  <c r="M48" i="33"/>
  <c r="I47" i="33"/>
  <c r="J47" i="33"/>
  <c r="K47" i="33"/>
  <c r="L47" i="33"/>
  <c r="M47" i="33"/>
  <c r="I44" i="33"/>
  <c r="H7" i="75"/>
  <c r="M46" i="33"/>
  <c r="I46" i="33"/>
  <c r="J46" i="33"/>
  <c r="L46" i="33"/>
  <c r="K46" i="33"/>
  <c r="M45" i="33"/>
  <c r="AC26" i="71"/>
  <c r="AC34" i="71"/>
  <c r="AC57" i="71"/>
  <c r="AC19" i="71"/>
  <c r="AC58" i="71"/>
  <c r="AD70" i="71"/>
  <c r="AD69" i="71"/>
  <c r="AC78" i="71"/>
  <c r="AC82" i="71"/>
  <c r="AD84" i="71"/>
  <c r="AE85" i="71"/>
  <c r="AC93" i="71"/>
  <c r="AC96" i="71"/>
  <c r="AC14" i="71"/>
  <c r="AC54" i="71"/>
  <c r="AC15" i="71"/>
  <c r="AC9" i="71"/>
  <c r="AE76" i="71"/>
  <c r="AD80" i="71"/>
  <c r="AE41" i="71"/>
  <c r="AC41" i="71"/>
  <c r="AC22" i="71"/>
  <c r="AE14" i="71"/>
  <c r="AE72" i="71"/>
  <c r="AE95" i="71"/>
  <c r="AC46" i="71"/>
  <c r="AD34" i="71"/>
  <c r="AE35" i="71"/>
  <c r="AC59" i="71"/>
  <c r="AC90" i="71"/>
  <c r="AC91" i="71"/>
  <c r="AE20" i="71"/>
  <c r="AC73" i="71"/>
  <c r="AC83" i="71"/>
  <c r="AD95" i="71"/>
  <c r="AE99" i="71"/>
  <c r="AC30" i="71"/>
  <c r="AC72" i="71"/>
  <c r="AD88" i="71"/>
  <c r="AD100" i="71"/>
  <c r="AE66" i="71"/>
  <c r="AC67" i="71"/>
  <c r="AC75" i="71"/>
  <c r="AE96" i="71"/>
  <c r="AE31" i="71"/>
  <c r="AE42" i="71"/>
  <c r="AD66" i="71"/>
  <c r="AC89" i="71"/>
  <c r="AD94" i="71"/>
  <c r="AD97" i="71"/>
  <c r="J25" i="33"/>
  <c r="J39" i="33"/>
  <c r="R39" i="33" s="1"/>
  <c r="J20" i="33"/>
  <c r="L35" i="33"/>
  <c r="L25" i="33"/>
  <c r="L45" i="33"/>
  <c r="L17" i="33"/>
  <c r="L39" i="33"/>
  <c r="J17" i="33"/>
  <c r="R17" i="33" s="1"/>
  <c r="I39" i="33"/>
  <c r="J14" i="33"/>
  <c r="J35" i="33"/>
  <c r="R35" i="33" s="1"/>
  <c r="J11" i="33"/>
  <c r="R11" i="33" s="1"/>
  <c r="L14" i="33"/>
  <c r="M35" i="33"/>
  <c r="M39" i="33"/>
  <c r="K45" i="33"/>
  <c r="I35" i="33"/>
  <c r="AC69" i="71"/>
  <c r="I8" i="33"/>
  <c r="K14" i="33"/>
  <c r="AE40" i="71"/>
  <c r="K16" i="33"/>
  <c r="M20" i="33"/>
  <c r="AC81" i="71"/>
  <c r="I14" i="33"/>
  <c r="AD40" i="71"/>
  <c r="J16" i="33"/>
  <c r="AE43" i="71"/>
  <c r="M21" i="33"/>
  <c r="AE100" i="71"/>
  <c r="L38" i="33"/>
  <c r="AC31" i="71"/>
  <c r="AC28" i="71"/>
  <c r="AD60" i="71"/>
  <c r="K38" i="33"/>
  <c r="R38" i="33" s="1"/>
  <c r="AE88" i="71"/>
  <c r="I27" i="33"/>
  <c r="AC60" i="71"/>
  <c r="K21" i="33"/>
  <c r="M14" i="33"/>
  <c r="AC20" i="71"/>
  <c r="M27" i="33"/>
  <c r="AC64" i="71"/>
  <c r="AC100" i="71"/>
  <c r="K43" i="33"/>
  <c r="R43" i="33" s="1"/>
  <c r="I20" i="33"/>
  <c r="K27" i="33"/>
  <c r="AE69" i="71"/>
  <c r="K33" i="66"/>
  <c r="AD22" i="71"/>
  <c r="AD13" i="71"/>
  <c r="AD42" i="71"/>
  <c r="M18" i="33"/>
  <c r="AE48" i="71"/>
  <c r="AE64" i="71"/>
  <c r="I26" i="33"/>
  <c r="AD73" i="71"/>
  <c r="AD96" i="71"/>
  <c r="AC5" i="71"/>
  <c r="L18" i="33"/>
  <c r="AD37" i="71"/>
  <c r="K26" i="33"/>
  <c r="AC80" i="71"/>
  <c r="AC97" i="71"/>
  <c r="J6" i="33"/>
  <c r="R6" i="33" s="1"/>
  <c r="L11" i="33"/>
  <c r="AE6" i="71"/>
  <c r="AC37" i="71"/>
  <c r="L20" i="33"/>
  <c r="AE67" i="71"/>
  <c r="AD77" i="71"/>
  <c r="AE81" i="71"/>
  <c r="AE84" i="71"/>
  <c r="AD93" i="71"/>
  <c r="AE97" i="71"/>
  <c r="AE63" i="71"/>
  <c r="AC77" i="71"/>
  <c r="AC85" i="71"/>
  <c r="I11" i="33"/>
  <c r="AE26" i="71"/>
  <c r="AE21" i="71"/>
  <c r="I18" i="33"/>
  <c r="AC63" i="71"/>
  <c r="AD71" i="71"/>
  <c r="K37" i="33"/>
  <c r="AD30" i="71"/>
  <c r="AC21" i="71"/>
  <c r="AC42" i="71"/>
  <c r="J18" i="33"/>
  <c r="AC52" i="71"/>
  <c r="AD76" i="71"/>
  <c r="AD99" i="71"/>
  <c r="K8" i="33"/>
  <c r="AC48" i="71"/>
  <c r="AD15" i="71"/>
  <c r="AE13" i="71"/>
  <c r="L16" i="33"/>
  <c r="AE58" i="71"/>
  <c r="M26" i="33"/>
  <c r="AD72" i="71"/>
  <c r="AE98" i="71"/>
  <c r="AD89" i="71"/>
  <c r="AC88" i="71"/>
  <c r="M31" i="33"/>
  <c r="K12" i="33"/>
  <c r="AE15" i="71"/>
  <c r="AD58" i="71"/>
  <c r="J26" i="33"/>
  <c r="AC92" i="71"/>
  <c r="J12" i="33"/>
  <c r="AD7" i="71"/>
  <c r="AD11" i="71"/>
  <c r="M16" i="33"/>
  <c r="K18" i="33"/>
  <c r="AE59" i="71"/>
  <c r="AD67" i="71"/>
  <c r="M25" i="33"/>
  <c r="AE71" i="71"/>
  <c r="AE94" i="71"/>
  <c r="K31" i="33"/>
  <c r="I43" i="33"/>
  <c r="AE34" i="71"/>
  <c r="AE46" i="71"/>
  <c r="AD59" i="71"/>
  <c r="AE90" i="71"/>
  <c r="L43" i="33"/>
  <c r="AE54" i="71"/>
  <c r="I6" i="33"/>
  <c r="I17" i="33"/>
  <c r="AD31" i="71"/>
  <c r="AD29" i="71"/>
  <c r="AD28" i="71"/>
  <c r="AC55" i="71"/>
  <c r="J21" i="33"/>
  <c r="AC76" i="71"/>
  <c r="AE80" i="71"/>
  <c r="AC98" i="71"/>
  <c r="K15" i="33"/>
  <c r="M15" i="33"/>
  <c r="I15" i="33"/>
  <c r="L9" i="33"/>
  <c r="J9" i="33"/>
  <c r="I9" i="33"/>
  <c r="K9" i="33"/>
  <c r="AD68" i="71"/>
  <c r="AC68" i="71"/>
  <c r="AE68" i="71"/>
  <c r="AE9" i="71"/>
  <c r="AE39" i="71"/>
  <c r="AD39" i="71"/>
  <c r="AD9" i="71"/>
  <c r="AE8" i="71"/>
  <c r="AC8" i="71"/>
  <c r="AD8" i="71"/>
  <c r="AC16" i="71"/>
  <c r="AD16" i="71"/>
  <c r="AE16" i="71"/>
  <c r="AE24" i="71"/>
  <c r="AC24" i="71"/>
  <c r="AD24" i="71"/>
  <c r="AC32" i="71"/>
  <c r="AD32" i="71"/>
  <c r="AE32" i="71"/>
  <c r="AE36" i="71"/>
  <c r="AC36" i="71"/>
  <c r="AD36" i="71"/>
  <c r="AC70" i="71"/>
  <c r="J34" i="33"/>
  <c r="K34" i="33"/>
  <c r="AE65" i="71"/>
  <c r="AC65" i="71"/>
  <c r="AD65" i="71"/>
  <c r="L8" i="33"/>
  <c r="I12" i="33"/>
  <c r="M11" i="33"/>
  <c r="AE29" i="71"/>
  <c r="AE5" i="71"/>
  <c r="AC11" i="71"/>
  <c r="AC86" i="71"/>
  <c r="AD86" i="71"/>
  <c r="AD53" i="71"/>
  <c r="AC53" i="71"/>
  <c r="AE62" i="71"/>
  <c r="AC62" i="71"/>
  <c r="AD62" i="71"/>
  <c r="M8" i="33"/>
  <c r="M12" i="33"/>
  <c r="AC47" i="71"/>
  <c r="AE47" i="71"/>
  <c r="K24" i="33"/>
  <c r="L24" i="33"/>
  <c r="M24" i="33"/>
  <c r="I24" i="33"/>
  <c r="J24" i="33"/>
  <c r="AC99" i="71"/>
  <c r="J8" i="33"/>
  <c r="M17" i="33"/>
  <c r="L12" i="33"/>
  <c r="AC6" i="71"/>
  <c r="J27" i="33"/>
  <c r="I19" i="33"/>
  <c r="K19" i="33"/>
  <c r="M29" i="33"/>
  <c r="J31" i="33"/>
  <c r="AC49" i="71"/>
  <c r="AE49" i="71"/>
  <c r="AD90" i="71"/>
  <c r="I31" i="33"/>
  <c r="M33" i="33"/>
  <c r="I25" i="33"/>
  <c r="K25" i="33"/>
  <c r="AD75" i="71"/>
  <c r="AE75" i="71"/>
  <c r="AD52" i="71"/>
  <c r="AD51" i="71"/>
  <c r="AC51" i="71"/>
  <c r="AC94" i="71"/>
  <c r="I33" i="33"/>
  <c r="J33" i="33"/>
  <c r="AE92" i="71"/>
  <c r="J37" i="33"/>
  <c r="I38" i="33"/>
  <c r="M43" i="33"/>
  <c r="J7" i="75"/>
  <c r="J2" i="75" s="1"/>
  <c r="J40" i="33"/>
  <c r="L37" i="33"/>
  <c r="K40" i="33"/>
  <c r="L40" i="33"/>
  <c r="M38" i="33"/>
  <c r="I2" i="75"/>
  <c r="K7" i="33"/>
  <c r="J7" i="33"/>
  <c r="I7" i="33"/>
  <c r="M7" i="33"/>
  <c r="L7" i="33"/>
  <c r="AC25" i="71"/>
  <c r="AE25" i="71"/>
  <c r="AD17" i="71"/>
  <c r="AC17" i="71"/>
  <c r="AE17" i="71"/>
  <c r="L10" i="33"/>
  <c r="I10" i="33"/>
  <c r="J10" i="33"/>
  <c r="K10" i="33"/>
  <c r="M10" i="33"/>
  <c r="AD33" i="71"/>
  <c r="AC33" i="71"/>
  <c r="AE33" i="71"/>
  <c r="AD25" i="71"/>
  <c r="K5" i="33"/>
  <c r="AE4" i="71"/>
  <c r="AC23" i="71"/>
  <c r="AD23" i="71"/>
  <c r="M28" i="33"/>
  <c r="J28" i="33"/>
  <c r="I28" i="33"/>
  <c r="L28" i="33"/>
  <c r="K28" i="33"/>
  <c r="AD83" i="71"/>
  <c r="AE83" i="71"/>
  <c r="J15" i="33"/>
  <c r="L15" i="33"/>
  <c r="AD79" i="71"/>
  <c r="AC79" i="71"/>
  <c r="M30" i="33"/>
  <c r="J30" i="33"/>
  <c r="L30" i="33"/>
  <c r="I30" i="33"/>
  <c r="AE87" i="71"/>
  <c r="AD87" i="71"/>
  <c r="AC87" i="71"/>
  <c r="K32" i="33"/>
  <c r="L32" i="33"/>
  <c r="I32" i="33"/>
  <c r="J32" i="33"/>
  <c r="L6" i="33"/>
  <c r="L3" i="33" s="1"/>
  <c r="I13" i="33"/>
  <c r="J13" i="33"/>
  <c r="K13" i="33"/>
  <c r="AD10" i="71"/>
  <c r="AE10" i="71"/>
  <c r="AC10" i="71"/>
  <c r="AE18" i="71"/>
  <c r="AC18" i="71"/>
  <c r="AC38" i="71"/>
  <c r="AE38" i="71"/>
  <c r="AC44" i="71"/>
  <c r="AD44" i="71"/>
  <c r="AE44" i="71"/>
  <c r="AC101" i="71"/>
  <c r="AE101" i="71"/>
  <c r="AD101" i="71"/>
  <c r="K41" i="33"/>
  <c r="J41" i="33"/>
  <c r="I41" i="33"/>
  <c r="M41" i="33"/>
  <c r="L41" i="33"/>
  <c r="M13" i="33"/>
  <c r="J5" i="33"/>
  <c r="AD19" i="71"/>
  <c r="AE19" i="71"/>
  <c r="AC27" i="71"/>
  <c r="AD27" i="71"/>
  <c r="I42" i="33"/>
  <c r="M42" i="33"/>
  <c r="L42" i="33"/>
  <c r="K42" i="33"/>
  <c r="J42" i="33"/>
  <c r="L13" i="33"/>
  <c r="AD26" i="71"/>
  <c r="AD35" i="71"/>
  <c r="AC12" i="71"/>
  <c r="AD12" i="71"/>
  <c r="AE12" i="71"/>
  <c r="AD38" i="71"/>
  <c r="AD50" i="71"/>
  <c r="AE50" i="71"/>
  <c r="AC50" i="71"/>
  <c r="AD56" i="71"/>
  <c r="AE56" i="71"/>
  <c r="AC56" i="71"/>
  <c r="AD61" i="71"/>
  <c r="AE61" i="71"/>
  <c r="AC61" i="71"/>
  <c r="L36" i="33"/>
  <c r="K36" i="33"/>
  <c r="J36" i="33"/>
  <c r="I36" i="33"/>
  <c r="M36" i="33"/>
  <c r="F2" i="75"/>
  <c r="H8" i="75"/>
  <c r="AC35" i="71"/>
  <c r="K23" i="33"/>
  <c r="L23" i="33"/>
  <c r="M23" i="33"/>
  <c r="I23" i="33"/>
  <c r="AC74" i="71"/>
  <c r="AE74" i="71"/>
  <c r="AD74" i="71"/>
  <c r="M6" i="33"/>
  <c r="I5" i="33"/>
  <c r="AE27" i="71"/>
  <c r="M19" i="33"/>
  <c r="AE55" i="71"/>
  <c r="J29" i="33"/>
  <c r="R29" i="33" s="1"/>
  <c r="AC84" i="71"/>
  <c r="AE93" i="71"/>
  <c r="AE86" i="71"/>
  <c r="K33" i="33"/>
  <c r="I37" i="33"/>
  <c r="J44" i="33"/>
  <c r="R44" i="33" s="1"/>
  <c r="K5" i="75"/>
  <c r="AD43" i="71"/>
  <c r="AD49" i="71"/>
  <c r="M22" i="33"/>
  <c r="AE82" i="71"/>
  <c r="I29" i="33"/>
  <c r="AE91" i="71"/>
  <c r="M9" i="33"/>
  <c r="AE30" i="71"/>
  <c r="AC39" i="71"/>
  <c r="J19" i="33"/>
  <c r="AD54" i="71"/>
  <c r="AE53" i="71"/>
  <c r="AE51" i="71"/>
  <c r="AE57" i="71"/>
  <c r="J22" i="33"/>
  <c r="I21" i="33"/>
  <c r="AE70" i="71"/>
  <c r="AD82" i="71"/>
  <c r="AD91" i="71"/>
  <c r="AD85" i="71"/>
  <c r="I34" i="33"/>
  <c r="L34" i="33"/>
  <c r="J45" i="33"/>
  <c r="AD57" i="71"/>
  <c r="L22" i="33"/>
  <c r="AE78" i="71"/>
  <c r="M34" i="33"/>
  <c r="M40" i="33"/>
  <c r="M44" i="33"/>
  <c r="K22" i="33"/>
  <c r="AD78" i="71"/>
  <c r="L29" i="33"/>
  <c r="L44" i="33"/>
  <c r="F32" i="46" l="1"/>
  <c r="F33" i="46" s="1"/>
  <c r="F34" i="46" s="1"/>
  <c r="F35" i="46" s="1"/>
  <c r="F36" i="46" s="1"/>
  <c r="F37" i="46" s="1"/>
  <c r="F38" i="46" s="1"/>
  <c r="F39" i="46" s="1"/>
  <c r="F40" i="46" s="1"/>
  <c r="F41" i="46" s="1"/>
  <c r="F42" i="46" s="1"/>
  <c r="F43" i="46" s="1"/>
  <c r="R37" i="33"/>
  <c r="R27" i="33"/>
  <c r="R30" i="33"/>
  <c r="R19" i="33"/>
  <c r="R8" i="33"/>
  <c r="R21" i="33"/>
  <c r="R45" i="33"/>
  <c r="I3" i="33"/>
  <c r="R20" i="33"/>
  <c r="R10" i="33"/>
  <c r="R7" i="33"/>
  <c r="R5" i="33"/>
  <c r="R34" i="33"/>
  <c r="R49" i="33"/>
  <c r="R13" i="33"/>
  <c r="R15" i="33"/>
  <c r="R36" i="33"/>
  <c r="R28" i="33"/>
  <c r="R9" i="33"/>
  <c r="R12" i="33"/>
  <c r="R51" i="33"/>
  <c r="R31" i="33"/>
  <c r="R40" i="33"/>
  <c r="R18" i="33"/>
  <c r="R25" i="33"/>
  <c r="R22" i="33"/>
  <c r="R41" i="33"/>
  <c r="R48" i="33"/>
  <c r="R23" i="33"/>
  <c r="R42" i="33"/>
  <c r="R26" i="33"/>
  <c r="R32" i="33"/>
  <c r="R33" i="33"/>
  <c r="R16" i="33"/>
  <c r="R24" i="33"/>
  <c r="R14" i="33"/>
  <c r="R46" i="33"/>
  <c r="R47" i="33"/>
  <c r="R50" i="33"/>
  <c r="A300" i="38"/>
  <c r="A301" i="38" s="1"/>
  <c r="A302" i="38" s="1"/>
  <c r="A303" i="38" s="1"/>
  <c r="A304" i="38" s="1"/>
  <c r="A305" i="38" s="1"/>
  <c r="A306" i="38" s="1"/>
  <c r="A307" i="38" s="1"/>
  <c r="A308" i="38" s="1"/>
  <c r="A311" i="38" s="1"/>
  <c r="K3" i="33"/>
  <c r="M3" i="33"/>
  <c r="J3" i="33"/>
  <c r="F64" i="31"/>
  <c r="D42" i="32"/>
  <c r="D57" i="32" s="1"/>
  <c r="N36" i="66"/>
  <c r="A16" i="66"/>
  <c r="A17" i="66" s="1"/>
  <c r="A18" i="66" s="1"/>
  <c r="A19" i="66" s="1"/>
  <c r="A20" i="66" s="1"/>
  <c r="A21" i="66" s="1"/>
  <c r="A22" i="66" s="1"/>
  <c r="A23" i="66" s="1"/>
  <c r="A24" i="66" s="1"/>
  <c r="A25" i="66" s="1"/>
  <c r="A26" i="66" s="1"/>
  <c r="A27" i="66" s="1"/>
  <c r="H2" i="75"/>
  <c r="N5" i="33"/>
  <c r="A33" i="50"/>
  <c r="A34" i="50" s="1"/>
  <c r="A35" i="50" s="1"/>
  <c r="A36" i="50" s="1"/>
  <c r="A37" i="50" s="1"/>
  <c r="A38" i="50" s="1"/>
  <c r="A39" i="50" s="1"/>
  <c r="A40" i="50" s="1"/>
  <c r="A41" i="50" s="1"/>
  <c r="N34" i="66"/>
  <c r="N6" i="33"/>
  <c r="K7" i="75"/>
  <c r="K2" i="75" s="1"/>
  <c r="J36" i="66"/>
  <c r="G34" i="66"/>
  <c r="N50" i="33"/>
  <c r="N51" i="33"/>
  <c r="N48" i="33"/>
  <c r="N49" i="33"/>
  <c r="N47" i="33"/>
  <c r="N17" i="33"/>
  <c r="N21" i="33"/>
  <c r="N45" i="33"/>
  <c r="AF95" i="71"/>
  <c r="N46" i="33"/>
  <c r="AF20" i="71"/>
  <c r="AF41" i="71"/>
  <c r="AF43" i="71"/>
  <c r="AF96" i="71"/>
  <c r="AF14" i="71"/>
  <c r="AF34" i="71"/>
  <c r="AF98" i="71"/>
  <c r="AF67" i="71"/>
  <c r="AF85" i="71"/>
  <c r="AF66" i="71"/>
  <c r="AF46" i="71"/>
  <c r="AF97" i="71"/>
  <c r="AF88" i="71"/>
  <c r="AF69" i="71"/>
  <c r="AF13" i="71"/>
  <c r="AF81" i="71"/>
  <c r="AF22" i="71"/>
  <c r="AF92" i="71"/>
  <c r="AF55" i="71"/>
  <c r="AF29" i="71"/>
  <c r="AF42" i="71"/>
  <c r="AF93" i="71"/>
  <c r="AF26" i="71"/>
  <c r="AF72" i="71"/>
  <c r="AF100" i="71"/>
  <c r="AF39" i="71"/>
  <c r="AF11" i="71"/>
  <c r="AF64" i="71"/>
  <c r="AF71" i="71"/>
  <c r="AF73" i="71"/>
  <c r="AF6" i="71"/>
  <c r="AF54" i="71"/>
  <c r="AF4" i="71"/>
  <c r="AF52" i="71"/>
  <c r="AF77" i="71"/>
  <c r="AF59" i="71"/>
  <c r="AF21" i="71"/>
  <c r="AF35" i="71"/>
  <c r="AF30" i="71"/>
  <c r="AF89" i="71"/>
  <c r="AF76" i="71"/>
  <c r="AF58" i="71"/>
  <c r="AF15" i="71"/>
  <c r="AF48" i="71"/>
  <c r="AF5" i="71"/>
  <c r="AF90" i="71"/>
  <c r="AF65" i="71"/>
  <c r="AF7" i="71"/>
  <c r="AF28" i="71"/>
  <c r="AF40" i="71"/>
  <c r="AF94" i="71"/>
  <c r="AF80" i="71"/>
  <c r="AF31" i="71"/>
  <c r="N14" i="33"/>
  <c r="N16" i="33"/>
  <c r="N26" i="33"/>
  <c r="N39" i="33"/>
  <c r="N43" i="33"/>
  <c r="N20" i="33"/>
  <c r="N35" i="33"/>
  <c r="N18" i="33"/>
  <c r="AF70" i="71"/>
  <c r="AF84" i="71"/>
  <c r="N25" i="33"/>
  <c r="AF9" i="71"/>
  <c r="AF60" i="71"/>
  <c r="N27" i="33"/>
  <c r="AF99" i="71"/>
  <c r="AF16" i="71"/>
  <c r="N11" i="33"/>
  <c r="AF63" i="71"/>
  <c r="F34" i="66"/>
  <c r="E34" i="66"/>
  <c r="I34" i="66"/>
  <c r="K34" i="66"/>
  <c r="J34" i="66"/>
  <c r="D34" i="66"/>
  <c r="M34" i="66"/>
  <c r="L34" i="66"/>
  <c r="H34" i="66"/>
  <c r="AF57" i="71"/>
  <c r="AF37" i="71"/>
  <c r="AF50" i="71"/>
  <c r="AF83" i="71"/>
  <c r="AF75" i="71"/>
  <c r="AF32" i="71"/>
  <c r="AF49" i="71"/>
  <c r="AF62" i="71"/>
  <c r="N12" i="33"/>
  <c r="N31" i="33"/>
  <c r="AF78" i="71"/>
  <c r="AF27" i="71"/>
  <c r="N40" i="33"/>
  <c r="N19" i="33"/>
  <c r="N8" i="33"/>
  <c r="N9" i="33"/>
  <c r="AF19" i="71"/>
  <c r="N37" i="33"/>
  <c r="AF24" i="71"/>
  <c r="AF74" i="71"/>
  <c r="N29" i="33"/>
  <c r="AF86" i="71"/>
  <c r="AF18" i="71"/>
  <c r="AF87" i="71"/>
  <c r="AF79" i="71"/>
  <c r="N38" i="33"/>
  <c r="AF47" i="71"/>
  <c r="AF36" i="71"/>
  <c r="AF8" i="71"/>
  <c r="AF12" i="71"/>
  <c r="N32" i="33"/>
  <c r="AF68" i="71"/>
  <c r="AF51" i="71"/>
  <c r="AF53" i="71"/>
  <c r="N33" i="33"/>
  <c r="N22" i="33"/>
  <c r="AF82" i="71"/>
  <c r="AF17" i="71"/>
  <c r="N24" i="33"/>
  <c r="N44" i="33"/>
  <c r="AF44" i="71"/>
  <c r="AF10" i="71"/>
  <c r="N34" i="33"/>
  <c r="AF61" i="71"/>
  <c r="N30" i="33"/>
  <c r="N7" i="33"/>
  <c r="AF38" i="71"/>
  <c r="N36" i="33"/>
  <c r="N41" i="33"/>
  <c r="AF101" i="71"/>
  <c r="AF23" i="71"/>
  <c r="AF33" i="71"/>
  <c r="AF91" i="71"/>
  <c r="N23" i="33"/>
  <c r="AF56" i="71"/>
  <c r="N13" i="33"/>
  <c r="N15" i="33"/>
  <c r="N42" i="33"/>
  <c r="N28" i="33"/>
  <c r="N10" i="33"/>
  <c r="AF25" i="71"/>
  <c r="N3" i="33" l="1"/>
  <c r="A42" i="50"/>
  <c r="A43" i="50" s="1"/>
  <c r="A44" i="50" s="1"/>
  <c r="A45" i="50" s="1"/>
  <c r="A46" i="50" s="1"/>
  <c r="A47" i="50" s="1"/>
  <c r="A48" i="50" s="1"/>
  <c r="A49" i="50" s="1"/>
  <c r="A50" i="50" s="1"/>
  <c r="A51" i="50" s="1"/>
  <c r="A52" i="50" s="1"/>
  <c r="A53" i="50" s="1"/>
  <c r="A54" i="50" s="1"/>
  <c r="A55" i="50" s="1"/>
  <c r="A56" i="50" s="1"/>
  <c r="A57" i="50" s="1"/>
  <c r="A58" i="50" s="1"/>
  <c r="A59" i="50" s="1"/>
  <c r="A60" i="50" s="1"/>
  <c r="A61" i="50" s="1"/>
  <c r="A62" i="50" s="1"/>
  <c r="A63" i="50" s="1"/>
  <c r="A64" i="50" s="1"/>
  <c r="A65" i="50" s="1"/>
  <c r="A66" i="50" s="1"/>
  <c r="A67" i="50" s="1"/>
  <c r="A68" i="50" s="1"/>
  <c r="A69" i="50" s="1"/>
  <c r="A70" i="50" s="1"/>
  <c r="A71" i="50" s="1"/>
  <c r="A72" i="50" s="1"/>
  <c r="A73" i="50" s="1"/>
  <c r="A74" i="50" s="1"/>
  <c r="A75" i="50" s="1"/>
  <c r="A76" i="50" s="1"/>
  <c r="A77" i="50" s="1"/>
  <c r="A78" i="50" s="1"/>
  <c r="A79" i="50" s="1"/>
  <c r="A80" i="50" s="1"/>
  <c r="A81" i="50" s="1"/>
  <c r="A82" i="50" s="1"/>
  <c r="A83" i="50" s="1"/>
  <c r="A84" i="50" s="1"/>
  <c r="A85" i="50" s="1"/>
  <c r="A86" i="50" s="1"/>
  <c r="A87" i="50" s="1"/>
  <c r="A88" i="50" s="1"/>
  <c r="A89" i="50" s="1"/>
  <c r="A90" i="50" s="1"/>
  <c r="A91" i="50" s="1"/>
  <c r="A92" i="50" s="1"/>
  <c r="A93" i="50" s="1"/>
  <c r="A94" i="50" s="1"/>
  <c r="A95" i="50" s="1"/>
  <c r="A96" i="50" s="1"/>
  <c r="A97" i="50" s="1"/>
  <c r="A28" i="66"/>
  <c r="A29" i="66" s="1"/>
  <c r="A30" i="66" s="1"/>
  <c r="A31" i="66" s="1"/>
  <c r="A32" i="66" s="1"/>
  <c r="I14" i="73"/>
  <c r="A98" i="50" l="1"/>
  <c r="A99" i="50" s="1"/>
  <c r="A100" i="50" s="1"/>
  <c r="I16" i="73"/>
  <c r="A101" i="50" l="1"/>
  <c r="A102" i="50" s="1"/>
  <c r="A103" i="50" s="1"/>
  <c r="A104" i="50" s="1"/>
  <c r="A105" i="50" s="1"/>
  <c r="A106" i="50" s="1"/>
  <c r="H33" i="4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tc={85D392B0-C9AD-4F93-9DA0-0337AC92884A}</author>
  </authors>
  <commentList>
    <comment ref="N11" authorId="0" shapeId="0" xr:uid="{85D392B0-C9AD-4F93-9DA0-0337AC92884A}">
      <text>
        <t>[Threaded comment]
Your version of Excel allows you to read this threaded comment; however, any edits to it will get removed if the file is opened in a newer version of Excel. Learn more: https://go.microsoft.com/fwlink/?linkid=870924
Comment:
    B type Stub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tc={A36AC8A6-62A1-4F98-9095-028737F9E00A}</author>
  </authors>
  <commentList>
    <comment ref="D105" authorId="0" shapeId="0" xr:uid="{A36AC8A6-62A1-4F98-9095-028737F9E00A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tc={084CA4A6-D9E5-42F1-91EE-F88DCD0293CA}</author>
    <author>tc={214A1E32-B72E-4532-9E69-0277C0E5D7AA}</author>
    <author>tc={2017CB69-12F8-42C6-B7B2-2967FB3960AA}</author>
  </authors>
  <commentList>
    <comment ref="M23" authorId="0" shapeId="0" xr:uid="{084CA4A6-D9E5-42F1-91EE-F88DCD0293CA}">
      <text>
        <t>[Threaded comment]
Your version of Excel allows you to read this threaded comment; however, any edits to it will get removed if the file is opened in a newer version of Excel. Learn more: https://go.microsoft.com/fwlink/?linkid=870924
Comment:
    1 Nos DCT tower</t>
      </text>
    </comment>
    <comment ref="M31" authorId="1" shapeId="0" xr:uid="{214A1E32-B72E-4532-9E69-0277C0E5D7AA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  <comment ref="K103" authorId="2" shapeId="0" xr:uid="{2017CB69-12F8-42C6-B7B2-2967FB3960AA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tc={B1F6E308-BAC4-4314-A289-CA8BAA38F716}</author>
    <author>tc={3CF839FD-E83F-433A-955E-CB835824DED6}</author>
  </authors>
  <commentList>
    <comment ref="F103" authorId="0" shapeId="0" xr:uid="{B1F6E308-BAC4-4314-A289-CA8BAA38F716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  <comment ref="E154" authorId="1" shapeId="0" xr:uid="{3CF839FD-E83F-433A-955E-CB835824DED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DC2+0 to DC-3 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tc={FA6838EE-E5B0-4100-914A-5985954484C3}</author>
    <author>tc={C73C1DA1-4A36-4150-9FBE-A4108742B5DA}</author>
    <author>tc={3D0034DC-27BC-42EB-A8D9-ECF95FB056CF}</author>
    <author>tc={FB002323-643E-4DB4-8B29-196939105587}</author>
    <author>tc={F13B9B16-C78E-4A54-97BC-2D0411F13C45}</author>
    <author>tc={C54D20B9-E361-4C52-AC70-244FA8E07921}</author>
  </authors>
  <commentList>
    <comment ref="D4" authorId="0" shapeId="0" xr:uid="{FA6838EE-E5B0-4100-914A-5985954484C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DD60+0 to gantry </t>
      </text>
    </comment>
    <comment ref="D6" authorId="1" shapeId="0" xr:uid="{C73C1DA1-4A36-4150-9FBE-A4108742B5DA}">
      <text>
        <t>[Threaded comment]
Your version of Excel allows you to read this threaded comment; however, any edits to it will get removed if the file is opened in a newer version of Excel. Learn more: https://go.microsoft.com/fwlink/?linkid=870924
Comment:
    DC2+0 to DD60+0</t>
      </text>
    </comment>
    <comment ref="C46" authorId="2" shapeId="0" xr:uid="{3D0034DC-27BC-42EB-A8D9-ECF95FB056CF}">
      <text>
        <t>[Threaded comment]
Your version of Excel allows you to read this threaded comment; however, any edits to it will get removed if the file is opened in a newer version of Excel. Learn more: https://go.microsoft.com/fwlink/?linkid=870924
Comment:
    4-5 TO 4/1</t>
      </text>
    </comment>
    <comment ref="D202" authorId="3" shapeId="0" xr:uid="{FB002323-643E-4DB4-8B29-196939105587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  <comment ref="C582" authorId="4" shapeId="0" xr:uid="{F13B9B16-C78E-4A54-97BC-2D0411F13C45}">
      <text>
        <t>[Threaded comment]
Your version of Excel allows you to read this threaded comment; however, any edits to it will get removed if the file is opened in a newer version of Excel. Learn more: https://go.microsoft.com/fwlink/?linkid=870924
Comment:
    42/3-42A/0</t>
      </text>
    </comment>
    <comment ref="C594" authorId="5" shapeId="0" xr:uid="{C54D20B9-E361-4C52-AC70-244FA8E07921}">
      <text>
        <t>[Threaded comment]
Your version of Excel allows you to read this threaded comment; however, any edits to it will get removed if the file is opened in a newer version of Excel. Learn more: https://go.microsoft.com/fwlink/?linkid=870924
Comment:
    43/5- 43A/0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tc={B9BD2319-F344-4ED3-9D55-955AF28E8FF5}</author>
  </authors>
  <commentList>
    <comment ref="K1312" authorId="0" shapeId="0" xr:uid="{B9BD2319-F344-4ED3-9D55-955AF28E8FF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STEPBOX
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tc={945B1D98-359B-4A12-B81D-AF5CCAF0DBB3}</author>
  </authors>
  <commentList>
    <comment ref="F26" authorId="0" shapeId="0" xr:uid="{945B1D98-359B-4A12-B81D-AF5CCAF0DBB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1nos Incl DCT tower </t>
      </text>
    </comment>
  </commentList>
</comments>
</file>

<file path=xl/sharedStrings.xml><?xml version="1.0" encoding="utf-8"?>
<sst xmlns="http://schemas.openxmlformats.org/spreadsheetml/2006/main" count="24309" uniqueCount="1866">
  <si>
    <t>Balance</t>
  </si>
  <si>
    <t>Remarks</t>
  </si>
  <si>
    <t>DA+3</t>
  </si>
  <si>
    <t>DA+0</t>
  </si>
  <si>
    <t>DA-3</t>
  </si>
  <si>
    <t>40/3</t>
  </si>
  <si>
    <t>40/4</t>
  </si>
  <si>
    <t>44/0</t>
  </si>
  <si>
    <t>36/0</t>
  </si>
  <si>
    <t>31/0</t>
  </si>
  <si>
    <t>32/0</t>
  </si>
  <si>
    <t>14/0</t>
  </si>
  <si>
    <t>16/0</t>
  </si>
  <si>
    <t>17/0</t>
  </si>
  <si>
    <t>Activity</t>
  </si>
  <si>
    <t>Today</t>
  </si>
  <si>
    <t>No of Gangs</t>
  </si>
  <si>
    <t>Paying Out</t>
  </si>
  <si>
    <t>Final Sag</t>
  </si>
  <si>
    <t>Earthing (Nos.)</t>
  </si>
  <si>
    <t>Sl.No.</t>
  </si>
  <si>
    <t>SPAN</t>
  </si>
  <si>
    <t>Route Length</t>
  </si>
  <si>
    <t>Submitted For Approval</t>
  </si>
  <si>
    <t>From Section</t>
  </si>
  <si>
    <t>To Section</t>
  </si>
  <si>
    <t>30/1</t>
  </si>
  <si>
    <t>Tower Erection (Nos)</t>
  </si>
  <si>
    <t xml:space="preserve">Foundation (Nos.) </t>
  </si>
  <si>
    <t>Excavation</t>
  </si>
  <si>
    <t>Soil Investigation (Nos.)</t>
  </si>
  <si>
    <t>Cumm. Progress up to last Month</t>
  </si>
  <si>
    <t>REMARKS</t>
  </si>
  <si>
    <t xml:space="preserve"> </t>
  </si>
  <si>
    <t xml:space="preserve">Earthing </t>
  </si>
  <si>
    <t xml:space="preserve">Tack Welding </t>
  </si>
  <si>
    <t>a)</t>
  </si>
  <si>
    <t>b)</t>
  </si>
  <si>
    <t xml:space="preserve">Detailed Survey </t>
  </si>
  <si>
    <t xml:space="preserve"> Section Length (Km)</t>
  </si>
  <si>
    <t xml:space="preserve">Check Survey </t>
  </si>
  <si>
    <t>CUMM. SR.NO</t>
  </si>
  <si>
    <t>MONTH SR.NO.</t>
  </si>
  <si>
    <t>Loc. No.</t>
  </si>
  <si>
    <t>Type of Tower</t>
  </si>
  <si>
    <t>Type of Classification</t>
  </si>
  <si>
    <t>Start</t>
  </si>
  <si>
    <t>Complete</t>
  </si>
  <si>
    <t xml:space="preserve">Name of Supervisor </t>
  </si>
  <si>
    <t>DA+9</t>
  </si>
  <si>
    <t>Approved</t>
  </si>
  <si>
    <t>18/0</t>
  </si>
  <si>
    <t>19/0</t>
  </si>
  <si>
    <t>20/0</t>
  </si>
  <si>
    <t>21/0</t>
  </si>
  <si>
    <t>22/0</t>
  </si>
  <si>
    <t>23/0</t>
  </si>
  <si>
    <t>24/0</t>
  </si>
  <si>
    <t>25/0</t>
  </si>
  <si>
    <t>26/0</t>
  </si>
  <si>
    <t>27/0</t>
  </si>
  <si>
    <t>27/1</t>
  </si>
  <si>
    <t>27/2</t>
  </si>
  <si>
    <t>28/0</t>
  </si>
  <si>
    <t>29/0</t>
  </si>
  <si>
    <t>30/0</t>
  </si>
  <si>
    <t>32/1</t>
  </si>
  <si>
    <t>33/0</t>
  </si>
  <si>
    <t>33/1</t>
  </si>
  <si>
    <t>33/2</t>
  </si>
  <si>
    <t>33/3</t>
  </si>
  <si>
    <t>35/0</t>
  </si>
  <si>
    <t>38/0</t>
  </si>
  <si>
    <t>39/0</t>
  </si>
  <si>
    <t>40/0</t>
  </si>
  <si>
    <t>41/0</t>
  </si>
  <si>
    <t>41/1</t>
  </si>
  <si>
    <t>42/0</t>
  </si>
  <si>
    <t>43/0</t>
  </si>
  <si>
    <t>DA+6</t>
  </si>
  <si>
    <t>Approved Date</t>
  </si>
  <si>
    <t>Total</t>
  </si>
  <si>
    <t>31/1</t>
  </si>
  <si>
    <t>A</t>
  </si>
  <si>
    <t>B</t>
  </si>
  <si>
    <t>C</t>
  </si>
  <si>
    <t>D</t>
  </si>
  <si>
    <t>Name of the Contractor</t>
  </si>
  <si>
    <t>Unit</t>
  </si>
  <si>
    <t>Receipt Qty.</t>
  </si>
  <si>
    <t>Balance Required Qty.</t>
  </si>
  <si>
    <t>S. No.</t>
  </si>
  <si>
    <t>Present status</t>
  </si>
  <si>
    <t>Details of Tack Welding</t>
  </si>
  <si>
    <t>Section</t>
  </si>
  <si>
    <t>From</t>
  </si>
  <si>
    <t>To</t>
  </si>
  <si>
    <t>Length in Km's</t>
  </si>
  <si>
    <t>Cum. Length in Km's</t>
  </si>
  <si>
    <t>Foundation</t>
  </si>
  <si>
    <t>Steel</t>
  </si>
  <si>
    <t>Insulator</t>
  </si>
  <si>
    <t>Paying Out Start</t>
  </si>
  <si>
    <t>Paying Out Completed</t>
  </si>
  <si>
    <t>OPGW (Km)</t>
  </si>
  <si>
    <t>Details of Earthing</t>
  </si>
  <si>
    <t>Details of Foundation</t>
  </si>
  <si>
    <t xml:space="preserve">Details of Stringing </t>
  </si>
  <si>
    <t>Details of OPGW Stringing</t>
  </si>
  <si>
    <t>Cum. Sr.No.</t>
  </si>
  <si>
    <t>Month Sr.No.</t>
  </si>
  <si>
    <t>Number Plate</t>
  </si>
  <si>
    <t>Section Length in Km's</t>
  </si>
  <si>
    <t>Drum Length in Km's</t>
  </si>
  <si>
    <t>Cum. Drum Length in Km's</t>
  </si>
  <si>
    <t>Danger Plate</t>
  </si>
  <si>
    <t>Details of Accessories</t>
  </si>
  <si>
    <t>Phase Plate</t>
  </si>
  <si>
    <t>Circuit Plate</t>
  </si>
  <si>
    <t>Anti Climbing device</t>
  </si>
  <si>
    <t>KEC International Limited</t>
  </si>
  <si>
    <t>LOA Quantity</t>
  </si>
  <si>
    <t>Nos</t>
  </si>
  <si>
    <t>E</t>
  </si>
  <si>
    <t>F</t>
  </si>
  <si>
    <t>G S Earthwire 7/3.66mm size</t>
  </si>
  <si>
    <t>Sets</t>
  </si>
  <si>
    <t>EA</t>
  </si>
  <si>
    <t>Vibration damper -7/3.66mm Earth Wire</t>
  </si>
  <si>
    <t>Suspension clamp assembly -7/3.66mm Earth Wire</t>
  </si>
  <si>
    <t>Tension clamp assembly-7/3.66mm Earth Wire</t>
  </si>
  <si>
    <t>Description</t>
  </si>
  <si>
    <t>Hardware Fittings</t>
  </si>
  <si>
    <t>Earthwire Acessories for 7/3.66mm</t>
  </si>
  <si>
    <t>OPGW / Hardware Fittings</t>
  </si>
  <si>
    <t>i</t>
  </si>
  <si>
    <t>ii</t>
  </si>
  <si>
    <t>iii</t>
  </si>
  <si>
    <t>iv</t>
  </si>
  <si>
    <t>v</t>
  </si>
  <si>
    <t>vi</t>
  </si>
  <si>
    <t>vii</t>
  </si>
  <si>
    <t>viii</t>
  </si>
  <si>
    <t>Kms</t>
  </si>
  <si>
    <t>Status of Line Materials, conductor and Tower Accessories</t>
  </si>
  <si>
    <t>ROW STATUS</t>
  </si>
  <si>
    <t>S.No</t>
  </si>
  <si>
    <t>T/Type</t>
  </si>
  <si>
    <t>Date of 1st approach</t>
  </si>
  <si>
    <t>Date of last approach</t>
  </si>
  <si>
    <t>Duration of ROW (Days)</t>
  </si>
  <si>
    <t>Nature of hindrance</t>
  </si>
  <si>
    <t>Brief description on resolution</t>
  </si>
  <si>
    <t>27/3</t>
  </si>
  <si>
    <t>DA-1.5</t>
  </si>
  <si>
    <t>27/4</t>
  </si>
  <si>
    <t>27/5</t>
  </si>
  <si>
    <t>FLEXIBLE AL BOND-7/3.66MM E/W</t>
  </si>
  <si>
    <t>Vibration Damper for 24 fibre OPGW</t>
  </si>
  <si>
    <t>KM</t>
  </si>
  <si>
    <t>SET</t>
  </si>
  <si>
    <t>PGCIL</t>
  </si>
  <si>
    <t>27/6</t>
  </si>
  <si>
    <t>31/2</t>
  </si>
  <si>
    <t>31/3</t>
  </si>
  <si>
    <t>32/2</t>
  </si>
  <si>
    <t>34/0</t>
  </si>
  <si>
    <t>15/0</t>
  </si>
  <si>
    <t>37/0</t>
  </si>
  <si>
    <t>42/3</t>
  </si>
  <si>
    <t>DA+1.5</t>
  </si>
  <si>
    <t>42/1</t>
  </si>
  <si>
    <t>42/2</t>
  </si>
  <si>
    <t>DC2+0</t>
  </si>
  <si>
    <t>20/1</t>
  </si>
  <si>
    <t>20/2</t>
  </si>
  <si>
    <t>20/3</t>
  </si>
  <si>
    <t>20/4</t>
  </si>
  <si>
    <t>DD45+0</t>
  </si>
  <si>
    <t>21/1</t>
  </si>
  <si>
    <t>21/2</t>
  </si>
  <si>
    <t>21/3</t>
  </si>
  <si>
    <t>21/4</t>
  </si>
  <si>
    <t>DD45+3</t>
  </si>
  <si>
    <t>DB2+0</t>
  </si>
  <si>
    <t>DC1+0</t>
  </si>
  <si>
    <t>DD60+18</t>
  </si>
  <si>
    <t>33/4</t>
  </si>
  <si>
    <t>DD60+0</t>
  </si>
  <si>
    <t>KEC INTERNATIONAL LIMITED</t>
  </si>
  <si>
    <t>Stringing U/P</t>
  </si>
  <si>
    <t>Tack Welding U/P</t>
  </si>
  <si>
    <t>18/1</t>
  </si>
  <si>
    <t>18/2</t>
  </si>
  <si>
    <t>Erection U/P</t>
  </si>
  <si>
    <t>Foundation U/P</t>
  </si>
  <si>
    <t>Excavation U/P</t>
  </si>
  <si>
    <t>DB1+0</t>
  </si>
  <si>
    <t>DC1-3</t>
  </si>
  <si>
    <t>Stringing completed</t>
  </si>
  <si>
    <t>Tack Welding completed</t>
  </si>
  <si>
    <t>Erection completed</t>
  </si>
  <si>
    <t>Foundation completed</t>
  </si>
  <si>
    <t>Excavation completed</t>
  </si>
  <si>
    <t>Earthing completed</t>
  </si>
  <si>
    <t>36/3</t>
  </si>
  <si>
    <t>40/1</t>
  </si>
  <si>
    <t>40/2</t>
  </si>
  <si>
    <t>DD45+9</t>
  </si>
  <si>
    <t>DD60+9</t>
  </si>
  <si>
    <t>DC1+9</t>
  </si>
  <si>
    <t>DB1+9</t>
  </si>
  <si>
    <t>DD60+6</t>
  </si>
  <si>
    <t>DD60+3</t>
  </si>
  <si>
    <t>DC1+6</t>
  </si>
  <si>
    <t>DB2+9</t>
  </si>
  <si>
    <t>DC2+9</t>
  </si>
  <si>
    <t>DC1+3</t>
  </si>
  <si>
    <t>DD60+25</t>
  </si>
  <si>
    <t>DC2+3</t>
  </si>
  <si>
    <t>DD45-1.5</t>
  </si>
  <si>
    <t>DD60-3</t>
  </si>
  <si>
    <t>Supplier</t>
  </si>
  <si>
    <t>Tower Type</t>
  </si>
  <si>
    <t>Towers</t>
  </si>
  <si>
    <t>DA Sub- Total</t>
  </si>
  <si>
    <t>DB1+3</t>
  </si>
  <si>
    <t>DB1+6</t>
  </si>
  <si>
    <t>DB2+3</t>
  </si>
  <si>
    <t>DB2+6</t>
  </si>
  <si>
    <t>DC2+6</t>
  </si>
  <si>
    <t>DD45+6</t>
  </si>
  <si>
    <t>400kV</t>
  </si>
  <si>
    <t>220kV</t>
  </si>
  <si>
    <t>132kV</t>
  </si>
  <si>
    <t>Name of Farmer</t>
  </si>
  <si>
    <t>Mobile no.</t>
  </si>
  <si>
    <t>Vill. Name</t>
  </si>
  <si>
    <t>Tehsil</t>
  </si>
  <si>
    <t>Cumulative Progress</t>
  </si>
  <si>
    <t>DD45+25</t>
  </si>
  <si>
    <t>36/1</t>
  </si>
  <si>
    <t>36/2</t>
  </si>
  <si>
    <t>DD45+18</t>
  </si>
  <si>
    <t>Gantry</t>
  </si>
  <si>
    <t>As per LOA</t>
  </si>
  <si>
    <t>As per Latest Estimate</t>
  </si>
  <si>
    <t>As per latest Estimate</t>
  </si>
  <si>
    <t>Approval  date</t>
  </si>
  <si>
    <t>Profile approval  date</t>
  </si>
  <si>
    <t>DC2-3</t>
  </si>
  <si>
    <t>18/6</t>
  </si>
  <si>
    <t>18/5</t>
  </si>
  <si>
    <t>18/4</t>
  </si>
  <si>
    <t>18/3</t>
  </si>
  <si>
    <t>Completed</t>
  </si>
  <si>
    <t>4/0</t>
  </si>
  <si>
    <t>5/0</t>
  </si>
  <si>
    <t>6/0</t>
  </si>
  <si>
    <t>6/1</t>
  </si>
  <si>
    <t>6/2</t>
  </si>
  <si>
    <t>7/0</t>
  </si>
  <si>
    <t>8/0</t>
  </si>
  <si>
    <t>9/0</t>
  </si>
  <si>
    <t>10/0</t>
  </si>
  <si>
    <t>11/0</t>
  </si>
  <si>
    <t>12/0</t>
  </si>
  <si>
    <t>13/0</t>
  </si>
  <si>
    <t>1/0</t>
  </si>
  <si>
    <t>2/0</t>
  </si>
  <si>
    <t>3/0</t>
  </si>
  <si>
    <t>Forest</t>
  </si>
  <si>
    <t>Revenue</t>
  </si>
  <si>
    <t>Stub</t>
  </si>
  <si>
    <t>UOM</t>
  </si>
  <si>
    <t>Tower Erection</t>
  </si>
  <si>
    <t>Rough Sag</t>
  </si>
  <si>
    <t>Final  Sag</t>
  </si>
  <si>
    <t>Foundation ROW</t>
  </si>
  <si>
    <t>Erection ROW</t>
  </si>
  <si>
    <t>DD45-3</t>
  </si>
  <si>
    <t>M10</t>
  </si>
  <si>
    <t>M20</t>
  </si>
  <si>
    <t>Weight</t>
  </si>
  <si>
    <t>ROW Details</t>
  </si>
  <si>
    <t>G</t>
  </si>
  <si>
    <t>H</t>
  </si>
  <si>
    <t>EARTHING</t>
  </si>
  <si>
    <t>Final sag complete</t>
  </si>
  <si>
    <t xml:space="preserve">Sl. </t>
  </si>
  <si>
    <t>Sections in (mtrs)</t>
  </si>
  <si>
    <t>Name of Crossing</t>
  </si>
  <si>
    <t>Owner</t>
  </si>
  <si>
    <t>Approval status</t>
  </si>
  <si>
    <t>Status</t>
  </si>
  <si>
    <t>No</t>
  </si>
  <si>
    <t>FDN</t>
  </si>
  <si>
    <t>ERE</t>
  </si>
  <si>
    <t>STR</t>
  </si>
  <si>
    <t>AP 25</t>
  </si>
  <si>
    <t>AP 26</t>
  </si>
  <si>
    <t>AP 11</t>
  </si>
  <si>
    <t>AP 12</t>
  </si>
  <si>
    <t>Gang name</t>
  </si>
  <si>
    <t xml:space="preserve">2 Nos Provided to Powergrid </t>
  </si>
  <si>
    <t>.</t>
  </si>
  <si>
    <t>Date of Resolution</t>
  </si>
  <si>
    <t>Rev Month</t>
  </si>
  <si>
    <t>15/1</t>
  </si>
  <si>
    <t>RLY</t>
  </si>
  <si>
    <t>Qty</t>
  </si>
  <si>
    <t>WIP</t>
  </si>
  <si>
    <t>Bikaner III Gantry</t>
  </si>
  <si>
    <t>160 KN Insulator</t>
  </si>
  <si>
    <t>210 KN Insulator</t>
  </si>
  <si>
    <t>Double ISuspension String</t>
  </si>
  <si>
    <t>Single ISuspension String (Pilot)</t>
  </si>
  <si>
    <t>Quadruple Tension String</t>
  </si>
  <si>
    <t>MID SPAN COMPRESSION JOINT FOR AL59 ZEBRA CONDUCTOR</t>
  </si>
  <si>
    <t>REPAIR SLEEVE FOR AL59 ZEBRA CONDUCTOR</t>
  </si>
  <si>
    <t xml:space="preserve">PREFORMED RETAINING ROD TYPE SPACER DAMPER </t>
  </si>
  <si>
    <t>HEXAGONAL RIGID SPACER-765KV AC WITH AL59 HEX ZEBRA</t>
  </si>
  <si>
    <t>MID SPAN COMPRESSION JOINT FOR EW</t>
  </si>
  <si>
    <t>OPGW Cable</t>
  </si>
  <si>
    <t>Km</t>
  </si>
  <si>
    <t>DOWN LEAD CLAMP ASSY</t>
  </si>
  <si>
    <t>SUSPENSION CLAMP ASSY</t>
  </si>
  <si>
    <t>TENSION  FITTINGS ASSEMBLY ON SUSPENSION</t>
  </si>
  <si>
    <t xml:space="preserve">TENSION  FITTINGS ASSEMBLY FOR 24F OPGW (SPLICING) </t>
  </si>
  <si>
    <t>TENSION ASSEMBLY - DOUBLE TENSION PASS THROUGH</t>
  </si>
  <si>
    <t>TENSION ASSEMBLY - DEAD END FOR 24 FIBER OPGW</t>
  </si>
  <si>
    <t>i)</t>
  </si>
  <si>
    <t>Supply of Pipe Type Earthing</t>
  </si>
  <si>
    <t>ii)</t>
  </si>
  <si>
    <t>Supply of Counterpoise type (120 m length)</t>
  </si>
  <si>
    <t>iii)</t>
  </si>
  <si>
    <t>ROD TYPE EARTHING</t>
  </si>
  <si>
    <t>GEEKAY WIRES PVT. LTD</t>
  </si>
  <si>
    <t>APAR INDUSTRIES LTD</t>
  </si>
  <si>
    <t>MOSDORFER INDIA PVT. LTD</t>
  </si>
  <si>
    <t>KEC INTERNATIONAL LTD</t>
  </si>
  <si>
    <t xml:space="preserve">Railway Crossing-1 nos </t>
  </si>
  <si>
    <t xml:space="preserve">Cannal Crossing-1 nos </t>
  </si>
  <si>
    <t>AP 3</t>
  </si>
  <si>
    <t>AP 2</t>
  </si>
  <si>
    <t xml:space="preserve">SH Crossing-2 nos </t>
  </si>
  <si>
    <t>NH - 62</t>
  </si>
  <si>
    <t>RVPN</t>
  </si>
  <si>
    <t>AP 13</t>
  </si>
  <si>
    <t>400 KV D/C SUR-BKN</t>
  </si>
  <si>
    <t>AP 14</t>
  </si>
  <si>
    <t>AP 15</t>
  </si>
  <si>
    <t>AP 19</t>
  </si>
  <si>
    <t>AP 20</t>
  </si>
  <si>
    <t>Single Line Electrified Line</t>
  </si>
  <si>
    <t>AP 22</t>
  </si>
  <si>
    <t>AP 23</t>
  </si>
  <si>
    <t>AP 24</t>
  </si>
  <si>
    <t>AP 27</t>
  </si>
  <si>
    <t>765 KV D/C BKN-MGA T/L</t>
  </si>
  <si>
    <t>AP 28</t>
  </si>
  <si>
    <t>AP 29</t>
  </si>
  <si>
    <t>AP 32</t>
  </si>
  <si>
    <t>AP 33</t>
  </si>
  <si>
    <t>SH - 93</t>
  </si>
  <si>
    <t>SH - 03</t>
  </si>
  <si>
    <t>AP 16</t>
  </si>
  <si>
    <t xml:space="preserve">Canal </t>
  </si>
  <si>
    <t>9/4</t>
  </si>
  <si>
    <t>9/5</t>
  </si>
  <si>
    <t>9/6</t>
  </si>
  <si>
    <t>Survey and Profile Drawing Status</t>
  </si>
  <si>
    <t>Detail Survey</t>
  </si>
  <si>
    <t>Check Survey</t>
  </si>
  <si>
    <t>S.No.</t>
  </si>
  <si>
    <t>Length</t>
  </si>
  <si>
    <t xml:space="preserve">Detail Survey </t>
  </si>
  <si>
    <t>Detail Survey data to Engg</t>
  </si>
  <si>
    <t>Profile by Engg</t>
  </si>
  <si>
    <t>Final Profile</t>
  </si>
  <si>
    <t>Submission to PGCIL</t>
  </si>
  <si>
    <t>Approval by PGCIL</t>
  </si>
  <si>
    <t>Re-Profile by Engg.</t>
  </si>
  <si>
    <t>AP 8 - AP 9</t>
  </si>
  <si>
    <t>AP 9 - AP 11</t>
  </si>
  <si>
    <t>Total Length</t>
  </si>
  <si>
    <t>Approval</t>
  </si>
  <si>
    <t>DD60</t>
  </si>
  <si>
    <t>DB2</t>
  </si>
  <si>
    <t>DB1</t>
  </si>
  <si>
    <t>8/1</t>
  </si>
  <si>
    <t>8/2</t>
  </si>
  <si>
    <t>8/3</t>
  </si>
  <si>
    <t>8/4</t>
  </si>
  <si>
    <t>8/5</t>
  </si>
  <si>
    <t>8/6</t>
  </si>
  <si>
    <t>8/7</t>
  </si>
  <si>
    <t>8/8</t>
  </si>
  <si>
    <t>8/9</t>
  </si>
  <si>
    <t>8/10</t>
  </si>
  <si>
    <t>8/11</t>
  </si>
  <si>
    <t>DB1+12</t>
  </si>
  <si>
    <t>9/1</t>
  </si>
  <si>
    <t>Sandy</t>
  </si>
  <si>
    <t>9/2</t>
  </si>
  <si>
    <t>9/3</t>
  </si>
  <si>
    <t>9/7</t>
  </si>
  <si>
    <t>9/8</t>
  </si>
  <si>
    <t>9/9</t>
  </si>
  <si>
    <t>9/10</t>
  </si>
  <si>
    <t>9/11</t>
  </si>
  <si>
    <t>10/1</t>
  </si>
  <si>
    <t>10/2</t>
  </si>
  <si>
    <t>15/2</t>
  </si>
  <si>
    <t>15/3</t>
  </si>
  <si>
    <t>15/4</t>
  </si>
  <si>
    <t>15/5</t>
  </si>
  <si>
    <t>15/6</t>
  </si>
  <si>
    <t>15/7</t>
  </si>
  <si>
    <t>15/8</t>
  </si>
  <si>
    <t>15/9</t>
  </si>
  <si>
    <t>15/10</t>
  </si>
  <si>
    <t>15/11</t>
  </si>
  <si>
    <t>15/12</t>
  </si>
  <si>
    <t>18/7</t>
  </si>
  <si>
    <t>20/5</t>
  </si>
  <si>
    <t>20/6</t>
  </si>
  <si>
    <t>21/5</t>
  </si>
  <si>
    <t>DC2+15</t>
  </si>
  <si>
    <t>DD60+35</t>
  </si>
  <si>
    <t>29/1</t>
  </si>
  <si>
    <t>29/2</t>
  </si>
  <si>
    <t>29/3</t>
  </si>
  <si>
    <t>29/4</t>
  </si>
  <si>
    <t>29/5</t>
  </si>
  <si>
    <t>30/2</t>
  </si>
  <si>
    <t>30/3</t>
  </si>
  <si>
    <t>30/4</t>
  </si>
  <si>
    <t>30/5</t>
  </si>
  <si>
    <t>30/6</t>
  </si>
  <si>
    <t>30/7</t>
  </si>
  <si>
    <t>30/8</t>
  </si>
  <si>
    <t>30/9</t>
  </si>
  <si>
    <t>30/10</t>
  </si>
  <si>
    <t>31/4</t>
  </si>
  <si>
    <t>31/5</t>
  </si>
  <si>
    <t>31/6</t>
  </si>
  <si>
    <t>31/7</t>
  </si>
  <si>
    <t>31/8</t>
  </si>
  <si>
    <t>31/9</t>
  </si>
  <si>
    <t>31/10</t>
  </si>
  <si>
    <t>Shuvam Gupta</t>
  </si>
  <si>
    <t>4/1</t>
  </si>
  <si>
    <t>4/2</t>
  </si>
  <si>
    <t>4/3</t>
  </si>
  <si>
    <t>4/4</t>
  </si>
  <si>
    <t>4/5</t>
  </si>
  <si>
    <t>5/1</t>
  </si>
  <si>
    <t>5/2</t>
  </si>
  <si>
    <t>5/3</t>
  </si>
  <si>
    <t>5/4</t>
  </si>
  <si>
    <t>5/5</t>
  </si>
  <si>
    <t>5/6</t>
  </si>
  <si>
    <t>5/7</t>
  </si>
  <si>
    <t>5/8</t>
  </si>
  <si>
    <t>5/9</t>
  </si>
  <si>
    <t>5/10</t>
  </si>
  <si>
    <t>6/3</t>
  </si>
  <si>
    <t>6/4</t>
  </si>
  <si>
    <t>6/5</t>
  </si>
  <si>
    <t>6/6</t>
  </si>
  <si>
    <t>6/7</t>
  </si>
  <si>
    <t>6/8</t>
  </si>
  <si>
    <t>6/9</t>
  </si>
  <si>
    <t>6/10</t>
  </si>
  <si>
    <t>6/11</t>
  </si>
  <si>
    <t>7/1</t>
  </si>
  <si>
    <t>7/2</t>
  </si>
  <si>
    <t>7/3</t>
  </si>
  <si>
    <t>7/4</t>
  </si>
  <si>
    <t>7/5</t>
  </si>
  <si>
    <t>7/6</t>
  </si>
  <si>
    <t>8A/0</t>
  </si>
  <si>
    <t>13A/0</t>
  </si>
  <si>
    <t>Type of</t>
  </si>
  <si>
    <t>Tower</t>
  </si>
  <si>
    <t>TS Site Check</t>
  </si>
  <si>
    <t>AP 4 - AP 5</t>
  </si>
  <si>
    <t>AP 5 - AP 6</t>
  </si>
  <si>
    <t>a</t>
  </si>
  <si>
    <t>6/12</t>
  </si>
  <si>
    <t>7A/0</t>
  </si>
  <si>
    <t>7A/1</t>
  </si>
  <si>
    <t>7A/2</t>
  </si>
  <si>
    <t>7A/3</t>
  </si>
  <si>
    <t>7A/4</t>
  </si>
  <si>
    <t>7A/5</t>
  </si>
  <si>
    <t>DC2</t>
  </si>
  <si>
    <t>DD45</t>
  </si>
  <si>
    <t>b</t>
  </si>
  <si>
    <t>c</t>
  </si>
  <si>
    <t>Stubs</t>
  </si>
  <si>
    <t>Sahu Construction</t>
  </si>
  <si>
    <t>Choudhary construction</t>
  </si>
  <si>
    <t>Gnatry BKN -III</t>
  </si>
  <si>
    <t>NATIONAL HIGHWAY NH-62</t>
  </si>
  <si>
    <t>400KV DC LINE</t>
  </si>
  <si>
    <t>132KV SC LINE</t>
  </si>
  <si>
    <t>RAILWAY TRACK (SINGLE LINE ) ELECTRTIC</t>
  </si>
  <si>
    <t>220 KV S/C RVPN</t>
  </si>
  <si>
    <t>400 KV S/C RVPN(STP-BKN)</t>
  </si>
  <si>
    <t>765 KV D/C POWER GRID(BKN-MGA)</t>
  </si>
  <si>
    <t>Amritsar Jamnagar Expressway</t>
  </si>
  <si>
    <t>Canal</t>
  </si>
  <si>
    <t>CANAL</t>
  </si>
  <si>
    <t>STATE HIGHWAY SH-3</t>
  </si>
  <si>
    <t>STATE HIGHWAY SH-93</t>
  </si>
  <si>
    <t>Power Line Crossing</t>
  </si>
  <si>
    <t>Railway Crossing</t>
  </si>
  <si>
    <t>NH / SH Crossing</t>
  </si>
  <si>
    <t>AP</t>
  </si>
  <si>
    <t>Tower No.</t>
  </si>
  <si>
    <t>AP-0</t>
  </si>
  <si>
    <t>AP-1</t>
  </si>
  <si>
    <t>AP-2</t>
  </si>
  <si>
    <t>AP-3</t>
  </si>
  <si>
    <t>3/1</t>
  </si>
  <si>
    <t>3/2</t>
  </si>
  <si>
    <t>3/3</t>
  </si>
  <si>
    <t>3/4</t>
  </si>
  <si>
    <t>3/5</t>
  </si>
  <si>
    <t>3/6</t>
  </si>
  <si>
    <t>3/7</t>
  </si>
  <si>
    <t>3/8</t>
  </si>
  <si>
    <t>3/9</t>
  </si>
  <si>
    <t>3/10</t>
  </si>
  <si>
    <t>3/11</t>
  </si>
  <si>
    <t>AP-4</t>
  </si>
  <si>
    <t>AP-5</t>
  </si>
  <si>
    <t>AP-6</t>
  </si>
  <si>
    <t>AP-7</t>
  </si>
  <si>
    <t>AP-7A</t>
  </si>
  <si>
    <t>AP-8</t>
  </si>
  <si>
    <t>AP-8A</t>
  </si>
  <si>
    <t>AP-9</t>
  </si>
  <si>
    <t>AP-10</t>
  </si>
  <si>
    <t>AP-11</t>
  </si>
  <si>
    <t>AP-12</t>
  </si>
  <si>
    <t>AP-13</t>
  </si>
  <si>
    <t>AP-14</t>
  </si>
  <si>
    <t>AP-15</t>
  </si>
  <si>
    <t>AP-16</t>
  </si>
  <si>
    <t>AP-17</t>
  </si>
  <si>
    <t>AP-18</t>
  </si>
  <si>
    <t>AP-19</t>
  </si>
  <si>
    <t>AP-20</t>
  </si>
  <si>
    <t>AP-21</t>
  </si>
  <si>
    <t>AP-22</t>
  </si>
  <si>
    <t>AP-23</t>
  </si>
  <si>
    <t>AP-24</t>
  </si>
  <si>
    <t>AP-25</t>
  </si>
  <si>
    <t>AP-26</t>
  </si>
  <si>
    <t>AP-27</t>
  </si>
  <si>
    <t>AP-28</t>
  </si>
  <si>
    <t>AP-29</t>
  </si>
  <si>
    <t>AP-30</t>
  </si>
  <si>
    <t>AP-31</t>
  </si>
  <si>
    <t>AP-32</t>
  </si>
  <si>
    <t>AP-33</t>
  </si>
  <si>
    <t>33/5</t>
  </si>
  <si>
    <t>33/6</t>
  </si>
  <si>
    <t>33/7</t>
  </si>
  <si>
    <t>33/8</t>
  </si>
  <si>
    <t>33/9</t>
  </si>
  <si>
    <t>AP-34</t>
  </si>
  <si>
    <t>34/1</t>
  </si>
  <si>
    <t>34/2</t>
  </si>
  <si>
    <t>34/3</t>
  </si>
  <si>
    <t>34/4</t>
  </si>
  <si>
    <t>34/5</t>
  </si>
  <si>
    <t>34/6</t>
  </si>
  <si>
    <t>34/7</t>
  </si>
  <si>
    <t>34/8</t>
  </si>
  <si>
    <t>34/9</t>
  </si>
  <si>
    <t>34/10</t>
  </si>
  <si>
    <t>34/11</t>
  </si>
  <si>
    <t>34/12</t>
  </si>
  <si>
    <t>AP-35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</si>
  <si>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</si>
  <si>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</si>
  <si>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</si>
  <si>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</si>
  <si>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</si>
  <si>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</si>
  <si>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</si>
  <si>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</si>
  <si>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</si>
  <si>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35/10</t>
  </si>
  <si>
    <t>35/11</t>
  </si>
  <si>
    <t>AP-36</t>
  </si>
  <si>
    <t>AP-37</t>
  </si>
  <si>
    <t>37/1</t>
  </si>
  <si>
    <t>37/2</t>
  </si>
  <si>
    <t>37/3</t>
  </si>
  <si>
    <t>37/4</t>
  </si>
  <si>
    <t>37/5</t>
  </si>
  <si>
    <t>AP-38</t>
  </si>
  <si>
    <t>38/1</t>
  </si>
  <si>
    <t>38/2</t>
  </si>
  <si>
    <t>38/3</t>
  </si>
  <si>
    <t>38/4</t>
  </si>
  <si>
    <t>38/5</t>
  </si>
  <si>
    <t>38/6</t>
  </si>
  <si>
    <t>38/7</t>
  </si>
  <si>
    <t>38/8</t>
  </si>
  <si>
    <t>38/9</t>
  </si>
  <si>
    <t>38/10</t>
  </si>
  <si>
    <t>AP-39</t>
  </si>
  <si>
    <t>39/1</t>
  </si>
  <si>
    <t>39/2</t>
  </si>
  <si>
    <t>39/3</t>
  </si>
  <si>
    <t>39/4</t>
  </si>
  <si>
    <t>39/5</t>
  </si>
  <si>
    <t>39/6</t>
  </si>
  <si>
    <t>39/7</t>
  </si>
  <si>
    <t>39/8</t>
  </si>
  <si>
    <t>39/9</t>
  </si>
  <si>
    <t>39/10</t>
  </si>
  <si>
    <t>39/11</t>
  </si>
  <si>
    <t>AP-40</t>
  </si>
  <si>
    <t>40/5</t>
  </si>
  <si>
    <t>40/6</t>
  </si>
  <si>
    <t>40/7</t>
  </si>
  <si>
    <t>40/8</t>
  </si>
  <si>
    <t>40/9</t>
  </si>
  <si>
    <t>40/10</t>
  </si>
  <si>
    <t>40/11</t>
  </si>
  <si>
    <t>AP-40A</t>
  </si>
  <si>
    <t>40A/0</t>
  </si>
  <si>
    <t>AP-41</t>
  </si>
  <si>
    <t>AP-42</t>
  </si>
  <si>
    <t>AP-43</t>
  </si>
  <si>
    <t>43/1</t>
  </si>
  <si>
    <t>43/2</t>
  </si>
  <si>
    <t>43/3</t>
  </si>
  <si>
    <t>43/4</t>
  </si>
  <si>
    <t>43/5</t>
  </si>
  <si>
    <t>43/6</t>
  </si>
  <si>
    <t>43/7</t>
  </si>
  <si>
    <t>43/8</t>
  </si>
  <si>
    <t>AP-44</t>
  </si>
  <si>
    <t>Location</t>
  </si>
  <si>
    <t xml:space="preserve">No of </t>
  </si>
  <si>
    <t>Hold</t>
  </si>
  <si>
    <t>AP-13A</t>
  </si>
  <si>
    <t>Bhagirath</t>
  </si>
  <si>
    <t>Lunkaransar</t>
  </si>
  <si>
    <t>Devi Lal</t>
  </si>
  <si>
    <t>Jaisa, Dhirera(PO)</t>
  </si>
  <si>
    <t>Harshit Kumar</t>
  </si>
  <si>
    <t>Manoj Gupta</t>
  </si>
  <si>
    <r>
      <rPr>
        <b/>
        <sz val="11"/>
        <rFont val="Calibri"/>
        <family val="2"/>
        <scheme val="minor"/>
      </rPr>
      <t>Office:</t>
    </r>
    <r>
      <rPr>
        <sz val="11"/>
        <rFont val="Calibri"/>
        <family val="2"/>
        <scheme val="minor"/>
      </rPr>
      <t xml:space="preserve"> Hansera, Bikaner, Rajasthan.</t>
    </r>
  </si>
  <si>
    <t xml:space="preserve">Over all Tower Location details </t>
  </si>
  <si>
    <t>Resolved</t>
  </si>
  <si>
    <t>Revenue (In Lakhs)</t>
  </si>
  <si>
    <t>Sl. No.</t>
  </si>
  <si>
    <t>Date</t>
  </si>
  <si>
    <t xml:space="preserve">Stub setting </t>
  </si>
  <si>
    <t>Pradip Das</t>
  </si>
  <si>
    <t>AP 11 - AP 15</t>
  </si>
  <si>
    <t>AP 15 - AP 16</t>
  </si>
  <si>
    <t>AP-5A</t>
  </si>
  <si>
    <t>5A/0</t>
  </si>
  <si>
    <t>AP-23A</t>
  </si>
  <si>
    <t>23A/0</t>
  </si>
  <si>
    <t>Muniram Moond</t>
  </si>
  <si>
    <t>Meharana</t>
  </si>
  <si>
    <t>Check Survey approved(Km)</t>
  </si>
  <si>
    <t>Pradip Singh</t>
  </si>
  <si>
    <t>P</t>
  </si>
  <si>
    <t>Sub-Total</t>
  </si>
  <si>
    <t>As on</t>
  </si>
  <si>
    <t>Foundation Daily Progress Register</t>
  </si>
  <si>
    <t>Competed</t>
  </si>
  <si>
    <t>Dungar Ram</t>
  </si>
  <si>
    <t>Kujti</t>
  </si>
  <si>
    <t>765kV</t>
  </si>
  <si>
    <t>NH-62</t>
  </si>
  <si>
    <t>Exp. Way</t>
  </si>
  <si>
    <t>Common Point</t>
  </si>
  <si>
    <t>Visual Chart</t>
  </si>
  <si>
    <t>AP 20 - AP 21</t>
  </si>
  <si>
    <t>Anmol Construction</t>
  </si>
  <si>
    <t>Daksh Enterprise</t>
  </si>
  <si>
    <t>Area damage measurement isssue</t>
  </si>
  <si>
    <t>Back filling</t>
  </si>
  <si>
    <t>Mukharam</t>
  </si>
  <si>
    <t>Hetram godara</t>
  </si>
  <si>
    <t xml:space="preserve">Dheereran </t>
  </si>
  <si>
    <t>F(D)</t>
  </si>
  <si>
    <t>F(C )</t>
  </si>
  <si>
    <t>C(D)</t>
  </si>
  <si>
    <t>P(C )</t>
  </si>
  <si>
    <t>F(A)</t>
  </si>
  <si>
    <t>F(B)</t>
  </si>
  <si>
    <t>C(B)</t>
  </si>
  <si>
    <t xml:space="preserve">F(C) </t>
  </si>
  <si>
    <t>P(B)</t>
  </si>
  <si>
    <t>P(A)</t>
  </si>
  <si>
    <t>P(D)</t>
  </si>
  <si>
    <t>C(A)</t>
  </si>
  <si>
    <t>P(B )</t>
  </si>
  <si>
    <t>Test Cube</t>
  </si>
  <si>
    <t>Pit-C(F)</t>
  </si>
  <si>
    <t>Pit-D(F)</t>
  </si>
  <si>
    <t>Pit-A(F)</t>
  </si>
  <si>
    <t>Pit-C(C)</t>
  </si>
  <si>
    <t>Pit-B(C)</t>
  </si>
  <si>
    <t>Pit-C(P)</t>
  </si>
  <si>
    <t>Pit-D(C)</t>
  </si>
  <si>
    <t>Pit-A(C)</t>
  </si>
  <si>
    <t>Pit-D(P)</t>
  </si>
  <si>
    <t>Pit-B(F)</t>
  </si>
  <si>
    <t>Pit-A(P)</t>
  </si>
  <si>
    <t>Pit-B(P)</t>
  </si>
  <si>
    <t>Pit-B(FS)</t>
  </si>
  <si>
    <t>Pit-C,D(FS)</t>
  </si>
  <si>
    <t>C(C )</t>
  </si>
  <si>
    <t>A(C )</t>
  </si>
  <si>
    <t>A(F)</t>
  </si>
  <si>
    <t>B(C )</t>
  </si>
  <si>
    <t>C(F)</t>
  </si>
  <si>
    <t>D(F)</t>
  </si>
  <si>
    <t>C(P)</t>
  </si>
  <si>
    <t>D(C )</t>
  </si>
  <si>
    <t>A-FS,D,C-CH</t>
  </si>
  <si>
    <t>A(P)</t>
  </si>
  <si>
    <t>B(F)</t>
  </si>
  <si>
    <t>Pit-C,D(P)</t>
  </si>
  <si>
    <t>D(P)</t>
  </si>
  <si>
    <t>Pit A-F</t>
  </si>
  <si>
    <t>Pit C-F</t>
  </si>
  <si>
    <t>Anil MG</t>
  </si>
  <si>
    <t>Amit Kumar</t>
  </si>
  <si>
    <t>A(C)</t>
  </si>
  <si>
    <t>Date of Casting</t>
  </si>
  <si>
    <t>Due date of Testing</t>
  </si>
  <si>
    <t>Slump</t>
  </si>
  <si>
    <t>Vlook up Data:-</t>
  </si>
  <si>
    <t>Land owner stopped the work and not allowing to work till finalisation of compentation amount.</t>
  </si>
  <si>
    <t>B(P)</t>
  </si>
  <si>
    <t>C(C)</t>
  </si>
  <si>
    <t>B(C)</t>
  </si>
  <si>
    <t xml:space="preserve">Amit Kumar (C&amp;D)
</t>
  </si>
  <si>
    <t>Jetharam Sharma</t>
  </si>
  <si>
    <t>Current
Month
Achieved 
(As on dated )</t>
  </si>
  <si>
    <t>AP 23 - AP 27</t>
  </si>
  <si>
    <t>AP 27 - AP 28</t>
  </si>
  <si>
    <t>AP 31 - AP 32</t>
  </si>
  <si>
    <t>Chetram/Mustak</t>
  </si>
  <si>
    <t>A,B-CH</t>
  </si>
  <si>
    <t>A,B-P</t>
  </si>
  <si>
    <t>D-FS</t>
  </si>
  <si>
    <t>Pit-A,B-FS</t>
  </si>
  <si>
    <t>Nitish</t>
  </si>
  <si>
    <t>Pradeep Singh</t>
  </si>
  <si>
    <t>Shantanu</t>
  </si>
  <si>
    <t>Om Prakash Godhra (2 Leg)
MukhRam (2 Leg)</t>
  </si>
  <si>
    <t>6377579215
9587202243</t>
  </si>
  <si>
    <t>AP 32 - AP 33</t>
  </si>
  <si>
    <t>AP 33 - AP 34</t>
  </si>
  <si>
    <t>AP 40 - AP 41</t>
  </si>
  <si>
    <t>AP 41 - AP 44</t>
  </si>
  <si>
    <t>32A/0</t>
  </si>
  <si>
    <t>32A/1</t>
  </si>
  <si>
    <t>37A/0</t>
  </si>
  <si>
    <t>37A/1</t>
  </si>
  <si>
    <t>37A/2</t>
  </si>
  <si>
    <t>37A/3</t>
  </si>
  <si>
    <t>37A/4</t>
  </si>
  <si>
    <t>37A/5</t>
  </si>
  <si>
    <t>37A/6</t>
  </si>
  <si>
    <t>Frustum</t>
  </si>
  <si>
    <t>Pyramid</t>
  </si>
  <si>
    <t>Chimney</t>
  </si>
  <si>
    <t>A-FS</t>
  </si>
  <si>
    <t>B-FS</t>
  </si>
  <si>
    <t>D(C)</t>
  </si>
  <si>
    <t>Nitish &amp; Tanmai Dey</t>
  </si>
  <si>
    <t>Nistish</t>
  </si>
  <si>
    <t>AP-37A</t>
  </si>
  <si>
    <t>Radha krishnan</t>
  </si>
  <si>
    <t>B-P</t>
  </si>
  <si>
    <t>P-B</t>
  </si>
  <si>
    <t>C-FS</t>
  </si>
  <si>
    <t>A-P</t>
  </si>
  <si>
    <t>A-B-CH</t>
  </si>
  <si>
    <t>D-F</t>
  </si>
  <si>
    <t>A-F</t>
  </si>
  <si>
    <t>Priyanshi Power Project</t>
  </si>
  <si>
    <t>AP 28 - AP 29</t>
  </si>
  <si>
    <t>Project :- TL02 for Bikaner-III - Neemrana-II 765 KV DC Line Part-I associated with Transmission system for excavation of power from Rajasthan REZ Ph-IV (Part-I) (Bikaner Complex: 7.7 GW)</t>
  </si>
  <si>
    <t>Ref. :- CC/T/W-TW/DOM/A04/23/10569/NOA-1 &amp; 2/24-103421/01 &amp; 02 Date. 12/03/2024</t>
  </si>
  <si>
    <t>Line Length :- 112 KM</t>
  </si>
  <si>
    <t xml:space="preserve">Status as on </t>
  </si>
  <si>
    <t>Activity / Description</t>
  </si>
  <si>
    <t>Start Date</t>
  </si>
  <si>
    <t>End Date</t>
  </si>
  <si>
    <t>Cumm. Till date</t>
  </si>
  <si>
    <t>Supplies</t>
  </si>
  <si>
    <t>Line Materials</t>
  </si>
  <si>
    <t>%</t>
  </si>
  <si>
    <t>Vendor Finalisation</t>
  </si>
  <si>
    <t>Submission / Approval of Drawings</t>
  </si>
  <si>
    <t>Receipt at site of Stubs &amp; Earthing</t>
  </si>
  <si>
    <t>Stubs - Actual Status</t>
  </si>
  <si>
    <t>Earthing Rod - Actual Status</t>
  </si>
  <si>
    <t>d</t>
  </si>
  <si>
    <t>Receipt at site of Towers</t>
  </si>
  <si>
    <t>Actual Status</t>
  </si>
  <si>
    <t>MT</t>
  </si>
  <si>
    <t>e</t>
  </si>
  <si>
    <t xml:space="preserve">Receipt of Insulators at site </t>
  </si>
  <si>
    <t>f</t>
  </si>
  <si>
    <t xml:space="preserve">Receipt of Hardware Fittings &amp; Accessories at site </t>
  </si>
  <si>
    <t>g</t>
  </si>
  <si>
    <t xml:space="preserve">Receipt of Conductors at site </t>
  </si>
  <si>
    <t>h</t>
  </si>
  <si>
    <t xml:space="preserve">Receipt of Conductors Accessories at site </t>
  </si>
  <si>
    <t xml:space="preserve">Receipt of Earth Wire &amp; its Accessories at site </t>
  </si>
  <si>
    <t>k</t>
  </si>
  <si>
    <t>Receipt of Aviation materials</t>
  </si>
  <si>
    <t>Service</t>
  </si>
  <si>
    <t>Establishment of Site Office/Store, Mobilization</t>
  </si>
  <si>
    <t>Route Alignment Submission and Approval</t>
  </si>
  <si>
    <t>Detailed survey Submission and Approval</t>
  </si>
  <si>
    <t>Check survey Submission and Approval</t>
  </si>
  <si>
    <t>Submission of Forest proposal (If any)</t>
  </si>
  <si>
    <t>Stringing | Conductor</t>
  </si>
  <si>
    <t>Stringing || OPGW</t>
  </si>
  <si>
    <t>Testing &amp; Commisioning</t>
  </si>
  <si>
    <t>Mangilal</t>
  </si>
  <si>
    <t>Ram Pratap</t>
  </si>
  <si>
    <t>Bal. Approval pending</t>
  </si>
  <si>
    <t>L2</t>
  </si>
  <si>
    <t>Till date</t>
  </si>
  <si>
    <t xml:space="preserve">Ankit Yadav </t>
  </si>
  <si>
    <t xml:space="preserve">Tanmoy </t>
  </si>
  <si>
    <t xml:space="preserve">Ram Enterprises </t>
  </si>
  <si>
    <t xml:space="preserve">Goyal Industries </t>
  </si>
  <si>
    <t xml:space="preserve">Kishor Nai </t>
  </si>
  <si>
    <t xml:space="preserve">Excavation </t>
  </si>
  <si>
    <t xml:space="preserve">Steel </t>
  </si>
  <si>
    <t xml:space="preserve">Stubs </t>
  </si>
  <si>
    <t>Vishwas/Bala ji</t>
  </si>
  <si>
    <t xml:space="preserve">Bhagwana Ram </t>
  </si>
  <si>
    <t xml:space="preserve">Sodewali </t>
  </si>
  <si>
    <t xml:space="preserve">Bhagirth Tarad </t>
  </si>
  <si>
    <t>Haphasra</t>
  </si>
  <si>
    <t>Doodiyali</t>
  </si>
  <si>
    <t>Jasrasar</t>
  </si>
  <si>
    <t>Sahjrasar</t>
  </si>
  <si>
    <t>Mukesh S/O Patram</t>
  </si>
  <si>
    <t xml:space="preserve">Choru Ram </t>
  </si>
  <si>
    <t>Ramakant Saraswat</t>
  </si>
  <si>
    <t xml:space="preserve">Tiku Ram Sinwar </t>
  </si>
  <si>
    <t xml:space="preserve">Shivpal Singh &amp; Villagers </t>
  </si>
  <si>
    <t>Dulmera</t>
  </si>
  <si>
    <t>Pukhraj Godara</t>
  </si>
  <si>
    <t xml:space="preserve">Jessan </t>
  </si>
  <si>
    <t xml:space="preserve">Jagdish Jyani </t>
  </si>
  <si>
    <t xml:space="preserve">Bhawani Shanker </t>
  </si>
  <si>
    <t xml:space="preserve">Dhirera </t>
  </si>
  <si>
    <t>32/3</t>
  </si>
  <si>
    <t>32/4</t>
  </si>
  <si>
    <t>32/5</t>
  </si>
  <si>
    <t>32/6</t>
  </si>
  <si>
    <t>32/7</t>
  </si>
  <si>
    <t xml:space="preserve">Bajrang das S/o Ramrakh das </t>
  </si>
  <si>
    <t xml:space="preserve">Actual Status of Tower </t>
  </si>
  <si>
    <t>AP 6 - AP 7</t>
  </si>
  <si>
    <t>AP 7 - AP 8</t>
  </si>
  <si>
    <t>DA+3 MTR BODY EXT</t>
  </si>
  <si>
    <t>DA+6 MTR BODY EXT</t>
  </si>
  <si>
    <t>DA+9 MTR BODY EXT</t>
  </si>
  <si>
    <t>DA+0 MTR BODY EXT</t>
  </si>
  <si>
    <t>Choudhary construction-2</t>
  </si>
  <si>
    <t>Reshpaul Tyagi</t>
  </si>
  <si>
    <t>Goyal Industries -2</t>
  </si>
  <si>
    <t>AP- 4A/0</t>
  </si>
  <si>
    <t>4A/0</t>
  </si>
  <si>
    <t>4A/1</t>
  </si>
  <si>
    <t>4A/2</t>
  </si>
  <si>
    <t>4A/3</t>
  </si>
  <si>
    <t>4A/4</t>
  </si>
  <si>
    <t>4A/5</t>
  </si>
  <si>
    <t>4A/6</t>
  </si>
  <si>
    <t>AP-29A/0</t>
  </si>
  <si>
    <t>29A/0</t>
  </si>
  <si>
    <t>29A/1</t>
  </si>
  <si>
    <t>29A/2</t>
  </si>
  <si>
    <t>29A/3</t>
  </si>
  <si>
    <t>29A/4</t>
  </si>
  <si>
    <t>29A/5</t>
  </si>
  <si>
    <t>29A/6</t>
  </si>
  <si>
    <t>AP-32A/0</t>
  </si>
  <si>
    <t xml:space="preserve">TA-413 Tower Schedule </t>
  </si>
  <si>
    <t>As per Approved Detail survey TS</t>
  </si>
  <si>
    <t>Type of Structure</t>
  </si>
  <si>
    <t>Detail survey</t>
  </si>
  <si>
    <t>PR released</t>
  </si>
  <si>
    <t xml:space="preserve">TOT </t>
  </si>
  <si>
    <t>Saheb guchait</t>
  </si>
  <si>
    <t>AP 0 - AP 3</t>
  </si>
  <si>
    <t>AP 3 - AP 4</t>
  </si>
  <si>
    <t>SUPPLY STATUS</t>
  </si>
  <si>
    <t>LOA Qty</t>
  </si>
  <si>
    <t>Final Est. Qty</t>
  </si>
  <si>
    <t>Cum. Completed</t>
  </si>
  <si>
    <t>Qty.</t>
  </si>
  <si>
    <t>I</t>
  </si>
  <si>
    <t>SUPPLY</t>
  </si>
  <si>
    <t>Conductor</t>
  </si>
  <si>
    <t xml:space="preserve">Earthwire  </t>
  </si>
  <si>
    <t xml:space="preserve">OPGW drums </t>
  </si>
  <si>
    <t>OPGW H/W fittings</t>
  </si>
  <si>
    <t>Received Qty</t>
  </si>
  <si>
    <t>Balance Qty.</t>
  </si>
  <si>
    <t>C=(A-B)</t>
  </si>
  <si>
    <t>2 i)</t>
  </si>
  <si>
    <t xml:space="preserve">SUPPLY of Stubs </t>
  </si>
  <si>
    <t>1)</t>
  </si>
  <si>
    <t>Set</t>
  </si>
  <si>
    <t>DA(0-2)</t>
  </si>
  <si>
    <t>SUPPLY of TOWER</t>
  </si>
  <si>
    <t>Conductor Accessories H/W</t>
  </si>
  <si>
    <t>DB Sub- Total</t>
  </si>
  <si>
    <t>DC Sub- Total</t>
  </si>
  <si>
    <t>Grand Sub- Total</t>
  </si>
  <si>
    <t>Percenatge</t>
  </si>
  <si>
    <t>NH Crossing-2 nos</t>
  </si>
  <si>
    <t>132 KV S/C BKN-LKS T/L</t>
  </si>
  <si>
    <t>400 KV S/C  STP-BKN T/L</t>
  </si>
  <si>
    <t>220 KV S/C SUR-BKN</t>
  </si>
  <si>
    <t>DA-3 MTR BODY EXT</t>
  </si>
  <si>
    <t>DA-1.5 MTR BODY EXT</t>
  </si>
  <si>
    <t>DA+1.5 MTR BODY EXT</t>
  </si>
  <si>
    <t>DD Sub- Total</t>
  </si>
  <si>
    <t>Final Est.Qty</t>
  </si>
  <si>
    <t>DA up to 9MBE</t>
  </si>
  <si>
    <t xml:space="preserve">Sanjay Construction </t>
  </si>
  <si>
    <t>Progress overview (Tower wise breakups)</t>
  </si>
  <si>
    <t>TOT</t>
  </si>
  <si>
    <t>Total Qty in No's</t>
  </si>
  <si>
    <t xml:space="preserve">FDN </t>
  </si>
  <si>
    <t>Comp.</t>
  </si>
  <si>
    <t>Span</t>
  </si>
  <si>
    <t>Cumm.</t>
  </si>
  <si>
    <t xml:space="preserve">DS Status as on </t>
  </si>
  <si>
    <t>Length (m)</t>
  </si>
  <si>
    <t>Span (km)</t>
  </si>
  <si>
    <t>SPT</t>
  </si>
  <si>
    <t xml:space="preserve">Completed </t>
  </si>
  <si>
    <t>NH</t>
  </si>
  <si>
    <t>132 KV PL</t>
  </si>
  <si>
    <t>400 KV PL</t>
  </si>
  <si>
    <t>11KV LINE</t>
  </si>
  <si>
    <t>Rly</t>
  </si>
  <si>
    <t>220 kv PL</t>
  </si>
  <si>
    <t>400 kv PL</t>
  </si>
  <si>
    <t>765 kv PL</t>
  </si>
  <si>
    <t>Bal.</t>
  </si>
  <si>
    <t>Choudhary construction-1</t>
  </si>
  <si>
    <t>Aug'2024</t>
  </si>
  <si>
    <t>Baldev Raj</t>
  </si>
  <si>
    <t>Suresh Rathi</t>
  </si>
  <si>
    <t>Kalu</t>
  </si>
  <si>
    <t xml:space="preserve">Land owners is not agree to construct  tower in their land </t>
  </si>
  <si>
    <t xml:space="preserve">Profile Status </t>
  </si>
  <si>
    <t xml:space="preserve">Submiteed </t>
  </si>
  <si>
    <t>AP 30 - AP 31</t>
  </si>
  <si>
    <t xml:space="preserve">AL-59 Zebra Conductor </t>
  </si>
  <si>
    <t>Accessories for Conductor AL-59 Zebra</t>
  </si>
  <si>
    <t xml:space="preserve">As per approved Detail survey TS  </t>
  </si>
  <si>
    <t>Structure details tower for tower qty</t>
  </si>
  <si>
    <t>Approved details survey</t>
  </si>
  <si>
    <t>Total Qty</t>
  </si>
  <si>
    <t>DA+4.5</t>
  </si>
  <si>
    <t>Protek infra</t>
  </si>
  <si>
    <t xml:space="preserve">Bharat Singh Anjana </t>
  </si>
  <si>
    <t>Landowner demanded to high compensation</t>
  </si>
  <si>
    <t>Drum</t>
  </si>
  <si>
    <t xml:space="preserve">Ruhela Brothers </t>
  </si>
  <si>
    <t>Chetram</t>
  </si>
  <si>
    <t xml:space="preserve">Mohanram Jangir </t>
  </si>
  <si>
    <t>Sahajrasar</t>
  </si>
  <si>
    <t xml:space="preserve">Pappu Das </t>
  </si>
  <si>
    <t>Nathusar</t>
  </si>
  <si>
    <t xml:space="preserve">Hardevaram </t>
  </si>
  <si>
    <t xml:space="preserve">Ranwasar </t>
  </si>
  <si>
    <t xml:space="preserve">Chhelu charan </t>
  </si>
  <si>
    <t xml:space="preserve">Jivraj Charan </t>
  </si>
  <si>
    <t>Lunkarasar</t>
  </si>
  <si>
    <t>AP 29 - AP 30</t>
  </si>
  <si>
    <t>Sep'2024</t>
  </si>
  <si>
    <t>Ankit Yadav</t>
  </si>
  <si>
    <t xml:space="preserve">Jetharam </t>
  </si>
  <si>
    <t xml:space="preserve">Somasar </t>
  </si>
  <si>
    <t>DA+4.5 MTR BODY EXT</t>
  </si>
  <si>
    <t xml:space="preserve">DC1 </t>
  </si>
  <si>
    <t>SUPPLY STATUS SUMMARY</t>
  </si>
  <si>
    <t>TOWER SUPPLY STATUS SUMMARY</t>
  </si>
  <si>
    <t xml:space="preserve"> TA413 : 765 KV D/C Bikaner III - Neemrana II TL02</t>
  </si>
  <si>
    <t xml:space="preserve">Bhagwan construction </t>
  </si>
  <si>
    <t xml:space="preserve">Tower Erection </t>
  </si>
  <si>
    <t xml:space="preserve">Manoj Kumar Gupta </t>
  </si>
  <si>
    <t xml:space="preserve">
01-07-2024</t>
  </si>
  <si>
    <t xml:space="preserve">
03-07-2024</t>
  </si>
  <si>
    <t xml:space="preserve">
06-07-2024</t>
  </si>
  <si>
    <t xml:space="preserve">
07-07-2024</t>
  </si>
  <si>
    <t>AP 34 - AP 35</t>
  </si>
  <si>
    <t>AP 35 - AP 37</t>
  </si>
  <si>
    <t>AP 37 - AP 38</t>
  </si>
  <si>
    <r>
      <t xml:space="preserve">OWNER: </t>
    </r>
    <r>
      <rPr>
        <sz val="12"/>
        <color theme="1"/>
        <rFont val="Calibri"/>
        <family val="2"/>
        <scheme val="minor"/>
      </rPr>
      <t>M/S. M/S. POWERGRID BIKANER NEEMRANA TRANSMISSION LIMITED (POWER GRID CORPORATION OF INDIA)</t>
    </r>
  </si>
  <si>
    <r>
      <t xml:space="preserve">CONTRACTOR: </t>
    </r>
    <r>
      <rPr>
        <sz val="12"/>
        <color theme="1"/>
        <rFont val="Calibri"/>
        <family val="2"/>
        <scheme val="minor"/>
      </rPr>
      <t xml:space="preserve">M/S. KEC INTERNATIONAL LIMITED. </t>
    </r>
  </si>
  <si>
    <r>
      <t xml:space="preserve">PROJECT: </t>
    </r>
    <r>
      <rPr>
        <sz val="12"/>
        <color theme="1"/>
        <rFont val="Calibri"/>
        <family val="2"/>
        <scheme val="minor"/>
      </rPr>
      <t>CONSTRUCTION OF 765KV D/C Bikaner III to Neemrana II Transmission Line</t>
    </r>
  </si>
  <si>
    <t>STATUTORY PROPOSALS STATUS</t>
  </si>
  <si>
    <t>Sl.No</t>
  </si>
  <si>
    <t>Description of Crossing</t>
  </si>
  <si>
    <t>Crossing Authority</t>
  </si>
  <si>
    <t>Proposal Submission Status</t>
  </si>
  <si>
    <t>Contact Details</t>
  </si>
  <si>
    <t xml:space="preserve"> POWER LINE CROSSINGS</t>
  </si>
  <si>
    <t>SUBMITTED ON DT: 24.07.2024</t>
  </si>
  <si>
    <t>RAILWAY CROSSINGS</t>
  </si>
  <si>
    <t>Railway Line Electrified SingleTrack</t>
  </si>
  <si>
    <t>NORTH WEST RAILWAY ZONE</t>
  </si>
  <si>
    <t>SUBMITTED ON DT: 24.08.2024</t>
  </si>
  <si>
    <t xml:space="preserve"> FOREST CROSSING/CLEARANCE</t>
  </si>
  <si>
    <t>Forest Department</t>
  </si>
  <si>
    <t>SUBMITTED ON DT: 15.06.2024</t>
  </si>
  <si>
    <t>CANAL CROSSINGS</t>
  </si>
  <si>
    <t>Canal crossing</t>
  </si>
  <si>
    <t>-</t>
  </si>
  <si>
    <t xml:space="preserve"> NATIONAL HIGHWAY CROSSING</t>
  </si>
  <si>
    <t>BIKANER DIVISION</t>
  </si>
  <si>
    <t>SUBMITTED ON DT: 21.08.2024</t>
  </si>
  <si>
    <t>NH - 754A</t>
  </si>
  <si>
    <t xml:space="preserve"> STATE HIGHWAY CROSSING</t>
  </si>
  <si>
    <t>Documentation preparation under process</t>
  </si>
  <si>
    <t>Under preparation</t>
  </si>
  <si>
    <t>Shall be submitted on dt: 28.09.2024</t>
  </si>
  <si>
    <t>Summary</t>
  </si>
  <si>
    <t>Total Nos</t>
  </si>
  <si>
    <t>Proposal Submitted</t>
  </si>
  <si>
    <t>Approval/NOC Obtained</t>
  </si>
  <si>
    <t>POWERLINE CROSSINGS</t>
  </si>
  <si>
    <t>NATIONAL HIGHWAY CROSSINGS</t>
  </si>
  <si>
    <t>RAILWAY CROSSING</t>
  </si>
  <si>
    <t>FOREST CLEARANCE</t>
  </si>
  <si>
    <t>CANAL CROSSING</t>
  </si>
  <si>
    <t xml:space="preserve">CIVIL AVIATION </t>
  </si>
  <si>
    <t>PTCC</t>
  </si>
  <si>
    <t>j</t>
  </si>
  <si>
    <t xml:space="preserve">Receipt of OPGW  &amp; its Accessories at site </t>
  </si>
  <si>
    <t xml:space="preserve">Landowner not allowing to work in their field </t>
  </si>
  <si>
    <t>Hold for RLY</t>
  </si>
  <si>
    <t>Hold For PLC</t>
  </si>
  <si>
    <t>Hold for NH</t>
  </si>
  <si>
    <t>36A/0</t>
  </si>
  <si>
    <t>36A/1</t>
  </si>
  <si>
    <t>36A/2</t>
  </si>
  <si>
    <t xml:space="preserve">Suraj </t>
  </si>
  <si>
    <t xml:space="preserve">Ashuram Sinvar </t>
  </si>
  <si>
    <t>OM Das</t>
  </si>
  <si>
    <t xml:space="preserve">Panpaliya </t>
  </si>
  <si>
    <t xml:space="preserve">Narsi Das </t>
  </si>
  <si>
    <t>07-10-24</t>
  </si>
  <si>
    <t>Forest Depart Bikaner/Raj.</t>
  </si>
  <si>
    <t>Forest Depart Churu/Raj.</t>
  </si>
  <si>
    <t xml:space="preserve">Munna </t>
  </si>
  <si>
    <t>Vikram</t>
  </si>
  <si>
    <t>Kartik Mahto</t>
  </si>
  <si>
    <t>Oct'2024</t>
  </si>
  <si>
    <t xml:space="preserve">Suraj /Vikram </t>
  </si>
  <si>
    <t>Documents Prepared and Submitted through mail on dtd 17.10.2024</t>
  </si>
  <si>
    <t>OIL PIPELINE CROSSING</t>
  </si>
  <si>
    <t>LOC 36A/2</t>
  </si>
  <si>
    <t>AP 37</t>
  </si>
  <si>
    <t xml:space="preserve">Crude Oil pipeline </t>
  </si>
  <si>
    <t>SUBMITTED ON DT: 17.10.2024</t>
  </si>
  <si>
    <t xml:space="preserve">OIL Pipeline </t>
  </si>
  <si>
    <t>Suraj Kumar</t>
  </si>
  <si>
    <t>AP 38 - AP 39</t>
  </si>
  <si>
    <t>AP 39 - AP 40</t>
  </si>
  <si>
    <t>AP 16 - AP 19</t>
  </si>
  <si>
    <t>AP 19 - AP 20</t>
  </si>
  <si>
    <t>Documents Prepared and Submitted through mail to PGCIL on dtd 24.07.2024</t>
  </si>
  <si>
    <t>Documents Prepared and Submitted through mail to PGCIL on dtd 17.10.2024</t>
  </si>
  <si>
    <t xml:space="preserve">Sanjay </t>
  </si>
  <si>
    <t xml:space="preserve">Sushil </t>
  </si>
  <si>
    <t>27/10/202</t>
  </si>
  <si>
    <t>Adani Power</t>
  </si>
  <si>
    <t>Row due to Sunsure Objection</t>
  </si>
  <si>
    <t>Nishit</t>
  </si>
  <si>
    <t>DB2+2</t>
  </si>
  <si>
    <t>SL No</t>
  </si>
  <si>
    <t>Per Tower Unit Weight (As per approved BOM)</t>
  </si>
  <si>
    <t xml:space="preserve"> HT Steel (MT)</t>
  </si>
  <si>
    <t xml:space="preserve"> Mild Steel (MT)</t>
  </si>
  <si>
    <t>PW (MT)</t>
  </si>
  <si>
    <t>Bolts &amp; Nuts (MT)</t>
  </si>
  <si>
    <t>Total Weight of Tower (MT)</t>
  </si>
  <si>
    <t>Tower with extensions Up to +9M</t>
  </si>
  <si>
    <t>Expressway Crossing (NH754A)</t>
  </si>
  <si>
    <t>RC</t>
  </si>
  <si>
    <t>Construction Revenue</t>
  </si>
  <si>
    <t>DA+6 TOWER</t>
  </si>
  <si>
    <t>J1</t>
  </si>
  <si>
    <t>G1</t>
  </si>
  <si>
    <t>K=(+1M EXTENSION BOTH SIDE)</t>
  </si>
  <si>
    <t>Total (G1+K+JI)</t>
  </si>
  <si>
    <t>Breadth</t>
  </si>
  <si>
    <t>J2</t>
  </si>
  <si>
    <t>Total (J2+G1+K)</t>
  </si>
  <si>
    <t>Area of DA+6 Tower (L*B)</t>
  </si>
  <si>
    <t>Location no</t>
  </si>
  <si>
    <t>Area (m^2)</t>
  </si>
  <si>
    <t>31.921.63</t>
  </si>
  <si>
    <t>J</t>
  </si>
  <si>
    <t>DA+9 TOWER</t>
  </si>
  <si>
    <t>Area of DB1+3 Tower (L*B)</t>
  </si>
  <si>
    <t>Area of DB1+6  Tower (L*B)</t>
  </si>
  <si>
    <t>Span Area</t>
  </si>
  <si>
    <t>C=Span*67 mtr</t>
  </si>
  <si>
    <t>WORKING SHEET</t>
  </si>
  <si>
    <t>Bajrang nath</t>
  </si>
  <si>
    <t>AP5</t>
  </si>
  <si>
    <t>sushil</t>
  </si>
  <si>
    <t xml:space="preserve">Bharat Singh Anjana  </t>
  </si>
  <si>
    <t>Bharat Singh Anjana</t>
  </si>
  <si>
    <t xml:space="preserve">Raju Mahto </t>
  </si>
  <si>
    <t xml:space="preserve">Mustak </t>
  </si>
  <si>
    <t xml:space="preserve">TP tower modified cross arms </t>
  </si>
  <si>
    <t>'TP tower modified cross arms</t>
  </si>
  <si>
    <t>Raju Mahto</t>
  </si>
  <si>
    <t xml:space="preserve">Suraj Kumar </t>
  </si>
  <si>
    <t>Sushil Kumar</t>
  </si>
  <si>
    <t>Sanjay Kumar</t>
  </si>
  <si>
    <t>DD TYPE (45)</t>
  </si>
  <si>
    <t>DD TYPE (60)</t>
  </si>
  <si>
    <t>DD TYPE (18&amp;25)</t>
  </si>
  <si>
    <t>DB1 up to 9MBE</t>
  </si>
  <si>
    <t>DB1 up to 12MBE</t>
  </si>
  <si>
    <t>DB2 up to 9MBE</t>
  </si>
  <si>
    <t>DC1 up to 9MBE</t>
  </si>
  <si>
    <t>DC2 up to 9MBE</t>
  </si>
  <si>
    <t>DC2 +15 MTR</t>
  </si>
  <si>
    <t>Vasu dev singh-1</t>
  </si>
  <si>
    <t>Vasu dev singh-2</t>
  </si>
  <si>
    <t xml:space="preserve">Gantry </t>
  </si>
  <si>
    <t>Vishwas construction</t>
  </si>
  <si>
    <t>vishwas construction</t>
  </si>
  <si>
    <t xml:space="preserve">Chetram </t>
  </si>
  <si>
    <t xml:space="preserve">Maa Laxmi Enterprises </t>
  </si>
  <si>
    <t>Punam Devi-1</t>
  </si>
  <si>
    <t>RC 4 Leg</t>
  </si>
  <si>
    <t>Bajarang Nath</t>
  </si>
  <si>
    <t>ROW for Approch (Kund)</t>
  </si>
  <si>
    <t>Punam Devi-2</t>
  </si>
  <si>
    <t>Punam Devi-3</t>
  </si>
  <si>
    <t xml:space="preserve">Haridas </t>
  </si>
  <si>
    <t xml:space="preserve">Mustak &amp; Abul </t>
  </si>
  <si>
    <t xml:space="preserve">Karni Kripa Trading Company </t>
  </si>
  <si>
    <t>approved</t>
  </si>
  <si>
    <t>06.12.2024</t>
  </si>
  <si>
    <t xml:space="preserve">Abul </t>
  </si>
  <si>
    <t xml:space="preserve">HSK Construction </t>
  </si>
  <si>
    <t>Dec'24</t>
  </si>
  <si>
    <t>Kartik</t>
  </si>
  <si>
    <t xml:space="preserve">Ajahar </t>
  </si>
  <si>
    <t>Saheb guchait/ Praddep</t>
  </si>
  <si>
    <t>Jai Prakash</t>
  </si>
  <si>
    <t xml:space="preserve">Aman </t>
  </si>
  <si>
    <t>Nikhil Singh</t>
  </si>
  <si>
    <t>Gangadin sahoo</t>
  </si>
  <si>
    <t>Jan'25</t>
  </si>
  <si>
    <t>04.01.2025</t>
  </si>
  <si>
    <t>ADANI</t>
  </si>
  <si>
    <t xml:space="preserve">Ganesh </t>
  </si>
  <si>
    <t xml:space="preserve">Muniram </t>
  </si>
  <si>
    <t xml:space="preserve">Jaiprakash </t>
  </si>
  <si>
    <t xml:space="preserve">MB Sharma </t>
  </si>
  <si>
    <t>Manoj Kumar Gupta</t>
  </si>
  <si>
    <t>Stringing (Km)</t>
  </si>
  <si>
    <t xml:space="preserve">SK Infratech </t>
  </si>
  <si>
    <t>Gang Engauged on : 18-01-25</t>
  </si>
  <si>
    <t>Punam Devi-4</t>
  </si>
  <si>
    <t>DD TYPE (30&amp;35)</t>
  </si>
  <si>
    <t>Vi</t>
  </si>
  <si>
    <t>Row in foundation work due to Obstruction by land owner</t>
  </si>
  <si>
    <t>ROW in Pit marking as Landowner not allowing for foundation.</t>
  </si>
  <si>
    <t>Foundation works stopped by local villegers at this location</t>
  </si>
  <si>
    <t>Works stopped due to ROW by land owners.</t>
  </si>
  <si>
    <r>
      <rPr>
        <b/>
        <i/>
        <sz val="11"/>
        <color rgb="FF00B050"/>
        <rFont val="Calibri"/>
        <family val="2"/>
        <scheme val="minor"/>
      </rPr>
      <t xml:space="preserve">Bajrang das S/o Ramrakh das </t>
    </r>
    <r>
      <rPr>
        <i/>
        <sz val="11"/>
        <rFont val="Calibri"/>
        <family val="2"/>
        <scheme val="minor"/>
      </rPr>
      <t>Poonam das s/o Nayak das</t>
    </r>
  </si>
  <si>
    <r>
      <t xml:space="preserve">Proposal Submitted to RVPN Authority on dated 21.10.2024
Site joint visit done on date-13.11.2024                                               </t>
    </r>
    <r>
      <rPr>
        <b/>
        <sz val="11"/>
        <rFont val="Calibri"/>
        <family val="2"/>
        <scheme val="minor"/>
      </rPr>
      <t>NOC obtained - 06.12.2024</t>
    </r>
  </si>
  <si>
    <r>
      <t xml:space="preserve">Proposal Submitted to RVPN Authority on dated 21.10.2024
Site Joint visit done on date 12.11.2024                                        </t>
    </r>
    <r>
      <rPr>
        <b/>
        <sz val="11"/>
        <rFont val="Calibri"/>
        <family val="2"/>
        <scheme val="minor"/>
      </rPr>
      <t>NOC obtained - 06.12.2024</t>
    </r>
  </si>
  <si>
    <t>Chinmoy samnta</t>
  </si>
  <si>
    <t>Mari Mutthu</t>
  </si>
  <si>
    <t>Sanjay kumar</t>
  </si>
  <si>
    <t xml:space="preserve">Susheel </t>
  </si>
  <si>
    <t>Foundation kept on hold Due to Sunsure Objection</t>
  </si>
  <si>
    <t xml:space="preserve">Landowner not allowing to work in their field due to approch issue </t>
  </si>
  <si>
    <t>during meeting with PGCIL ON dtd 06-02-25. We can work in the section from 4A/5 to 7/0</t>
  </si>
  <si>
    <t>Further work on hold from Gantry to 4A/4 -25 Locations affected (12 locations for Foundation work and 25 locations for tower erection work)  due to Sunsure objection.</t>
  </si>
  <si>
    <t xml:space="preserve">Veer Teja </t>
  </si>
  <si>
    <t xml:space="preserve">Suraji </t>
  </si>
  <si>
    <t>AP 21 - AP 22</t>
  </si>
  <si>
    <t>Feb'25</t>
  </si>
  <si>
    <t>4/5 to 7/0</t>
  </si>
  <si>
    <t xml:space="preserve">Gantry to 4/4 </t>
  </si>
  <si>
    <t xml:space="preserve">Sati Maa Treading </t>
  </si>
  <si>
    <t>vishwas construction-2</t>
  </si>
  <si>
    <t>vishwas construction-1</t>
  </si>
  <si>
    <t>Gangadin Sahoo</t>
  </si>
  <si>
    <t>DCT</t>
  </si>
  <si>
    <t>AP-34 to AP 35</t>
  </si>
  <si>
    <t xml:space="preserve">Stringing </t>
  </si>
  <si>
    <t>Gang idled since 09th Feb  to 20 FEB'25 due to no availibility of Shut down on time .</t>
  </si>
  <si>
    <t>Survey</t>
  </si>
  <si>
    <t>Gang idled since 09th Feb  to 20 FEB'25 due to non availibility of working front.</t>
  </si>
  <si>
    <t xml:space="preserve">2 pradeep 2 Nisit </t>
  </si>
  <si>
    <t>Mari Mutthu/ Pradeep /Nishit</t>
  </si>
  <si>
    <t>Mari Mutthu/Saheb</t>
  </si>
  <si>
    <t>DA</t>
  </si>
  <si>
    <t>DC1</t>
  </si>
  <si>
    <t xml:space="preserve">Existing (Approved ) route </t>
  </si>
  <si>
    <t xml:space="preserve">Modified Diverted route </t>
  </si>
  <si>
    <t>44/1</t>
  </si>
  <si>
    <t>Prabhakar</t>
  </si>
  <si>
    <t>44/2</t>
  </si>
  <si>
    <t>44/3</t>
  </si>
  <si>
    <t>44/4</t>
  </si>
  <si>
    <t>44/5</t>
  </si>
  <si>
    <t>45/0</t>
  </si>
  <si>
    <t>46/0</t>
  </si>
  <si>
    <t>PLC</t>
  </si>
  <si>
    <t>132KV</t>
  </si>
  <si>
    <t>2A/0</t>
  </si>
  <si>
    <t>AP-2A</t>
  </si>
  <si>
    <t>2A/1</t>
  </si>
  <si>
    <t>2A/2</t>
  </si>
  <si>
    <t>2A/3</t>
  </si>
  <si>
    <t>2A/4</t>
  </si>
  <si>
    <t>2A/5</t>
  </si>
  <si>
    <t>2A/6</t>
  </si>
  <si>
    <t>3A/0</t>
  </si>
  <si>
    <t>3A/1</t>
  </si>
  <si>
    <t>3A/2</t>
  </si>
  <si>
    <t>3A/3</t>
  </si>
  <si>
    <t>3A/4</t>
  </si>
  <si>
    <t>3A/5</t>
  </si>
  <si>
    <t>3A/6</t>
  </si>
  <si>
    <t>3B/0</t>
  </si>
  <si>
    <t>3B/1</t>
  </si>
  <si>
    <t>3B/2</t>
  </si>
  <si>
    <t>3B/3</t>
  </si>
  <si>
    <t>NO CHANGE S</t>
  </si>
  <si>
    <t>AP45</t>
  </si>
  <si>
    <t>AP46</t>
  </si>
  <si>
    <t>SUNSURE(SOLAR) ROUTE DIVERTED AREA</t>
  </si>
  <si>
    <t>Foundation Dismentling required</t>
  </si>
  <si>
    <t xml:space="preserve">Due to sunsure objection change in Route </t>
  </si>
  <si>
    <t>AP 44 - AP 46</t>
  </si>
  <si>
    <t>TP TWR</t>
  </si>
  <si>
    <t>AP-38/0</t>
  </si>
  <si>
    <t>Sl no.</t>
  </si>
  <si>
    <t>Type</t>
  </si>
  <si>
    <t>Crossing details</t>
  </si>
  <si>
    <t>Manual</t>
  </si>
  <si>
    <t>TSE</t>
  </si>
  <si>
    <t xml:space="preserve">132 KV </t>
  </si>
  <si>
    <t>400KV</t>
  </si>
  <si>
    <t>220KV</t>
  </si>
  <si>
    <t>765KV</t>
  </si>
  <si>
    <t>Exp-Way</t>
  </si>
  <si>
    <t>Total Length (Km)</t>
  </si>
  <si>
    <t>Total=&gt;&gt;</t>
  </si>
  <si>
    <t>AP-4 - AP-4A/0</t>
  </si>
  <si>
    <t>AP-4A/0 - AP-5</t>
  </si>
  <si>
    <t>AP-5 - AP-5A/0</t>
  </si>
  <si>
    <t>AP-5A/0 - AP-6</t>
  </si>
  <si>
    <t>AP-6 - AP-7</t>
  </si>
  <si>
    <t>AP-7 - AP-7A/0</t>
  </si>
  <si>
    <t>AP-7A/0 - AP-8/0</t>
  </si>
  <si>
    <t>AP-8/0 - AP-8A/0</t>
  </si>
  <si>
    <t>AP-8A/0 - AP-9/0</t>
  </si>
  <si>
    <t>AP-9/0 - AP-10/0</t>
  </si>
  <si>
    <t>AP-10/0 - AP-11/0</t>
  </si>
  <si>
    <t>AP-11/0 - AP-12/0</t>
  </si>
  <si>
    <t>AP-12/0 - AP-13/0</t>
  </si>
  <si>
    <t>AP-13/0 - AP-13A/0</t>
  </si>
  <si>
    <t>AP-13A/0 - AP-14/0</t>
  </si>
  <si>
    <t>AP-14/0 - AP-15/0</t>
  </si>
  <si>
    <t>AP-15/0 - AP-16/0</t>
  </si>
  <si>
    <t>AP-16/0 - AP-17/0</t>
  </si>
  <si>
    <t>AP-17/0 - AP-18/0</t>
  </si>
  <si>
    <t>AP-18/0 - AP-19/0</t>
  </si>
  <si>
    <t>AP-19/0 - AP-20/0</t>
  </si>
  <si>
    <t>AP-20/0 - AP-21/0</t>
  </si>
  <si>
    <t>AP-21/0 - AP-22/0</t>
  </si>
  <si>
    <t>AP-22/0 - AP-23/0</t>
  </si>
  <si>
    <t>AP-23/0 - AP-23A/0</t>
  </si>
  <si>
    <t>AP-23A/0 - AP-24/0</t>
  </si>
  <si>
    <t>AP-24/0 - AP-25/0</t>
  </si>
  <si>
    <t>AP-25/0 - AP-26/0</t>
  </si>
  <si>
    <t>AP-26/0 - AP-27/0</t>
  </si>
  <si>
    <t>AP-27/0 - AP-28/0</t>
  </si>
  <si>
    <t>AP-28/0 - AP-29/0</t>
  </si>
  <si>
    <t>AP-29/0 - AP-29A/0</t>
  </si>
  <si>
    <t>AP-29A/0 - AP-30/0</t>
  </si>
  <si>
    <t>AP-30/0 - AP-31/0</t>
  </si>
  <si>
    <t>AP-31/0 - AP-32/0</t>
  </si>
  <si>
    <t>AP-32/0 - AP-32A/0</t>
  </si>
  <si>
    <t>AP-32A/0 - AP-33/0</t>
  </si>
  <si>
    <t>AP-33/0 - AP-34/0</t>
  </si>
  <si>
    <t>AP-34/0 - AP-35/0</t>
  </si>
  <si>
    <t>AP-35/0 - AP-36/0</t>
  </si>
  <si>
    <t>AP-36/0 - AP-36A/0</t>
  </si>
  <si>
    <t>AP-36A/0 - AP-37/0</t>
  </si>
  <si>
    <t>AP-37/0 - AP-37A/0</t>
  </si>
  <si>
    <t>AP-37A/0 - AP-38/0</t>
  </si>
  <si>
    <t>AP-38/0 - AP-39/0</t>
  </si>
  <si>
    <t>AP-39/0 - AP-40/0</t>
  </si>
  <si>
    <t>AP-40/0 - AP-40A/0</t>
  </si>
  <si>
    <t>AP-40A/0 - AP-41/0</t>
  </si>
  <si>
    <t>AP-41/0 - AP-42/0</t>
  </si>
  <si>
    <t>AP-42/0 - AP-42/3</t>
  </si>
  <si>
    <t>AP-42/3 - AP-43/0</t>
  </si>
  <si>
    <t>AP-43/0 - AP-44/0</t>
  </si>
  <si>
    <t>Stretch Readiness Status - 765 KV D/C Bikaner III - Neemrana II TL02 TA-413</t>
  </si>
  <si>
    <t>Section Length</t>
  </si>
  <si>
    <t>Bal. Loc.</t>
  </si>
  <si>
    <t>Erection</t>
  </si>
  <si>
    <t>Stringing</t>
  </si>
  <si>
    <t>Paying out</t>
  </si>
  <si>
    <t>Stretch Ready</t>
  </si>
  <si>
    <t>Stringing status</t>
  </si>
  <si>
    <t>No. of Locations
(Including for end twr)</t>
  </si>
  <si>
    <t>Railway</t>
  </si>
  <si>
    <t>Gantry - AP-1</t>
  </si>
  <si>
    <t>Line length</t>
  </si>
  <si>
    <t>Section ready for stringing</t>
  </si>
  <si>
    <t>Balance Available section</t>
  </si>
  <si>
    <t>Balance Work</t>
  </si>
  <si>
    <t>2MRC Sandy</t>
  </si>
  <si>
    <t>Kartik Jhorar</t>
  </si>
  <si>
    <t>Tower Qty</t>
  </si>
  <si>
    <t>Overall Tower location details As per Previous Estimate</t>
  </si>
  <si>
    <t>Overall Tower location details As per Latest Estimate</t>
  </si>
  <si>
    <t xml:space="preserve">As per Previous Estimate </t>
  </si>
  <si>
    <t xml:space="preserve">As per Latest Estimate </t>
  </si>
  <si>
    <t>Plan for this Month</t>
  </si>
  <si>
    <t xml:space="preserve">Rudra </t>
  </si>
  <si>
    <t>ROW Due to  Farmer demand the Erection Payment.</t>
  </si>
  <si>
    <t>38/5-Mahinder Singh
38/6-Raga Ram
38/10-Heernath
38/9-Gulab
38/8-Uda Ram
38/7-Karni Singh</t>
  </si>
  <si>
    <t>8094847479
6377448078
6378768222
9772445832
982834769
7665467026</t>
  </si>
  <si>
    <t>Patemdesar</t>
  </si>
  <si>
    <t>132 KV  D/C Halsar-Patlisar T/L</t>
  </si>
  <si>
    <t>SUBMITTED ON DT: 01.03.2025</t>
  </si>
  <si>
    <t>Documents Prepared and Submitted through mail to PGCIL on dtd 01.03.2025</t>
  </si>
  <si>
    <t>Defence Aviation</t>
  </si>
  <si>
    <t>2a/2</t>
  </si>
  <si>
    <t>44/1-AP46</t>
  </si>
  <si>
    <t>3b/1</t>
  </si>
  <si>
    <t>AP-28-Completed
AP 29-Completed</t>
  </si>
  <si>
    <t>AP-1 - AP-2A</t>
  </si>
  <si>
    <t>AP/2A - AP/3A</t>
  </si>
  <si>
    <t>2A/1 ,2A/2 ,2A/3 ,2A/4,2A/6 ,2A/5 ,3A/0</t>
  </si>
  <si>
    <t>AP3A/0-AP3B/0</t>
  </si>
  <si>
    <t>3A/1 ,3A/2 ,3A/3 ,3A/4 ,3A/5 ,3A/6 ,3B/0</t>
  </si>
  <si>
    <t>AP3B/0-AP4/0</t>
  </si>
  <si>
    <t>3B/1 , 3B/2 ,3B/3 ,4/0</t>
  </si>
  <si>
    <t>4/5 ,4A/0</t>
  </si>
  <si>
    <t>4A/1 ,4A/2 ,4A/3 ,4A/4 ,4A/5 ,4A/6 ,5/0</t>
  </si>
  <si>
    <t>5/1,2,3,4,5,6,7,8,9,10,5A/0</t>
  </si>
  <si>
    <t>6/1 ,2,3,4,5,6,7,8,9,10,11,12,7/0</t>
  </si>
  <si>
    <t>20/3 ,20/4 ,20/5 ,20/6 ,21/0</t>
  </si>
  <si>
    <t>22/1 ,22/2 ,22/3</t>
  </si>
  <si>
    <t>32A/1 ,33/0</t>
  </si>
  <si>
    <t>33/1 ,33/2 ,33/3 ,33/4 ,33/7 ,33/9</t>
  </si>
  <si>
    <t>35/2 ,35/3 , 35/10</t>
  </si>
  <si>
    <t>35/2 ,35/3 ,35/10 ,36/0</t>
  </si>
  <si>
    <t>37/1 ,37/2 ,37/3</t>
  </si>
  <si>
    <t>43/1 ,43/2 ,43/3 ,43/4 ,43/5,43/6 ,43/7 ,43/8 ,48/0</t>
  </si>
  <si>
    <t>AP-44/0-AP45/0</t>
  </si>
  <si>
    <t>44/1,44/2,44/3,44/4,44/5,45/0</t>
  </si>
  <si>
    <t>AP-45/0-AP-46/0</t>
  </si>
  <si>
    <t>3B/3 ,4/0</t>
  </si>
  <si>
    <t>Shashi Ram Saran</t>
  </si>
  <si>
    <t>Bhugna Ram</t>
  </si>
  <si>
    <t>Mala Ram</t>
  </si>
  <si>
    <t>Kisan Soma Sar</t>
  </si>
  <si>
    <t xml:space="preserve">TSE </t>
  </si>
  <si>
    <t>chetram</t>
  </si>
  <si>
    <t>2A/1 ,2A/6</t>
  </si>
  <si>
    <t>Abul</t>
  </si>
  <si>
    <t>March'25</t>
  </si>
  <si>
    <t>39/6  ,39/10 ,39/11 ,40/0</t>
  </si>
  <si>
    <t>April'25</t>
  </si>
  <si>
    <t>Landowner Not Allowed The Fdn Work</t>
  </si>
  <si>
    <t>Munni Nath</t>
  </si>
  <si>
    <t>Sanjay</t>
  </si>
  <si>
    <t>saheb guchait</t>
  </si>
  <si>
    <t>Shi Ram</t>
  </si>
  <si>
    <t>T</t>
  </si>
  <si>
    <t>DA+9 (RC)</t>
  </si>
  <si>
    <t>Stringing Type</t>
  </si>
  <si>
    <t>Stringing Compl</t>
  </si>
  <si>
    <t>Balanced</t>
  </si>
  <si>
    <t>Section Length (M)</t>
  </si>
  <si>
    <r>
      <t xml:space="preserve">Site Joint visit done on date 22.03.2025 
</t>
    </r>
    <r>
      <rPr>
        <b/>
        <sz val="11"/>
        <rFont val="Calibri"/>
        <family val="2"/>
        <scheme val="minor"/>
      </rPr>
      <t>NOC Obtained on 09.04.2025</t>
    </r>
  </si>
  <si>
    <t>Saheeb</t>
  </si>
  <si>
    <t>vishwas construction 2</t>
  </si>
  <si>
    <t>Vishwas Construction 1</t>
  </si>
  <si>
    <t>DA 2M RC</t>
  </si>
  <si>
    <t>DB 2M RC</t>
  </si>
  <si>
    <t>DD60+18 2M RC</t>
  </si>
  <si>
    <t>Suraj</t>
  </si>
  <si>
    <t>CP</t>
  </si>
  <si>
    <t>Dev narayan traders</t>
  </si>
  <si>
    <t>April'26</t>
  </si>
  <si>
    <t>April'27</t>
  </si>
  <si>
    <t>April'28</t>
  </si>
  <si>
    <t>Hold due to Gantry</t>
  </si>
  <si>
    <t>Vishwas Construction</t>
  </si>
  <si>
    <t>suraj</t>
  </si>
  <si>
    <t>B K Construction</t>
  </si>
  <si>
    <t>1/0,2A/0,2A/1</t>
  </si>
  <si>
    <t>AP14-Completed
AP15-Completed</t>
  </si>
  <si>
    <t xml:space="preserve"> Vishwas Construction</t>
  </si>
  <si>
    <t>High Compensation Demand</t>
  </si>
  <si>
    <t>Gopal</t>
  </si>
  <si>
    <t>Bandnau</t>
  </si>
  <si>
    <t>Route Diverted</t>
  </si>
  <si>
    <t>May'25</t>
  </si>
  <si>
    <t xml:space="preserve">Amristar - Jamnagar Expressway NH-754 A </t>
  </si>
  <si>
    <t>02-05-2025</t>
  </si>
  <si>
    <t>The farmer did not agree to install the tower in their field."</t>
  </si>
  <si>
    <t>AP-43/0 - AP-43/5</t>
  </si>
  <si>
    <t>AP-43/5-AP-44/0</t>
  </si>
  <si>
    <t xml:space="preserve">HMPL OIL PIPE LINE  </t>
  </si>
  <si>
    <t xml:space="preserve">Manoj Kumar </t>
  </si>
  <si>
    <t>Sl No.</t>
  </si>
  <si>
    <t>AP22-Completed
AP23-Completed</t>
  </si>
  <si>
    <t>AP24-Completed
AP25-Completed</t>
  </si>
  <si>
    <t>AP26-Completed
AP27-Completed</t>
  </si>
  <si>
    <t>AP45-Completed
AP46-Completed</t>
  </si>
  <si>
    <t>Porposal submiited 0n 17.04.25.</t>
  </si>
  <si>
    <t>Rahul Kumar</t>
  </si>
  <si>
    <t>DCT+0M (TP)</t>
  </si>
  <si>
    <t>Details of Erection</t>
  </si>
  <si>
    <t xml:space="preserve">Aman/ Suraj </t>
  </si>
  <si>
    <r>
      <t xml:space="preserve">Proposal Submitted to DEE office on dated 21-10-2024
Site joint visit done on date-28-11-2024                                           </t>
    </r>
    <r>
      <rPr>
        <b/>
        <sz val="11"/>
        <rFont val="Calibri"/>
        <family val="2"/>
        <scheme val="minor"/>
      </rPr>
      <t>(Mail Obtained 16-05-2025 )</t>
    </r>
  </si>
  <si>
    <t xml:space="preserve">Earthwire Final Sag </t>
  </si>
  <si>
    <t>AP-19-Completed 
AP 20- Completed</t>
  </si>
  <si>
    <t>AP-11-Completed
AP 12-Completed</t>
  </si>
  <si>
    <t>AP12-Completed
AP13-Completed</t>
  </si>
  <si>
    <t xml:space="preserve">Documents Prepared and Submitted through mail to PGCIL on dtd 24.07.2024 Final demand is under process </t>
  </si>
  <si>
    <t xml:space="preserve">NOC obtained </t>
  </si>
  <si>
    <t>Sec-164:</t>
  </si>
  <si>
    <t>Received on 16.04.2025</t>
  </si>
  <si>
    <t>Jul'25</t>
  </si>
  <si>
    <t>Amit Kumar Singh</t>
  </si>
  <si>
    <t>Punam Kumari</t>
  </si>
  <si>
    <t>Bambole Traders</t>
  </si>
  <si>
    <t>Pritam Enterprises</t>
  </si>
  <si>
    <t xml:space="preserve">Rudra Prasad </t>
  </si>
  <si>
    <t xml:space="preserve">Aman Singh </t>
  </si>
  <si>
    <t>SK.Samiul -2</t>
  </si>
  <si>
    <t xml:space="preserve">Tack welding </t>
  </si>
  <si>
    <t xml:space="preserve">Fouzi Ratto </t>
  </si>
  <si>
    <t>SK Samiul -1</t>
  </si>
  <si>
    <t>Manirul</t>
  </si>
  <si>
    <t>Jwala Singh-2</t>
  </si>
  <si>
    <t xml:space="preserve">Jwala Singh-1 </t>
  </si>
  <si>
    <t xml:space="preserve">Pinki Devi </t>
  </si>
  <si>
    <t>Pritam Enterprises-1</t>
  </si>
  <si>
    <t>Pritam Enterprises-2</t>
  </si>
  <si>
    <t>Susheel Kumar</t>
  </si>
  <si>
    <t xml:space="preserve">Crop issue farmer not allow  to work at site </t>
  </si>
  <si>
    <t>Pritam Enterprises-3</t>
  </si>
  <si>
    <t>Pritam Enterprises-4</t>
  </si>
  <si>
    <t xml:space="preserve">Nishit Mondal </t>
  </si>
  <si>
    <t xml:space="preserve">Approved </t>
  </si>
  <si>
    <t>Punam Kumari-2</t>
  </si>
  <si>
    <t>Punam Kumari-1</t>
  </si>
  <si>
    <t xml:space="preserve">Amar Kumar Singh </t>
  </si>
  <si>
    <t>Narayan Mahto</t>
  </si>
  <si>
    <t xml:space="preserve">Indrajeet Patel </t>
  </si>
  <si>
    <t>Khooblal Mahto</t>
  </si>
  <si>
    <t xml:space="preserve">Deshraj </t>
  </si>
  <si>
    <t xml:space="preserve">Submitted 17.04.25 Under approval </t>
  </si>
  <si>
    <t xml:space="preserve">Rahim Khan </t>
  </si>
  <si>
    <t>Gang Engauged on: 16.08.25</t>
  </si>
  <si>
    <t>Danger  Plate For 765Kv</t>
  </si>
  <si>
    <t xml:space="preserve">EA </t>
  </si>
  <si>
    <t>Number  Plate For 765Kv</t>
  </si>
  <si>
    <t>Circuit Plate  (Set Of Two)</t>
  </si>
  <si>
    <t>Supply Of Anti-Climbing Devices Ofbarbed Wire Type</t>
  </si>
  <si>
    <t>Bird Guard (Set Of Three)</t>
  </si>
  <si>
    <t>TOWER ACCESSORIES</t>
  </si>
  <si>
    <t>Supply Of Span Marker For Aviation</t>
  </si>
  <si>
    <t>Supply Of Obstruction Lights (As Per Is5613)-1 Medium Intensity + 2 Lowintensity</t>
  </si>
  <si>
    <t>Supply Of Obstruction Lights (As Per Is5613)-1 Medium Intensity + 4 Lowintensity</t>
  </si>
  <si>
    <t>ix</t>
  </si>
  <si>
    <t xml:space="preserve">LOHAR ENGINEERS </t>
  </si>
  <si>
    <t>Phase Plate (Set Of Three) RYB</t>
  </si>
  <si>
    <t xml:space="preserve">DECCAN ENTERPRISES </t>
  </si>
  <si>
    <t>BG2- 1 short and BG4 1bdl short and BG2- 1 qty billing pending</t>
  </si>
  <si>
    <t>Ved Prakash</t>
  </si>
  <si>
    <t>Punam Kumari-3</t>
  </si>
  <si>
    <t xml:space="preserve">Kartik Mahto </t>
  </si>
  <si>
    <t>Govind Mahto-1</t>
  </si>
  <si>
    <t>Govind Mahto-2</t>
  </si>
  <si>
    <t>Bhairaw Mahto</t>
  </si>
  <si>
    <t>Bhupendra choudhary</t>
  </si>
  <si>
    <t>Gang Engauged 03/09/25</t>
  </si>
  <si>
    <t>Punam Kumari-4</t>
  </si>
  <si>
    <t xml:space="preserve">Akabar Ali </t>
  </si>
  <si>
    <t xml:space="preserve">Kamal Ravidas </t>
  </si>
  <si>
    <t>kartik</t>
  </si>
  <si>
    <t>Rahul Ravidas</t>
  </si>
  <si>
    <t xml:space="preserve">Kartik </t>
  </si>
  <si>
    <t>Abrar Ali</t>
  </si>
  <si>
    <t>Manoj Kumar Choudhary</t>
  </si>
  <si>
    <t xml:space="preserve">Najirul </t>
  </si>
  <si>
    <t xml:space="preserve"> AP-9/0</t>
  </si>
  <si>
    <t>L2 Sch
till Oct'25</t>
  </si>
  <si>
    <t xml:space="preserve">Abhiya </t>
  </si>
  <si>
    <t>Rundra</t>
  </si>
  <si>
    <t>ROW</t>
  </si>
  <si>
    <t>Nabirul Islam</t>
  </si>
  <si>
    <t xml:space="preserve">Dhalchand </t>
  </si>
  <si>
    <t>Akbar Ali</t>
  </si>
  <si>
    <t xml:space="preserve">Akil Hussain </t>
  </si>
  <si>
    <t xml:space="preserve">Stage -I approval approved </t>
  </si>
  <si>
    <t>Nov'25</t>
  </si>
  <si>
    <t>AP-32A</t>
  </si>
  <si>
    <t>AP45-Complete
AP46-Complete</t>
  </si>
  <si>
    <r>
      <t>Proposal Submitted to RVPN Authority on dated 04.11.2024
Site joint visit done on date-08.01.2025                                                                                                      (</t>
    </r>
    <r>
      <rPr>
        <b/>
        <sz val="11"/>
        <rFont val="Calibri"/>
        <family val="2"/>
        <scheme val="minor"/>
      </rPr>
      <t>NOC Obtained on 23.05.2025</t>
    </r>
    <r>
      <rPr>
        <sz val="11"/>
        <rFont val="Calibri"/>
        <family val="2"/>
        <scheme val="minor"/>
      </rPr>
      <t>)</t>
    </r>
  </si>
  <si>
    <t>HMPL pipe crossing NOC is pending due to obeservation regarding crossing angle (70 Degree and as per CEA guideline it should be minimum 75 degree),Matter taken up with CEA</t>
  </si>
  <si>
    <r>
      <t xml:space="preserve">Proposal Submitted to Concern Adani Authority and soft copy on dated 28.10.2024 Site Joint visit done on dtd 26.11.2024                                                                                                                      </t>
    </r>
    <r>
      <rPr>
        <b/>
        <sz val="11"/>
        <rFont val="Calibri"/>
        <family val="2"/>
        <scheme val="minor"/>
      </rPr>
      <t>NOC obtained on dtd: 21.01.2025</t>
    </r>
  </si>
  <si>
    <r>
      <t xml:space="preserve">Proposal Submitted to PGCIL Authority on dated 21.10.2024        </t>
    </r>
    <r>
      <rPr>
        <b/>
        <sz val="11"/>
        <rFont val="Calibri"/>
        <family val="2"/>
        <scheme val="minor"/>
      </rPr>
      <t>Mail obtained from PGCIL-  23.12.2024</t>
    </r>
  </si>
  <si>
    <r>
      <t xml:space="preserve">Proposal Submitted to Haiways Authority on dtd 01.10.24 &amp; Hard copy submitted Site Joint visit done on dtd 19.11.2024       </t>
    </r>
    <r>
      <rPr>
        <b/>
        <sz val="11"/>
        <rFont val="Calibri"/>
        <family val="2"/>
        <scheme val="minor"/>
      </rPr>
      <t>(Mail Obtained 05-02-2025 )</t>
    </r>
  </si>
  <si>
    <t xml:space="preserve">Tarique Anwar </t>
  </si>
  <si>
    <t>AP'38/0-AP 39/0</t>
  </si>
  <si>
    <t xml:space="preserve">Cultivation </t>
  </si>
  <si>
    <t xml:space="preserve">cultivation , </t>
  </si>
  <si>
    <t>cultivation</t>
  </si>
  <si>
    <t>Verification regarding dispute between two lands/owners.</t>
  </si>
  <si>
    <t>The demand for ₹8 lakh as advance payment is creating unnecessary hindrance and delaying the proceedings</t>
  </si>
  <si>
    <t>The demand for ₹10 lakh as advance payment is creating unnecessary hindrance and delaying the proceedings</t>
  </si>
  <si>
    <t>High Compensation Demand by Farmers</t>
  </si>
  <si>
    <t>The demand for ₹13 to 14 lakh as advance payment is creating unnecessary hindrance and delaying the proceedings</t>
  </si>
  <si>
    <t>Non-release of payment AT 15/0 approach.</t>
  </si>
  <si>
    <t xml:space="preserve">Foundation payment pending due to non submission of documents by the landowners </t>
  </si>
  <si>
    <t xml:space="preserve">delayed due to non-release of payment for approach road for foundation time </t>
  </si>
  <si>
    <t>The demand for ₹14 lakh as advance payment is creating unnecessary hindrance and delaying the proceedings</t>
  </si>
  <si>
    <t>Work is to start first on loc no  27/1 and 27/3, and only afterward on loc no. 27/2.</t>
  </si>
  <si>
    <t>Work at the site has been delayed due to a high compensation demand from the landowner. The landowner is demanding approximately ₹9,00,000 for land and crop</t>
  </si>
  <si>
    <t>Work is delayed due to pending cost approval for the water pump and pond.</t>
  </si>
  <si>
    <t>Material unloaded at site team idle 45 Manpower from dated 06.10.2025 due to Guy rope ROW</t>
  </si>
  <si>
    <t xml:space="preserve">JMC Status </t>
  </si>
  <si>
    <t xml:space="preserve">Documents Prepared and Submitted  on dtd 17.10.2024 Revised proposal submitted dtd 31/10/2025 </t>
  </si>
  <si>
    <t xml:space="preserve">Insulator hoisting Start </t>
  </si>
  <si>
    <t xml:space="preserve">Insulator Hoisting Complete </t>
  </si>
  <si>
    <t>Month</t>
  </si>
  <si>
    <t>L2-FDN</t>
  </si>
  <si>
    <t>Act-Foundation</t>
  </si>
  <si>
    <t>Cum. L2 Fdn</t>
  </si>
  <si>
    <t>Cum. Fdn Actual</t>
  </si>
  <si>
    <t>L2-Ere</t>
  </si>
  <si>
    <t>Act-Erection</t>
  </si>
  <si>
    <t>Cum. L2 Ere</t>
  </si>
  <si>
    <t>Cum. Ere. Actual</t>
  </si>
  <si>
    <t>L2-Str</t>
  </si>
  <si>
    <t>Act-Str</t>
  </si>
  <si>
    <t>Cum. L2 Str</t>
  </si>
  <si>
    <t>Cum. Str Actual</t>
  </si>
  <si>
    <t>Sanjay Jumar</t>
  </si>
  <si>
    <t>AP-5/0</t>
  </si>
  <si>
    <t>AP-4A</t>
  </si>
  <si>
    <t>Abhay Ojha</t>
  </si>
  <si>
    <t>Ved</t>
  </si>
  <si>
    <t>TSE/Manual Completed</t>
  </si>
  <si>
    <t>AP4A/0</t>
  </si>
  <si>
    <t xml:space="preserve">Stringing for stringing </t>
  </si>
  <si>
    <t>20-12-2025</t>
  </si>
  <si>
    <t>Tower dismantling should be commence, once land owner agreed</t>
  </si>
  <si>
    <t>36B/0</t>
  </si>
  <si>
    <t>OILPIPE LINE ROUTE DIVERTED AREA</t>
  </si>
  <si>
    <t>Existing configuration</t>
  </si>
  <si>
    <t>Revised configuration</t>
  </si>
  <si>
    <t>ToT</t>
  </si>
  <si>
    <t>Loc</t>
  </si>
  <si>
    <t>1. Dismantling of 03 nos of foundations 36A/2, 37/0, 37/1.</t>
  </si>
  <si>
    <t>2. Dismantling of already erected tower at 36A/2.</t>
  </si>
  <si>
    <t>3. 03 Nos of New foundations and Erections as per revised configuration.</t>
  </si>
  <si>
    <t>Jan'26</t>
  </si>
  <si>
    <t>Feb'26</t>
  </si>
  <si>
    <t>mar'26</t>
  </si>
  <si>
    <t>AP3B/0</t>
  </si>
  <si>
    <t>AP4/0</t>
  </si>
  <si>
    <t>Joint Box</t>
  </si>
  <si>
    <t>IX</t>
  </si>
  <si>
    <t>DCT+0</t>
  </si>
  <si>
    <t>comp</t>
  </si>
  <si>
    <t xml:space="preserve">Spacering </t>
  </si>
  <si>
    <t xml:space="preserve">Jumpuring </t>
  </si>
  <si>
    <t xml:space="preserve">Clipping </t>
  </si>
  <si>
    <t>Noor Alam</t>
  </si>
  <si>
    <t>Final sag start</t>
  </si>
  <si>
    <t>AP32/0</t>
  </si>
  <si>
    <t>AP32A/0</t>
  </si>
  <si>
    <t>Jwala Singh</t>
  </si>
  <si>
    <t>Manoj Gpta</t>
  </si>
  <si>
    <t>AP 3A/0</t>
  </si>
  <si>
    <t>AP 2A/0</t>
  </si>
  <si>
    <t>ROW work is delayed due to the landowner demanding higher compensation</t>
  </si>
  <si>
    <t>Due to the landowner demanding advance payment</t>
  </si>
  <si>
    <t>Due to the landowner demanding advance payment after administrative clearance</t>
  </si>
  <si>
    <t>land owner not allowed to enter in the premises to erect the tower,</t>
  </si>
  <si>
    <t>Due to pending payment from the landowner, the work has been delayed by 03 days</t>
  </si>
  <si>
    <t>N37A/0</t>
  </si>
  <si>
    <t>N37/0</t>
  </si>
  <si>
    <t xml:space="preserve">Old Payment pending </t>
  </si>
  <si>
    <t xml:space="preserve">Kayam Khan </t>
  </si>
  <si>
    <t>Kelan</t>
  </si>
  <si>
    <t xml:space="preserve">land owner not allowed to enter in the premises </t>
  </si>
  <si>
    <t>Chhatargarh</t>
  </si>
  <si>
    <t xml:space="preserve">Final checking </t>
  </si>
  <si>
    <t>Joint Box for 24 fibre OPGW</t>
  </si>
  <si>
    <t>34/0 (14/2/2026) , 32A/1 (15/2/26)</t>
  </si>
  <si>
    <t>31/9 (17/2/26)</t>
  </si>
  <si>
    <t xml:space="preserve">Final sag </t>
  </si>
  <si>
    <t>GY</t>
  </si>
  <si>
    <t>30/8 (19/2/26)</t>
  </si>
  <si>
    <t>7A/0 (22/2/26)</t>
  </si>
  <si>
    <t xml:space="preserve">Ready for stringing </t>
  </si>
  <si>
    <t>5/8 (23/2/26) 6/8 (23/2/26)</t>
  </si>
  <si>
    <t>BSPL</t>
  </si>
  <si>
    <t>Supply of Shieldwire Earthing including PG clamps, downlead clamps butexcluding Earthwire bits for Pipe type earthing</t>
  </si>
  <si>
    <t>JMC Status</t>
  </si>
  <si>
    <t xml:space="preserve">Received </t>
  </si>
  <si>
    <t>Received</t>
  </si>
  <si>
    <t xml:space="preserve">29A/3 Guy rope payment issue </t>
  </si>
  <si>
    <t>Mar'26</t>
  </si>
  <si>
    <t>TSE/Manual</t>
  </si>
  <si>
    <t xml:space="preserve">Painting </t>
  </si>
  <si>
    <t>Not completed</t>
  </si>
  <si>
    <t>DC2+0(DCT)</t>
  </si>
  <si>
    <t>SL. No.</t>
  </si>
  <si>
    <t>Loc No.</t>
  </si>
  <si>
    <t xml:space="preserve">Short name </t>
  </si>
  <si>
    <t xml:space="preserve">Jumper status can be completed </t>
  </si>
  <si>
    <t xml:space="preserve">Jumper status </t>
  </si>
  <si>
    <t xml:space="preserve">Done by </t>
  </si>
  <si>
    <t xml:space="preserve">Jumper details of Project </t>
  </si>
  <si>
    <t>Rahim Khan</t>
  </si>
  <si>
    <t xml:space="preserve">SK infra </t>
  </si>
  <si>
    <t>landowner of a corridor/ROW (Right of Way) area is being denied entry into the premises</t>
  </si>
  <si>
    <t>Total Qty (after oilpipe line diversion)</t>
  </si>
  <si>
    <t>Total Qty (before oilpipe line diversion)</t>
  </si>
  <si>
    <t>Jumper length</t>
  </si>
  <si>
    <t>22-3-2026</t>
  </si>
  <si>
    <t>complete</t>
  </si>
  <si>
    <t xml:space="preserve">Half side balance </t>
  </si>
  <si>
    <t xml:space="preserve">Balance </t>
  </si>
  <si>
    <t xml:space="preserve">9/0 Balance </t>
  </si>
  <si>
    <t>3A/4 (24/2/26)</t>
  </si>
  <si>
    <t>4A/3 (24/2/26)</t>
  </si>
  <si>
    <t xml:space="preserve">29A/5 &amp; 29A/6 </t>
  </si>
  <si>
    <t>Rough sag arangment (Work Hold)</t>
  </si>
  <si>
    <t>M.S Enterprises</t>
  </si>
  <si>
    <t>Land Owner payment issue</t>
  </si>
  <si>
    <t xml:space="preserve">15/11  15/2 </t>
  </si>
  <si>
    <t xml:space="preserve">House coming in corricodoe farmer demanding first payment  </t>
  </si>
  <si>
    <t xml:space="preserve">29A/1 &amp; 29A/2 </t>
  </si>
  <si>
    <t>O22017-T-TL-0D-GA-0208</t>
  </si>
  <si>
    <t>TA413/DB1/BM-10</t>
  </si>
  <si>
    <t>O22017-T-TL-0D-GA-0106</t>
  </si>
  <si>
    <t>TA413/DA/BM-07</t>
  </si>
  <si>
    <t>O22017-T-TL-0D-GA-0105</t>
  </si>
  <si>
    <t>TA413/DA/BM-05</t>
  </si>
  <si>
    <t>O22017-T-TL-0D-GA-0109</t>
  </si>
  <si>
    <t>TA413/DA/BM-10</t>
  </si>
  <si>
    <t>O22017-T-TL-0D-GA-0110</t>
  </si>
  <si>
    <t>TA413/DA/BM-08</t>
  </si>
  <si>
    <t>O22017-T-TL-0D-GA-0107</t>
  </si>
  <si>
    <t>TA413/DA/BM-06</t>
  </si>
  <si>
    <t>022017-T-TL-0D-GA-0103</t>
  </si>
  <si>
    <t>TA413/DA/BM-04</t>
  </si>
  <si>
    <t>O22017-T-TL-0D-GA-0108</t>
  </si>
  <si>
    <t>TA413/DA/BM-11</t>
  </si>
  <si>
    <t>O20017-T- TL-0D-GA-020</t>
  </si>
  <si>
    <t>TA413/DB2/BM-04</t>
  </si>
  <si>
    <t>O20017-T-TL-0D-GA-0206</t>
  </si>
  <si>
    <t>TA413/DB2/BM-06</t>
  </si>
  <si>
    <t>O22017-T-TL-0D-GA-0207</t>
  </si>
  <si>
    <t>TA413/DB1/BM-07</t>
  </si>
  <si>
    <t>O22017-T-TL-0D-GA-0205</t>
  </si>
  <si>
    <t>TA413/DB1/BM-05</t>
  </si>
  <si>
    <t>O22017-T-TL-0D-GA-0203</t>
  </si>
  <si>
    <t>TA413/DB1/BM-04</t>
  </si>
  <si>
    <t>O22017-T-TL-0D-GA-0206</t>
  </si>
  <si>
    <t>TA413/DB1/BM-06</t>
  </si>
  <si>
    <t>O20017-T-TL-0D-GA-0207</t>
  </si>
  <si>
    <t>TA413/DB2/BM-07</t>
  </si>
  <si>
    <t>O20017-T-TL-0D-GA-0405</t>
  </si>
  <si>
    <t>TA413/DD2/BM-05</t>
  </si>
  <si>
    <t>O22017-T-TL-0D-GA-0303</t>
  </si>
  <si>
    <t>TA413/DC1/BM-04</t>
  </si>
  <si>
    <t>TA413/DD1/BM-05</t>
  </si>
  <si>
    <t>O20017-T-TL-0D-GA-0413</t>
  </si>
  <si>
    <t>TA413/DD2/BM-10</t>
  </si>
  <si>
    <t>O22017-T-TL-0D-GA-0503</t>
  </si>
  <si>
    <t>TA413/DD2/BM-12</t>
  </si>
  <si>
    <t>O22017-T-TL-0D-GA-0308</t>
  </si>
  <si>
    <t>TA413/DC2/BM-10</t>
  </si>
  <si>
    <t>O20017-T-TL-OD-GA-0312</t>
  </si>
  <si>
    <t>TA413/DC2/BM-08</t>
  </si>
  <si>
    <t>O22017-T-TL-0D-GA-0403</t>
  </si>
  <si>
    <t>TA413/DD1/BM-04</t>
  </si>
  <si>
    <t>O20017-T-TL-0D-GA-0408</t>
  </si>
  <si>
    <t>TA413/DD2/BM-09</t>
  </si>
  <si>
    <t>O20017-T-TL-0D-GA-0503</t>
  </si>
  <si>
    <t>TA413/DCT/BM-04</t>
  </si>
  <si>
    <t>O22017-T-TL-0D-GA-0305</t>
  </si>
  <si>
    <t>TA413/DC1/BM-05</t>
  </si>
  <si>
    <t>O20017-T-TL-0D-GA-0407</t>
  </si>
  <si>
    <t>TA413/DD2/BM-07</t>
  </si>
  <si>
    <t>TA413/DB2/BM-05</t>
  </si>
  <si>
    <t xml:space="preserve">Dwg no </t>
  </si>
  <si>
    <t>BOM no</t>
  </si>
  <si>
    <r>
      <t xml:space="preserve">Name of Client: </t>
    </r>
    <r>
      <rPr>
        <sz val="11"/>
        <rFont val="Calibri"/>
        <family val="2"/>
      </rPr>
      <t>PowerGrid Bikaner Neemrana Transmission Limited (Power Grid Corporation of India)</t>
    </r>
    <r>
      <rPr>
        <b/>
        <sz val="11"/>
        <rFont val="Calibri"/>
        <family val="2"/>
      </rPr>
      <t xml:space="preserve">                                                                                                                                                   </t>
    </r>
  </si>
  <si>
    <t>AP-36A/0 - AP 36B/0</t>
  </si>
  <si>
    <t xml:space="preserve">Remarks </t>
  </si>
  <si>
    <t xml:space="preserve">ROW due to erection payment not yet done </t>
  </si>
  <si>
    <t xml:space="preserve"> 765 kV DC BIKANER-III NEEMRANA-II  Transmission Line  TA-413</t>
  </si>
  <si>
    <t xml:space="preserve">DS Status 
as on </t>
  </si>
  <si>
    <t xml:space="preserve">Tower 
Erection </t>
  </si>
  <si>
    <t xml:space="preserve">Tack 
welding </t>
  </si>
  <si>
    <t>Final Checking</t>
  </si>
  <si>
    <t>Done</t>
  </si>
  <si>
    <t>Name of Line: 765 KV D/C Bikaner III - Neemrana II TL02</t>
  </si>
  <si>
    <t>Bal</t>
  </si>
  <si>
    <t xml:space="preserve">Balance Section </t>
  </si>
  <si>
    <t>Balance(km)</t>
  </si>
  <si>
    <t>Bird Guard</t>
  </si>
  <si>
    <t xml:space="preserve">Completion date </t>
  </si>
  <si>
    <t>Details of Bird Guard (Set Of Three)</t>
  </si>
  <si>
    <t xml:space="preserve">DONE </t>
  </si>
  <si>
    <t>Jetha Ram</t>
  </si>
  <si>
    <t>Bird Guard (Set of Three)</t>
  </si>
  <si>
    <t>Mahendra Banjara</t>
  </si>
  <si>
    <t xml:space="preserve">Client Name : PowerGrid Bikaner Neemrana Transmission Limited (Power Grid Corporation of India)     </t>
  </si>
  <si>
    <t>Stage-2 approved</t>
  </si>
  <si>
    <t xml:space="preserve">Power Line Crossing–6 nos </t>
  </si>
  <si>
    <t>Detail Survey (Km)</t>
  </si>
  <si>
    <t xml:space="preserve">Paint </t>
  </si>
  <si>
    <t xml:space="preserve">Details of Aviation Paint </t>
  </si>
  <si>
    <t>36B/0-N</t>
  </si>
  <si>
    <t>36C/0-N</t>
  </si>
  <si>
    <t>37/0-N</t>
  </si>
  <si>
    <t>Dismental</t>
  </si>
  <si>
    <t xml:space="preserve">Gopal Associate </t>
  </si>
  <si>
    <t>wip</t>
  </si>
  <si>
    <t>AP-36B/0 N - AP-36C/0 N</t>
  </si>
  <si>
    <t>AP-36C/0 N - AP-37/0 N</t>
  </si>
  <si>
    <t>AP-37/0 N - AP-37A/0</t>
  </si>
  <si>
    <t>36B/0 N</t>
  </si>
  <si>
    <t>36C/0 N</t>
  </si>
  <si>
    <t>37/0 N</t>
  </si>
  <si>
    <t>42A/0</t>
  </si>
  <si>
    <t>43A/0</t>
  </si>
  <si>
    <t>Rename 42/3</t>
  </si>
  <si>
    <t>Rename 43/5</t>
  </si>
  <si>
    <t>REname 4/5</t>
  </si>
  <si>
    <t>Bal.km</t>
  </si>
  <si>
    <t>Bal. section</t>
  </si>
  <si>
    <t>Bajrang Nath</t>
  </si>
  <si>
    <t xml:space="preserve">Shri Balaji </t>
  </si>
  <si>
    <t xml:space="preserve">Hotline </t>
  </si>
  <si>
    <t>Jul'26</t>
  </si>
  <si>
    <t xml:space="preserve">Severe ROW </t>
  </si>
  <si>
    <t xml:space="preserve">DAILY PROGRESS REPORT : STATUS AS ON </t>
  </si>
  <si>
    <t>Name of the Project:</t>
  </si>
  <si>
    <t>Contract No. &amp; Date :</t>
  </si>
  <si>
    <t>LOC. NO.</t>
  </si>
  <si>
    <t>D.O.S</t>
  </si>
  <si>
    <t>D.O.C</t>
  </si>
  <si>
    <t>ERECTION</t>
  </si>
  <si>
    <t>S.NO</t>
  </si>
  <si>
    <t>GANG</t>
  </si>
  <si>
    <t>T.O.T</t>
  </si>
  <si>
    <t xml:space="preserve">STRINGING </t>
  </si>
  <si>
    <t>SECTION</t>
  </si>
  <si>
    <t>LENGTH (KM)</t>
  </si>
  <si>
    <t>OPGW</t>
  </si>
  <si>
    <t>SR.NO</t>
  </si>
  <si>
    <t>T.O.E.</t>
  </si>
  <si>
    <t>Tackwelding</t>
  </si>
  <si>
    <t>Accessories</t>
  </si>
  <si>
    <t>ACD</t>
  </si>
  <si>
    <t>NO/PH/DANGER/ CKT PLATE</t>
  </si>
  <si>
    <t>765 kV D/C Bikaner III to Neemrana II (TL-02)</t>
  </si>
  <si>
    <t xml:space="preserve">CC/T/W-TW/DOM/A04/23/10569/NOA-1&amp;2/24-103421/01&amp;02 Date.12/03/2024   </t>
  </si>
  <si>
    <t>Manpower</t>
  </si>
  <si>
    <r>
      <rPr>
        <b/>
        <sz val="11"/>
        <rFont val="Calibri"/>
        <family val="2"/>
      </rPr>
      <t xml:space="preserve">NOA No: </t>
    </r>
    <r>
      <rPr>
        <sz val="11"/>
        <rFont val="Calibri"/>
        <family val="2"/>
      </rPr>
      <t xml:space="preserve">CC/T/W-TW/DOM/A04/23/10569/NOA-1&amp;2/24-103421/01&amp;02 Date.12/03/2024                                                                                                                            </t>
    </r>
    <r>
      <rPr>
        <b/>
        <sz val="11"/>
        <rFont val="Calibri"/>
        <family val="2"/>
      </rPr>
      <t>Amendment -II Comp Value As on: 401 Crore</t>
    </r>
  </si>
  <si>
    <r>
      <t xml:space="preserve">Name of Line: </t>
    </r>
    <r>
      <rPr>
        <sz val="11"/>
        <rFont val="Calibri"/>
        <family val="2"/>
      </rPr>
      <t>765 KV D/C Bikaner III - Neemrana II TL02</t>
    </r>
    <r>
      <rPr>
        <b/>
        <sz val="11"/>
        <rFont val="Calibri"/>
        <family val="2"/>
      </rPr>
      <t xml:space="preserve">                                                                                                                                                                                                                     LOA Value: 378 Crore</t>
    </r>
  </si>
  <si>
    <t xml:space="preserve">Work stoppage due to ROW </t>
  </si>
  <si>
    <t>Aviation Paint</t>
  </si>
  <si>
    <t xml:space="preserve">2 phase </t>
  </si>
  <si>
    <t xml:space="preserve">Pramod </t>
  </si>
  <si>
    <t xml:space="preserve">G_1:-  M.S Enterprises      G_2:-  M.B Sharma                                                                              </t>
  </si>
  <si>
    <t xml:space="preserve">HOLE Missing </t>
  </si>
  <si>
    <t xml:space="preserve">Done </t>
  </si>
  <si>
    <t xml:space="preserve">Completion Date </t>
  </si>
  <si>
    <t>Khooblal Mahto/Narayan</t>
  </si>
  <si>
    <t>Amir Sekh</t>
  </si>
  <si>
    <t>ROW due to Payment Issue 3.00PM</t>
  </si>
  <si>
    <t xml:space="preserve">Tightning </t>
  </si>
  <si>
    <t>ROW coridor issue</t>
  </si>
  <si>
    <t xml:space="preserve">Bhawani Singh </t>
  </si>
  <si>
    <t>Somasar</t>
  </si>
  <si>
    <t>AP 40- AP 40A/0</t>
  </si>
  <si>
    <t>G_1 B.K Construction.</t>
  </si>
  <si>
    <t>4/5-4/1</t>
  </si>
  <si>
    <t xml:space="preserve">ROW </t>
  </si>
  <si>
    <t>13/0 -14/0</t>
  </si>
  <si>
    <t>ROW Due to high compansation demond</t>
  </si>
  <si>
    <t xml:space="preserve">G_1:- Rahim Khan                                                                      </t>
  </si>
  <si>
    <t xml:space="preserve">G_2:- SK infra                                                                     </t>
  </si>
  <si>
    <t xml:space="preserve">G_3 Amir Sekh                                                                         </t>
  </si>
  <si>
    <t>Cumm L2 Schedule till Dec'25</t>
  </si>
  <si>
    <t>AP 25/0 to AP 26/0</t>
  </si>
  <si>
    <t>Project Duration : 21 Month  EOT -31/09/2026</t>
  </si>
  <si>
    <t>Md. Arshad</t>
  </si>
  <si>
    <t>complete 35/3 ROW</t>
  </si>
  <si>
    <t>Pending</t>
  </si>
  <si>
    <t xml:space="preserve">R.S construction </t>
  </si>
  <si>
    <t xml:space="preserve">G_1:- R.S construction                                            </t>
  </si>
  <si>
    <t>AP20/0 to 21/0</t>
  </si>
  <si>
    <t>Insulator hoisting wip</t>
  </si>
  <si>
    <t>R.S Construction</t>
  </si>
  <si>
    <t xml:space="preserve">2 Phase paying out completed </t>
  </si>
  <si>
    <t>06 phase paying out completed</t>
  </si>
  <si>
    <t>20/1,20/2,20/3 ,20/4Insulator hoisting done</t>
  </si>
  <si>
    <t>2 phase conductor paying out done</t>
  </si>
  <si>
    <t>completed</t>
  </si>
  <si>
    <t>6 phase rough sag completed</t>
  </si>
  <si>
    <t>E/W &amp; OPGW Diamond X-ings done</t>
  </si>
  <si>
    <t>AP 26/0-AP 27/0</t>
  </si>
  <si>
    <t>1st section COMPLETED</t>
  </si>
  <si>
    <t>17.07.2026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</si>
</sst>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1">
    <numFmt numFmtId="43" formatCode="_ * #,##0.00_ ;_ * \-#,##0.00_ ;_ * &quot;-&quot;??_ ;_ @_ "/>
    <numFmt numFmtId="164" formatCode="_-* #,##0.00_-;\-* #,##0.00_-;_-* &quot;-&quot;??_-;_-@_-"/>
    <numFmt numFmtId="165" formatCode="_(* #,##0.00_);_(* \(#,##0.00\);_(* &quot;-&quot;??_);_(@_)"/>
    <numFmt numFmtId="166" formatCode="0.000"/>
    <numFmt numFmtId="167" formatCode="_(* #,##0_);_(* \(#,##0\);_(* &quot;-&quot;???_);_(@_)"/>
    <numFmt numFmtId="168" formatCode="_(* #,##0.000_);_(* \(#,##0.000\);_(* &quot;-&quot;???_);_(@_)"/>
    <numFmt numFmtId="169" formatCode="[$-409]d\-mmm\-yy;@"/>
    <numFmt numFmtId="170" formatCode="[$-409]d/mmm/yy;@"/>
    <numFmt numFmtId="171" formatCode="&quot;Status as on &quot;dd/mm/yy"/>
    <numFmt numFmtId="172" formatCode="0.0"/>
    <numFmt numFmtId="173" formatCode="_ * #,##0.000_ ;_ * \-#,##0.000_ ;_ * &quot;-&quot;??_ ;_ @_ "/>
    <numFmt numFmtId="174" formatCode="[$-14009]dd/mm/yy;@"/>
    <numFmt numFmtId="175" formatCode="_ * #,##0_ ;_ * \-#,##0_ ;_ * &quot;-&quot;??_ ;_ @_ "/>
    <numFmt numFmtId="176" formatCode="0.00000000"/>
    <numFmt numFmtId="177" formatCode="&quot;₹&quot;\ #,##0.00"/>
    <numFmt numFmtId="178" formatCode="_ * #,##0.000_ ;_ * \-#,##0.000_ ;_ * &quot;-&quot;???_ ;_ @_ "/>
    <numFmt numFmtId="179" formatCode="&quot;₹&quot;\ #,##0.000"/>
    <numFmt numFmtId="180" formatCode="#\ ?/2"/>
    <numFmt numFmtId="181" formatCode="d/m/yyyy"/>
    <numFmt numFmtId="182" formatCode="[$-409]d\-mmm\-yyyy"/>
    <numFmt numFmtId="183" formatCode="[$-F800]dddd\,\ mmmm\ dd\,\ yyyy"/>
  </numFmts>
  <fonts count="112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2"/>
      <color indexed="8"/>
      <name val="Verdana"/>
      <family val="2"/>
    </font>
    <font>
      <sz val="8"/>
      <name val="Calibri"/>
      <family val="2"/>
    </font>
    <font>
      <sz val="11"/>
      <name val="Times New Roman"/>
      <family val="1"/>
    </font>
    <font>
      <b/>
      <sz val="10"/>
      <name val="Tahoma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0"/>
      <name val="Cambria"/>
      <family val="1"/>
      <scheme val="maj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sz val="10"/>
      <color theme="1"/>
      <name val="Cambria"/>
      <family val="1"/>
      <scheme val="major"/>
    </font>
    <font>
      <sz val="9"/>
      <color theme="1"/>
      <name val="Times New Roman"/>
      <family val="1"/>
    </font>
    <font>
      <b/>
      <sz val="12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2.5"/>
      <color indexed="1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i/>
      <sz val="11"/>
      <color rgb="FF000000"/>
      <name val="Calibri"/>
      <family val="2"/>
    </font>
    <font>
      <i/>
      <sz val="11"/>
      <color rgb="FF000000"/>
      <name val="Calibri"/>
      <family val="2"/>
    </font>
    <font>
      <i/>
      <sz val="11"/>
      <color rgb="FFFF0000"/>
      <name val="Calibri"/>
      <family val="2"/>
    </font>
    <font>
      <b/>
      <u/>
      <sz val="14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2" tint="-0.89999084444715716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1" tint="0.14999847407452621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b/>
      <u/>
      <sz val="11"/>
      <color theme="9" tint="-0.499984740745262"/>
      <name val="Calibri"/>
      <family val="2"/>
      <scheme val="minor"/>
    </font>
    <font>
      <b/>
      <u/>
      <sz val="11"/>
      <color theme="1" tint="0.14999847407452621"/>
      <name val="Calibri"/>
      <family val="2"/>
      <scheme val="minor"/>
    </font>
    <font>
      <b/>
      <sz val="11"/>
      <name val="Cambria"/>
      <family val="2"/>
      <scheme val="major"/>
    </font>
    <font>
      <sz val="11"/>
      <name val="Cambria"/>
      <family val="2"/>
      <scheme val="major"/>
    </font>
    <font>
      <sz val="10.5"/>
      <name val="Calibri"/>
      <family val="2"/>
      <scheme val="minor"/>
    </font>
    <font>
      <sz val="11"/>
      <color theme="1"/>
      <name val="Cambria"/>
      <family val="2"/>
      <scheme val="major"/>
    </font>
    <font>
      <b/>
      <sz val="11"/>
      <color theme="1"/>
      <name val="Cambria"/>
      <family val="2"/>
      <scheme val="major"/>
    </font>
    <font>
      <b/>
      <sz val="18"/>
      <name val="Calibri"/>
      <family val="2"/>
      <scheme val="minor"/>
    </font>
    <font>
      <sz val="10"/>
      <color theme="0" tint="-0.34998626667073579"/>
      <name val="Calibri"/>
      <family val="2"/>
      <scheme val="minor"/>
    </font>
    <font>
      <sz val="9"/>
      <color rgb="FF000000"/>
      <name val="Calibri"/>
      <family val="2"/>
    </font>
    <font>
      <sz val="11"/>
      <name val="Calibri"/>
      <family val="2"/>
    </font>
    <font>
      <b/>
      <sz val="14"/>
      <color theme="2" tint="-0.89999084444715716"/>
      <name val="Calibri"/>
      <family val="2"/>
      <scheme val="minor"/>
    </font>
    <font>
      <sz val="10"/>
      <color rgb="FF000000"/>
      <name val="Times New Roman"/>
      <family val="1"/>
    </font>
    <font>
      <sz val="12"/>
      <color rgb="FF000000"/>
      <name val="Aptos"/>
      <family val="2"/>
    </font>
    <font>
      <sz val="9"/>
      <color theme="0"/>
      <name val="Times New Roman"/>
      <family val="1"/>
    </font>
    <font>
      <i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2"/>
      <name val="Calibri"/>
      <family val="2"/>
      <scheme val="minor"/>
    </font>
    <font>
      <b/>
      <i/>
      <sz val="11"/>
      <color rgb="FF00B050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2"/>
      <color rgb="FF000000"/>
      <name val="Arial"/>
      <family val="2"/>
    </font>
    <font>
      <sz val="14"/>
      <color theme="1"/>
      <name val="Calibri"/>
      <family val="2"/>
      <scheme val="minor"/>
    </font>
    <font>
      <sz val="12"/>
      <color theme="9" tint="-0.249977111117893"/>
      <name val="Tahoma"/>
      <family val="2"/>
    </font>
    <font>
      <i/>
      <sz val="11"/>
      <color theme="2" tint="-0.89999084444715716"/>
      <name val="Calibri"/>
      <family val="2"/>
      <scheme val="minor"/>
    </font>
    <font>
      <b/>
      <i/>
      <sz val="11"/>
      <color theme="9" tint="-0.499984740745262"/>
      <name val="Calibri"/>
      <family val="2"/>
      <scheme val="minor"/>
    </font>
    <font>
      <b/>
      <i/>
      <u/>
      <sz val="11"/>
      <color theme="9" tint="-0.499984740745262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u/>
      <sz val="11"/>
      <name val="Calibri"/>
      <family val="2"/>
      <scheme val="minor"/>
    </font>
    <font>
      <b/>
      <i/>
      <u/>
      <sz val="11"/>
      <color theme="4" tint="-0.249977111117893"/>
      <name val="Calibri"/>
      <family val="2"/>
      <scheme val="minor"/>
    </font>
    <font>
      <b/>
      <i/>
      <sz val="11"/>
      <color theme="2" tint="-0.89999084444715716"/>
      <name val="Calibri"/>
      <family val="2"/>
      <scheme val="minor"/>
    </font>
    <font>
      <i/>
      <sz val="11"/>
      <name val="Cambria"/>
      <family val="2"/>
      <scheme val="major"/>
    </font>
    <font>
      <i/>
      <sz val="11"/>
      <name val="Cambria"/>
      <family val="1"/>
      <scheme val="major"/>
    </font>
    <font>
      <b/>
      <i/>
      <sz val="11"/>
      <name val="Cambria"/>
      <family val="2"/>
      <scheme val="major"/>
    </font>
    <font>
      <b/>
      <i/>
      <sz val="11"/>
      <color theme="1" tint="0.14999847407452621"/>
      <name val="Calibri"/>
      <family val="2"/>
      <scheme val="minor"/>
    </font>
    <font>
      <b/>
      <i/>
      <sz val="16"/>
      <name val="Calibri"/>
      <family val="2"/>
      <scheme val="minor"/>
    </font>
    <font>
      <b/>
      <i/>
      <sz val="14"/>
      <name val="Calibri"/>
      <family val="2"/>
      <scheme val="minor"/>
    </font>
    <font>
      <b/>
      <i/>
      <u/>
      <sz val="10.5"/>
      <color theme="2" tint="-0.74999237037263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0"/>
      <name val="Cambria"/>
      <family val="1"/>
      <scheme val="major"/>
    </font>
    <font>
      <sz val="14"/>
      <color rgb="FFFF0000"/>
      <name val="Calibri"/>
      <family val="2"/>
      <scheme val="minor"/>
    </font>
    <font>
      <i/>
      <sz val="11"/>
      <name val="Calibri"/>
      <family val="2"/>
    </font>
    <font>
      <b/>
      <sz val="9"/>
      <name val="Tahoma"/>
      <family val="2"/>
    </font>
    <font>
      <b/>
      <sz val="11"/>
      <color indexed="8"/>
      <name val="Calibri"/>
      <family val="2"/>
    </font>
    <font>
      <b/>
      <sz val="16"/>
      <color indexed="8"/>
      <name val="Calibri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0"/>
      <name val="Adani Regular"/>
    </font>
    <font>
      <b/>
      <sz val="11"/>
      <color theme="9" tint="-0.249977111117893"/>
      <name val="Tahoma"/>
      <family val="2"/>
    </font>
    <font>
      <b/>
      <sz val="11"/>
      <color theme="1"/>
      <name val="Calibri"/>
      <family val="2"/>
    </font>
    <font>
      <i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sz val="10"/>
      <color theme="1"/>
      <name val="Arial"/>
      <family val="2"/>
    </font>
    <font>
      <b/>
      <sz val="16"/>
      <color rgb="FF002060"/>
      <name val="Calibri"/>
      <family val="2"/>
      <scheme val="minor"/>
    </font>
    <font>
      <b/>
      <sz val="9"/>
      <color theme="1"/>
      <name val="Calibri"/>
      <family val="2"/>
    </font>
    <font>
      <sz val="9"/>
      <name val="Calibri"/>
      <family val="2"/>
    </font>
    <font>
      <sz val="9"/>
      <color theme="1"/>
      <name val="Calibri"/>
      <family val="2"/>
      <scheme val="minor"/>
    </font>
    <font>
      <sz val="9"/>
      <color theme="1"/>
      <name val="Calibri"/>
      <family val="2"/>
    </font>
    <font>
      <sz val="9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FFFF00"/>
      </patternFill>
    </fill>
  </fills>
  <borders count="1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00B0F0"/>
      </left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 style="thin">
        <color rgb="FF00B0F0"/>
      </right>
      <top/>
      <bottom style="thin">
        <color rgb="FF00B0F0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 style="thin">
        <color rgb="FF00B0F0"/>
      </bottom>
      <diagonal/>
    </border>
    <border>
      <left/>
      <right/>
      <top style="thin">
        <color rgb="FF00B0F0"/>
      </top>
      <bottom style="thin">
        <color rgb="FF00B0F0"/>
      </bottom>
      <diagonal/>
    </border>
    <border>
      <left/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83">
    <xf numFmtId="0" fontId="0" fillId="0" borderId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5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5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1" fillId="0" borderId="0"/>
    <xf numFmtId="0" fontId="1" fillId="0" borderId="0"/>
    <xf numFmtId="0" fontId="3" fillId="0" borderId="0">
      <alignment vertical="center"/>
    </xf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>
      <protection locked="0"/>
    </xf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1" fillId="0" borderId="0"/>
    <xf numFmtId="9" fontId="9" fillId="0" borderId="0" applyFont="0" applyFill="0" applyBorder="0" applyAlignment="0" applyProtection="0"/>
    <xf numFmtId="0" fontId="9" fillId="0" borderId="0"/>
    <xf numFmtId="0" fontId="9" fillId="22" borderId="64" applyNumberFormat="0" applyFont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0" fontId="2" fillId="0" borderId="0">
      <alignment vertical="center"/>
    </xf>
    <xf numFmtId="0" fontId="61" fillId="0" borderId="0">
      <alignment vertical="center"/>
    </xf>
    <xf numFmtId="0" fontId="9" fillId="0" borderId="0"/>
    <xf numFmtId="9" fontId="9" fillId="0" borderId="0" applyFont="0" applyFill="0" applyBorder="0" applyAlignment="0" applyProtection="0"/>
    <xf numFmtId="0" fontId="2" fillId="0" borderId="0">
      <protection locked="0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/>
    <xf numFmtId="0" fontId="2" fillId="0" borderId="0">
      <alignment vertical="center"/>
    </xf>
    <xf numFmtId="0" fontId="9" fillId="0" borderId="0"/>
    <xf numFmtId="0" fontId="1" fillId="0" borderId="0"/>
    <xf numFmtId="0" fontId="9" fillId="0" borderId="0"/>
    <xf numFmtId="0" fontId="63" fillId="0" borderId="0"/>
    <xf numFmtId="43" fontId="6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9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9" fillId="0" borderId="0"/>
    <xf numFmtId="0" fontId="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9" fillId="0" borderId="0" applyFont="0" applyFill="0" applyBorder="0" applyAlignment="0" applyProtection="0"/>
  </cellStyleXfs>
  <cellXfs count="1769">
    <xf numFmtId="0" fontId="0" fillId="0" borderId="0" xfId="0"/>
    <xf numFmtId="0" fontId="13" fillId="2" borderId="0" xfId="35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 wrapText="1"/>
    </xf>
    <xf numFmtId="0" fontId="0" fillId="3" borderId="0" xfId="0" applyFill="1" applyAlignment="1">
      <alignment vertical="center"/>
    </xf>
    <xf numFmtId="0" fontId="0" fillId="0" borderId="0" xfId="0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66" fontId="0" fillId="3" borderId="0" xfId="0" applyNumberFormat="1" applyFill="1" applyAlignment="1">
      <alignment vertical="center"/>
    </xf>
    <xf numFmtId="0" fontId="22" fillId="3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 wrapText="1"/>
    </xf>
    <xf numFmtId="0" fontId="17" fillId="3" borderId="10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17" fillId="3" borderId="10" xfId="0" applyFont="1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7" fillId="0" borderId="1" xfId="35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right" vertical="center"/>
    </xf>
    <xf numFmtId="0" fontId="0" fillId="3" borderId="0" xfId="0" applyFill="1"/>
    <xf numFmtId="14" fontId="0" fillId="0" borderId="1" xfId="0" applyNumberFormat="1" applyBorder="1" applyAlignment="1">
      <alignment horizontal="center" vertical="center"/>
    </xf>
    <xf numFmtId="170" fontId="17" fillId="3" borderId="3" xfId="35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/>
    </xf>
    <xf numFmtId="0" fontId="22" fillId="6" borderId="22" xfId="35" applyFont="1" applyFill="1" applyBorder="1" applyAlignment="1">
      <alignment vertical="center"/>
    </xf>
    <xf numFmtId="0" fontId="22" fillId="6" borderId="20" xfId="35" applyFont="1" applyFill="1" applyBorder="1" applyAlignment="1">
      <alignment vertical="center"/>
    </xf>
    <xf numFmtId="0" fontId="22" fillId="6" borderId="20" xfId="35" applyFont="1" applyFill="1" applyBorder="1" applyAlignment="1">
      <alignment horizontal="right" vertical="center"/>
    </xf>
    <xf numFmtId="0" fontId="9" fillId="0" borderId="0" xfId="35" applyFont="1" applyAlignment="1">
      <alignment vertical="center"/>
    </xf>
    <xf numFmtId="0" fontId="17" fillId="3" borderId="0" xfId="35" applyFont="1" applyFill="1" applyAlignment="1">
      <alignment vertical="center"/>
    </xf>
    <xf numFmtId="0" fontId="17" fillId="3" borderId="0" xfId="35" applyFont="1" applyFill="1" applyAlignment="1">
      <alignment horizontal="center"/>
    </xf>
    <xf numFmtId="0" fontId="17" fillId="0" borderId="0" xfId="35" applyFont="1"/>
    <xf numFmtId="17" fontId="0" fillId="3" borderId="10" xfId="0" applyNumberFormat="1" applyFill="1" applyBorder="1" applyAlignment="1">
      <alignment vertical="center"/>
    </xf>
    <xf numFmtId="0" fontId="12" fillId="3" borderId="5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/>
    </xf>
    <xf numFmtId="0" fontId="22" fillId="3" borderId="6" xfId="60" applyFont="1" applyFill="1" applyBorder="1" applyAlignment="1">
      <alignment horizontal="center" vertical="center" wrapText="1"/>
    </xf>
    <xf numFmtId="169" fontId="12" fillId="3" borderId="6" xfId="0" applyNumberFormat="1" applyFont="1" applyFill="1" applyBorder="1" applyAlignment="1">
      <alignment horizontal="center" vertical="center" wrapText="1"/>
    </xf>
    <xf numFmtId="0" fontId="12" fillId="3" borderId="24" xfId="0" applyFont="1" applyFill="1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3" borderId="1" xfId="0" applyFill="1" applyBorder="1" applyAlignment="1">
      <alignment horizontal="right" vertical="center"/>
    </xf>
    <xf numFmtId="0" fontId="25" fillId="0" borderId="1" xfId="0" applyFont="1" applyBorder="1" applyAlignment="1">
      <alignment horizontal="center"/>
    </xf>
    <xf numFmtId="15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/>
    </xf>
    <xf numFmtId="0" fontId="17" fillId="3" borderId="1" xfId="0" applyFont="1" applyFill="1" applyBorder="1" applyAlignment="1">
      <alignment horizontal="left" vertical="center"/>
    </xf>
    <xf numFmtId="0" fontId="17" fillId="3" borderId="1" xfId="0" applyFont="1" applyFill="1" applyBorder="1" applyAlignment="1">
      <alignment horizontal="center" vertical="center"/>
    </xf>
    <xf numFmtId="14" fontId="23" fillId="3" borderId="28" xfId="0" applyNumberFormat="1" applyFont="1" applyFill="1" applyBorder="1" applyAlignment="1">
      <alignment horizontal="center" vertical="center"/>
    </xf>
    <xf numFmtId="15" fontId="17" fillId="3" borderId="1" xfId="35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12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12" fillId="3" borderId="1" xfId="0" applyFont="1" applyFill="1" applyBorder="1" applyAlignment="1">
      <alignment horizontal="center" vertical="center" wrapText="1"/>
    </xf>
    <xf numFmtId="0" fontId="13" fillId="2" borderId="0" xfId="35" applyFont="1" applyFill="1" applyAlignment="1">
      <alignment vertical="center" wrapText="1"/>
    </xf>
    <xf numFmtId="0" fontId="17" fillId="3" borderId="1" xfId="0" quotePrefix="1" applyFont="1" applyFill="1" applyBorder="1" applyAlignment="1">
      <alignment horizontal="center" vertical="center"/>
    </xf>
    <xf numFmtId="0" fontId="17" fillId="0" borderId="0" xfId="35" applyFont="1" applyAlignment="1">
      <alignment wrapText="1"/>
    </xf>
    <xf numFmtId="0" fontId="9" fillId="0" borderId="0" xfId="35" applyFont="1" applyAlignment="1">
      <alignment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12" borderId="1" xfId="0" applyFont="1" applyFill="1" applyBorder="1" applyAlignment="1">
      <alignment horizontal="center" vertical="center" wrapText="1"/>
    </xf>
    <xf numFmtId="0" fontId="12" fillId="12" borderId="1" xfId="0" applyFont="1" applyFill="1" applyBorder="1" applyAlignment="1">
      <alignment horizontal="left" vertical="center" wrapText="1"/>
    </xf>
    <xf numFmtId="2" fontId="0" fillId="0" borderId="1" xfId="0" applyNumberFormat="1" applyBorder="1" applyAlignment="1">
      <alignment horizontal="center" vertical="center"/>
    </xf>
    <xf numFmtId="0" fontId="24" fillId="3" borderId="22" xfId="0" applyFont="1" applyFill="1" applyBorder="1" applyAlignment="1">
      <alignment horizontal="center" vertical="center"/>
    </xf>
    <xf numFmtId="170" fontId="23" fillId="3" borderId="10" xfId="0" applyNumberFormat="1" applyFont="1" applyFill="1" applyBorder="1" applyAlignment="1">
      <alignment horizontal="right" vertical="center"/>
    </xf>
    <xf numFmtId="0" fontId="17" fillId="3" borderId="23" xfId="0" applyFont="1" applyFill="1" applyBorder="1" applyAlignment="1">
      <alignment horizontal="center" vertical="center" wrapText="1"/>
    </xf>
    <xf numFmtId="15" fontId="17" fillId="3" borderId="1" xfId="0" applyNumberFormat="1" applyFont="1" applyFill="1" applyBorder="1" applyAlignment="1">
      <alignment horizontal="center" vertical="center" wrapText="1"/>
    </xf>
    <xf numFmtId="15" fontId="33" fillId="3" borderId="16" xfId="35" applyNumberFormat="1" applyFont="1" applyFill="1" applyBorder="1" applyAlignment="1">
      <alignment horizontal="center" vertical="center" wrapText="1"/>
    </xf>
    <xf numFmtId="15" fontId="17" fillId="3" borderId="9" xfId="0" applyNumberFormat="1" applyFont="1" applyFill="1" applyBorder="1" applyAlignment="1">
      <alignment horizontal="center" vertical="center" wrapText="1"/>
    </xf>
    <xf numFmtId="0" fontId="34" fillId="3" borderId="30" xfId="33" applyFont="1" applyFill="1" applyBorder="1" applyAlignment="1">
      <alignment horizontal="left"/>
    </xf>
    <xf numFmtId="0" fontId="34" fillId="3" borderId="31" xfId="33" applyFont="1" applyFill="1" applyBorder="1" applyAlignment="1">
      <alignment horizontal="left"/>
    </xf>
    <xf numFmtId="14" fontId="22" fillId="6" borderId="1" xfId="35" applyNumberFormat="1" applyFont="1" applyFill="1" applyBorder="1" applyAlignment="1">
      <alignment horizontal="center" vertical="center"/>
    </xf>
    <xf numFmtId="0" fontId="12" fillId="14" borderId="1" xfId="35" applyFont="1" applyFill="1" applyBorder="1" applyAlignment="1">
      <alignment horizontal="center" vertical="center" wrapText="1"/>
    </xf>
    <xf numFmtId="0" fontId="0" fillId="0" borderId="1" xfId="0" applyBorder="1"/>
    <xf numFmtId="0" fontId="17" fillId="0" borderId="0" xfId="35" applyFont="1" applyAlignment="1">
      <alignment vertical="center"/>
    </xf>
    <xf numFmtId="0" fontId="22" fillId="3" borderId="0" xfId="35" applyFont="1" applyFill="1" applyAlignment="1">
      <alignment horizontal="right" vertical="center"/>
    </xf>
    <xf numFmtId="0" fontId="0" fillId="0" borderId="20" xfId="0" applyBorder="1" applyAlignment="1">
      <alignment horizontal="center" vertical="center"/>
    </xf>
    <xf numFmtId="0" fontId="8" fillId="15" borderId="2" xfId="35" applyFont="1" applyFill="1" applyBorder="1" applyAlignment="1">
      <alignment horizontal="center" vertical="center" wrapText="1"/>
    </xf>
    <xf numFmtId="0" fontId="8" fillId="15" borderId="1" xfId="35" applyFont="1" applyFill="1" applyBorder="1" applyAlignment="1">
      <alignment horizontal="center" vertical="center" wrapText="1"/>
    </xf>
    <xf numFmtId="0" fontId="8" fillId="15" borderId="10" xfId="35" applyFont="1" applyFill="1" applyBorder="1" applyAlignment="1">
      <alignment horizontal="center" vertical="center" wrapText="1"/>
    </xf>
    <xf numFmtId="15" fontId="17" fillId="0" borderId="1" xfId="0" applyNumberFormat="1" applyFont="1" applyBorder="1" applyAlignment="1">
      <alignment horizontal="center" vertical="center"/>
    </xf>
    <xf numFmtId="0" fontId="36" fillId="3" borderId="57" xfId="0" applyFont="1" applyFill="1" applyBorder="1" applyAlignment="1">
      <alignment horizontal="center" vertical="center" wrapText="1" readingOrder="1"/>
    </xf>
    <xf numFmtId="0" fontId="36" fillId="3" borderId="58" xfId="0" applyFont="1" applyFill="1" applyBorder="1" applyAlignment="1">
      <alignment horizontal="center" vertical="center" wrapText="1" readingOrder="1"/>
    </xf>
    <xf numFmtId="0" fontId="37" fillId="3" borderId="59" xfId="0" applyFont="1" applyFill="1" applyBorder="1" applyAlignment="1">
      <alignment horizontal="center" vertical="center" wrapText="1" readingOrder="1"/>
    </xf>
    <xf numFmtId="1" fontId="37" fillId="3" borderId="59" xfId="0" applyNumberFormat="1" applyFont="1" applyFill="1" applyBorder="1" applyAlignment="1">
      <alignment horizontal="center" vertical="center" wrapText="1" readingOrder="1"/>
    </xf>
    <xf numFmtId="0" fontId="37" fillId="3" borderId="59" xfId="0" applyFont="1" applyFill="1" applyBorder="1" applyAlignment="1">
      <alignment horizontal="left" vertical="center" wrapText="1" readingOrder="1"/>
    </xf>
    <xf numFmtId="17" fontId="37" fillId="3" borderId="59" xfId="0" applyNumberFormat="1" applyFont="1" applyFill="1" applyBorder="1" applyAlignment="1">
      <alignment horizontal="center" vertical="center" wrapText="1" readingOrder="1"/>
    </xf>
    <xf numFmtId="0" fontId="0" fillId="16" borderId="0" xfId="0" applyFill="1"/>
    <xf numFmtId="166" fontId="7" fillId="16" borderId="0" xfId="34" applyNumberFormat="1" applyFont="1" applyFill="1"/>
    <xf numFmtId="166" fontId="7" fillId="0" borderId="9" xfId="34" applyNumberFormat="1" applyFont="1" applyBorder="1"/>
    <xf numFmtId="166" fontId="7" fillId="0" borderId="34" xfId="34" applyNumberFormat="1" applyFont="1" applyBorder="1"/>
    <xf numFmtId="15" fontId="0" fillId="3" borderId="1" xfId="0" applyNumberFormat="1" applyFill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22" fillId="6" borderId="20" xfId="35" applyFont="1" applyFill="1" applyBorder="1" applyAlignment="1">
      <alignment horizontal="center" vertical="center"/>
    </xf>
    <xf numFmtId="0" fontId="17" fillId="0" borderId="0" xfId="35" applyFont="1" applyAlignment="1">
      <alignment horizontal="center"/>
    </xf>
    <xf numFmtId="14" fontId="0" fillId="3" borderId="1" xfId="0" applyNumberFormat="1" applyFill="1" applyBorder="1" applyAlignment="1">
      <alignment horizontal="center" vertical="center"/>
    </xf>
    <xf numFmtId="166" fontId="0" fillId="3" borderId="1" xfId="0" applyNumberFormat="1" applyFill="1" applyBorder="1" applyAlignment="1">
      <alignment horizontal="center" vertical="center"/>
    </xf>
    <xf numFmtId="0" fontId="17" fillId="3" borderId="10" xfId="0" applyFont="1" applyFill="1" applyBorder="1" applyAlignment="1">
      <alignment horizontal="left" vertical="center" wrapText="1"/>
    </xf>
    <xf numFmtId="49" fontId="0" fillId="3" borderId="1" xfId="0" quotePrefix="1" applyNumberFormat="1" applyFill="1" applyBorder="1" applyAlignment="1">
      <alignment horizontal="center" vertical="center"/>
    </xf>
    <xf numFmtId="49" fontId="0" fillId="3" borderId="0" xfId="0" applyNumberFormat="1" applyFill="1" applyAlignment="1">
      <alignment horizontal="center" vertical="center"/>
    </xf>
    <xf numFmtId="49" fontId="0" fillId="16" borderId="0" xfId="0" applyNumberFormat="1" applyFill="1"/>
    <xf numFmtId="17" fontId="12" fillId="0" borderId="1" xfId="0" applyNumberFormat="1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49" fontId="0" fillId="0" borderId="1" xfId="0" quotePrefix="1" applyNumberFormat="1" applyBorder="1" applyAlignment="1">
      <alignment horizontal="center" vertical="center"/>
    </xf>
    <xf numFmtId="166" fontId="44" fillId="0" borderId="1" xfId="61" applyNumberFormat="1" applyFont="1" applyBorder="1" applyAlignment="1">
      <alignment horizontal="left" vertical="center"/>
    </xf>
    <xf numFmtId="0" fontId="16" fillId="0" borderId="1" xfId="0" applyFont="1" applyBorder="1" applyAlignment="1">
      <alignment vertical="center"/>
    </xf>
    <xf numFmtId="0" fontId="37" fillId="0" borderId="59" xfId="0" applyFont="1" applyBorder="1" applyAlignment="1">
      <alignment horizontal="center" vertical="center" wrapText="1" readingOrder="1"/>
    </xf>
    <xf numFmtId="1" fontId="37" fillId="0" borderId="59" xfId="0" applyNumberFormat="1" applyFont="1" applyBorder="1" applyAlignment="1">
      <alignment horizontal="center" vertical="center" wrapText="1" readingOrder="1"/>
    </xf>
    <xf numFmtId="0" fontId="37" fillId="0" borderId="59" xfId="0" applyFont="1" applyBorder="1" applyAlignment="1">
      <alignment horizontal="left" vertical="center" wrapText="1" readingOrder="1"/>
    </xf>
    <xf numFmtId="17" fontId="37" fillId="0" borderId="59" xfId="0" applyNumberFormat="1" applyFont="1" applyBorder="1" applyAlignment="1">
      <alignment horizontal="center" vertical="center" wrapText="1" readingOrder="1"/>
    </xf>
    <xf numFmtId="17" fontId="38" fillId="0" borderId="59" xfId="0" applyNumberFormat="1" applyFont="1" applyBorder="1" applyAlignment="1">
      <alignment horizontal="left" vertical="center" wrapText="1" readingOrder="1"/>
    </xf>
    <xf numFmtId="17" fontId="37" fillId="0" borderId="59" xfId="0" applyNumberFormat="1" applyFont="1" applyBorder="1" applyAlignment="1">
      <alignment horizontal="left" vertical="center" wrapText="1" readingOrder="1"/>
    </xf>
    <xf numFmtId="0" fontId="0" fillId="0" borderId="0" xfId="0" applyAlignment="1">
      <alignment horizontal="center"/>
    </xf>
    <xf numFmtId="0" fontId="12" fillId="0" borderId="1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32" fillId="3" borderId="0" xfId="43" applyFont="1" applyFill="1"/>
    <xf numFmtId="0" fontId="21" fillId="0" borderId="0" xfId="43" applyFont="1" applyAlignment="1">
      <alignment horizontal="center" vertical="center"/>
    </xf>
    <xf numFmtId="0" fontId="32" fillId="0" borderId="0" xfId="43" applyFont="1"/>
    <xf numFmtId="0" fontId="17" fillId="0" borderId="0" xfId="43" applyFont="1"/>
    <xf numFmtId="0" fontId="12" fillId="0" borderId="1" xfId="0" applyFont="1" applyBorder="1"/>
    <xf numFmtId="0" fontId="12" fillId="0" borderId="0" xfId="0" applyFont="1"/>
    <xf numFmtId="166" fontId="12" fillId="0" borderId="1" xfId="0" applyNumberFormat="1" applyFon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9" fontId="0" fillId="0" borderId="0" xfId="95" applyFont="1" applyAlignment="1">
      <alignment horizontal="center" vertical="center"/>
    </xf>
    <xf numFmtId="14" fontId="12" fillId="12" borderId="1" xfId="0" applyNumberFormat="1" applyFont="1" applyFill="1" applyBorder="1" applyAlignment="1">
      <alignment horizontal="center" vertical="center"/>
    </xf>
    <xf numFmtId="166" fontId="7" fillId="0" borderId="9" xfId="34" applyNumberFormat="1" applyFont="1" applyBorder="1" applyAlignment="1">
      <alignment horizontal="center" vertical="center"/>
    </xf>
    <xf numFmtId="166" fontId="7" fillId="0" borderId="9" xfId="34" applyNumberFormat="1" applyFont="1" applyBorder="1" applyAlignment="1">
      <alignment horizontal="center"/>
    </xf>
    <xf numFmtId="166" fontId="7" fillId="0" borderId="40" xfId="34" applyNumberFormat="1" applyFont="1" applyBorder="1" applyAlignment="1">
      <alignment horizontal="center"/>
    </xf>
    <xf numFmtId="0" fontId="13" fillId="2" borderId="0" xfId="35" applyFont="1" applyFill="1" applyAlignment="1">
      <alignment vertical="center"/>
    </xf>
    <xf numFmtId="0" fontId="13" fillId="2" borderId="0" xfId="35" applyFont="1" applyFill="1" applyAlignment="1">
      <alignment horizontal="right" vertical="center" wrapText="1"/>
    </xf>
    <xf numFmtId="0" fontId="13" fillId="2" borderId="0" xfId="35" applyFont="1" applyFill="1" applyAlignment="1">
      <alignment horizontal="center" vertical="center"/>
    </xf>
    <xf numFmtId="0" fontId="13" fillId="2" borderId="0" xfId="35" applyFont="1" applyFill="1" applyAlignment="1">
      <alignment horizontal="right" vertical="center"/>
    </xf>
    <xf numFmtId="0" fontId="12" fillId="3" borderId="9" xfId="0" applyFont="1" applyFill="1" applyBorder="1" applyAlignment="1">
      <alignment horizontal="center" vertical="center" wrapText="1"/>
    </xf>
    <xf numFmtId="0" fontId="15" fillId="3" borderId="26" xfId="0" applyFont="1" applyFill="1" applyBorder="1" applyAlignment="1">
      <alignment horizontal="center" vertical="center"/>
    </xf>
    <xf numFmtId="14" fontId="12" fillId="6" borderId="1" xfId="0" applyNumberFormat="1" applyFont="1" applyFill="1" applyBorder="1" applyAlignment="1">
      <alignment horizontal="center" vertical="center"/>
    </xf>
    <xf numFmtId="0" fontId="0" fillId="6" borderId="0" xfId="0" applyFill="1" applyAlignment="1">
      <alignment vertical="center"/>
    </xf>
    <xf numFmtId="0" fontId="17" fillId="0" borderId="0" xfId="43" applyFont="1" applyAlignment="1">
      <alignment horizontal="left" indent="1"/>
    </xf>
    <xf numFmtId="14" fontId="0" fillId="0" borderId="0" xfId="0" applyNumberFormat="1" applyAlignment="1">
      <alignment vertical="center"/>
    </xf>
    <xf numFmtId="49" fontId="12" fillId="3" borderId="1" xfId="0" applyNumberFormat="1" applyFont="1" applyFill="1" applyBorder="1" applyAlignment="1">
      <alignment horizontal="center" vertical="center"/>
    </xf>
    <xf numFmtId="0" fontId="0" fillId="12" borderId="10" xfId="0" applyFill="1" applyBorder="1" applyAlignment="1">
      <alignment horizontal="center" vertical="center"/>
    </xf>
    <xf numFmtId="0" fontId="0" fillId="19" borderId="1" xfId="0" applyFill="1" applyBorder="1" applyAlignment="1">
      <alignment horizontal="center" vertical="center"/>
    </xf>
    <xf numFmtId="0" fontId="0" fillId="13" borderId="2" xfId="0" applyFill="1" applyBorder="1" applyAlignment="1">
      <alignment horizontal="center" vertical="center"/>
    </xf>
    <xf numFmtId="0" fontId="12" fillId="3" borderId="22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2" fillId="3" borderId="23" xfId="0" applyFont="1" applyFill="1" applyBorder="1" applyAlignment="1">
      <alignment horizontal="center" vertical="center" wrapText="1"/>
    </xf>
    <xf numFmtId="14" fontId="12" fillId="11" borderId="1" xfId="0" applyNumberFormat="1" applyFont="1" applyFill="1" applyBorder="1" applyAlignment="1">
      <alignment horizontal="center" vertical="center"/>
    </xf>
    <xf numFmtId="49" fontId="12" fillId="11" borderId="1" xfId="0" applyNumberFormat="1" applyFont="1" applyFill="1" applyBorder="1" applyAlignment="1">
      <alignment horizontal="center" vertical="center"/>
    </xf>
    <xf numFmtId="49" fontId="12" fillId="3" borderId="21" xfId="0" applyNumberFormat="1" applyFont="1" applyFill="1" applyBorder="1" applyAlignment="1">
      <alignment horizontal="centerContinuous" vertical="center"/>
    </xf>
    <xf numFmtId="49" fontId="12" fillId="3" borderId="20" xfId="0" applyNumberFormat="1" applyFont="1" applyFill="1" applyBorder="1" applyAlignment="1">
      <alignment horizontal="centerContinuous" vertical="center"/>
    </xf>
    <xf numFmtId="49" fontId="12" fillId="3" borderId="22" xfId="0" applyNumberFormat="1" applyFont="1" applyFill="1" applyBorder="1" applyAlignment="1">
      <alignment horizontal="centerContinuous" vertical="center"/>
    </xf>
    <xf numFmtId="0" fontId="12" fillId="3" borderId="20" xfId="0" applyFont="1" applyFill="1" applyBorder="1" applyAlignment="1">
      <alignment horizontal="center" vertical="center" wrapText="1"/>
    </xf>
    <xf numFmtId="0" fontId="34" fillId="3" borderId="17" xfId="33" applyFont="1" applyFill="1" applyBorder="1"/>
    <xf numFmtId="0" fontId="34" fillId="3" borderId="18" xfId="33" applyFont="1" applyFill="1" applyBorder="1"/>
    <xf numFmtId="0" fontId="34" fillId="3" borderId="0" xfId="33" applyFont="1" applyFill="1" applyAlignment="1">
      <alignment horizontal="left"/>
    </xf>
    <xf numFmtId="0" fontId="15" fillId="3" borderId="26" xfId="0" applyFont="1" applyFill="1" applyBorder="1" applyAlignment="1">
      <alignment vertical="center"/>
    </xf>
    <xf numFmtId="0" fontId="15" fillId="3" borderId="27" xfId="0" applyFont="1" applyFill="1" applyBorder="1" applyAlignment="1">
      <alignment vertical="center"/>
    </xf>
    <xf numFmtId="0" fontId="0" fillId="0" borderId="1" xfId="0" applyBorder="1" applyAlignment="1">
      <alignment horizontal="centerContinuous" vertical="center"/>
    </xf>
    <xf numFmtId="0" fontId="0" fillId="11" borderId="1" xfId="0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49" fontId="12" fillId="3" borderId="45" xfId="0" applyNumberFormat="1" applyFont="1" applyFill="1" applyBorder="1" applyAlignment="1">
      <alignment horizontal="centerContinuous" vertical="center"/>
    </xf>
    <xf numFmtId="2" fontId="0" fillId="0" borderId="0" xfId="0" applyNumberFormat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23" xfId="0" applyBorder="1" applyAlignment="1">
      <alignment horizontal="center" vertical="center"/>
    </xf>
    <xf numFmtId="0" fontId="12" fillId="13" borderId="2" xfId="0" applyFont="1" applyFill="1" applyBorder="1" applyAlignment="1">
      <alignment horizontal="center" vertical="top"/>
    </xf>
    <xf numFmtId="0" fontId="12" fillId="19" borderId="1" xfId="0" applyFont="1" applyFill="1" applyBorder="1" applyAlignment="1">
      <alignment horizontal="center" vertical="top"/>
    </xf>
    <xf numFmtId="0" fontId="12" fillId="12" borderId="10" xfId="0" applyFont="1" applyFill="1" applyBorder="1" applyAlignment="1">
      <alignment horizontal="center" vertical="top"/>
    </xf>
    <xf numFmtId="0" fontId="12" fillId="6" borderId="0" xfId="0" applyFont="1" applyFill="1" applyAlignment="1">
      <alignment horizontal="right" vertical="center"/>
    </xf>
    <xf numFmtId="0" fontId="16" fillId="12" borderId="1" xfId="0" applyFont="1" applyFill="1" applyBorder="1"/>
    <xf numFmtId="0" fontId="16" fillId="12" borderId="10" xfId="0" applyFont="1" applyFill="1" applyBorder="1"/>
    <xf numFmtId="0" fontId="0" fillId="0" borderId="16" xfId="0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2" fillId="0" borderId="13" xfId="0" applyFont="1" applyBorder="1" applyAlignment="1">
      <alignment horizontal="left" vertical="center"/>
    </xf>
    <xf numFmtId="166" fontId="0" fillId="0" borderId="0" xfId="0" applyNumberFormat="1" applyAlignment="1">
      <alignment horizontal="center" vertical="center"/>
    </xf>
    <xf numFmtId="166" fontId="17" fillId="3" borderId="9" xfId="0" applyNumberFormat="1" applyFont="1" applyFill="1" applyBorder="1" applyAlignment="1">
      <alignment horizontal="center" vertical="center" wrapText="1"/>
    </xf>
    <xf numFmtId="166" fontId="17" fillId="3" borderId="1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17" fontId="12" fillId="0" borderId="22" xfId="0" applyNumberFormat="1" applyFont="1" applyBorder="1" applyAlignment="1">
      <alignment horizontal="center" vertical="center"/>
    </xf>
    <xf numFmtId="17" fontId="12" fillId="0" borderId="2" xfId="0" applyNumberFormat="1" applyFont="1" applyBorder="1" applyAlignment="1">
      <alignment horizontal="center" vertical="center"/>
    </xf>
    <xf numFmtId="17" fontId="12" fillId="0" borderId="10" xfId="0" applyNumberFormat="1" applyFont="1" applyBorder="1" applyAlignment="1">
      <alignment horizontal="center" vertical="center"/>
    </xf>
    <xf numFmtId="0" fontId="12" fillId="23" borderId="1" xfId="0" applyFont="1" applyFill="1" applyBorder="1" applyAlignment="1">
      <alignment horizontal="center" vertical="center"/>
    </xf>
    <xf numFmtId="0" fontId="12" fillId="23" borderId="1" xfId="0" applyFont="1" applyFill="1" applyBorder="1" applyAlignment="1">
      <alignment horizontal="left" vertical="center"/>
    </xf>
    <xf numFmtId="9" fontId="31" fillId="23" borderId="22" xfId="95" applyFont="1" applyFill="1" applyBorder="1" applyAlignment="1">
      <alignment horizontal="center" vertical="top"/>
    </xf>
    <xf numFmtId="9" fontId="31" fillId="23" borderId="2" xfId="95" applyFont="1" applyFill="1" applyBorder="1" applyAlignment="1">
      <alignment horizontal="center" vertical="top"/>
    </xf>
    <xf numFmtId="9" fontId="31" fillId="23" borderId="1" xfId="95" applyFont="1" applyFill="1" applyBorder="1" applyAlignment="1">
      <alignment horizontal="center" vertical="top"/>
    </xf>
    <xf numFmtId="9" fontId="31" fillId="23" borderId="10" xfId="95" applyFont="1" applyFill="1" applyBorder="1" applyAlignment="1">
      <alignment horizontal="center" vertical="top"/>
    </xf>
    <xf numFmtId="174" fontId="0" fillId="0" borderId="1" xfId="0" applyNumberFormat="1" applyBorder="1" applyAlignment="1">
      <alignment horizontal="center" vertical="center"/>
    </xf>
    <xf numFmtId="9" fontId="28" fillId="0" borderId="22" xfId="95" applyFont="1" applyBorder="1" applyAlignment="1">
      <alignment horizontal="center" vertical="top"/>
    </xf>
    <xf numFmtId="9" fontId="28" fillId="0" borderId="2" xfId="95" applyFont="1" applyBorder="1" applyAlignment="1">
      <alignment horizontal="center" vertical="top"/>
    </xf>
    <xf numFmtId="9" fontId="28" fillId="0" borderId="1" xfId="95" applyFont="1" applyBorder="1" applyAlignment="1">
      <alignment horizontal="center" vertical="top"/>
    </xf>
    <xf numFmtId="9" fontId="28" fillId="0" borderId="10" xfId="95" applyFont="1" applyBorder="1" applyAlignment="1">
      <alignment horizontal="center" vertical="top"/>
    </xf>
    <xf numFmtId="0" fontId="0" fillId="0" borderId="1" xfId="0" applyBorder="1" applyAlignment="1">
      <alignment horizontal="right" vertical="center" indent="1"/>
    </xf>
    <xf numFmtId="0" fontId="28" fillId="0" borderId="22" xfId="95" applyNumberFormat="1" applyFont="1" applyBorder="1" applyAlignment="1">
      <alignment horizontal="center" vertical="top"/>
    </xf>
    <xf numFmtId="0" fontId="28" fillId="0" borderId="2" xfId="95" applyNumberFormat="1" applyFont="1" applyBorder="1" applyAlignment="1">
      <alignment horizontal="center" vertical="top"/>
    </xf>
    <xf numFmtId="0" fontId="28" fillId="0" borderId="1" xfId="95" applyNumberFormat="1" applyFont="1" applyBorder="1" applyAlignment="1">
      <alignment horizontal="center" vertical="top"/>
    </xf>
    <xf numFmtId="0" fontId="28" fillId="0" borderId="10" xfId="95" applyNumberFormat="1" applyFont="1" applyBorder="1" applyAlignment="1">
      <alignment horizontal="center" vertical="top"/>
    </xf>
    <xf numFmtId="0" fontId="0" fillId="9" borderId="1" xfId="0" applyFill="1" applyBorder="1" applyAlignment="1">
      <alignment horizontal="right" vertical="center" indent="1"/>
    </xf>
    <xf numFmtId="0" fontId="0" fillId="9" borderId="1" xfId="0" applyFill="1" applyBorder="1" applyAlignment="1">
      <alignment horizontal="left" vertical="center"/>
    </xf>
    <xf numFmtId="0" fontId="0" fillId="9" borderId="1" xfId="0" applyFill="1" applyBorder="1" applyAlignment="1">
      <alignment horizontal="center" vertical="center"/>
    </xf>
    <xf numFmtId="0" fontId="0" fillId="9" borderId="0" xfId="0" applyFill="1" applyAlignment="1">
      <alignment horizontal="center" vertical="center"/>
    </xf>
    <xf numFmtId="174" fontId="0" fillId="9" borderId="1" xfId="0" applyNumberFormat="1" applyFill="1" applyBorder="1" applyAlignment="1">
      <alignment horizontal="center" vertical="center"/>
    </xf>
    <xf numFmtId="175" fontId="0" fillId="9" borderId="1" xfId="98" applyNumberFormat="1" applyFont="1" applyFill="1" applyBorder="1" applyAlignment="1">
      <alignment horizontal="center" vertical="center"/>
    </xf>
    <xf numFmtId="0" fontId="28" fillId="9" borderId="22" xfId="95" applyNumberFormat="1" applyFont="1" applyFill="1" applyBorder="1" applyAlignment="1">
      <alignment horizontal="center" vertical="top"/>
    </xf>
    <xf numFmtId="0" fontId="28" fillId="9" borderId="2" xfId="95" applyNumberFormat="1" applyFont="1" applyFill="1" applyBorder="1" applyAlignment="1">
      <alignment horizontal="center" vertical="top"/>
    </xf>
    <xf numFmtId="0" fontId="28" fillId="9" borderId="1" xfId="95" applyNumberFormat="1" applyFont="1" applyFill="1" applyBorder="1" applyAlignment="1">
      <alignment horizontal="center" vertical="top"/>
    </xf>
    <xf numFmtId="0" fontId="28" fillId="9" borderId="10" xfId="95" applyNumberFormat="1" applyFont="1" applyFill="1" applyBorder="1" applyAlignment="1">
      <alignment horizontal="center" vertical="top"/>
    </xf>
    <xf numFmtId="9" fontId="28" fillId="9" borderId="22" xfId="95" applyFont="1" applyFill="1" applyBorder="1" applyAlignment="1">
      <alignment horizontal="center" vertical="top"/>
    </xf>
    <xf numFmtId="9" fontId="28" fillId="9" borderId="2" xfId="95" applyFont="1" applyFill="1" applyBorder="1" applyAlignment="1">
      <alignment horizontal="center" vertical="top"/>
    </xf>
    <xf numFmtId="9" fontId="28" fillId="9" borderId="1" xfId="95" applyFont="1" applyFill="1" applyBorder="1" applyAlignment="1">
      <alignment horizontal="center" vertical="top"/>
    </xf>
    <xf numFmtId="9" fontId="28" fillId="9" borderId="10" xfId="95" applyFont="1" applyFill="1" applyBorder="1" applyAlignment="1">
      <alignment horizontal="center" vertical="top"/>
    </xf>
    <xf numFmtId="9" fontId="0" fillId="9" borderId="1" xfId="95" applyFont="1" applyFill="1" applyBorder="1" applyAlignment="1">
      <alignment horizontal="center" vertical="center"/>
    </xf>
    <xf numFmtId="43" fontId="0" fillId="9" borderId="1" xfId="98" applyFont="1" applyFill="1" applyBorder="1" applyAlignment="1">
      <alignment horizontal="right" vertical="center" indent="1"/>
    </xf>
    <xf numFmtId="43" fontId="0" fillId="9" borderId="1" xfId="98" applyFont="1" applyFill="1" applyBorder="1" applyAlignment="1">
      <alignment horizontal="left" vertical="center"/>
    </xf>
    <xf numFmtId="43" fontId="0" fillId="9" borderId="1" xfId="98" applyFont="1" applyFill="1" applyBorder="1" applyAlignment="1">
      <alignment horizontal="center" vertical="center"/>
    </xf>
    <xf numFmtId="0" fontId="0" fillId="9" borderId="22" xfId="98" applyNumberFormat="1" applyFont="1" applyFill="1" applyBorder="1" applyAlignment="1">
      <alignment horizontal="center" vertical="center"/>
    </xf>
    <xf numFmtId="43" fontId="28" fillId="9" borderId="22" xfId="98" applyFont="1" applyFill="1" applyBorder="1" applyAlignment="1">
      <alignment horizontal="center" vertical="top"/>
    </xf>
    <xf numFmtId="43" fontId="28" fillId="9" borderId="2" xfId="98" applyFont="1" applyFill="1" applyBorder="1" applyAlignment="1">
      <alignment horizontal="center" vertical="top"/>
    </xf>
    <xf numFmtId="43" fontId="28" fillId="9" borderId="1" xfId="98" applyFont="1" applyFill="1" applyBorder="1" applyAlignment="1">
      <alignment horizontal="center" vertical="top"/>
    </xf>
    <xf numFmtId="43" fontId="28" fillId="9" borderId="10" xfId="98" applyFont="1" applyFill="1" applyBorder="1" applyAlignment="1">
      <alignment horizontal="center" vertical="top"/>
    </xf>
    <xf numFmtId="43" fontId="0" fillId="9" borderId="0" xfId="98" applyFont="1" applyFill="1" applyAlignment="1">
      <alignment horizontal="center" vertical="center"/>
    </xf>
    <xf numFmtId="173" fontId="28" fillId="9" borderId="1" xfId="98" applyNumberFormat="1" applyFont="1" applyFill="1" applyBorder="1" applyAlignment="1">
      <alignment horizontal="center" vertical="top"/>
    </xf>
    <xf numFmtId="173" fontId="28" fillId="9" borderId="10" xfId="98" applyNumberFormat="1" applyFont="1" applyFill="1" applyBorder="1" applyAlignment="1">
      <alignment horizontal="center" vertical="top"/>
    </xf>
    <xf numFmtId="0" fontId="12" fillId="23" borderId="22" xfId="0" applyFont="1" applyFill="1" applyBorder="1" applyAlignment="1">
      <alignment horizontal="center" vertical="center"/>
    </xf>
    <xf numFmtId="0" fontId="0" fillId="9" borderId="1" xfId="98" applyNumberFormat="1" applyFont="1" applyFill="1" applyBorder="1" applyAlignment="1">
      <alignment horizontal="center" vertical="center"/>
    </xf>
    <xf numFmtId="0" fontId="0" fillId="9" borderId="22" xfId="0" applyFill="1" applyBorder="1" applyAlignment="1">
      <alignment horizontal="center" vertical="center"/>
    </xf>
    <xf numFmtId="1" fontId="0" fillId="9" borderId="22" xfId="0" applyNumberFormat="1" applyFill="1" applyBorder="1" applyAlignment="1">
      <alignment horizontal="center" vertical="center"/>
    </xf>
    <xf numFmtId="9" fontId="0" fillId="0" borderId="1" xfId="95" applyFont="1" applyBorder="1" applyAlignment="1">
      <alignment horizontal="center" vertical="center"/>
    </xf>
    <xf numFmtId="9" fontId="0" fillId="9" borderId="22" xfId="95" applyFont="1" applyFill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6" borderId="14" xfId="0" applyFont="1" applyFill="1" applyBorder="1" applyAlignment="1">
      <alignment horizontal="center" vertical="center" wrapText="1"/>
    </xf>
    <xf numFmtId="0" fontId="12" fillId="6" borderId="16" xfId="0" applyFont="1" applyFill="1" applyBorder="1" applyAlignment="1">
      <alignment horizontal="center" vertical="center"/>
    </xf>
    <xf numFmtId="14" fontId="12" fillId="6" borderId="10" xfId="0" applyNumberFormat="1" applyFont="1" applyFill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4" xfId="0" applyFont="1" applyBorder="1" applyAlignment="1">
      <alignment vertical="center"/>
    </xf>
    <xf numFmtId="0" fontId="12" fillId="12" borderId="4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12" fillId="6" borderId="11" xfId="0" applyFont="1" applyFill="1" applyBorder="1" applyAlignment="1">
      <alignment horizontal="center" vertical="center"/>
    </xf>
    <xf numFmtId="9" fontId="0" fillId="0" borderId="22" xfId="95" applyFont="1" applyBorder="1" applyAlignment="1">
      <alignment horizontal="center" vertical="center"/>
    </xf>
    <xf numFmtId="166" fontId="17" fillId="3" borderId="3" xfId="0" applyNumberFormat="1" applyFont="1" applyFill="1" applyBorder="1" applyAlignment="1">
      <alignment horizontal="center" vertical="center" wrapText="1"/>
    </xf>
    <xf numFmtId="170" fontId="17" fillId="3" borderId="41" xfId="35" applyNumberFormat="1" applyFont="1" applyFill="1" applyBorder="1" applyAlignment="1">
      <alignment horizontal="center" vertical="center"/>
    </xf>
    <xf numFmtId="166" fontId="12" fillId="12" borderId="1" xfId="0" applyNumberFormat="1" applyFont="1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 wrapText="1"/>
    </xf>
    <xf numFmtId="0" fontId="22" fillId="3" borderId="42" xfId="35" applyFont="1" applyFill="1" applyBorder="1" applyAlignment="1">
      <alignment vertical="center"/>
    </xf>
    <xf numFmtId="0" fontId="22" fillId="3" borderId="17" xfId="35" applyFont="1" applyFill="1" applyBorder="1" applyAlignment="1">
      <alignment vertical="center"/>
    </xf>
    <xf numFmtId="0" fontId="22" fillId="3" borderId="43" xfId="35" applyFont="1" applyFill="1" applyBorder="1" applyAlignment="1">
      <alignment vertical="center"/>
    </xf>
    <xf numFmtId="166" fontId="12" fillId="3" borderId="6" xfId="0" applyNumberFormat="1" applyFont="1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166" fontId="0" fillId="3" borderId="0" xfId="0" applyNumberFormat="1" applyFill="1" applyAlignment="1">
      <alignment horizontal="center" vertical="center"/>
    </xf>
    <xf numFmtId="0" fontId="12" fillId="0" borderId="54" xfId="0" applyFont="1" applyBorder="1" applyAlignment="1">
      <alignment horizontal="center" vertical="center" wrapText="1"/>
    </xf>
    <xf numFmtId="0" fontId="12" fillId="6" borderId="14" xfId="0" applyFont="1" applyFill="1" applyBorder="1" applyAlignment="1">
      <alignment horizontal="center" vertical="center"/>
    </xf>
    <xf numFmtId="0" fontId="12" fillId="24" borderId="14" xfId="0" applyFont="1" applyFill="1" applyBorder="1" applyAlignment="1">
      <alignment horizontal="center" vertical="center"/>
    </xf>
    <xf numFmtId="0" fontId="12" fillId="25" borderId="14" xfId="0" applyFont="1" applyFill="1" applyBorder="1" applyAlignment="1">
      <alignment horizontal="center" vertical="center"/>
    </xf>
    <xf numFmtId="0" fontId="12" fillId="25" borderId="16" xfId="0" applyFont="1" applyFill="1" applyBorder="1" applyAlignment="1">
      <alignment horizontal="center" vertical="center"/>
    </xf>
    <xf numFmtId="0" fontId="12" fillId="6" borderId="8" xfId="0" applyFont="1" applyFill="1" applyBorder="1" applyAlignment="1">
      <alignment horizontal="center" vertical="center"/>
    </xf>
    <xf numFmtId="0" fontId="12" fillId="0" borderId="29" xfId="0" applyFont="1" applyBorder="1" applyAlignment="1">
      <alignment vertical="center" wrapText="1"/>
    </xf>
    <xf numFmtId="0" fontId="12" fillId="0" borderId="29" xfId="0" applyFont="1" applyBorder="1" applyAlignment="1">
      <alignment horizontal="center" vertical="center" wrapText="1"/>
    </xf>
    <xf numFmtId="0" fontId="12" fillId="24" borderId="29" xfId="0" applyFont="1" applyFill="1" applyBorder="1" applyAlignment="1">
      <alignment horizontal="center" vertical="center" wrapText="1"/>
    </xf>
    <xf numFmtId="0" fontId="12" fillId="25" borderId="29" xfId="0" applyFont="1" applyFill="1" applyBorder="1" applyAlignment="1">
      <alignment horizontal="center" vertical="center" wrapText="1"/>
    </xf>
    <xf numFmtId="0" fontId="12" fillId="25" borderId="63" xfId="0" applyFont="1" applyFill="1" applyBorder="1" applyAlignment="1">
      <alignment horizontal="center" vertical="center" wrapText="1"/>
    </xf>
    <xf numFmtId="0" fontId="0" fillId="3" borderId="0" xfId="0" applyFill="1" applyAlignment="1">
      <alignment vertical="center" wrapText="1"/>
    </xf>
    <xf numFmtId="0" fontId="0" fillId="0" borderId="14" xfId="0" applyBorder="1" applyAlignment="1">
      <alignment vertical="center"/>
    </xf>
    <xf numFmtId="0" fontId="0" fillId="24" borderId="14" xfId="0" applyFill="1" applyBorder="1" applyAlignment="1">
      <alignment horizontal="center" vertical="center"/>
    </xf>
    <xf numFmtId="0" fontId="0" fillId="25" borderId="14" xfId="0" applyFill="1" applyBorder="1" applyAlignment="1">
      <alignment horizontal="center" vertical="center"/>
    </xf>
    <xf numFmtId="0" fontId="0" fillId="25" borderId="16" xfId="0" applyFill="1" applyBorder="1" applyAlignment="1">
      <alignment horizontal="center" vertical="center"/>
    </xf>
    <xf numFmtId="0" fontId="0" fillId="24" borderId="1" xfId="0" applyFill="1" applyBorder="1" applyAlignment="1">
      <alignment horizontal="center" vertical="center"/>
    </xf>
    <xf numFmtId="0" fontId="0" fillId="25" borderId="1" xfId="0" applyFill="1" applyBorder="1" applyAlignment="1">
      <alignment horizontal="center" vertical="center"/>
    </xf>
    <xf numFmtId="0" fontId="0" fillId="25" borderId="10" xfId="0" applyFill="1" applyBorder="1" applyAlignment="1">
      <alignment horizontal="center" vertical="center"/>
    </xf>
    <xf numFmtId="0" fontId="0" fillId="24" borderId="4" xfId="0" applyFill="1" applyBorder="1" applyAlignment="1">
      <alignment horizontal="center" vertical="center"/>
    </xf>
    <xf numFmtId="0" fontId="0" fillId="25" borderId="4" xfId="0" applyFill="1" applyBorder="1" applyAlignment="1">
      <alignment horizontal="center" vertical="center"/>
    </xf>
    <xf numFmtId="0" fontId="0" fillId="25" borderId="11" xfId="0" applyFill="1" applyBorder="1" applyAlignment="1">
      <alignment horizontal="center" vertical="center"/>
    </xf>
    <xf numFmtId="0" fontId="17" fillId="3" borderId="30" xfId="0" applyFont="1" applyFill="1" applyBorder="1" applyAlignment="1">
      <alignment horizontal="center" vertical="center" wrapText="1"/>
    </xf>
    <xf numFmtId="0" fontId="17" fillId="3" borderId="28" xfId="0" applyFont="1" applyFill="1" applyBorder="1" applyAlignment="1">
      <alignment horizontal="center" vertical="center"/>
    </xf>
    <xf numFmtId="166" fontId="12" fillId="6" borderId="10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0" fontId="22" fillId="18" borderId="9" xfId="43" applyFont="1" applyFill="1" applyBorder="1" applyAlignment="1">
      <alignment horizontal="center" vertical="center" wrapText="1"/>
    </xf>
    <xf numFmtId="0" fontId="19" fillId="0" borderId="0" xfId="43" applyFont="1" applyAlignment="1">
      <alignment horizontal="center" vertical="center"/>
    </xf>
    <xf numFmtId="0" fontId="43" fillId="3" borderId="0" xfId="0" applyFont="1" applyFill="1" applyAlignment="1">
      <alignment vertical="center"/>
    </xf>
    <xf numFmtId="0" fontId="17" fillId="3" borderId="0" xfId="0" applyFont="1" applyFill="1" applyAlignment="1">
      <alignment vertical="center"/>
    </xf>
    <xf numFmtId="170" fontId="22" fillId="3" borderId="10" xfId="0" applyNumberFormat="1" applyFont="1" applyFill="1" applyBorder="1" applyAlignment="1">
      <alignment horizontal="right" vertical="center"/>
    </xf>
    <xf numFmtId="0" fontId="17" fillId="3" borderId="0" xfId="0" applyFont="1" applyFill="1" applyAlignment="1">
      <alignment horizontal="center" vertical="center"/>
    </xf>
    <xf numFmtId="170" fontId="27" fillId="3" borderId="11" xfId="0" applyNumberFormat="1" applyFont="1" applyFill="1" applyBorder="1" applyAlignment="1">
      <alignment horizontal="right" vertical="center"/>
    </xf>
    <xf numFmtId="0" fontId="28" fillId="3" borderId="0" xfId="99" applyFont="1" applyFill="1"/>
    <xf numFmtId="0" fontId="20" fillId="3" borderId="42" xfId="33" applyFont="1" applyFill="1" applyBorder="1"/>
    <xf numFmtId="0" fontId="20" fillId="3" borderId="17" xfId="33" applyFont="1" applyFill="1" applyBorder="1"/>
    <xf numFmtId="0" fontId="58" fillId="3" borderId="17" xfId="33" applyFont="1" applyFill="1" applyBorder="1"/>
    <xf numFmtId="0" fontId="28" fillId="3" borderId="0" xfId="99" applyFont="1" applyFill="1" applyAlignment="1">
      <alignment horizontal="center" vertical="center"/>
    </xf>
    <xf numFmtId="0" fontId="29" fillId="3" borderId="0" xfId="99" quotePrefix="1" applyFont="1" applyFill="1" applyAlignment="1">
      <alignment horizontal="center" vertical="center"/>
    </xf>
    <xf numFmtId="0" fontId="26" fillId="8" borderId="29" xfId="99" applyFont="1" applyFill="1" applyBorder="1" applyAlignment="1">
      <alignment horizontal="center"/>
    </xf>
    <xf numFmtId="0" fontId="26" fillId="8" borderId="9" xfId="99" applyFont="1" applyFill="1" applyBorder="1" applyAlignment="1">
      <alignment horizontal="center"/>
    </xf>
    <xf numFmtId="0" fontId="28" fillId="11" borderId="1" xfId="99" applyFont="1" applyFill="1" applyBorder="1" applyAlignment="1">
      <alignment horizontal="center" vertical="center"/>
    </xf>
    <xf numFmtId="0" fontId="26" fillId="7" borderId="1" xfId="99" applyFont="1" applyFill="1" applyBorder="1" applyAlignment="1">
      <alignment horizontal="center" vertical="center"/>
    </xf>
    <xf numFmtId="0" fontId="29" fillId="13" borderId="30" xfId="99" applyFont="1" applyFill="1" applyBorder="1" applyAlignment="1">
      <alignment horizontal="right" vertical="center"/>
    </xf>
    <xf numFmtId="0" fontId="34" fillId="13" borderId="0" xfId="99" applyFont="1" applyFill="1" applyAlignment="1">
      <alignment horizontal="center"/>
    </xf>
    <xf numFmtId="0" fontId="31" fillId="13" borderId="0" xfId="99" applyFont="1" applyFill="1"/>
    <xf numFmtId="0" fontId="31" fillId="13" borderId="0" xfId="99" applyFont="1" applyFill="1" applyAlignment="1">
      <alignment horizontal="center"/>
    </xf>
    <xf numFmtId="0" fontId="28" fillId="3" borderId="0" xfId="99" applyFont="1" applyFill="1" applyAlignment="1">
      <alignment horizontal="center"/>
    </xf>
    <xf numFmtId="0" fontId="31" fillId="3" borderId="0" xfId="99" applyFont="1" applyFill="1" applyAlignment="1">
      <alignment horizontal="center"/>
    </xf>
    <xf numFmtId="0" fontId="28" fillId="3" borderId="31" xfId="99" applyFont="1" applyFill="1" applyBorder="1"/>
    <xf numFmtId="0" fontId="34" fillId="3" borderId="0" xfId="99" applyFont="1" applyFill="1"/>
    <xf numFmtId="0" fontId="34" fillId="3" borderId="0" xfId="99" applyFont="1" applyFill="1" applyAlignment="1">
      <alignment horizontal="center"/>
    </xf>
    <xf numFmtId="16" fontId="30" fillId="3" borderId="0" xfId="99" quotePrefix="1" applyNumberFormat="1" applyFont="1" applyFill="1" applyAlignment="1">
      <alignment horizontal="center" vertical="center"/>
    </xf>
    <xf numFmtId="0" fontId="28" fillId="13" borderId="30" xfId="99" applyFont="1" applyFill="1" applyBorder="1" applyAlignment="1">
      <alignment horizontal="center" vertical="center"/>
    </xf>
    <xf numFmtId="0" fontId="28" fillId="13" borderId="0" xfId="99" applyFont="1" applyFill="1"/>
    <xf numFmtId="1" fontId="28" fillId="13" borderId="30" xfId="99" applyNumberFormat="1" applyFont="1" applyFill="1" applyBorder="1" applyAlignment="1">
      <alignment horizontal="center" vertical="center"/>
    </xf>
    <xf numFmtId="0" fontId="29" fillId="3" borderId="0" xfId="99" applyFont="1" applyFill="1"/>
    <xf numFmtId="0" fontId="35" fillId="3" borderId="0" xfId="99" applyFont="1" applyFill="1"/>
    <xf numFmtId="0" fontId="28" fillId="17" borderId="1" xfId="99" applyFont="1" applyFill="1" applyBorder="1" applyAlignment="1">
      <alignment horizontal="center"/>
    </xf>
    <xf numFmtId="0" fontId="26" fillId="0" borderId="1" xfId="99" applyFont="1" applyBorder="1" applyAlignment="1">
      <alignment horizontal="center"/>
    </xf>
    <xf numFmtId="0" fontId="28" fillId="3" borderId="0" xfId="100" applyNumberFormat="1" applyFont="1" applyFill="1" applyBorder="1" applyAlignment="1">
      <alignment horizontal="center" vertical="center"/>
    </xf>
    <xf numFmtId="0" fontId="28" fillId="3" borderId="31" xfId="99" applyFont="1" applyFill="1" applyBorder="1" applyAlignment="1">
      <alignment horizontal="center" vertical="center"/>
    </xf>
    <xf numFmtId="0" fontId="34" fillId="13" borderId="0" xfId="99" applyFont="1" applyFill="1" applyAlignment="1">
      <alignment horizontal="left"/>
    </xf>
    <xf numFmtId="0" fontId="28" fillId="17" borderId="1" xfId="99" applyFont="1" applyFill="1" applyBorder="1" applyAlignment="1">
      <alignment horizontal="center" vertical="center"/>
    </xf>
    <xf numFmtId="0" fontId="26" fillId="0" borderId="9" xfId="99" applyFont="1" applyBorder="1" applyAlignment="1">
      <alignment horizontal="center"/>
    </xf>
    <xf numFmtId="0" fontId="28" fillId="3" borderId="0" xfId="99" applyFont="1" applyFill="1" applyAlignment="1">
      <alignment vertical="center"/>
    </xf>
    <xf numFmtId="0" fontId="31" fillId="3" borderId="0" xfId="99" applyFont="1" applyFill="1" applyAlignment="1">
      <alignment horizontal="center" vertical="center"/>
    </xf>
    <xf numFmtId="0" fontId="31" fillId="0" borderId="0" xfId="99" applyFont="1" applyAlignment="1">
      <alignment vertical="center"/>
    </xf>
    <xf numFmtId="0" fontId="28" fillId="3" borderId="30" xfId="99" applyFont="1" applyFill="1" applyBorder="1" applyAlignment="1">
      <alignment horizontal="center"/>
    </xf>
    <xf numFmtId="0" fontId="30" fillId="3" borderId="30" xfId="99" applyFont="1" applyFill="1" applyBorder="1" applyAlignment="1">
      <alignment horizontal="right" vertical="center"/>
    </xf>
    <xf numFmtId="0" fontId="30" fillId="3" borderId="0" xfId="99" quotePrefix="1" applyFont="1" applyFill="1" applyAlignment="1">
      <alignment horizontal="center" vertical="center"/>
    </xf>
    <xf numFmtId="0" fontId="30" fillId="3" borderId="0" xfId="99" applyFont="1" applyFill="1" applyAlignment="1">
      <alignment horizontal="center" vertical="center"/>
    </xf>
    <xf numFmtId="49" fontId="30" fillId="3" borderId="0" xfId="99" quotePrefix="1" applyNumberFormat="1" applyFont="1" applyFill="1" applyAlignment="1">
      <alignment horizontal="center" vertical="center"/>
    </xf>
    <xf numFmtId="0" fontId="31" fillId="3" borderId="31" xfId="99" applyFont="1" applyFill="1" applyBorder="1" applyAlignment="1">
      <alignment horizontal="center" vertical="center"/>
    </xf>
    <xf numFmtId="0" fontId="31" fillId="3" borderId="0" xfId="99" applyFont="1" applyFill="1"/>
    <xf numFmtId="0" fontId="28" fillId="3" borderId="30" xfId="99" applyFont="1" applyFill="1" applyBorder="1" applyAlignment="1">
      <alignment horizontal="center" vertical="center"/>
    </xf>
    <xf numFmtId="1" fontId="28" fillId="3" borderId="0" xfId="99" applyNumberFormat="1" applyFont="1" applyFill="1" applyAlignment="1">
      <alignment horizontal="center"/>
    </xf>
    <xf numFmtId="49" fontId="30" fillId="3" borderId="0" xfId="99" applyNumberFormat="1" applyFont="1" applyFill="1" applyAlignment="1">
      <alignment horizontal="center" vertical="center"/>
    </xf>
    <xf numFmtId="16" fontId="30" fillId="3" borderId="0" xfId="99" applyNumberFormat="1" applyFont="1" applyFill="1" applyAlignment="1">
      <alignment horizontal="center" vertical="center"/>
    </xf>
    <xf numFmtId="0" fontId="30" fillId="3" borderId="0" xfId="99" applyFont="1" applyFill="1"/>
    <xf numFmtId="0" fontId="30" fillId="3" borderId="31" xfId="99" applyFont="1" applyFill="1" applyBorder="1"/>
    <xf numFmtId="1" fontId="28" fillId="3" borderId="30" xfId="99" applyNumberFormat="1" applyFont="1" applyFill="1" applyBorder="1" applyAlignment="1">
      <alignment vertical="center"/>
    </xf>
    <xf numFmtId="9" fontId="28" fillId="3" borderId="30" xfId="101" applyFont="1" applyFill="1" applyBorder="1" applyAlignment="1">
      <alignment vertical="center"/>
    </xf>
    <xf numFmtId="0" fontId="26" fillId="0" borderId="1" xfId="99" applyFont="1" applyBorder="1" applyAlignment="1">
      <alignment horizontal="center" vertical="center"/>
    </xf>
    <xf numFmtId="0" fontId="26" fillId="3" borderId="9" xfId="99" applyFont="1" applyFill="1" applyBorder="1" applyAlignment="1">
      <alignment horizontal="center"/>
    </xf>
    <xf numFmtId="0" fontId="30" fillId="3" borderId="30" xfId="99" applyFont="1" applyFill="1" applyBorder="1" applyAlignment="1">
      <alignment horizontal="center" vertical="center"/>
    </xf>
    <xf numFmtId="0" fontId="31" fillId="11" borderId="0" xfId="99" applyFont="1" applyFill="1" applyAlignment="1">
      <alignment horizontal="center" vertical="center"/>
    </xf>
    <xf numFmtId="1" fontId="28" fillId="0" borderId="30" xfId="99" applyNumberFormat="1" applyFont="1" applyBorder="1" applyAlignment="1">
      <alignment vertical="center"/>
    </xf>
    <xf numFmtId="0" fontId="28" fillId="0" borderId="0" xfId="100" applyNumberFormat="1" applyFont="1" applyFill="1" applyBorder="1" applyAlignment="1">
      <alignment horizontal="center" vertical="center"/>
    </xf>
    <xf numFmtId="0" fontId="28" fillId="0" borderId="31" xfId="99" applyFont="1" applyBorder="1" applyAlignment="1">
      <alignment horizontal="center" vertical="center"/>
    </xf>
    <xf numFmtId="0" fontId="28" fillId="0" borderId="0" xfId="99" applyFont="1"/>
    <xf numFmtId="0" fontId="32" fillId="3" borderId="30" xfId="99" applyFont="1" applyFill="1" applyBorder="1" applyAlignment="1">
      <alignment horizontal="center" vertical="center"/>
    </xf>
    <xf numFmtId="0" fontId="28" fillId="3" borderId="0" xfId="99" applyFont="1" applyFill="1" applyAlignment="1">
      <alignment horizontal="right" vertical="center"/>
    </xf>
    <xf numFmtId="0" fontId="32" fillId="3" borderId="0" xfId="99" applyFont="1" applyFill="1"/>
    <xf numFmtId="0" fontId="28" fillId="3" borderId="66" xfId="99" applyFont="1" applyFill="1" applyBorder="1" applyAlignment="1">
      <alignment horizontal="center"/>
    </xf>
    <xf numFmtId="0" fontId="28" fillId="3" borderId="67" xfId="99" applyFont="1" applyFill="1" applyBorder="1" applyAlignment="1">
      <alignment horizontal="center" vertical="center"/>
    </xf>
    <xf numFmtId="0" fontId="28" fillId="3" borderId="68" xfId="99" applyFont="1" applyFill="1" applyBorder="1"/>
    <xf numFmtId="0" fontId="26" fillId="11" borderId="9" xfId="99" applyFont="1" applyFill="1" applyBorder="1" applyAlignment="1">
      <alignment horizontal="center"/>
    </xf>
    <xf numFmtId="0" fontId="28" fillId="3" borderId="0" xfId="99" applyFont="1" applyFill="1" applyAlignment="1">
      <alignment horizontal="left" vertical="center"/>
    </xf>
    <xf numFmtId="0" fontId="31" fillId="11" borderId="1" xfId="99" applyFont="1" applyFill="1" applyBorder="1" applyAlignment="1">
      <alignment horizontal="center" vertical="center"/>
    </xf>
    <xf numFmtId="0" fontId="31" fillId="0" borderId="30" xfId="99" applyFont="1" applyBorder="1" applyAlignment="1">
      <alignment horizontal="left" vertical="center"/>
    </xf>
    <xf numFmtId="0" fontId="29" fillId="3" borderId="30" xfId="99" applyFont="1" applyFill="1" applyBorder="1" applyAlignment="1">
      <alignment horizontal="right" vertical="center"/>
    </xf>
    <xf numFmtId="0" fontId="28" fillId="3" borderId="30" xfId="99" applyFont="1" applyFill="1" applyBorder="1" applyAlignment="1">
      <alignment vertical="top" wrapText="1"/>
    </xf>
    <xf numFmtId="0" fontId="28" fillId="3" borderId="0" xfId="99" applyFont="1" applyFill="1" applyAlignment="1">
      <alignment vertical="top"/>
    </xf>
    <xf numFmtId="0" fontId="28" fillId="3" borderId="30" xfId="99" applyFont="1" applyFill="1" applyBorder="1" applyAlignment="1">
      <alignment horizontal="center" vertical="top" wrapText="1"/>
    </xf>
    <xf numFmtId="0" fontId="28" fillId="3" borderId="0" xfId="99" quotePrefix="1" applyFont="1" applyFill="1" applyAlignment="1">
      <alignment horizontal="center" vertical="center"/>
    </xf>
    <xf numFmtId="0" fontId="30" fillId="3" borderId="31" xfId="99" applyFont="1" applyFill="1" applyBorder="1" applyAlignment="1">
      <alignment horizontal="center" vertical="center"/>
    </xf>
    <xf numFmtId="0" fontId="28" fillId="3" borderId="0" xfId="100" applyNumberFormat="1" applyFont="1" applyFill="1" applyBorder="1" applyAlignment="1">
      <alignment horizontal="left" vertical="center"/>
    </xf>
    <xf numFmtId="0" fontId="26" fillId="0" borderId="0" xfId="99" applyFont="1" applyAlignment="1">
      <alignment horizontal="center"/>
    </xf>
    <xf numFmtId="0" fontId="31" fillId="3" borderId="67" xfId="99" applyFont="1" applyFill="1" applyBorder="1" applyAlignment="1">
      <alignment horizontal="center" vertical="center"/>
    </xf>
    <xf numFmtId="0" fontId="28" fillId="3" borderId="67" xfId="99" applyFont="1" applyFill="1" applyBorder="1" applyAlignment="1">
      <alignment vertical="center" wrapText="1"/>
    </xf>
    <xf numFmtId="0" fontId="28" fillId="3" borderId="67" xfId="99" applyFont="1" applyFill="1" applyBorder="1"/>
    <xf numFmtId="0" fontId="9" fillId="3" borderId="0" xfId="102" applyFill="1"/>
    <xf numFmtId="0" fontId="12" fillId="3" borderId="0" xfId="102" applyFont="1" applyFill="1" applyAlignment="1">
      <alignment horizontal="left"/>
    </xf>
    <xf numFmtId="0" fontId="34" fillId="3" borderId="0" xfId="103" applyFont="1" applyFill="1"/>
    <xf numFmtId="0" fontId="12" fillId="0" borderId="0" xfId="102" applyFont="1"/>
    <xf numFmtId="0" fontId="31" fillId="3" borderId="20" xfId="99" applyFont="1" applyFill="1" applyBorder="1" applyAlignment="1">
      <alignment horizontal="center" vertical="center" wrapText="1"/>
    </xf>
    <xf numFmtId="0" fontId="28" fillId="3" borderId="74" xfId="99" applyFont="1" applyFill="1" applyBorder="1"/>
    <xf numFmtId="0" fontId="31" fillId="3" borderId="20" xfId="99" applyFont="1" applyFill="1" applyBorder="1"/>
    <xf numFmtId="0" fontId="20" fillId="18" borderId="1" xfId="43" applyFont="1" applyFill="1" applyBorder="1" applyAlignment="1">
      <alignment horizontal="center" vertical="center" wrapText="1"/>
    </xf>
    <xf numFmtId="14" fontId="20" fillId="18" borderId="1" xfId="43" applyNumberFormat="1" applyFont="1" applyFill="1" applyBorder="1" applyAlignment="1">
      <alignment horizontal="center" vertical="center" wrapText="1"/>
    </xf>
    <xf numFmtId="0" fontId="21" fillId="0" borderId="1" xfId="43" quotePrefix="1" applyFont="1" applyBorder="1" applyAlignment="1">
      <alignment horizontal="center" vertical="center"/>
    </xf>
    <xf numFmtId="0" fontId="21" fillId="20" borderId="1" xfId="43" quotePrefix="1" applyFont="1" applyFill="1" applyBorder="1" applyAlignment="1">
      <alignment horizontal="center" vertical="center"/>
    </xf>
    <xf numFmtId="0" fontId="20" fillId="0" borderId="1" xfId="43" quotePrefix="1" applyFont="1" applyBorder="1" applyAlignment="1">
      <alignment horizontal="center" vertical="center"/>
    </xf>
    <xf numFmtId="0" fontId="20" fillId="0" borderId="1" xfId="43" quotePrefix="1" applyFont="1" applyBorder="1" applyAlignment="1">
      <alignment horizontal="left" vertical="center" indent="1"/>
    </xf>
    <xf numFmtId="0" fontId="21" fillId="29" borderId="1" xfId="43" quotePrefix="1" applyFont="1" applyFill="1" applyBorder="1" applyAlignment="1">
      <alignment horizontal="center" vertical="center"/>
    </xf>
    <xf numFmtId="0" fontId="17" fillId="0" borderId="1" xfId="43" quotePrefix="1" applyFont="1" applyBorder="1" applyAlignment="1">
      <alignment horizontal="right" vertical="center"/>
    </xf>
    <xf numFmtId="0" fontId="21" fillId="3" borderId="1" xfId="43" quotePrefix="1" applyFont="1" applyFill="1" applyBorder="1" applyAlignment="1">
      <alignment horizontal="center" vertical="center"/>
    </xf>
    <xf numFmtId="0" fontId="20" fillId="0" borderId="1" xfId="43" applyFont="1" applyBorder="1" applyAlignment="1">
      <alignment horizontal="left" vertical="center" indent="1"/>
    </xf>
    <xf numFmtId="0" fontId="21" fillId="0" borderId="1" xfId="43" quotePrefix="1" applyFont="1" applyBorder="1" applyAlignment="1">
      <alignment horizontal="left" vertical="center" indent="1"/>
    </xf>
    <xf numFmtId="166" fontId="22" fillId="0" borderId="1" xfId="43" applyNumberFormat="1" applyFont="1" applyBorder="1" applyAlignment="1">
      <alignment horizontal="center" vertical="center"/>
    </xf>
    <xf numFmtId="0" fontId="21" fillId="0" borderId="1" xfId="43" applyFont="1" applyBorder="1" applyAlignment="1">
      <alignment horizontal="center" vertical="center"/>
    </xf>
    <xf numFmtId="0" fontId="60" fillId="0" borderId="0" xfId="105" applyFont="1">
      <alignment vertical="center"/>
    </xf>
    <xf numFmtId="0" fontId="21" fillId="11" borderId="1" xfId="43" quotePrefix="1" applyFont="1" applyFill="1" applyBorder="1" applyAlignment="1">
      <alignment horizontal="center" vertical="center"/>
    </xf>
    <xf numFmtId="0" fontId="20" fillId="11" borderId="1" xfId="43" quotePrefix="1" applyFont="1" applyFill="1" applyBorder="1" applyAlignment="1">
      <alignment horizontal="left" vertical="center" indent="1"/>
    </xf>
    <xf numFmtId="0" fontId="17" fillId="3" borderId="9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/>
    </xf>
    <xf numFmtId="0" fontId="13" fillId="3" borderId="9" xfId="0" applyFont="1" applyFill="1" applyBorder="1" applyAlignment="1">
      <alignment horizontal="center"/>
    </xf>
    <xf numFmtId="0" fontId="13" fillId="3" borderId="3" xfId="0" applyFont="1" applyFill="1" applyBorder="1" applyAlignment="1">
      <alignment horizontal="center"/>
    </xf>
    <xf numFmtId="0" fontId="25" fillId="3" borderId="1" xfId="0" applyFont="1" applyFill="1" applyBorder="1" applyAlignment="1">
      <alignment horizontal="center"/>
    </xf>
    <xf numFmtId="0" fontId="25" fillId="3" borderId="3" xfId="0" applyFont="1" applyFill="1" applyBorder="1" applyAlignment="1">
      <alignment horizontal="center"/>
    </xf>
    <xf numFmtId="0" fontId="0" fillId="0" borderId="9" xfId="0" applyBorder="1" applyAlignment="1">
      <alignment vertical="center"/>
    </xf>
    <xf numFmtId="0" fontId="0" fillId="24" borderId="9" xfId="0" applyFill="1" applyBorder="1" applyAlignment="1">
      <alignment horizontal="center" vertical="center"/>
    </xf>
    <xf numFmtId="0" fontId="22" fillId="18" borderId="3" xfId="43" applyFont="1" applyFill="1" applyBorder="1" applyAlignment="1">
      <alignment horizontal="center" vertical="center" wrapText="1"/>
    </xf>
    <xf numFmtId="14" fontId="22" fillId="18" borderId="3" xfId="43" applyNumberFormat="1" applyFont="1" applyFill="1" applyBorder="1" applyAlignment="1">
      <alignment horizontal="center" vertical="center" wrapText="1"/>
    </xf>
    <xf numFmtId="0" fontId="19" fillId="0" borderId="77" xfId="43" quotePrefix="1" applyFont="1" applyBorder="1" applyAlignment="1">
      <alignment horizontal="center" vertical="center"/>
    </xf>
    <xf numFmtId="0" fontId="19" fillId="20" borderId="78" xfId="43" quotePrefix="1" applyFont="1" applyFill="1" applyBorder="1" applyAlignment="1">
      <alignment horizontal="center" vertical="center"/>
    </xf>
    <xf numFmtId="0" fontId="19" fillId="0" borderId="78" xfId="43" quotePrefix="1" applyFont="1" applyBorder="1" applyAlignment="1">
      <alignment horizontal="center" vertical="center"/>
    </xf>
    <xf numFmtId="0" fontId="19" fillId="0" borderId="78" xfId="43" quotePrefix="1" applyFont="1" applyBorder="1" applyAlignment="1">
      <alignment horizontal="left" vertical="center" indent="1"/>
    </xf>
    <xf numFmtId="0" fontId="19" fillId="3" borderId="78" xfId="43" quotePrefix="1" applyFont="1" applyFill="1" applyBorder="1" applyAlignment="1">
      <alignment horizontal="center" vertical="center"/>
    </xf>
    <xf numFmtId="0" fontId="19" fillId="0" borderId="79" xfId="43" quotePrefix="1" applyFont="1" applyBorder="1" applyAlignment="1">
      <alignment horizontal="center" vertical="center"/>
    </xf>
    <xf numFmtId="0" fontId="19" fillId="0" borderId="80" xfId="43" quotePrefix="1" applyFont="1" applyBorder="1" applyAlignment="1">
      <alignment horizontal="center" vertical="center"/>
    </xf>
    <xf numFmtId="0" fontId="19" fillId="20" borderId="81" xfId="43" quotePrefix="1" applyFont="1" applyFill="1" applyBorder="1" applyAlignment="1">
      <alignment horizontal="center" vertical="center"/>
    </xf>
    <xf numFmtId="0" fontId="19" fillId="0" borderId="81" xfId="43" quotePrefix="1" applyFont="1" applyBorder="1" applyAlignment="1">
      <alignment horizontal="center" vertical="center"/>
    </xf>
    <xf numFmtId="0" fontId="19" fillId="0" borderId="81" xfId="43" applyFont="1" applyBorder="1" applyAlignment="1">
      <alignment horizontal="left" vertical="center" indent="1"/>
    </xf>
    <xf numFmtId="0" fontId="19" fillId="3" borderId="81" xfId="43" quotePrefix="1" applyFont="1" applyFill="1" applyBorder="1" applyAlignment="1">
      <alignment horizontal="center" vertical="center"/>
    </xf>
    <xf numFmtId="0" fontId="19" fillId="0" borderId="82" xfId="43" quotePrefix="1" applyFont="1" applyBorder="1" applyAlignment="1">
      <alignment horizontal="center" vertical="center"/>
    </xf>
    <xf numFmtId="0" fontId="19" fillId="0" borderId="81" xfId="43" quotePrefix="1" applyFont="1" applyBorder="1" applyAlignment="1">
      <alignment horizontal="left" vertical="center" indent="1"/>
    </xf>
    <xf numFmtId="0" fontId="19" fillId="11" borderId="81" xfId="43" quotePrefix="1" applyFont="1" applyFill="1" applyBorder="1" applyAlignment="1">
      <alignment horizontal="center" vertical="center"/>
    </xf>
    <xf numFmtId="0" fontId="19" fillId="0" borderId="81" xfId="43" applyFont="1" applyBorder="1" applyAlignment="1">
      <alignment horizontal="center" vertical="center"/>
    </xf>
    <xf numFmtId="0" fontId="19" fillId="0" borderId="83" xfId="43" quotePrefix="1" applyFont="1" applyBorder="1" applyAlignment="1">
      <alignment horizontal="center" vertical="center"/>
    </xf>
    <xf numFmtId="0" fontId="19" fillId="20" borderId="84" xfId="43" quotePrefix="1" applyFont="1" applyFill="1" applyBorder="1" applyAlignment="1">
      <alignment horizontal="center" vertical="center"/>
    </xf>
    <xf numFmtId="0" fontId="19" fillId="0" borderId="84" xfId="43" quotePrefix="1" applyFont="1" applyBorder="1" applyAlignment="1">
      <alignment horizontal="center" vertical="center"/>
    </xf>
    <xf numFmtId="0" fontId="19" fillId="0" borderId="84" xfId="43" quotePrefix="1" applyFont="1" applyBorder="1" applyAlignment="1">
      <alignment horizontal="left" vertical="center" indent="1"/>
    </xf>
    <xf numFmtId="0" fontId="19" fillId="3" borderId="84" xfId="43" quotePrefix="1" applyFont="1" applyFill="1" applyBorder="1" applyAlignment="1">
      <alignment horizontal="center" vertical="center"/>
    </xf>
    <xf numFmtId="0" fontId="19" fillId="0" borderId="85" xfId="43" quotePrefix="1" applyFont="1" applyBorder="1" applyAlignment="1">
      <alignment horizontal="center" vertical="center"/>
    </xf>
    <xf numFmtId="0" fontId="22" fillId="3" borderId="12" xfId="0" applyFont="1" applyFill="1" applyBorder="1" applyAlignment="1">
      <alignment horizontal="left" vertical="center" wrapText="1"/>
    </xf>
    <xf numFmtId="0" fontId="17" fillId="3" borderId="12" xfId="0" applyFont="1" applyFill="1" applyBorder="1" applyAlignment="1">
      <alignment horizontal="left" vertical="center" wrapText="1"/>
    </xf>
    <xf numFmtId="0" fontId="17" fillId="3" borderId="28" xfId="0" applyFont="1" applyFill="1" applyBorder="1" applyAlignment="1">
      <alignment horizontal="left" vertical="center" wrapText="1"/>
    </xf>
    <xf numFmtId="0" fontId="17" fillId="3" borderId="24" xfId="0" applyFont="1" applyFill="1" applyBorder="1" applyAlignment="1">
      <alignment horizontal="left" vertical="center"/>
    </xf>
    <xf numFmtId="0" fontId="17" fillId="3" borderId="0" xfId="0" applyFont="1" applyFill="1" applyAlignment="1">
      <alignment horizontal="left" vertical="center"/>
    </xf>
    <xf numFmtId="172" fontId="0" fillId="3" borderId="1" xfId="0" applyNumberFormat="1" applyFill="1" applyBorder="1" applyAlignment="1">
      <alignment horizontal="center" vertical="center"/>
    </xf>
    <xf numFmtId="166" fontId="12" fillId="3" borderId="1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20" fillId="3" borderId="1" xfId="43" quotePrefix="1" applyFont="1" applyFill="1" applyBorder="1" applyAlignment="1">
      <alignment horizontal="left" vertical="center" indent="1"/>
    </xf>
    <xf numFmtId="0" fontId="22" fillId="3" borderId="1" xfId="43" applyFont="1" applyFill="1" applyBorder="1" applyAlignment="1">
      <alignment horizontal="center" vertical="center"/>
    </xf>
    <xf numFmtId="2" fontId="22" fillId="3" borderId="1" xfId="43" applyNumberFormat="1" applyFont="1" applyFill="1" applyBorder="1" applyAlignment="1">
      <alignment horizontal="center" vertical="center"/>
    </xf>
    <xf numFmtId="166" fontId="22" fillId="3" borderId="1" xfId="43" applyNumberFormat="1" applyFont="1" applyFill="1" applyBorder="1" applyAlignment="1">
      <alignment horizontal="center" vertical="center"/>
    </xf>
    <xf numFmtId="2" fontId="20" fillId="3" borderId="1" xfId="43" quotePrefix="1" applyNumberFormat="1" applyFont="1" applyFill="1" applyBorder="1" applyAlignment="1">
      <alignment horizontal="center" vertical="center"/>
    </xf>
    <xf numFmtId="166" fontId="20" fillId="3" borderId="1" xfId="43" quotePrefix="1" applyNumberFormat="1" applyFont="1" applyFill="1" applyBorder="1" applyAlignment="1">
      <alignment horizontal="center" vertical="center"/>
    </xf>
    <xf numFmtId="166" fontId="22" fillId="3" borderId="1" xfId="43" applyNumberFormat="1" applyFont="1" applyFill="1" applyBorder="1" applyAlignment="1">
      <alignment horizontal="left" vertical="center" indent="3"/>
    </xf>
    <xf numFmtId="166" fontId="23" fillId="3" borderId="1" xfId="43" applyNumberFormat="1" applyFont="1" applyFill="1" applyBorder="1" applyAlignment="1">
      <alignment horizontal="center" vertical="center"/>
    </xf>
    <xf numFmtId="166" fontId="22" fillId="3" borderId="1" xfId="43" applyNumberFormat="1" applyFont="1" applyFill="1" applyBorder="1" applyAlignment="1">
      <alignment vertical="center"/>
    </xf>
    <xf numFmtId="170" fontId="17" fillId="3" borderId="22" xfId="35" applyNumberFormat="1" applyFont="1" applyFill="1" applyBorder="1" applyAlignment="1">
      <alignment horizontal="center" vertical="center"/>
    </xf>
    <xf numFmtId="0" fontId="23" fillId="3" borderId="1" xfId="0" applyFont="1" applyFill="1" applyBorder="1" applyAlignment="1">
      <alignment horizontal="center" vertical="center" wrapText="1"/>
    </xf>
    <xf numFmtId="0" fontId="9" fillId="0" borderId="0" xfId="106"/>
    <xf numFmtId="0" fontId="50" fillId="0" borderId="2" xfId="106" applyFont="1" applyBorder="1" applyAlignment="1">
      <alignment horizontal="center" vertical="center"/>
    </xf>
    <xf numFmtId="0" fontId="51" fillId="0" borderId="1" xfId="106" applyFont="1" applyBorder="1" applyAlignment="1" applyProtection="1">
      <alignment horizontal="left" vertical="center"/>
      <protection hidden="1"/>
    </xf>
    <xf numFmtId="0" fontId="9" fillId="0" borderId="1" xfId="106" applyBorder="1" applyAlignment="1">
      <alignment vertical="center"/>
    </xf>
    <xf numFmtId="0" fontId="9" fillId="0" borderId="10" xfId="106" applyBorder="1" applyAlignment="1">
      <alignment vertical="center"/>
    </xf>
    <xf numFmtId="0" fontId="49" fillId="3" borderId="5" xfId="106" applyFont="1" applyFill="1" applyBorder="1" applyAlignment="1">
      <alignment horizontal="center" vertical="center" wrapText="1"/>
    </xf>
    <xf numFmtId="0" fontId="49" fillId="3" borderId="6" xfId="106" applyFont="1" applyFill="1" applyBorder="1" applyAlignment="1">
      <alignment horizontal="center" vertical="center" wrapText="1"/>
    </xf>
    <xf numFmtId="0" fontId="49" fillId="3" borderId="24" xfId="106" applyFont="1" applyFill="1" applyBorder="1" applyAlignment="1">
      <alignment horizontal="center" vertical="center" wrapText="1"/>
    </xf>
    <xf numFmtId="0" fontId="49" fillId="3" borderId="54" xfId="106" applyFont="1" applyFill="1" applyBorder="1" applyAlignment="1">
      <alignment horizontal="center" vertical="center"/>
    </xf>
    <xf numFmtId="0" fontId="52" fillId="3" borderId="29" xfId="106" applyFont="1" applyFill="1" applyBorder="1" applyAlignment="1" applyProtection="1">
      <alignment horizontal="left" vertical="center"/>
      <protection hidden="1"/>
    </xf>
    <xf numFmtId="0" fontId="49" fillId="3" borderId="29" xfId="106" applyFont="1" applyFill="1" applyBorder="1" applyAlignment="1">
      <alignment horizontal="center" vertical="center"/>
    </xf>
    <xf numFmtId="0" fontId="49" fillId="3" borderId="29" xfId="106" applyFont="1" applyFill="1" applyBorder="1" applyAlignment="1">
      <alignment horizontal="center" vertical="center" wrapText="1"/>
    </xf>
    <xf numFmtId="0" fontId="49" fillId="3" borderId="39" xfId="106" applyFont="1" applyFill="1" applyBorder="1" applyAlignment="1">
      <alignment horizontal="center" vertical="center" wrapText="1"/>
    </xf>
    <xf numFmtId="0" fontId="49" fillId="3" borderId="31" xfId="106" applyFont="1" applyFill="1" applyBorder="1" applyAlignment="1">
      <alignment horizontal="center" vertical="center"/>
    </xf>
    <xf numFmtId="0" fontId="17" fillId="0" borderId="14" xfId="106" applyFont="1" applyBorder="1" applyAlignment="1" applyProtection="1">
      <alignment horizontal="center" vertical="center"/>
      <protection hidden="1"/>
    </xf>
    <xf numFmtId="0" fontId="50" fillId="3" borderId="2" xfId="106" applyFont="1" applyFill="1" applyBorder="1" applyAlignment="1">
      <alignment horizontal="center" vertical="center"/>
    </xf>
    <xf numFmtId="0" fontId="50" fillId="3" borderId="1" xfId="106" applyFont="1" applyFill="1" applyBorder="1" applyAlignment="1" applyProtection="1">
      <alignment horizontal="left" vertical="center"/>
      <protection hidden="1"/>
    </xf>
    <xf numFmtId="0" fontId="17" fillId="3" borderId="1" xfId="106" applyFont="1" applyFill="1" applyBorder="1" applyAlignment="1" applyProtection="1">
      <alignment horizontal="center" vertical="center"/>
      <protection hidden="1"/>
    </xf>
    <xf numFmtId="1" fontId="50" fillId="3" borderId="1" xfId="106" applyNumberFormat="1" applyFont="1" applyFill="1" applyBorder="1" applyAlignment="1" applyProtection="1">
      <alignment horizontal="center" vertical="center"/>
      <protection hidden="1"/>
    </xf>
    <xf numFmtId="1" fontId="9" fillId="3" borderId="1" xfId="106" applyNumberFormat="1" applyFill="1" applyBorder="1" applyAlignment="1" applyProtection="1">
      <alignment horizontal="center" vertical="center"/>
      <protection hidden="1"/>
    </xf>
    <xf numFmtId="1" fontId="17" fillId="3" borderId="1" xfId="106" applyNumberFormat="1" applyFont="1" applyFill="1" applyBorder="1" applyAlignment="1">
      <alignment horizontal="center" vertical="center"/>
    </xf>
    <xf numFmtId="0" fontId="17" fillId="3" borderId="14" xfId="106" applyFont="1" applyFill="1" applyBorder="1" applyAlignment="1" applyProtection="1">
      <alignment horizontal="center" vertical="center"/>
      <protection hidden="1"/>
    </xf>
    <xf numFmtId="1" fontId="44" fillId="3" borderId="10" xfId="106" applyNumberFormat="1" applyFont="1" applyFill="1" applyBorder="1" applyAlignment="1">
      <alignment horizontal="center" vertical="center"/>
    </xf>
    <xf numFmtId="0" fontId="17" fillId="0" borderId="2" xfId="106" applyFont="1" applyBorder="1" applyAlignment="1">
      <alignment horizontal="center" vertical="center"/>
    </xf>
    <xf numFmtId="0" fontId="17" fillId="3" borderId="1" xfId="106" applyFont="1" applyFill="1" applyBorder="1" applyAlignment="1">
      <alignment horizontal="left" vertical="center"/>
    </xf>
    <xf numFmtId="1" fontId="9" fillId="3" borderId="1" xfId="106" applyNumberFormat="1" applyFill="1" applyBorder="1" applyAlignment="1">
      <alignment horizontal="center" vertical="center"/>
    </xf>
    <xf numFmtId="1" fontId="44" fillId="3" borderId="10" xfId="106" applyNumberFormat="1" applyFont="1" applyFill="1" applyBorder="1" applyAlignment="1">
      <alignment horizontal="center" vertical="center" wrapText="1"/>
    </xf>
    <xf numFmtId="0" fontId="9" fillId="3" borderId="1" xfId="106" applyFill="1" applyBorder="1" applyAlignment="1">
      <alignment horizontal="center" vertical="center"/>
    </xf>
    <xf numFmtId="166" fontId="9" fillId="0" borderId="1" xfId="106" applyNumberFormat="1" applyBorder="1" applyAlignment="1">
      <alignment horizontal="center"/>
    </xf>
    <xf numFmtId="1" fontId="9" fillId="0" borderId="1" xfId="106" applyNumberFormat="1" applyBorder="1" applyAlignment="1">
      <alignment horizontal="center" vertical="center"/>
    </xf>
    <xf numFmtId="0" fontId="17" fillId="0" borderId="8" xfId="106" applyFont="1" applyBorder="1" applyAlignment="1">
      <alignment horizontal="center" vertical="center"/>
    </xf>
    <xf numFmtId="0" fontId="22" fillId="10" borderId="4" xfId="106" applyFont="1" applyFill="1" applyBorder="1" applyAlignment="1">
      <alignment horizontal="left" vertical="center"/>
    </xf>
    <xf numFmtId="0" fontId="55" fillId="0" borderId="4" xfId="106" applyFont="1" applyBorder="1" applyAlignment="1">
      <alignment vertical="center"/>
    </xf>
    <xf numFmtId="0" fontId="53" fillId="3" borderId="4" xfId="106" applyFont="1" applyFill="1" applyBorder="1" applyAlignment="1">
      <alignment horizontal="center" vertical="center" wrapText="1"/>
    </xf>
    <xf numFmtId="1" fontId="53" fillId="3" borderId="4" xfId="106" applyNumberFormat="1" applyFont="1" applyFill="1" applyBorder="1" applyAlignment="1">
      <alignment horizontal="center" vertical="center" wrapText="1"/>
    </xf>
    <xf numFmtId="0" fontId="53" fillId="3" borderId="11" xfId="106" applyFont="1" applyFill="1" applyBorder="1" applyAlignment="1">
      <alignment horizontal="center" vertical="center" wrapText="1"/>
    </xf>
    <xf numFmtId="0" fontId="17" fillId="0" borderId="13" xfId="106" applyFont="1" applyBorder="1" applyAlignment="1">
      <alignment horizontal="center" vertical="center"/>
    </xf>
    <xf numFmtId="0" fontId="50" fillId="3" borderId="14" xfId="106" applyFont="1" applyFill="1" applyBorder="1" applyAlignment="1" applyProtection="1">
      <alignment horizontal="left" vertical="center"/>
      <protection hidden="1"/>
    </xf>
    <xf numFmtId="0" fontId="17" fillId="0" borderId="14" xfId="106" applyFont="1" applyBorder="1" applyAlignment="1">
      <alignment horizontal="center" vertical="center"/>
    </xf>
    <xf numFmtId="1" fontId="9" fillId="3" borderId="14" xfId="106" applyNumberFormat="1" applyFill="1" applyBorder="1" applyAlignment="1" applyProtection="1">
      <alignment horizontal="center" vertical="center"/>
      <protection hidden="1"/>
    </xf>
    <xf numFmtId="1" fontId="44" fillId="3" borderId="16" xfId="106" applyNumberFormat="1" applyFont="1" applyFill="1" applyBorder="1" applyAlignment="1">
      <alignment horizontal="center" vertical="center" wrapText="1"/>
    </xf>
    <xf numFmtId="0" fontId="17" fillId="3" borderId="1" xfId="104" applyFont="1" applyFill="1" applyBorder="1" applyAlignment="1" applyProtection="1">
      <alignment horizontal="center" vertical="center"/>
      <protection hidden="1"/>
    </xf>
    <xf numFmtId="0" fontId="17" fillId="0" borderId="1" xfId="104" applyFont="1" applyBorder="1" applyAlignment="1">
      <alignment horizontal="center" vertical="center"/>
    </xf>
    <xf numFmtId="0" fontId="17" fillId="0" borderId="1" xfId="106" applyFont="1" applyBorder="1" applyAlignment="1">
      <alignment horizontal="center" vertical="center"/>
    </xf>
    <xf numFmtId="0" fontId="56" fillId="3" borderId="1" xfId="106" applyFont="1" applyFill="1" applyBorder="1" applyAlignment="1">
      <alignment horizontal="center" vertical="center"/>
    </xf>
    <xf numFmtId="0" fontId="17" fillId="3" borderId="4" xfId="106" applyFont="1" applyFill="1" applyBorder="1" applyAlignment="1" applyProtection="1">
      <alignment horizontal="center" vertical="center"/>
      <protection hidden="1"/>
    </xf>
    <xf numFmtId="0" fontId="22" fillId="0" borderId="14" xfId="106" applyFont="1" applyBorder="1" applyAlignment="1">
      <alignment horizontal="center" vertical="center"/>
    </xf>
    <xf numFmtId="1" fontId="12" fillId="3" borderId="14" xfId="106" applyNumberFormat="1" applyFont="1" applyFill="1" applyBorder="1" applyAlignment="1" applyProtection="1">
      <alignment horizontal="center" vertical="center"/>
      <protection hidden="1"/>
    </xf>
    <xf numFmtId="1" fontId="17" fillId="0" borderId="1" xfId="106" applyNumberFormat="1" applyFont="1" applyBorder="1" applyAlignment="1">
      <alignment horizontal="center" vertical="center"/>
    </xf>
    <xf numFmtId="0" fontId="22" fillId="3" borderId="1" xfId="106" applyFont="1" applyFill="1" applyBorder="1" applyAlignment="1">
      <alignment horizontal="left" vertical="center"/>
    </xf>
    <xf numFmtId="1" fontId="57" fillId="3" borderId="4" xfId="106" applyNumberFormat="1" applyFont="1" applyFill="1" applyBorder="1" applyAlignment="1">
      <alignment horizontal="center" vertical="center"/>
    </xf>
    <xf numFmtId="0" fontId="57" fillId="3" borderId="4" xfId="106" applyFont="1" applyFill="1" applyBorder="1" applyAlignment="1">
      <alignment horizontal="center" vertical="center"/>
    </xf>
    <xf numFmtId="0" fontId="57" fillId="3" borderId="11" xfId="106" applyFont="1" applyFill="1" applyBorder="1" applyAlignment="1">
      <alignment horizontal="center" vertical="center"/>
    </xf>
    <xf numFmtId="0" fontId="50" fillId="3" borderId="9" xfId="106" applyFont="1" applyFill="1" applyBorder="1" applyAlignment="1" applyProtection="1">
      <alignment horizontal="left" vertical="center"/>
      <protection hidden="1"/>
    </xf>
    <xf numFmtId="172" fontId="57" fillId="3" borderId="4" xfId="106" applyNumberFormat="1" applyFont="1" applyFill="1" applyBorder="1" applyAlignment="1">
      <alignment horizontal="center" vertical="center"/>
    </xf>
    <xf numFmtId="0" fontId="50" fillId="0" borderId="51" xfId="106" applyFont="1" applyBorder="1" applyAlignment="1">
      <alignment horizontal="center" vertical="center"/>
    </xf>
    <xf numFmtId="0" fontId="22" fillId="10" borderId="52" xfId="106" applyFont="1" applyFill="1" applyBorder="1" applyAlignment="1">
      <alignment horizontal="left" vertical="center"/>
    </xf>
    <xf numFmtId="0" fontId="17" fillId="0" borderId="52" xfId="106" applyFont="1" applyBorder="1" applyAlignment="1" applyProtection="1">
      <alignment horizontal="center" vertical="center"/>
      <protection hidden="1"/>
    </xf>
    <xf numFmtId="0" fontId="22" fillId="0" borderId="52" xfId="106" applyFont="1" applyBorder="1" applyAlignment="1" applyProtection="1">
      <alignment horizontal="center" vertical="center"/>
      <protection hidden="1"/>
    </xf>
    <xf numFmtId="1" fontId="22" fillId="0" borderId="52" xfId="106" applyNumberFormat="1" applyFont="1" applyBorder="1" applyAlignment="1" applyProtection="1">
      <alignment horizontal="center" vertical="center"/>
      <protection hidden="1"/>
    </xf>
    <xf numFmtId="0" fontId="22" fillId="0" borderId="53" xfId="106" applyFont="1" applyBorder="1" applyAlignment="1" applyProtection="1">
      <alignment horizontal="center" vertical="center"/>
      <protection hidden="1"/>
    </xf>
    <xf numFmtId="9" fontId="9" fillId="3" borderId="1" xfId="95" applyFill="1" applyBorder="1" applyAlignment="1" applyProtection="1">
      <alignment horizontal="center" vertical="center"/>
      <protection hidden="1"/>
    </xf>
    <xf numFmtId="0" fontId="19" fillId="4" borderId="81" xfId="43" quotePrefix="1" applyFont="1" applyFill="1" applyBorder="1" applyAlignment="1">
      <alignment horizontal="center" vertical="center"/>
    </xf>
    <xf numFmtId="0" fontId="19" fillId="4" borderId="81" xfId="43" quotePrefix="1" applyFont="1" applyFill="1" applyBorder="1" applyAlignment="1">
      <alignment horizontal="left" vertical="center" indent="1"/>
    </xf>
    <xf numFmtId="0" fontId="28" fillId="3" borderId="2" xfId="95" applyNumberFormat="1" applyFont="1" applyFill="1" applyBorder="1" applyAlignment="1">
      <alignment horizontal="center" vertical="top"/>
    </xf>
    <xf numFmtId="0" fontId="22" fillId="19" borderId="1" xfId="119" applyFont="1" applyFill="1" applyBorder="1" applyAlignment="1">
      <alignment horizontal="center" vertical="center"/>
    </xf>
    <xf numFmtId="0" fontId="22" fillId="19" borderId="1" xfId="119" applyFont="1" applyFill="1" applyBorder="1" applyAlignment="1">
      <alignment horizontal="center" vertical="center" wrapText="1"/>
    </xf>
    <xf numFmtId="0" fontId="17" fillId="3" borderId="1" xfId="119" applyFont="1" applyFill="1" applyBorder="1" applyAlignment="1">
      <alignment horizontal="center" vertical="center" wrapText="1"/>
    </xf>
    <xf numFmtId="0" fontId="17" fillId="3" borderId="1" xfId="119" applyFont="1" applyFill="1" applyBorder="1" applyAlignment="1">
      <alignment horizontal="left" vertical="center" wrapText="1"/>
    </xf>
    <xf numFmtId="0" fontId="17" fillId="3" borderId="1" xfId="119" applyFont="1" applyFill="1" applyBorder="1" applyAlignment="1">
      <alignment vertical="center" wrapText="1"/>
    </xf>
    <xf numFmtId="0" fontId="17" fillId="3" borderId="1" xfId="119" applyFont="1" applyFill="1" applyBorder="1" applyAlignment="1">
      <alignment vertical="center"/>
    </xf>
    <xf numFmtId="0" fontId="17" fillId="3" borderId="1" xfId="119" applyFon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 wrapText="1"/>
    </xf>
    <xf numFmtId="0" fontId="17" fillId="3" borderId="1" xfId="119" applyFont="1" applyFill="1" applyBorder="1" applyAlignment="1">
      <alignment horizontal="left" vertical="center"/>
    </xf>
    <xf numFmtId="14" fontId="17" fillId="3" borderId="1" xfId="119" applyNumberFormat="1" applyFont="1" applyFill="1" applyBorder="1" applyAlignment="1">
      <alignment horizontal="center" vertical="center"/>
    </xf>
    <xf numFmtId="0" fontId="17" fillId="3" borderId="1" xfId="119" quotePrefix="1" applyFont="1" applyFill="1" applyBorder="1" applyAlignment="1">
      <alignment horizontal="center" vertical="center" wrapText="1"/>
    </xf>
    <xf numFmtId="0" fontId="22" fillId="12" borderId="1" xfId="119" applyFont="1" applyFill="1" applyBorder="1" applyAlignment="1">
      <alignment horizontal="center" vertical="center"/>
    </xf>
    <xf numFmtId="0" fontId="22" fillId="11" borderId="1" xfId="119" applyFont="1" applyFill="1" applyBorder="1" applyAlignment="1">
      <alignment horizontal="center" vertical="center"/>
    </xf>
    <xf numFmtId="0" fontId="17" fillId="11" borderId="1" xfId="119" applyFont="1" applyFill="1" applyBorder="1" applyAlignment="1">
      <alignment horizontal="center" vertical="center" wrapText="1"/>
    </xf>
    <xf numFmtId="0" fontId="21" fillId="30" borderId="1" xfId="43" quotePrefix="1" applyFont="1" applyFill="1" applyBorder="1" applyAlignment="1">
      <alignment horizontal="center" vertical="center"/>
    </xf>
    <xf numFmtId="0" fontId="20" fillId="30" borderId="1" xfId="43" quotePrefix="1" applyFont="1" applyFill="1" applyBorder="1" applyAlignment="1">
      <alignment horizontal="center" vertical="center"/>
    </xf>
    <xf numFmtId="0" fontId="20" fillId="30" borderId="1" xfId="43" quotePrefix="1" applyFont="1" applyFill="1" applyBorder="1" applyAlignment="1">
      <alignment horizontal="left" vertical="center" indent="1"/>
    </xf>
    <xf numFmtId="166" fontId="22" fillId="30" borderId="1" xfId="43" applyNumberFormat="1" applyFont="1" applyFill="1" applyBorder="1" applyAlignment="1">
      <alignment horizontal="center" vertical="center"/>
    </xf>
    <xf numFmtId="0" fontId="21" fillId="30" borderId="0" xfId="43" applyFont="1" applyFill="1" applyAlignment="1">
      <alignment horizontal="center" vertical="center"/>
    </xf>
    <xf numFmtId="2" fontId="20" fillId="30" borderId="1" xfId="43" quotePrefix="1" applyNumberFormat="1" applyFont="1" applyFill="1" applyBorder="1" applyAlignment="1">
      <alignment horizontal="center" vertical="center"/>
    </xf>
    <xf numFmtId="1" fontId="28" fillId="0" borderId="2" xfId="95" applyNumberFormat="1" applyFont="1" applyBorder="1" applyAlignment="1">
      <alignment horizontal="center" vertical="top"/>
    </xf>
    <xf numFmtId="1" fontId="28" fillId="0" borderId="1" xfId="95" applyNumberFormat="1" applyFont="1" applyBorder="1" applyAlignment="1">
      <alignment horizontal="center" vertical="top"/>
    </xf>
    <xf numFmtId="1" fontId="28" fillId="0" borderId="10" xfId="95" applyNumberFormat="1" applyFont="1" applyBorder="1" applyAlignment="1">
      <alignment horizontal="center" vertical="top"/>
    </xf>
    <xf numFmtId="9" fontId="0" fillId="0" borderId="22" xfId="0" applyNumberFormat="1" applyBorder="1" applyAlignment="1">
      <alignment horizontal="center" vertical="center"/>
    </xf>
    <xf numFmtId="166" fontId="16" fillId="12" borderId="1" xfId="0" applyNumberFormat="1" applyFont="1" applyFill="1" applyBorder="1" applyAlignment="1">
      <alignment horizontal="center"/>
    </xf>
    <xf numFmtId="0" fontId="17" fillId="2" borderId="0" xfId="35" applyFont="1" applyFill="1" applyAlignment="1">
      <alignment vertical="center"/>
    </xf>
    <xf numFmtId="0" fontId="0" fillId="0" borderId="16" xfId="0" applyBorder="1" applyAlignment="1">
      <alignment vertical="center"/>
    </xf>
    <xf numFmtId="166" fontId="17" fillId="3" borderId="1" xfId="0" applyNumberFormat="1" applyFont="1" applyFill="1" applyBorder="1" applyAlignment="1">
      <alignment horizontal="center" vertical="center"/>
    </xf>
    <xf numFmtId="0" fontId="17" fillId="0" borderId="3" xfId="106" applyFont="1" applyBorder="1" applyAlignment="1">
      <alignment horizontal="center" vertical="center"/>
    </xf>
    <xf numFmtId="0" fontId="17" fillId="0" borderId="7" xfId="106" applyFont="1" applyBorder="1" applyAlignment="1">
      <alignment horizontal="center" vertical="center"/>
    </xf>
    <xf numFmtId="166" fontId="44" fillId="0" borderId="3" xfId="61" applyNumberFormat="1" applyFont="1" applyBorder="1" applyAlignment="1">
      <alignment horizontal="left" vertical="center"/>
    </xf>
    <xf numFmtId="0" fontId="17" fillId="3" borderId="3" xfId="104" applyFont="1" applyFill="1" applyBorder="1" applyAlignment="1" applyProtection="1">
      <alignment horizontal="center" vertical="center"/>
      <protection hidden="1"/>
    </xf>
    <xf numFmtId="0" fontId="17" fillId="0" borderId="3" xfId="104" applyFont="1" applyBorder="1" applyAlignment="1">
      <alignment horizontal="center" vertical="center"/>
    </xf>
    <xf numFmtId="0" fontId="9" fillId="3" borderId="3" xfId="106" applyFill="1" applyBorder="1" applyAlignment="1">
      <alignment horizontal="center" vertical="center"/>
    </xf>
    <xf numFmtId="9" fontId="9" fillId="3" borderId="3" xfId="95" applyFill="1" applyBorder="1" applyAlignment="1" applyProtection="1">
      <alignment horizontal="center" vertical="center"/>
      <protection hidden="1"/>
    </xf>
    <xf numFmtId="1" fontId="44" fillId="3" borderId="28" xfId="106" applyNumberFormat="1" applyFont="1" applyFill="1" applyBorder="1" applyAlignment="1">
      <alignment horizontal="center" vertical="center" wrapText="1"/>
    </xf>
    <xf numFmtId="0" fontId="17" fillId="0" borderId="5" xfId="106" applyFont="1" applyBorder="1" applyAlignment="1">
      <alignment horizontal="center" vertical="center"/>
    </xf>
    <xf numFmtId="0" fontId="22" fillId="10" borderId="6" xfId="106" applyFont="1" applyFill="1" applyBorder="1" applyAlignment="1">
      <alignment horizontal="left" vertical="center"/>
    </xf>
    <xf numFmtId="0" fontId="17" fillId="3" borderId="6" xfId="106" applyFont="1" applyFill="1" applyBorder="1" applyAlignment="1" applyProtection="1">
      <alignment horizontal="center" vertical="center"/>
      <protection hidden="1"/>
    </xf>
    <xf numFmtId="0" fontId="22" fillId="0" borderId="6" xfId="106" applyFont="1" applyBorder="1" applyAlignment="1">
      <alignment horizontal="center" vertical="center"/>
    </xf>
    <xf numFmtId="0" fontId="22" fillId="0" borderId="24" xfId="106" applyFont="1" applyBorder="1" applyAlignment="1">
      <alignment horizontal="center" vertical="center"/>
    </xf>
    <xf numFmtId="0" fontId="21" fillId="3" borderId="22" xfId="119" applyFont="1" applyFill="1" applyBorder="1" applyAlignment="1">
      <alignment horizontal="left" vertical="center"/>
    </xf>
    <xf numFmtId="0" fontId="21" fillId="3" borderId="20" xfId="119" applyFont="1" applyFill="1" applyBorder="1" applyAlignment="1">
      <alignment horizontal="left" vertical="center"/>
    </xf>
    <xf numFmtId="0" fontId="21" fillId="3" borderId="33" xfId="119" applyFont="1" applyFill="1" applyBorder="1" applyAlignment="1">
      <alignment horizontal="left" vertical="center"/>
    </xf>
    <xf numFmtId="0" fontId="21" fillId="21" borderId="1" xfId="43" quotePrefix="1" applyFont="1" applyFill="1" applyBorder="1" applyAlignment="1">
      <alignment horizontal="center" vertical="center"/>
    </xf>
    <xf numFmtId="0" fontId="20" fillId="21" borderId="1" xfId="43" quotePrefix="1" applyFont="1" applyFill="1" applyBorder="1" applyAlignment="1">
      <alignment horizontal="left" vertical="center" indent="1"/>
    </xf>
    <xf numFmtId="166" fontId="22" fillId="21" borderId="1" xfId="43" applyNumberFormat="1" applyFont="1" applyFill="1" applyBorder="1" applyAlignment="1">
      <alignment horizontal="center" vertical="center"/>
    </xf>
    <xf numFmtId="0" fontId="21" fillId="21" borderId="0" xfId="43" applyFont="1" applyFill="1" applyAlignment="1">
      <alignment horizontal="center" vertical="center"/>
    </xf>
    <xf numFmtId="0" fontId="28" fillId="3" borderId="86" xfId="99" applyFont="1" applyFill="1" applyBorder="1" applyAlignment="1">
      <alignment horizontal="left" vertical="center"/>
    </xf>
    <xf numFmtId="0" fontId="17" fillId="3" borderId="22" xfId="119" applyFont="1" applyFill="1" applyBorder="1" applyAlignment="1">
      <alignment horizontal="center" vertical="center" wrapText="1"/>
    </xf>
    <xf numFmtId="0" fontId="0" fillId="3" borderId="20" xfId="0" quotePrefix="1" applyFill="1" applyBorder="1" applyAlignment="1">
      <alignment horizontal="center" vertical="center" wrapText="1"/>
    </xf>
    <xf numFmtId="0" fontId="17" fillId="3" borderId="20" xfId="119" quotePrefix="1" applyFont="1" applyFill="1" applyBorder="1" applyAlignment="1">
      <alignment horizontal="center" vertical="center" wrapText="1"/>
    </xf>
    <xf numFmtId="0" fontId="17" fillId="3" borderId="20" xfId="119" applyFont="1" applyFill="1" applyBorder="1" applyAlignment="1">
      <alignment horizontal="left" vertical="center" wrapText="1"/>
    </xf>
    <xf numFmtId="0" fontId="17" fillId="3" borderId="20" xfId="119" applyFont="1" applyFill="1" applyBorder="1" applyAlignment="1">
      <alignment horizontal="left" vertical="center"/>
    </xf>
    <xf numFmtId="14" fontId="17" fillId="3" borderId="20" xfId="119" applyNumberFormat="1" applyFont="1" applyFill="1" applyBorder="1" applyAlignment="1">
      <alignment horizontal="center" vertical="center"/>
    </xf>
    <xf numFmtId="0" fontId="17" fillId="3" borderId="20" xfId="119" applyFont="1" applyFill="1" applyBorder="1" applyAlignment="1">
      <alignment horizontal="center" vertical="center" wrapText="1"/>
    </xf>
    <xf numFmtId="0" fontId="17" fillId="3" borderId="33" xfId="119" applyFont="1" applyFill="1" applyBorder="1" applyAlignment="1">
      <alignment horizontal="left" vertical="center" wrapText="1"/>
    </xf>
    <xf numFmtId="0" fontId="0" fillId="3" borderId="1" xfId="98" applyNumberFormat="1" applyFont="1" applyFill="1" applyBorder="1" applyAlignment="1">
      <alignment horizontal="center" vertical="center"/>
    </xf>
    <xf numFmtId="0" fontId="12" fillId="11" borderId="0" xfId="0" applyFont="1" applyFill="1" applyAlignment="1">
      <alignment horizontal="right" vertical="center"/>
    </xf>
    <xf numFmtId="174" fontId="12" fillId="11" borderId="0" xfId="0" applyNumberFormat="1" applyFont="1" applyFill="1" applyAlignment="1">
      <alignment horizontal="center" vertical="center"/>
    </xf>
    <xf numFmtId="166" fontId="12" fillId="0" borderId="0" xfId="0" applyNumberFormat="1" applyFont="1" applyAlignment="1">
      <alignment vertical="center"/>
    </xf>
    <xf numFmtId="0" fontId="22" fillId="2" borderId="10" xfId="35" applyFont="1" applyFill="1" applyBorder="1" applyAlignment="1">
      <alignment vertical="center" wrapText="1"/>
    </xf>
    <xf numFmtId="166" fontId="0" fillId="0" borderId="1" xfId="0" applyNumberFormat="1" applyBorder="1"/>
    <xf numFmtId="0" fontId="17" fillId="0" borderId="2" xfId="0" applyFont="1" applyBorder="1" applyAlignment="1">
      <alignment horizontal="center"/>
    </xf>
    <xf numFmtId="0" fontId="17" fillId="0" borderId="1" xfId="0" applyFont="1" applyBorder="1" applyAlignment="1">
      <alignment horizontal="left"/>
    </xf>
    <xf numFmtId="166" fontId="17" fillId="0" borderId="1" xfId="0" applyNumberFormat="1" applyFont="1" applyBorder="1"/>
    <xf numFmtId="0" fontId="17" fillId="0" borderId="1" xfId="0" applyFont="1" applyBorder="1"/>
    <xf numFmtId="1" fontId="0" fillId="0" borderId="22" xfId="0" applyNumberFormat="1" applyBorder="1" applyAlignment="1">
      <alignment horizontal="center" vertical="center"/>
    </xf>
    <xf numFmtId="164" fontId="0" fillId="0" borderId="22" xfId="0" applyNumberFormat="1" applyBorder="1" applyAlignment="1">
      <alignment horizontal="center" vertical="center"/>
    </xf>
    <xf numFmtId="0" fontId="0" fillId="3" borderId="10" xfId="0" applyFill="1" applyBorder="1" applyAlignment="1">
      <alignment vertical="center"/>
    </xf>
    <xf numFmtId="0" fontId="0" fillId="3" borderId="31" xfId="0" applyFill="1" applyBorder="1" applyAlignment="1">
      <alignment vertical="center"/>
    </xf>
    <xf numFmtId="0" fontId="12" fillId="0" borderId="9" xfId="0" applyFont="1" applyBorder="1"/>
    <xf numFmtId="0" fontId="0" fillId="0" borderId="9" xfId="0" applyBorder="1"/>
    <xf numFmtId="0" fontId="28" fillId="5" borderId="0" xfId="99" applyFont="1" applyFill="1" applyAlignment="1">
      <alignment horizontal="center" vertical="center"/>
    </xf>
    <xf numFmtId="166" fontId="12" fillId="6" borderId="0" xfId="0" applyNumberFormat="1" applyFont="1" applyFill="1" applyAlignment="1">
      <alignment vertical="center"/>
    </xf>
    <xf numFmtId="175" fontId="28" fillId="9" borderId="10" xfId="98" applyNumberFormat="1" applyFont="1" applyFill="1" applyBorder="1" applyAlignment="1">
      <alignment horizontal="center" vertical="center"/>
    </xf>
    <xf numFmtId="175" fontId="28" fillId="9" borderId="2" xfId="98" applyNumberFormat="1" applyFont="1" applyFill="1" applyBorder="1" applyAlignment="1">
      <alignment horizontal="center" vertical="center"/>
    </xf>
    <xf numFmtId="175" fontId="28" fillId="9" borderId="1" xfId="98" applyNumberFormat="1" applyFont="1" applyFill="1" applyBorder="1" applyAlignment="1">
      <alignment horizontal="center" vertical="center"/>
    </xf>
    <xf numFmtId="166" fontId="17" fillId="0" borderId="4" xfId="0" applyNumberFormat="1" applyFont="1" applyBorder="1"/>
    <xf numFmtId="0" fontId="42" fillId="0" borderId="81" xfId="43" quotePrefix="1" applyFont="1" applyBorder="1" applyAlignment="1">
      <alignment horizontal="left" vertical="center" indent="1"/>
    </xf>
    <xf numFmtId="0" fontId="42" fillId="0" borderId="81" xfId="43" quotePrefix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9" fillId="3" borderId="1" xfId="0" applyFont="1" applyFill="1" applyBorder="1" applyAlignment="1">
      <alignment horizontal="left" vertical="center"/>
    </xf>
    <xf numFmtId="14" fontId="17" fillId="0" borderId="1" xfId="0" applyNumberFormat="1" applyFont="1" applyBorder="1" applyAlignment="1">
      <alignment horizontal="left" vertical="center"/>
    </xf>
    <xf numFmtId="0" fontId="17" fillId="0" borderId="1" xfId="0" applyFont="1" applyBorder="1" applyAlignment="1">
      <alignment horizontal="left" vertical="center"/>
    </xf>
    <xf numFmtId="0" fontId="22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9" fillId="3" borderId="1" xfId="0" applyFont="1" applyFill="1" applyBorder="1" applyAlignment="1">
      <alignment vertical="center"/>
    </xf>
    <xf numFmtId="14" fontId="17" fillId="0" borderId="1" xfId="0" applyNumberFormat="1" applyFont="1" applyBorder="1" applyAlignment="1">
      <alignment horizontal="center" vertical="center"/>
    </xf>
    <xf numFmtId="176" fontId="0" fillId="3" borderId="0" xfId="0" applyNumberFormat="1" applyFill="1"/>
    <xf numFmtId="0" fontId="31" fillId="5" borderId="0" xfId="99" applyFont="1" applyFill="1" applyAlignment="1">
      <alignment horizontal="center" vertical="center"/>
    </xf>
    <xf numFmtId="0" fontId="31" fillId="0" borderId="67" xfId="99" applyFont="1" applyBorder="1" applyAlignment="1">
      <alignment vertical="center"/>
    </xf>
    <xf numFmtId="0" fontId="20" fillId="3" borderId="1" xfId="43" quotePrefix="1" applyFont="1" applyFill="1" applyBorder="1" applyAlignment="1">
      <alignment horizontal="center" vertical="center"/>
    </xf>
    <xf numFmtId="0" fontId="21" fillId="3" borderId="1" xfId="43" quotePrefix="1" applyFont="1" applyFill="1" applyBorder="1" applyAlignment="1">
      <alignment horizontal="left" vertical="center" indent="1"/>
    </xf>
    <xf numFmtId="0" fontId="17" fillId="3" borderId="0" xfId="43" applyFont="1" applyFill="1"/>
    <xf numFmtId="0" fontId="17" fillId="3" borderId="0" xfId="43" applyFont="1" applyFill="1" applyAlignment="1">
      <alignment horizontal="left" indent="1"/>
    </xf>
    <xf numFmtId="2" fontId="0" fillId="3" borderId="1" xfId="0" applyNumberFormat="1" applyFill="1" applyBorder="1" applyAlignment="1">
      <alignment horizontal="center" vertical="center"/>
    </xf>
    <xf numFmtId="175" fontId="28" fillId="9" borderId="10" xfId="98" applyNumberFormat="1" applyFont="1" applyFill="1" applyBorder="1" applyAlignment="1">
      <alignment horizontal="center" vertical="top"/>
    </xf>
    <xf numFmtId="0" fontId="17" fillId="11" borderId="1" xfId="0" applyFont="1" applyFill="1" applyBorder="1" applyAlignment="1">
      <alignment horizontal="center" vertical="center"/>
    </xf>
    <xf numFmtId="166" fontId="17" fillId="11" borderId="1" xfId="0" applyNumberFormat="1" applyFont="1" applyFill="1" applyBorder="1" applyAlignment="1">
      <alignment horizontal="center" vertical="center"/>
    </xf>
    <xf numFmtId="0" fontId="17" fillId="2" borderId="2" xfId="35" applyFont="1" applyFill="1" applyBorder="1" applyAlignment="1">
      <alignment horizontal="center" vertical="center" wrapText="1"/>
    </xf>
    <xf numFmtId="0" fontId="17" fillId="2" borderId="1" xfId="35" applyFont="1" applyFill="1" applyBorder="1" applyAlignment="1">
      <alignment vertical="center" wrapText="1"/>
    </xf>
    <xf numFmtId="0" fontId="32" fillId="2" borderId="0" xfId="35" applyFont="1" applyFill="1" applyAlignment="1">
      <alignment horizontal="center" vertical="center" wrapText="1"/>
    </xf>
    <xf numFmtId="0" fontId="17" fillId="3" borderId="2" xfId="35" applyFont="1" applyFill="1" applyBorder="1" applyAlignment="1">
      <alignment horizontal="center" vertical="center" wrapText="1"/>
    </xf>
    <xf numFmtId="0" fontId="17" fillId="3" borderId="1" xfId="35" applyFont="1" applyFill="1" applyBorder="1" applyAlignment="1">
      <alignment vertical="center" wrapText="1"/>
    </xf>
    <xf numFmtId="0" fontId="32" fillId="3" borderId="0" xfId="35" applyFont="1" applyFill="1" applyAlignment="1">
      <alignment horizontal="center" vertical="center" wrapText="1"/>
    </xf>
    <xf numFmtId="43" fontId="32" fillId="3" borderId="0" xfId="35" applyNumberFormat="1" applyFont="1" applyFill="1" applyAlignment="1">
      <alignment horizontal="center" vertical="center" wrapText="1"/>
    </xf>
    <xf numFmtId="0" fontId="17" fillId="0" borderId="1" xfId="35" applyFont="1" applyBorder="1" applyAlignment="1">
      <alignment vertical="center" wrapText="1"/>
    </xf>
    <xf numFmtId="0" fontId="28" fillId="5" borderId="31" xfId="99" applyFont="1" applyFill="1" applyBorder="1"/>
    <xf numFmtId="0" fontId="31" fillId="5" borderId="30" xfId="99" applyFont="1" applyFill="1" applyBorder="1" applyAlignment="1">
      <alignment horizontal="center" vertical="center"/>
    </xf>
    <xf numFmtId="0" fontId="17" fillId="4" borderId="1" xfId="119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17" fillId="4" borderId="1" xfId="119" applyFont="1" applyFill="1" applyBorder="1" applyAlignment="1">
      <alignment horizontal="left" vertical="center" wrapText="1"/>
    </xf>
    <xf numFmtId="0" fontId="17" fillId="4" borderId="1" xfId="119" applyFont="1" applyFill="1" applyBorder="1" applyAlignment="1">
      <alignment vertical="center" wrapText="1"/>
    </xf>
    <xf numFmtId="0" fontId="17" fillId="2" borderId="30" xfId="35" applyFont="1" applyFill="1" applyBorder="1" applyAlignment="1">
      <alignment vertical="center"/>
    </xf>
    <xf numFmtId="0" fontId="17" fillId="2" borderId="31" xfId="35" applyFont="1" applyFill="1" applyBorder="1" applyAlignment="1">
      <alignment vertical="center"/>
    </xf>
    <xf numFmtId="0" fontId="65" fillId="0" borderId="1" xfId="99" applyFont="1" applyBorder="1" applyAlignment="1">
      <alignment horizontal="center" vertical="center"/>
    </xf>
    <xf numFmtId="0" fontId="0" fillId="3" borderId="24" xfId="0" applyFill="1" applyBorder="1" applyAlignment="1">
      <alignment horizontal="center" vertical="center"/>
    </xf>
    <xf numFmtId="0" fontId="28" fillId="3" borderId="0" xfId="99" applyFont="1" applyFill="1" applyAlignment="1">
      <alignment horizontal="left"/>
    </xf>
    <xf numFmtId="9" fontId="0" fillId="3" borderId="22" xfId="95" applyFont="1" applyFill="1" applyBorder="1" applyAlignment="1">
      <alignment horizontal="center" vertical="center"/>
    </xf>
    <xf numFmtId="0" fontId="21" fillId="3" borderId="0" xfId="43" applyFont="1" applyFill="1" applyAlignment="1">
      <alignment horizontal="center" vertical="center"/>
    </xf>
    <xf numFmtId="167" fontId="17" fillId="0" borderId="1" xfId="35" applyNumberFormat="1" applyFont="1" applyBorder="1" applyAlignment="1">
      <alignment horizontal="right" vertical="center" wrapText="1"/>
    </xf>
    <xf numFmtId="0" fontId="17" fillId="2" borderId="1" xfId="35" applyFont="1" applyFill="1" applyBorder="1" applyAlignment="1">
      <alignment horizontal="right" vertical="center" wrapText="1"/>
    </xf>
    <xf numFmtId="168" fontId="17" fillId="2" borderId="1" xfId="35" applyNumberFormat="1" applyFont="1" applyFill="1" applyBorder="1" applyAlignment="1">
      <alignment horizontal="right" vertical="center" wrapText="1"/>
    </xf>
    <xf numFmtId="168" fontId="17" fillId="3" borderId="1" xfId="35" applyNumberFormat="1" applyFont="1" applyFill="1" applyBorder="1" applyAlignment="1">
      <alignment horizontal="right" vertical="center" wrapText="1"/>
    </xf>
    <xf numFmtId="167" fontId="17" fillId="3" borderId="1" xfId="35" applyNumberFormat="1" applyFont="1" applyFill="1" applyBorder="1" applyAlignment="1">
      <alignment horizontal="right" vertical="center" wrapText="1"/>
    </xf>
    <xf numFmtId="0" fontId="31" fillId="3" borderId="1" xfId="99" applyFont="1" applyFill="1" applyBorder="1" applyAlignment="1">
      <alignment horizontal="center" vertical="center"/>
    </xf>
    <xf numFmtId="0" fontId="48" fillId="0" borderId="1" xfId="99" applyFont="1" applyBorder="1" applyAlignment="1">
      <alignment horizontal="center" vertical="center"/>
    </xf>
    <xf numFmtId="173" fontId="32" fillId="3" borderId="0" xfId="35" applyNumberFormat="1" applyFont="1" applyFill="1" applyAlignment="1">
      <alignment horizontal="center" vertical="center" wrapText="1"/>
    </xf>
    <xf numFmtId="0" fontId="28" fillId="3" borderId="66" xfId="99" applyFont="1" applyFill="1" applyBorder="1" applyAlignment="1">
      <alignment horizontal="center" vertical="center"/>
    </xf>
    <xf numFmtId="0" fontId="41" fillId="0" borderId="56" xfId="0" applyFont="1" applyBorder="1" applyAlignment="1">
      <alignment vertical="center"/>
    </xf>
    <xf numFmtId="0" fontId="41" fillId="0" borderId="0" xfId="0" applyFont="1" applyAlignment="1">
      <alignment vertical="center"/>
    </xf>
    <xf numFmtId="49" fontId="43" fillId="3" borderId="1" xfId="0" quotePrefix="1" applyNumberFormat="1" applyFont="1" applyFill="1" applyBorder="1" applyAlignment="1">
      <alignment horizontal="center" vertical="center"/>
    </xf>
    <xf numFmtId="49" fontId="17" fillId="3" borderId="1" xfId="0" quotePrefix="1" applyNumberFormat="1" applyFon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175" fontId="28" fillId="9" borderId="2" xfId="98" applyNumberFormat="1" applyFont="1" applyFill="1" applyBorder="1" applyAlignment="1">
      <alignment horizontal="center" vertical="top"/>
    </xf>
    <xf numFmtId="175" fontId="28" fillId="9" borderId="10" xfId="98" applyNumberFormat="1" applyFont="1" applyFill="1" applyBorder="1" applyAlignment="1">
      <alignment horizontal="left" vertical="center"/>
    </xf>
    <xf numFmtId="0" fontId="17" fillId="11" borderId="1" xfId="0" applyFont="1" applyFill="1" applyBorder="1" applyAlignment="1">
      <alignment horizontal="left" vertical="center"/>
    </xf>
    <xf numFmtId="0" fontId="64" fillId="0" borderId="31" xfId="0" applyFont="1" applyBorder="1" applyAlignment="1">
      <alignment wrapText="1"/>
    </xf>
    <xf numFmtId="0" fontId="15" fillId="3" borderId="25" xfId="0" applyFont="1" applyFill="1" applyBorder="1" applyAlignment="1">
      <alignment vertical="center"/>
    </xf>
    <xf numFmtId="0" fontId="12" fillId="0" borderId="88" xfId="0" applyFont="1" applyBorder="1" applyAlignment="1">
      <alignment horizontal="center" vertical="center"/>
    </xf>
    <xf numFmtId="0" fontId="12" fillId="0" borderId="39" xfId="0" applyFont="1" applyBorder="1" applyAlignment="1">
      <alignment horizontal="center" vertical="center"/>
    </xf>
    <xf numFmtId="0" fontId="12" fillId="12" borderId="39" xfId="0" applyFont="1" applyFill="1" applyBorder="1" applyAlignment="1">
      <alignment horizontal="center" vertical="center" wrapText="1"/>
    </xf>
    <xf numFmtId="0" fontId="12" fillId="6" borderId="39" xfId="0" applyFont="1" applyFill="1" applyBorder="1" applyAlignment="1">
      <alignment horizontal="center" vertical="center" wrapText="1"/>
    </xf>
    <xf numFmtId="0" fontId="12" fillId="6" borderId="89" xfId="0" applyFont="1" applyFill="1" applyBorder="1" applyAlignment="1">
      <alignment horizontal="center" vertical="center"/>
    </xf>
    <xf numFmtId="166" fontId="12" fillId="0" borderId="14" xfId="0" applyNumberFormat="1" applyFont="1" applyBorder="1" applyAlignment="1">
      <alignment horizontal="center" vertical="center"/>
    </xf>
    <xf numFmtId="14" fontId="12" fillId="12" borderId="14" xfId="0" applyNumberFormat="1" applyFont="1" applyFill="1" applyBorder="1" applyAlignment="1">
      <alignment horizontal="center" vertical="center"/>
    </xf>
    <xf numFmtId="14" fontId="12" fillId="12" borderId="14" xfId="0" applyNumberFormat="1" applyFont="1" applyFill="1" applyBorder="1" applyAlignment="1">
      <alignment horizontal="center" vertical="center" wrapText="1"/>
    </xf>
    <xf numFmtId="0" fontId="43" fillId="3" borderId="1" xfId="0" applyFont="1" applyFill="1" applyBorder="1" applyAlignment="1">
      <alignment horizontal="center" vertical="center"/>
    </xf>
    <xf numFmtId="14" fontId="43" fillId="3" borderId="1" xfId="0" applyNumberFormat="1" applyFont="1" applyFill="1" applyBorder="1" applyAlignment="1">
      <alignment horizontal="center" vertical="center"/>
    </xf>
    <xf numFmtId="0" fontId="43" fillId="0" borderId="1" xfId="0" applyFont="1" applyBorder="1" applyAlignment="1">
      <alignment horizontal="center" vertical="center"/>
    </xf>
    <xf numFmtId="0" fontId="43" fillId="3" borderId="22" xfId="0" applyFont="1" applyFill="1" applyBorder="1" applyAlignment="1">
      <alignment horizontal="center" vertical="center"/>
    </xf>
    <xf numFmtId="0" fontId="43" fillId="3" borderId="20" xfId="0" applyFont="1" applyFill="1" applyBorder="1" applyAlignment="1">
      <alignment horizontal="center" vertical="center"/>
    </xf>
    <xf numFmtId="0" fontId="43" fillId="13" borderId="2" xfId="0" applyFont="1" applyFill="1" applyBorder="1" applyAlignment="1">
      <alignment horizontal="center" vertical="center"/>
    </xf>
    <xf numFmtId="0" fontId="43" fillId="19" borderId="1" xfId="0" applyFont="1" applyFill="1" applyBorder="1" applyAlignment="1">
      <alignment horizontal="center" vertical="center"/>
    </xf>
    <xf numFmtId="0" fontId="43" fillId="12" borderId="10" xfId="0" applyFont="1" applyFill="1" applyBorder="1" applyAlignment="1">
      <alignment horizontal="center" vertical="center"/>
    </xf>
    <xf numFmtId="0" fontId="43" fillId="0" borderId="0" xfId="0" applyFont="1" applyAlignment="1">
      <alignment vertical="center"/>
    </xf>
    <xf numFmtId="14" fontId="43" fillId="0" borderId="1" xfId="0" applyNumberFormat="1" applyFont="1" applyBorder="1" applyAlignment="1">
      <alignment horizontal="center" vertical="center"/>
    </xf>
    <xf numFmtId="0" fontId="17" fillId="19" borderId="1" xfId="0" applyFont="1" applyFill="1" applyBorder="1" applyAlignment="1">
      <alignment horizontal="center" vertical="center"/>
    </xf>
    <xf numFmtId="0" fontId="17" fillId="12" borderId="10" xfId="0" applyFont="1" applyFill="1" applyBorder="1" applyAlignment="1">
      <alignment horizontal="center" vertical="center"/>
    </xf>
    <xf numFmtId="49" fontId="17" fillId="11" borderId="1" xfId="0" quotePrefix="1" applyNumberFormat="1" applyFont="1" applyFill="1" applyBorder="1" applyAlignment="1">
      <alignment horizontal="center" vertical="center"/>
    </xf>
    <xf numFmtId="0" fontId="43" fillId="3" borderId="1" xfId="106" applyFont="1" applyFill="1" applyBorder="1" applyAlignment="1">
      <alignment horizontal="center" vertical="center"/>
    </xf>
    <xf numFmtId="1" fontId="43" fillId="3" borderId="1" xfId="106" applyNumberFormat="1" applyFont="1" applyFill="1" applyBorder="1" applyAlignment="1" applyProtection="1">
      <alignment horizontal="center" vertical="center"/>
      <protection hidden="1"/>
    </xf>
    <xf numFmtId="0" fontId="67" fillId="0" borderId="1" xfId="35" applyFont="1" applyBorder="1" applyAlignment="1">
      <alignment horizontal="center" vertical="center" wrapText="1"/>
    </xf>
    <xf numFmtId="16" fontId="66" fillId="0" borderId="1" xfId="43" quotePrefix="1" applyNumberFormat="1" applyFont="1" applyBorder="1" applyAlignment="1">
      <alignment horizontal="center" vertical="center"/>
    </xf>
    <xf numFmtId="0" fontId="66" fillId="0" borderId="1" xfId="43" quotePrefix="1" applyFont="1" applyBorder="1" applyAlignment="1">
      <alignment horizontal="center" vertical="center"/>
    </xf>
    <xf numFmtId="169" fontId="67" fillId="0" borderId="1" xfId="35" applyNumberFormat="1" applyFont="1" applyBorder="1" applyAlignment="1">
      <alignment horizontal="center" vertical="center" wrapText="1"/>
    </xf>
    <xf numFmtId="14" fontId="66" fillId="3" borderId="1" xfId="2" quotePrefix="1" applyNumberFormat="1" applyFont="1" applyFill="1" applyBorder="1" applyAlignment="1">
      <alignment horizontal="center" vertical="center"/>
    </xf>
    <xf numFmtId="0" fontId="67" fillId="3" borderId="1" xfId="35" applyFont="1" applyFill="1" applyBorder="1" applyAlignment="1">
      <alignment horizontal="center" vertical="center" wrapText="1"/>
    </xf>
    <xf numFmtId="169" fontId="67" fillId="0" borderId="1" xfId="35" quotePrefix="1" applyNumberFormat="1" applyFont="1" applyBorder="1" applyAlignment="1">
      <alignment horizontal="center" vertical="center" wrapText="1"/>
    </xf>
    <xf numFmtId="0" fontId="66" fillId="0" borderId="1" xfId="35" applyFont="1" applyBorder="1" applyAlignment="1">
      <alignment horizontal="center" vertical="center" wrapText="1"/>
    </xf>
    <xf numFmtId="169" fontId="66" fillId="0" borderId="1" xfId="35" quotePrefix="1" applyNumberFormat="1" applyFont="1" applyBorder="1" applyAlignment="1">
      <alignment horizontal="center" vertical="center" wrapText="1"/>
    </xf>
    <xf numFmtId="169" fontId="66" fillId="0" borderId="1" xfId="35" applyNumberFormat="1" applyFont="1" applyBorder="1" applyAlignment="1">
      <alignment horizontal="center" vertical="center" wrapText="1"/>
    </xf>
    <xf numFmtId="0" fontId="66" fillId="3" borderId="1" xfId="35" applyFont="1" applyFill="1" applyBorder="1" applyAlignment="1">
      <alignment horizontal="center" vertical="center" wrapText="1"/>
    </xf>
    <xf numFmtId="169" fontId="66" fillId="3" borderId="1" xfId="35" quotePrefix="1" applyNumberFormat="1" applyFont="1" applyFill="1" applyBorder="1" applyAlignment="1">
      <alignment horizontal="center" vertical="center" wrapText="1"/>
    </xf>
    <xf numFmtId="16" fontId="66" fillId="3" borderId="1" xfId="43" quotePrefix="1" applyNumberFormat="1" applyFont="1" applyFill="1" applyBorder="1" applyAlignment="1">
      <alignment horizontal="center" vertical="center"/>
    </xf>
    <xf numFmtId="0" fontId="66" fillId="0" borderId="1" xfId="35" applyFont="1" applyBorder="1" applyAlignment="1">
      <alignment vertical="center"/>
    </xf>
    <xf numFmtId="14" fontId="68" fillId="0" borderId="1" xfId="35" applyNumberFormat="1" applyFont="1" applyBorder="1" applyAlignment="1">
      <alignment vertical="center" wrapText="1"/>
    </xf>
    <xf numFmtId="0" fontId="66" fillId="3" borderId="1" xfId="35" applyFont="1" applyFill="1" applyBorder="1" applyAlignment="1">
      <alignment horizontal="left" vertical="center"/>
    </xf>
    <xf numFmtId="0" fontId="66" fillId="3" borderId="1" xfId="35" applyFont="1" applyFill="1" applyBorder="1" applyAlignment="1">
      <alignment horizontal="center" vertical="center"/>
    </xf>
    <xf numFmtId="0" fontId="66" fillId="3" borderId="0" xfId="35" applyFont="1" applyFill="1" applyAlignment="1">
      <alignment horizontal="center"/>
    </xf>
    <xf numFmtId="0" fontId="67" fillId="0" borderId="1" xfId="0" applyFont="1" applyBorder="1" applyAlignment="1">
      <alignment horizontal="left" vertical="center"/>
    </xf>
    <xf numFmtId="0" fontId="67" fillId="0" borderId="1" xfId="0" applyFont="1" applyBorder="1" applyAlignment="1">
      <alignment horizontal="center" vertical="center"/>
    </xf>
    <xf numFmtId="0" fontId="67" fillId="0" borderId="1" xfId="0" applyFont="1" applyBorder="1" applyAlignment="1">
      <alignment horizontal="center" vertical="center" wrapText="1"/>
    </xf>
    <xf numFmtId="0" fontId="66" fillId="3" borderId="1" xfId="35" applyFont="1" applyFill="1" applyBorder="1" applyAlignment="1">
      <alignment horizontal="left" vertical="center" wrapText="1"/>
    </xf>
    <xf numFmtId="0" fontId="66" fillId="0" borderId="0" xfId="35" applyFont="1"/>
    <xf numFmtId="0" fontId="66" fillId="0" borderId="0" xfId="35" applyFont="1" applyAlignment="1">
      <alignment horizontal="center" vertical="center"/>
    </xf>
    <xf numFmtId="0" fontId="66" fillId="0" borderId="1" xfId="35" applyFont="1" applyBorder="1"/>
    <xf numFmtId="0" fontId="66" fillId="0" borderId="1" xfId="35" applyFont="1" applyBorder="1" applyAlignment="1">
      <alignment wrapText="1"/>
    </xf>
    <xf numFmtId="14" fontId="17" fillId="3" borderId="1" xfId="0" applyNumberFormat="1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center" vertical="center"/>
    </xf>
    <xf numFmtId="14" fontId="17" fillId="3" borderId="1" xfId="0" applyNumberFormat="1" applyFont="1" applyFill="1" applyBorder="1" applyAlignment="1">
      <alignment horizontal="left" vertical="center"/>
    </xf>
    <xf numFmtId="16" fontId="17" fillId="3" borderId="1" xfId="0" quotePrefix="1" applyNumberFormat="1" applyFont="1" applyFill="1" applyBorder="1" applyAlignment="1">
      <alignment horizontal="center" vertical="center"/>
    </xf>
    <xf numFmtId="175" fontId="28" fillId="9" borderId="1" xfId="98" applyNumberFormat="1" applyFont="1" applyFill="1" applyBorder="1" applyAlignment="1">
      <alignment horizontal="center" vertical="top"/>
    </xf>
    <xf numFmtId="0" fontId="31" fillId="3" borderId="67" xfId="99" applyFont="1" applyFill="1" applyBorder="1" applyAlignment="1">
      <alignment vertical="center"/>
    </xf>
    <xf numFmtId="15" fontId="17" fillId="3" borderId="1" xfId="0" applyNumberFormat="1" applyFont="1" applyFill="1" applyBorder="1" applyAlignment="1">
      <alignment horizontal="center" vertical="center"/>
    </xf>
    <xf numFmtId="166" fontId="17" fillId="3" borderId="0" xfId="0" applyNumberFormat="1" applyFont="1" applyFill="1" applyAlignment="1">
      <alignment horizontal="center" vertical="center"/>
    </xf>
    <xf numFmtId="1" fontId="17" fillId="3" borderId="1" xfId="0" applyNumberFormat="1" applyFont="1" applyFill="1" applyBorder="1" applyAlignment="1" applyProtection="1">
      <alignment horizontal="center" vertical="center"/>
      <protection hidden="1"/>
    </xf>
    <xf numFmtId="0" fontId="66" fillId="0" borderId="1" xfId="131" applyFont="1" applyBorder="1" applyAlignment="1">
      <alignment horizontal="left" vertical="center" wrapText="1"/>
    </xf>
    <xf numFmtId="0" fontId="66" fillId="0" borderId="1" xfId="35" applyFont="1" applyBorder="1" applyAlignment="1">
      <alignment horizontal="center" vertical="center"/>
    </xf>
    <xf numFmtId="0" fontId="26" fillId="3" borderId="1" xfId="99" applyFont="1" applyFill="1" applyBorder="1" applyAlignment="1">
      <alignment horizontal="center"/>
    </xf>
    <xf numFmtId="15" fontId="17" fillId="3" borderId="1" xfId="35" quotePrefix="1" applyNumberFormat="1" applyFont="1" applyFill="1" applyBorder="1" applyAlignment="1">
      <alignment horizontal="center" vertical="center" wrapText="1"/>
    </xf>
    <xf numFmtId="43" fontId="17" fillId="2" borderId="1" xfId="35" applyNumberFormat="1" applyFont="1" applyFill="1" applyBorder="1" applyAlignment="1">
      <alignment horizontal="right" vertical="center" wrapText="1"/>
    </xf>
    <xf numFmtId="0" fontId="21" fillId="3" borderId="1" xfId="43" applyFont="1" applyFill="1" applyBorder="1" applyAlignment="1">
      <alignment horizontal="left" vertical="center" indent="1"/>
    </xf>
    <xf numFmtId="0" fontId="21" fillId="21" borderId="1" xfId="43" quotePrefix="1" applyFont="1" applyFill="1" applyBorder="1" applyAlignment="1">
      <alignment horizontal="left" vertical="center" indent="1"/>
    </xf>
    <xf numFmtId="0" fontId="21" fillId="32" borderId="1" xfId="43" quotePrefix="1" applyFont="1" applyFill="1" applyBorder="1" applyAlignment="1">
      <alignment horizontal="center" vertical="center"/>
    </xf>
    <xf numFmtId="0" fontId="21" fillId="32" borderId="1" xfId="43" quotePrefix="1" applyFont="1" applyFill="1" applyBorder="1" applyAlignment="1">
      <alignment horizontal="left" vertical="center" indent="1"/>
    </xf>
    <xf numFmtId="0" fontId="21" fillId="33" borderId="1" xfId="43" quotePrefix="1" applyFont="1" applyFill="1" applyBorder="1" applyAlignment="1">
      <alignment horizontal="center" vertical="center"/>
    </xf>
    <xf numFmtId="0" fontId="16" fillId="3" borderId="0" xfId="99" applyFont="1" applyFill="1"/>
    <xf numFmtId="0" fontId="73" fillId="3" borderId="0" xfId="99" applyFont="1" applyFill="1"/>
    <xf numFmtId="0" fontId="74" fillId="0" borderId="1" xfId="0" applyFont="1" applyBorder="1" applyAlignment="1">
      <alignment horizontal="center" vertical="center"/>
    </xf>
    <xf numFmtId="0" fontId="48" fillId="0" borderId="0" xfId="99" applyFont="1" applyAlignment="1">
      <alignment horizontal="center" vertical="center"/>
    </xf>
    <xf numFmtId="0" fontId="26" fillId="0" borderId="0" xfId="99" applyFont="1" applyAlignment="1">
      <alignment horizontal="center" vertical="center"/>
    </xf>
    <xf numFmtId="0" fontId="26" fillId="3" borderId="0" xfId="99" applyFont="1" applyFill="1" applyAlignment="1">
      <alignment horizontal="center"/>
    </xf>
    <xf numFmtId="0" fontId="31" fillId="5" borderId="0" xfId="99" applyFont="1" applyFill="1"/>
    <xf numFmtId="14" fontId="0" fillId="3" borderId="0" xfId="0" quotePrefix="1" applyNumberFormat="1" applyFill="1" applyAlignment="1">
      <alignment horizontal="center" vertical="center"/>
    </xf>
    <xf numFmtId="0" fontId="19" fillId="0" borderId="1" xfId="43" quotePrefix="1" applyFont="1" applyBorder="1" applyAlignment="1">
      <alignment horizontal="center" vertical="center"/>
    </xf>
    <xf numFmtId="0" fontId="20" fillId="0" borderId="1" xfId="43" applyFont="1" applyBorder="1" applyAlignment="1">
      <alignment horizontal="center" vertical="center"/>
    </xf>
    <xf numFmtId="0" fontId="20" fillId="21" borderId="1" xfId="43" quotePrefix="1" applyFont="1" applyFill="1" applyBorder="1" applyAlignment="1">
      <alignment horizontal="center" vertical="center"/>
    </xf>
    <xf numFmtId="0" fontId="20" fillId="11" borderId="1" xfId="43" quotePrefix="1" applyFont="1" applyFill="1" applyBorder="1" applyAlignment="1">
      <alignment horizontal="center" vertical="center"/>
    </xf>
    <xf numFmtId="0" fontId="17" fillId="0" borderId="0" xfId="43" applyFont="1" applyAlignment="1">
      <alignment horizontal="center"/>
    </xf>
    <xf numFmtId="0" fontId="15" fillId="3" borderId="0" xfId="62" applyFont="1" applyFill="1"/>
    <xf numFmtId="0" fontId="28" fillId="3" borderId="0" xfId="62" applyFont="1" applyFill="1"/>
    <xf numFmtId="16" fontId="28" fillId="3" borderId="0" xfId="99" quotePrefix="1" applyNumberFormat="1" applyFont="1" applyFill="1" applyAlignment="1">
      <alignment horizontal="center"/>
    </xf>
    <xf numFmtId="0" fontId="28" fillId="3" borderId="0" xfId="99" quotePrefix="1" applyFont="1" applyFill="1" applyAlignment="1">
      <alignment horizontal="center"/>
    </xf>
    <xf numFmtId="0" fontId="26" fillId="17" borderId="1" xfId="99" applyFont="1" applyFill="1" applyBorder="1" applyAlignment="1">
      <alignment horizontal="center"/>
    </xf>
    <xf numFmtId="0" fontId="26" fillId="17" borderId="9" xfId="99" applyFont="1" applyFill="1" applyBorder="1" applyAlignment="1">
      <alignment horizontal="center"/>
    </xf>
    <xf numFmtId="0" fontId="17" fillId="3" borderId="40" xfId="0" applyFont="1" applyFill="1" applyBorder="1" applyAlignment="1">
      <alignment horizontal="center" vertical="center" wrapText="1"/>
    </xf>
    <xf numFmtId="0" fontId="17" fillId="3" borderId="0" xfId="0" applyFont="1" applyFill="1" applyAlignment="1">
      <alignment horizontal="center" vertical="center" wrapText="1"/>
    </xf>
    <xf numFmtId="0" fontId="17" fillId="3" borderId="69" xfId="0" applyFont="1" applyFill="1" applyBorder="1" applyAlignment="1">
      <alignment horizontal="center" vertical="center" wrapText="1"/>
    </xf>
    <xf numFmtId="0" fontId="17" fillId="3" borderId="29" xfId="0" applyFont="1" applyFill="1" applyBorder="1" applyAlignment="1">
      <alignment horizontal="center" vertical="center" wrapText="1"/>
    </xf>
    <xf numFmtId="170" fontId="17" fillId="3" borderId="29" xfId="35" applyNumberFormat="1" applyFont="1" applyFill="1" applyBorder="1" applyAlignment="1">
      <alignment horizontal="center" vertical="center"/>
    </xf>
    <xf numFmtId="0" fontId="17" fillId="3" borderId="63" xfId="0" applyFont="1" applyFill="1" applyBorder="1" applyAlignment="1">
      <alignment horizontal="center" vertical="center"/>
    </xf>
    <xf numFmtId="2" fontId="17" fillId="3" borderId="1" xfId="0" applyNumberFormat="1" applyFont="1" applyFill="1" applyBorder="1" applyAlignment="1">
      <alignment horizontal="center" vertical="center"/>
    </xf>
    <xf numFmtId="15" fontId="17" fillId="11" borderId="1" xfId="0" applyNumberFormat="1" applyFont="1" applyFill="1" applyBorder="1" applyAlignment="1">
      <alignment horizontal="center" vertical="center"/>
    </xf>
    <xf numFmtId="2" fontId="17" fillId="11" borderId="1" xfId="0" applyNumberFormat="1" applyFont="1" applyFill="1" applyBorder="1" applyAlignment="1">
      <alignment horizontal="center" vertical="center"/>
    </xf>
    <xf numFmtId="0" fontId="17" fillId="11" borderId="0" xfId="0" applyFont="1" applyFill="1" applyAlignment="1">
      <alignment horizontal="center" vertical="center"/>
    </xf>
    <xf numFmtId="0" fontId="12" fillId="0" borderId="14" xfId="0" applyFont="1" applyBorder="1" applyAlignment="1">
      <alignment horizontal="center" vertical="center" wrapText="1"/>
    </xf>
    <xf numFmtId="0" fontId="75" fillId="0" borderId="1" xfId="106" applyFont="1" applyBorder="1" applyAlignment="1" applyProtection="1">
      <alignment horizontal="center" vertical="center"/>
      <protection hidden="1"/>
    </xf>
    <xf numFmtId="1" fontId="66" fillId="0" borderId="1" xfId="106" applyNumberFormat="1" applyFont="1" applyBorder="1" applyAlignment="1" applyProtection="1">
      <alignment horizontal="center" vertical="center"/>
      <protection hidden="1"/>
    </xf>
    <xf numFmtId="9" fontId="66" fillId="0" borderId="1" xfId="107" applyFont="1" applyBorder="1" applyAlignment="1" applyProtection="1">
      <alignment horizontal="center" vertical="center"/>
      <protection hidden="1"/>
    </xf>
    <xf numFmtId="1" fontId="75" fillId="0" borderId="10" xfId="106" applyNumberFormat="1" applyFont="1" applyBorder="1" applyAlignment="1">
      <alignment horizontal="center" vertical="center"/>
    </xf>
    <xf numFmtId="1" fontId="66" fillId="0" borderId="1" xfId="107" applyNumberFormat="1" applyFont="1" applyBorder="1" applyAlignment="1" applyProtection="1">
      <alignment horizontal="center" vertical="center"/>
      <protection hidden="1"/>
    </xf>
    <xf numFmtId="9" fontId="66" fillId="0" borderId="1" xfId="107" applyFont="1" applyBorder="1" applyAlignment="1">
      <alignment horizontal="center" vertical="center"/>
    </xf>
    <xf numFmtId="9" fontId="66" fillId="0" borderId="1" xfId="116" applyFont="1" applyBorder="1" applyAlignment="1" applyProtection="1">
      <alignment horizontal="center" vertical="center"/>
      <protection hidden="1"/>
    </xf>
    <xf numFmtId="1" fontId="66" fillId="0" borderId="1" xfId="107" applyNumberFormat="1" applyFont="1" applyBorder="1" applyAlignment="1">
      <alignment horizontal="center" vertical="center"/>
    </xf>
    <xf numFmtId="172" fontId="66" fillId="0" borderId="1" xfId="107" applyNumberFormat="1" applyFont="1" applyBorder="1" applyAlignment="1" applyProtection="1">
      <alignment horizontal="center" vertical="center"/>
      <protection hidden="1"/>
    </xf>
    <xf numFmtId="9" fontId="66" fillId="0" borderId="1" xfId="95" quotePrefix="1" applyFont="1" applyBorder="1" applyAlignment="1" applyProtection="1">
      <alignment horizontal="center" vertical="center"/>
      <protection hidden="1"/>
    </xf>
    <xf numFmtId="0" fontId="75" fillId="0" borderId="4" xfId="106" applyFont="1" applyBorder="1" applyAlignment="1" applyProtection="1">
      <alignment horizontal="center" vertical="center"/>
      <protection hidden="1"/>
    </xf>
    <xf numFmtId="9" fontId="66" fillId="0" borderId="4" xfId="107" applyFont="1" applyBorder="1" applyAlignment="1" applyProtection="1">
      <alignment horizontal="center" vertical="center"/>
      <protection hidden="1"/>
    </xf>
    <xf numFmtId="9" fontId="66" fillId="0" borderId="4" xfId="95" quotePrefix="1" applyFont="1" applyBorder="1" applyAlignment="1" applyProtection="1">
      <alignment horizontal="center" vertical="center"/>
      <protection hidden="1"/>
    </xf>
    <xf numFmtId="166" fontId="75" fillId="0" borderId="1" xfId="106" applyNumberFormat="1" applyFont="1" applyBorder="1" applyAlignment="1">
      <alignment horizontal="left" vertical="center"/>
    </xf>
    <xf numFmtId="166" fontId="75" fillId="0" borderId="4" xfId="106" applyNumberFormat="1" applyFont="1" applyBorder="1" applyAlignment="1">
      <alignment horizontal="left" vertical="center"/>
    </xf>
    <xf numFmtId="0" fontId="75" fillId="0" borderId="2" xfId="106" applyFont="1" applyBorder="1" applyAlignment="1">
      <alignment horizontal="center" vertical="center"/>
    </xf>
    <xf numFmtId="0" fontId="75" fillId="0" borderId="8" xfId="106" applyFont="1" applyBorder="1" applyAlignment="1">
      <alignment horizontal="center" vertical="center"/>
    </xf>
    <xf numFmtId="0" fontId="76" fillId="0" borderId="13" xfId="106" applyFont="1" applyBorder="1" applyAlignment="1">
      <alignment horizontal="center" vertical="center"/>
    </xf>
    <xf numFmtId="0" fontId="77" fillId="0" borderId="14" xfId="106" applyFont="1" applyBorder="1" applyAlignment="1" applyProtection="1">
      <alignment horizontal="left" vertical="center"/>
      <protection hidden="1"/>
    </xf>
    <xf numFmtId="0" fontId="75" fillId="0" borderId="14" xfId="106" applyFont="1" applyBorder="1" applyAlignment="1" applyProtection="1">
      <alignment horizontal="center" vertical="center"/>
      <protection hidden="1"/>
    </xf>
    <xf numFmtId="0" fontId="66" fillId="0" borderId="14" xfId="106" applyFont="1" applyBorder="1" applyAlignment="1" applyProtection="1">
      <alignment horizontal="center" vertical="center"/>
      <protection hidden="1"/>
    </xf>
    <xf numFmtId="0" fontId="78" fillId="0" borderId="14" xfId="106" applyFont="1" applyBorder="1" applyAlignment="1" applyProtection="1">
      <alignment horizontal="center" vertical="center"/>
      <protection hidden="1"/>
    </xf>
    <xf numFmtId="0" fontId="79" fillId="0" borderId="14" xfId="106" applyFont="1" applyBorder="1" applyAlignment="1">
      <alignment horizontal="center" vertical="center"/>
    </xf>
    <xf numFmtId="0" fontId="80" fillId="0" borderId="14" xfId="106" applyFont="1" applyBorder="1" applyAlignment="1">
      <alignment horizontal="center" vertical="center"/>
    </xf>
    <xf numFmtId="1" fontId="81" fillId="0" borderId="14" xfId="106" applyNumberFormat="1" applyFont="1" applyBorder="1" applyAlignment="1">
      <alignment horizontal="right" vertical="center"/>
    </xf>
    <xf numFmtId="1" fontId="66" fillId="0" borderId="16" xfId="106" applyNumberFormat="1" applyFont="1" applyBorder="1" applyAlignment="1">
      <alignment horizontal="center" vertical="center"/>
    </xf>
    <xf numFmtId="0" fontId="76" fillId="3" borderId="2" xfId="106" applyFont="1" applyFill="1" applyBorder="1" applyAlignment="1">
      <alignment horizontal="center" vertical="center"/>
    </xf>
    <xf numFmtId="0" fontId="76" fillId="3" borderId="1" xfId="106" applyFont="1" applyFill="1" applyBorder="1" applyAlignment="1" applyProtection="1">
      <alignment horizontal="left" vertical="center"/>
      <protection hidden="1"/>
    </xf>
    <xf numFmtId="0" fontId="66" fillId="3" borderId="1" xfId="106" applyFont="1" applyFill="1" applyBorder="1" applyAlignment="1" applyProtection="1">
      <alignment horizontal="center" vertical="center"/>
      <protection hidden="1"/>
    </xf>
    <xf numFmtId="1" fontId="76" fillId="3" borderId="1" xfId="106" applyNumberFormat="1" applyFont="1" applyFill="1" applyBorder="1" applyAlignment="1" applyProtection="1">
      <alignment horizontal="center" vertical="center"/>
      <protection hidden="1"/>
    </xf>
    <xf numFmtId="1" fontId="67" fillId="3" borderId="1" xfId="106" applyNumberFormat="1" applyFont="1" applyFill="1" applyBorder="1" applyAlignment="1" applyProtection="1">
      <alignment horizontal="center" vertical="center"/>
      <protection hidden="1"/>
    </xf>
    <xf numFmtId="1" fontId="66" fillId="3" borderId="10" xfId="106" applyNumberFormat="1" applyFont="1" applyFill="1" applyBorder="1" applyAlignment="1">
      <alignment horizontal="center" vertical="center" wrapText="1"/>
    </xf>
    <xf numFmtId="1" fontId="75" fillId="0" borderId="2" xfId="118" applyNumberFormat="1" applyFont="1" applyBorder="1" applyAlignment="1">
      <alignment horizontal="center" vertical="center"/>
    </xf>
    <xf numFmtId="0" fontId="67" fillId="3" borderId="1" xfId="106" applyFont="1" applyFill="1" applyBorder="1" applyAlignment="1">
      <alignment horizontal="left" vertical="center"/>
    </xf>
    <xf numFmtId="0" fontId="82" fillId="3" borderId="1" xfId="106" applyFont="1" applyFill="1" applyBorder="1" applyAlignment="1">
      <alignment horizontal="center" vertical="center" wrapText="1"/>
    </xf>
    <xf numFmtId="0" fontId="83" fillId="3" borderId="1" xfId="106" applyFont="1" applyFill="1" applyBorder="1" applyAlignment="1">
      <alignment horizontal="center" vertical="center" wrapText="1"/>
    </xf>
    <xf numFmtId="1" fontId="66" fillId="3" borderId="1" xfId="106" applyNumberFormat="1" applyFont="1" applyFill="1" applyBorder="1" applyAlignment="1">
      <alignment horizontal="center" vertical="center"/>
    </xf>
    <xf numFmtId="9" fontId="67" fillId="3" borderId="1" xfId="95" applyFont="1" applyFill="1" applyBorder="1" applyAlignment="1" applyProtection="1">
      <alignment horizontal="center" vertical="center"/>
      <protection hidden="1"/>
    </xf>
    <xf numFmtId="1" fontId="66" fillId="3" borderId="10" xfId="106" applyNumberFormat="1" applyFont="1" applyFill="1" applyBorder="1" applyAlignment="1">
      <alignment horizontal="center" vertical="center"/>
    </xf>
    <xf numFmtId="1" fontId="82" fillId="3" borderId="1" xfId="106" applyNumberFormat="1" applyFont="1" applyFill="1" applyBorder="1" applyAlignment="1">
      <alignment horizontal="center" vertical="center" wrapText="1"/>
    </xf>
    <xf numFmtId="1" fontId="75" fillId="0" borderId="7" xfId="118" applyNumberFormat="1" applyFont="1" applyBorder="1" applyAlignment="1">
      <alignment horizontal="center" vertical="center"/>
    </xf>
    <xf numFmtId="0" fontId="82" fillId="3" borderId="3" xfId="106" applyFont="1" applyFill="1" applyBorder="1" applyAlignment="1">
      <alignment horizontal="center" vertical="center" wrapText="1"/>
    </xf>
    <xf numFmtId="0" fontId="83" fillId="3" borderId="3" xfId="106" applyFont="1" applyFill="1" applyBorder="1" applyAlignment="1">
      <alignment horizontal="center" vertical="center" wrapText="1"/>
    </xf>
    <xf numFmtId="1" fontId="66" fillId="3" borderId="3" xfId="106" applyNumberFormat="1" applyFont="1" applyFill="1" applyBorder="1" applyAlignment="1">
      <alignment horizontal="center" vertical="center"/>
    </xf>
    <xf numFmtId="9" fontId="67" fillId="3" borderId="3" xfId="95" applyFont="1" applyFill="1" applyBorder="1" applyAlignment="1" applyProtection="1">
      <alignment horizontal="center" vertical="center"/>
      <protection hidden="1"/>
    </xf>
    <xf numFmtId="1" fontId="66" fillId="3" borderId="28" xfId="106" applyNumberFormat="1" applyFont="1" applyFill="1" applyBorder="1" applyAlignment="1">
      <alignment horizontal="center" vertical="center"/>
    </xf>
    <xf numFmtId="0" fontId="67" fillId="3" borderId="3" xfId="106" applyFont="1" applyFill="1" applyBorder="1" applyAlignment="1">
      <alignment horizontal="left" vertical="center"/>
    </xf>
    <xf numFmtId="0" fontId="85" fillId="3" borderId="16" xfId="106" applyFont="1" applyFill="1" applyBorder="1" applyAlignment="1">
      <alignment horizontal="center" vertical="center" wrapText="1"/>
    </xf>
    <xf numFmtId="0" fontId="85" fillId="3" borderId="1" xfId="106" applyFont="1" applyFill="1" applyBorder="1" applyAlignment="1">
      <alignment horizontal="center" vertical="center" wrapText="1"/>
    </xf>
    <xf numFmtId="0" fontId="85" fillId="3" borderId="10" xfId="106" applyFont="1" applyFill="1" applyBorder="1" applyAlignment="1">
      <alignment horizontal="center" vertical="center" wrapText="1"/>
    </xf>
    <xf numFmtId="14" fontId="87" fillId="6" borderId="16" xfId="106" applyNumberFormat="1" applyFont="1" applyFill="1" applyBorder="1" applyAlignment="1">
      <alignment horizontal="center" vertical="center"/>
    </xf>
    <xf numFmtId="0" fontId="88" fillId="0" borderId="30" xfId="106" applyFont="1" applyBorder="1" applyAlignment="1">
      <alignment horizontal="center" vertical="center"/>
    </xf>
    <xf numFmtId="0" fontId="88" fillId="0" borderId="0" xfId="106" applyFont="1" applyAlignment="1">
      <alignment horizontal="center" vertical="center"/>
    </xf>
    <xf numFmtId="0" fontId="88" fillId="0" borderId="31" xfId="106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1" fillId="0" borderId="5" xfId="0" applyFont="1" applyBorder="1" applyAlignment="1">
      <alignment horizontal="center" vertical="center"/>
    </xf>
    <xf numFmtId="0" fontId="31" fillId="0" borderId="6" xfId="0" applyFont="1" applyBorder="1" applyAlignment="1">
      <alignment horizontal="center" vertical="center" wrapText="1"/>
    </xf>
    <xf numFmtId="0" fontId="31" fillId="0" borderId="6" xfId="0" applyFont="1" applyBorder="1" applyAlignment="1">
      <alignment horizontal="center" vertical="center"/>
    </xf>
    <xf numFmtId="0" fontId="28" fillId="0" borderId="13" xfId="0" applyFont="1" applyBorder="1" applyAlignment="1">
      <alignment horizontal="center" vertical="center"/>
    </xf>
    <xf numFmtId="1" fontId="28" fillId="0" borderId="0" xfId="0" applyNumberFormat="1" applyFont="1" applyAlignment="1">
      <alignment horizontal="center" vertical="center"/>
    </xf>
    <xf numFmtId="0" fontId="28" fillId="0" borderId="14" xfId="0" applyFont="1" applyBorder="1" applyAlignment="1">
      <alignment horizontal="center" vertical="center"/>
    </xf>
    <xf numFmtId="2" fontId="28" fillId="0" borderId="14" xfId="0" applyNumberFormat="1" applyFont="1" applyBorder="1" applyAlignment="1">
      <alignment horizontal="center" vertical="center"/>
    </xf>
    <xf numFmtId="0" fontId="28" fillId="0" borderId="8" xfId="0" applyFont="1" applyBorder="1" applyAlignment="1">
      <alignment horizontal="center" vertical="center"/>
    </xf>
    <xf numFmtId="0" fontId="28" fillId="0" borderId="4" xfId="0" applyFont="1" applyBorder="1" applyAlignment="1">
      <alignment horizontal="center" vertical="center"/>
    </xf>
    <xf numFmtId="2" fontId="28" fillId="0" borderId="4" xfId="0" applyNumberFormat="1" applyFont="1" applyBorder="1" applyAlignment="1">
      <alignment horizontal="center" vertical="center"/>
    </xf>
    <xf numFmtId="166" fontId="31" fillId="0" borderId="6" xfId="0" applyNumberFormat="1" applyFont="1" applyBorder="1" applyAlignment="1">
      <alignment horizontal="center" vertical="center"/>
    </xf>
    <xf numFmtId="0" fontId="47" fillId="3" borderId="0" xfId="132" applyFont="1" applyFill="1" applyAlignment="1">
      <alignment horizontal="center"/>
    </xf>
    <xf numFmtId="0" fontId="28" fillId="0" borderId="1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166" fontId="28" fillId="0" borderId="0" xfId="0" applyNumberFormat="1" applyFont="1" applyAlignment="1">
      <alignment horizontal="center" vertical="center"/>
    </xf>
    <xf numFmtId="166" fontId="31" fillId="0" borderId="0" xfId="0" applyNumberFormat="1" applyFont="1" applyAlignment="1">
      <alignment horizontal="center" vertical="center"/>
    </xf>
    <xf numFmtId="0" fontId="31" fillId="0" borderId="0" xfId="0" applyFont="1" applyAlignment="1">
      <alignment horizontal="center" vertical="center" wrapText="1"/>
    </xf>
    <xf numFmtId="1" fontId="31" fillId="0" borderId="0" xfId="0" applyNumberFormat="1" applyFont="1" applyAlignment="1">
      <alignment horizontal="center" vertical="center"/>
    </xf>
    <xf numFmtId="0" fontId="12" fillId="0" borderId="16" xfId="0" applyFont="1" applyBorder="1" applyAlignment="1">
      <alignment horizontal="center" vertical="center" wrapText="1"/>
    </xf>
    <xf numFmtId="0" fontId="28" fillId="0" borderId="10" xfId="0" applyFont="1" applyBorder="1" applyAlignment="1">
      <alignment horizontal="center" vertical="center"/>
    </xf>
    <xf numFmtId="0" fontId="28" fillId="0" borderId="11" xfId="0" applyFont="1" applyBorder="1" applyAlignment="1">
      <alignment horizontal="center" vertical="center"/>
    </xf>
    <xf numFmtId="0" fontId="89" fillId="3" borderId="1" xfId="132" applyFont="1" applyFill="1" applyBorder="1" applyAlignment="1">
      <alignment horizontal="center" vertical="center"/>
    </xf>
    <xf numFmtId="0" fontId="89" fillId="3" borderId="1" xfId="132" applyFont="1" applyFill="1" applyBorder="1" applyAlignment="1">
      <alignment horizontal="center"/>
    </xf>
    <xf numFmtId="0" fontId="12" fillId="24" borderId="9" xfId="0" applyFont="1" applyFill="1" applyBorder="1" applyAlignment="1">
      <alignment horizontal="center" vertical="center"/>
    </xf>
    <xf numFmtId="0" fontId="12" fillId="24" borderId="9" xfId="0" applyFont="1" applyFill="1" applyBorder="1" applyAlignment="1">
      <alignment horizontal="left" vertical="center"/>
    </xf>
    <xf numFmtId="166" fontId="0" fillId="24" borderId="9" xfId="0" applyNumberFormat="1" applyFill="1" applyBorder="1" applyAlignment="1">
      <alignment horizontal="center" vertical="center"/>
    </xf>
    <xf numFmtId="0" fontId="0" fillId="24" borderId="9" xfId="0" applyFill="1" applyBorder="1"/>
    <xf numFmtId="0" fontId="28" fillId="24" borderId="9" xfId="0" applyFont="1" applyFill="1" applyBorder="1" applyAlignment="1">
      <alignment horizontal="center" vertical="center"/>
    </xf>
    <xf numFmtId="0" fontId="12" fillId="24" borderId="1" xfId="0" applyFont="1" applyFill="1" applyBorder="1" applyAlignment="1">
      <alignment horizontal="center" vertical="center"/>
    </xf>
    <xf numFmtId="0" fontId="12" fillId="24" borderId="1" xfId="0" applyFont="1" applyFill="1" applyBorder="1" applyAlignment="1">
      <alignment horizontal="left" vertical="center"/>
    </xf>
    <xf numFmtId="166" fontId="0" fillId="24" borderId="1" xfId="0" applyNumberFormat="1" applyFill="1" applyBorder="1" applyAlignment="1">
      <alignment horizontal="center" vertical="center"/>
    </xf>
    <xf numFmtId="0" fontId="0" fillId="24" borderId="1" xfId="0" applyFill="1" applyBorder="1"/>
    <xf numFmtId="0" fontId="28" fillId="24" borderId="1" xfId="0" applyFont="1" applyFill="1" applyBorder="1" applyAlignment="1">
      <alignment horizontal="center" vertical="center"/>
    </xf>
    <xf numFmtId="0" fontId="90" fillId="2" borderId="0" xfId="35" applyFont="1" applyFill="1" applyAlignment="1">
      <alignment horizontal="center" vertical="center"/>
    </xf>
    <xf numFmtId="0" fontId="21" fillId="0" borderId="0" xfId="43" quotePrefix="1" applyFont="1" applyAlignment="1">
      <alignment horizontal="center" vertical="center"/>
    </xf>
    <xf numFmtId="14" fontId="17" fillId="3" borderId="0" xfId="43" applyNumberFormat="1" applyFont="1" applyFill="1"/>
    <xf numFmtId="0" fontId="21" fillId="3" borderId="1" xfId="43" applyFont="1" applyFill="1" applyBorder="1" applyAlignment="1">
      <alignment horizontal="center" vertical="center"/>
    </xf>
    <xf numFmtId="0" fontId="19" fillId="11" borderId="1" xfId="43" applyFont="1" applyFill="1" applyBorder="1" applyAlignment="1">
      <alignment horizontal="center" vertical="center"/>
    </xf>
    <xf numFmtId="0" fontId="19" fillId="3" borderId="1" xfId="43" applyFont="1" applyFill="1" applyBorder="1" applyAlignment="1">
      <alignment horizontal="center" vertical="center"/>
    </xf>
    <xf numFmtId="0" fontId="20" fillId="18" borderId="14" xfId="43" applyFont="1" applyFill="1" applyBorder="1" applyAlignment="1">
      <alignment horizontal="center" vertical="center" wrapText="1"/>
    </xf>
    <xf numFmtId="0" fontId="20" fillId="18" borderId="16" xfId="43" applyFont="1" applyFill="1" applyBorder="1" applyAlignment="1">
      <alignment horizontal="center" vertical="center" wrapText="1"/>
    </xf>
    <xf numFmtId="0" fontId="20" fillId="18" borderId="10" xfId="43" applyFont="1" applyFill="1" applyBorder="1" applyAlignment="1">
      <alignment horizontal="center" vertical="center" wrapText="1"/>
    </xf>
    <xf numFmtId="0" fontId="21" fillId="0" borderId="30" xfId="43" applyFont="1" applyBorder="1" applyAlignment="1">
      <alignment horizontal="center" vertical="center"/>
    </xf>
    <xf numFmtId="0" fontId="19" fillId="0" borderId="1" xfId="43" quotePrefix="1" applyFont="1" applyBorder="1" applyAlignment="1">
      <alignment horizontal="left" vertical="center" indent="1"/>
    </xf>
    <xf numFmtId="0" fontId="19" fillId="4" borderId="1" xfId="43" quotePrefix="1" applyFont="1" applyFill="1" applyBorder="1" applyAlignment="1">
      <alignment horizontal="center" vertical="center"/>
    </xf>
    <xf numFmtId="0" fontId="42" fillId="0" borderId="1" xfId="43" quotePrefix="1" applyFont="1" applyBorder="1" applyAlignment="1">
      <alignment horizontal="center" vertical="center"/>
    </xf>
    <xf numFmtId="0" fontId="20" fillId="18" borderId="4" xfId="43" applyFont="1" applyFill="1" applyBorder="1" applyAlignment="1">
      <alignment horizontal="center" vertical="center" wrapText="1"/>
    </xf>
    <xf numFmtId="0" fontId="20" fillId="18" borderId="11" xfId="43" applyFont="1" applyFill="1" applyBorder="1" applyAlignment="1">
      <alignment horizontal="center" vertical="center" wrapText="1"/>
    </xf>
    <xf numFmtId="0" fontId="21" fillId="0" borderId="13" xfId="43" applyFont="1" applyBorder="1" applyAlignment="1">
      <alignment horizontal="center" vertical="center"/>
    </xf>
    <xf numFmtId="0" fontId="19" fillId="0" borderId="14" xfId="43" quotePrefix="1" applyFont="1" applyBorder="1" applyAlignment="1">
      <alignment horizontal="center" vertical="center"/>
    </xf>
    <xf numFmtId="0" fontId="19" fillId="0" borderId="16" xfId="43" quotePrefix="1" applyFont="1" applyBorder="1" applyAlignment="1">
      <alignment horizontal="left" vertical="center" indent="1"/>
    </xf>
    <xf numFmtId="0" fontId="21" fillId="0" borderId="2" xfId="43" applyFont="1" applyBorder="1" applyAlignment="1">
      <alignment horizontal="center" vertical="center"/>
    </xf>
    <xf numFmtId="0" fontId="19" fillId="0" borderId="10" xfId="43" applyFont="1" applyBorder="1" applyAlignment="1">
      <alignment horizontal="left" vertical="center" indent="1"/>
    </xf>
    <xf numFmtId="0" fontId="19" fillId="0" borderId="10" xfId="43" quotePrefix="1" applyFont="1" applyBorder="1" applyAlignment="1">
      <alignment horizontal="left" vertical="center" indent="1"/>
    </xf>
    <xf numFmtId="0" fontId="19" fillId="4" borderId="10" xfId="43" quotePrefix="1" applyFont="1" applyFill="1" applyBorder="1" applyAlignment="1">
      <alignment horizontal="left" vertical="center" indent="1"/>
    </xf>
    <xf numFmtId="0" fontId="42" fillId="0" borderId="10" xfId="43" quotePrefix="1" applyFont="1" applyBorder="1" applyAlignment="1">
      <alignment horizontal="left" vertical="center" indent="1"/>
    </xf>
    <xf numFmtId="0" fontId="19" fillId="0" borderId="4" xfId="43" quotePrefix="1" applyFont="1" applyBorder="1" applyAlignment="1">
      <alignment horizontal="center" vertical="center"/>
    </xf>
    <xf numFmtId="0" fontId="19" fillId="0" borderId="11" xfId="43" quotePrefix="1" applyFont="1" applyBorder="1" applyAlignment="1">
      <alignment horizontal="left" vertical="center" indent="1"/>
    </xf>
    <xf numFmtId="0" fontId="21" fillId="0" borderId="2" xfId="43" quotePrefix="1" applyFont="1" applyBorder="1" applyAlignment="1">
      <alignment horizontal="center" vertical="center"/>
    </xf>
    <xf numFmtId="0" fontId="21" fillId="3" borderId="10" xfId="43" quotePrefix="1" applyFont="1" applyFill="1" applyBorder="1" applyAlignment="1">
      <alignment horizontal="left" vertical="center" indent="1"/>
    </xf>
    <xf numFmtId="0" fontId="21" fillId="3" borderId="10" xfId="43" applyFont="1" applyFill="1" applyBorder="1" applyAlignment="1">
      <alignment horizontal="left" vertical="center" indent="1"/>
    </xf>
    <xf numFmtId="0" fontId="21" fillId="21" borderId="10" xfId="43" quotePrefix="1" applyFont="1" applyFill="1" applyBorder="1" applyAlignment="1">
      <alignment horizontal="left" vertical="center" indent="1"/>
    </xf>
    <xf numFmtId="0" fontId="20" fillId="3" borderId="10" xfId="43" quotePrefix="1" applyFont="1" applyFill="1" applyBorder="1" applyAlignment="1">
      <alignment horizontal="left" vertical="center" indent="1"/>
    </xf>
    <xf numFmtId="0" fontId="21" fillId="3" borderId="2" xfId="43" quotePrefix="1" applyFont="1" applyFill="1" applyBorder="1" applyAlignment="1">
      <alignment horizontal="center" vertical="center"/>
    </xf>
    <xf numFmtId="0" fontId="21" fillId="3" borderId="8" xfId="43" quotePrefix="1" applyFont="1" applyFill="1" applyBorder="1" applyAlignment="1">
      <alignment horizontal="center" vertical="center"/>
    </xf>
    <xf numFmtId="0" fontId="21" fillId="3" borderId="4" xfId="43" quotePrefix="1" applyFont="1" applyFill="1" applyBorder="1" applyAlignment="1">
      <alignment horizontal="center" vertical="center"/>
    </xf>
    <xf numFmtId="0" fontId="21" fillId="3" borderId="11" xfId="43" quotePrefix="1" applyFont="1" applyFill="1" applyBorder="1" applyAlignment="1">
      <alignment horizontal="left" vertical="center" indent="1"/>
    </xf>
    <xf numFmtId="0" fontId="19" fillId="27" borderId="1" xfId="43" quotePrefix="1" applyFont="1" applyFill="1" applyBorder="1" applyAlignment="1">
      <alignment horizontal="left" vertical="center" indent="1"/>
    </xf>
    <xf numFmtId="0" fontId="19" fillId="27" borderId="1" xfId="43" applyFont="1" applyFill="1" applyBorder="1" applyAlignment="1">
      <alignment horizontal="center" vertical="center"/>
    </xf>
    <xf numFmtId="0" fontId="19" fillId="12" borderId="1" xfId="43" quotePrefix="1" applyFont="1" applyFill="1" applyBorder="1" applyAlignment="1">
      <alignment horizontal="left" vertical="center" indent="1"/>
    </xf>
    <xf numFmtId="0" fontId="19" fillId="12" borderId="1" xfId="43" applyFont="1" applyFill="1" applyBorder="1" applyAlignment="1">
      <alignment horizontal="center" vertical="center"/>
    </xf>
    <xf numFmtId="0" fontId="19" fillId="12" borderId="1" xfId="43" applyFont="1" applyFill="1" applyBorder="1" applyAlignment="1">
      <alignment horizontal="left" vertical="center" indent="1"/>
    </xf>
    <xf numFmtId="0" fontId="19" fillId="11" borderId="1" xfId="43" applyFont="1" applyFill="1" applyBorder="1" applyAlignment="1">
      <alignment horizontal="left" vertical="center" indent="1"/>
    </xf>
    <xf numFmtId="0" fontId="19" fillId="6" borderId="1" xfId="43" applyFont="1" applyFill="1" applyBorder="1" applyAlignment="1">
      <alignment horizontal="left" vertical="center" indent="1"/>
    </xf>
    <xf numFmtId="0" fontId="19" fillId="6" borderId="1" xfId="43" applyFont="1" applyFill="1" applyBorder="1" applyAlignment="1">
      <alignment horizontal="center" vertical="center"/>
    </xf>
    <xf numFmtId="0" fontId="20" fillId="11" borderId="88" xfId="43" applyFont="1" applyFill="1" applyBorder="1" applyAlignment="1">
      <alignment horizontal="center" vertical="center"/>
    </xf>
    <xf numFmtId="0" fontId="20" fillId="11" borderId="39" xfId="43" applyFont="1" applyFill="1" applyBorder="1" applyAlignment="1">
      <alignment horizontal="center" vertical="center"/>
    </xf>
    <xf numFmtId="0" fontId="21" fillId="0" borderId="37" xfId="43" applyFont="1" applyBorder="1" applyAlignment="1">
      <alignment horizontal="center" vertical="center"/>
    </xf>
    <xf numFmtId="0" fontId="47" fillId="0" borderId="10" xfId="43" applyFont="1" applyBorder="1" applyAlignment="1">
      <alignment horizontal="center" vertical="center"/>
    </xf>
    <xf numFmtId="0" fontId="21" fillId="0" borderId="31" xfId="43" applyFont="1" applyBorder="1" applyAlignment="1">
      <alignment horizontal="center" vertical="center"/>
    </xf>
    <xf numFmtId="0" fontId="21" fillId="3" borderId="31" xfId="43" applyFont="1" applyFill="1" applyBorder="1" applyAlignment="1">
      <alignment horizontal="center" vertical="center"/>
    </xf>
    <xf numFmtId="0" fontId="32" fillId="3" borderId="31" xfId="43" applyFont="1" applyFill="1" applyBorder="1"/>
    <xf numFmtId="0" fontId="32" fillId="3" borderId="67" xfId="43" applyFont="1" applyFill="1" applyBorder="1"/>
    <xf numFmtId="0" fontId="32" fillId="3" borderId="68" xfId="43" applyFont="1" applyFill="1" applyBorder="1"/>
    <xf numFmtId="0" fontId="20" fillId="11" borderId="89" xfId="43" applyFont="1" applyFill="1" applyBorder="1" applyAlignment="1">
      <alignment horizontal="center" vertical="center"/>
    </xf>
    <xf numFmtId="0" fontId="47" fillId="11" borderId="10" xfId="43" applyFont="1" applyFill="1" applyBorder="1" applyAlignment="1">
      <alignment horizontal="center" vertical="center"/>
    </xf>
    <xf numFmtId="0" fontId="32" fillId="3" borderId="30" xfId="43" applyFont="1" applyFill="1" applyBorder="1"/>
    <xf numFmtId="0" fontId="32" fillId="3" borderId="66" xfId="43" applyFont="1" applyFill="1" applyBorder="1"/>
    <xf numFmtId="0" fontId="19" fillId="3" borderId="1" xfId="43" quotePrefix="1" applyFont="1" applyFill="1" applyBorder="1" applyAlignment="1">
      <alignment horizontal="center" vertical="center"/>
    </xf>
    <xf numFmtId="0" fontId="19" fillId="3" borderId="10" xfId="43" quotePrefix="1" applyFont="1" applyFill="1" applyBorder="1" applyAlignment="1">
      <alignment horizontal="left" vertical="center" indent="1"/>
    </xf>
    <xf numFmtId="0" fontId="21" fillId="3" borderId="2" xfId="43" applyFont="1" applyFill="1" applyBorder="1" applyAlignment="1">
      <alignment horizontal="center" vertical="center"/>
    </xf>
    <xf numFmtId="1" fontId="19" fillId="0" borderId="0" xfId="43" applyNumberFormat="1" applyFont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26" borderId="5" xfId="0" applyFill="1" applyBorder="1" applyAlignment="1">
      <alignment horizontal="center" vertical="center"/>
    </xf>
    <xf numFmtId="0" fontId="0" fillId="26" borderId="6" xfId="0" applyFill="1" applyBorder="1" applyAlignment="1">
      <alignment vertical="center"/>
    </xf>
    <xf numFmtId="0" fontId="0" fillId="26" borderId="6" xfId="0" applyFill="1" applyBorder="1" applyAlignment="1">
      <alignment horizontal="center" vertical="center"/>
    </xf>
    <xf numFmtId="0" fontId="0" fillId="26" borderId="24" xfId="0" applyFill="1" applyBorder="1" applyAlignment="1">
      <alignment horizontal="center" vertical="center"/>
    </xf>
    <xf numFmtId="0" fontId="12" fillId="11" borderId="1" xfId="0" applyFont="1" applyFill="1" applyBorder="1" applyAlignment="1">
      <alignment horizontal="center" vertical="center"/>
    </xf>
    <xf numFmtId="0" fontId="0" fillId="3" borderId="11" xfId="0" applyFill="1" applyBorder="1" applyAlignment="1">
      <alignment vertical="center"/>
    </xf>
    <xf numFmtId="0" fontId="0" fillId="0" borderId="12" xfId="0" applyBorder="1" applyAlignment="1">
      <alignment vertical="center"/>
    </xf>
    <xf numFmtId="0" fontId="12" fillId="6" borderId="35" xfId="0" applyFont="1" applyFill="1" applyBorder="1" applyAlignment="1">
      <alignment horizontal="center" vertical="center"/>
    </xf>
    <xf numFmtId="0" fontId="28" fillId="3" borderId="74" xfId="99" applyFont="1" applyFill="1" applyBorder="1" applyAlignment="1">
      <alignment horizontal="left" vertical="center"/>
    </xf>
    <xf numFmtId="0" fontId="28" fillId="3" borderId="97" xfId="99" applyFont="1" applyFill="1" applyBorder="1"/>
    <xf numFmtId="1" fontId="0" fillId="9" borderId="1" xfId="98" applyNumberFormat="1" applyFont="1" applyFill="1" applyBorder="1" applyAlignment="1">
      <alignment horizontal="right" vertical="center"/>
    </xf>
    <xf numFmtId="0" fontId="0" fillId="9" borderId="1" xfId="98" applyNumberFormat="1" applyFont="1" applyFill="1" applyBorder="1" applyAlignment="1">
      <alignment horizontal="right" vertical="center"/>
    </xf>
    <xf numFmtId="9" fontId="0" fillId="9" borderId="1" xfId="95" applyFont="1" applyFill="1" applyBorder="1" applyAlignment="1">
      <alignment horizontal="right" vertical="center"/>
    </xf>
    <xf numFmtId="0" fontId="0" fillId="0" borderId="22" xfId="0" applyBorder="1" applyAlignment="1">
      <alignment horizontal="right" vertical="center"/>
    </xf>
    <xf numFmtId="0" fontId="20" fillId="0" borderId="2" xfId="43" quotePrefix="1" applyFont="1" applyBorder="1" applyAlignment="1">
      <alignment horizontal="center" vertical="center"/>
    </xf>
    <xf numFmtId="0" fontId="24" fillId="3" borderId="1" xfId="43" applyFont="1" applyFill="1" applyBorder="1" applyAlignment="1">
      <alignment horizontal="center" vertical="center"/>
    </xf>
    <xf numFmtId="0" fontId="91" fillId="3" borderId="1" xfId="43" quotePrefix="1" applyFont="1" applyFill="1" applyBorder="1" applyAlignment="1">
      <alignment horizontal="center" vertical="center"/>
    </xf>
    <xf numFmtId="166" fontId="0" fillId="11" borderId="9" xfId="0" applyNumberFormat="1" applyFill="1" applyBorder="1" applyAlignment="1">
      <alignment horizontal="center" vertical="center"/>
    </xf>
    <xf numFmtId="49" fontId="17" fillId="0" borderId="1" xfId="0" quotePrefix="1" applyNumberFormat="1" applyFont="1" applyBorder="1" applyAlignment="1">
      <alignment horizontal="center" vertical="center"/>
    </xf>
    <xf numFmtId="166" fontId="17" fillId="0" borderId="1" xfId="0" applyNumberFormat="1" applyFont="1" applyBorder="1" applyAlignment="1">
      <alignment horizontal="center" vertical="center"/>
    </xf>
    <xf numFmtId="16" fontId="0" fillId="24" borderId="1" xfId="0" quotePrefix="1" applyNumberFormat="1" applyFill="1" applyBorder="1" applyAlignment="1">
      <alignment horizontal="center" vertical="center"/>
    </xf>
    <xf numFmtId="16" fontId="28" fillId="3" borderId="0" xfId="99" quotePrefix="1" applyNumberFormat="1" applyFont="1" applyFill="1"/>
    <xf numFmtId="0" fontId="28" fillId="3" borderId="0" xfId="99" quotePrefix="1" applyFont="1" applyFill="1"/>
    <xf numFmtId="0" fontId="12" fillId="4" borderId="1" xfId="0" applyFont="1" applyFill="1" applyBorder="1" applyAlignment="1">
      <alignment horizontal="left" vertical="center"/>
    </xf>
    <xf numFmtId="0" fontId="12" fillId="11" borderId="1" xfId="0" applyFont="1" applyFill="1" applyBorder="1" applyAlignment="1">
      <alignment horizontal="left" vertical="center"/>
    </xf>
    <xf numFmtId="166" fontId="28" fillId="3" borderId="0" xfId="99" applyNumberFormat="1" applyFont="1" applyFill="1"/>
    <xf numFmtId="49" fontId="0" fillId="5" borderId="1" xfId="0" quotePrefix="1" applyNumberFormat="1" applyFill="1" applyBorder="1" applyAlignment="1">
      <alignment horizontal="center" vertical="center"/>
    </xf>
    <xf numFmtId="166" fontId="89" fillId="3" borderId="1" xfId="132" applyNumberFormat="1" applyFont="1" applyFill="1" applyBorder="1" applyAlignment="1">
      <alignment horizontal="center" vertical="center" wrapText="1"/>
    </xf>
    <xf numFmtId="2" fontId="66" fillId="0" borderId="1" xfId="107" applyNumberFormat="1" applyFont="1" applyBorder="1" applyAlignment="1">
      <alignment horizontal="center" vertical="center"/>
    </xf>
    <xf numFmtId="0" fontId="31" fillId="0" borderId="0" xfId="99" applyFont="1" applyAlignment="1">
      <alignment horizontal="center" vertical="center"/>
    </xf>
    <xf numFmtId="0" fontId="28" fillId="3" borderId="30" xfId="99" applyFont="1" applyFill="1" applyBorder="1" applyAlignment="1">
      <alignment vertical="center"/>
    </xf>
    <xf numFmtId="166" fontId="89" fillId="3" borderId="1" xfId="132" applyNumberFormat="1" applyFont="1" applyFill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45" fillId="0" borderId="0" xfId="99" applyFont="1" applyAlignment="1">
      <alignment vertical="center"/>
    </xf>
    <xf numFmtId="173" fontId="28" fillId="9" borderId="2" xfId="98" applyNumberFormat="1" applyFont="1" applyFill="1" applyBorder="1" applyAlignment="1">
      <alignment horizontal="center" vertical="top"/>
    </xf>
    <xf numFmtId="17" fontId="0" fillId="0" borderId="0" xfId="0" applyNumberFormat="1" applyAlignment="1">
      <alignment horizontal="center" vertical="center"/>
    </xf>
    <xf numFmtId="166" fontId="0" fillId="0" borderId="14" xfId="0" applyNumberFormat="1" applyBorder="1" applyAlignment="1">
      <alignment horizontal="center" vertical="center"/>
    </xf>
    <xf numFmtId="0" fontId="17" fillId="3" borderId="9" xfId="106" applyFont="1" applyFill="1" applyBorder="1" applyAlignment="1" applyProtection="1">
      <alignment horizontal="center" vertical="center"/>
      <protection hidden="1"/>
    </xf>
    <xf numFmtId="1" fontId="50" fillId="3" borderId="9" xfId="106" applyNumberFormat="1" applyFont="1" applyFill="1" applyBorder="1" applyAlignment="1" applyProtection="1">
      <alignment horizontal="center" vertical="center"/>
      <protection hidden="1"/>
    </xf>
    <xf numFmtId="1" fontId="44" fillId="3" borderId="12" xfId="106" applyNumberFormat="1" applyFont="1" applyFill="1" applyBorder="1" applyAlignment="1">
      <alignment horizontal="center" vertical="center"/>
    </xf>
    <xf numFmtId="0" fontId="84" fillId="3" borderId="1" xfId="106" applyFont="1" applyFill="1" applyBorder="1" applyAlignment="1">
      <alignment horizontal="center" vertical="center" wrapText="1"/>
    </xf>
    <xf numFmtId="0" fontId="50" fillId="3" borderId="23" xfId="106" applyFont="1" applyFill="1" applyBorder="1" applyAlignment="1">
      <alignment horizontal="center" vertical="center"/>
    </xf>
    <xf numFmtId="0" fontId="51" fillId="0" borderId="9" xfId="106" applyFont="1" applyBorder="1" applyAlignment="1" applyProtection="1">
      <alignment horizontal="left" vertical="center"/>
      <protection hidden="1"/>
    </xf>
    <xf numFmtId="1" fontId="75" fillId="0" borderId="1" xfId="118" applyNumberFormat="1" applyFont="1" applyBorder="1" applyAlignment="1">
      <alignment horizontal="center" vertical="center"/>
    </xf>
    <xf numFmtId="0" fontId="78" fillId="10" borderId="1" xfId="106" applyFont="1" applyFill="1" applyBorder="1" applyAlignment="1">
      <alignment horizontal="left" vertical="center"/>
    </xf>
    <xf numFmtId="0" fontId="12" fillId="3" borderId="29" xfId="0" applyFont="1" applyFill="1" applyBorder="1" applyAlignment="1">
      <alignment horizontal="center" vertical="center"/>
    </xf>
    <xf numFmtId="169" fontId="12" fillId="0" borderId="29" xfId="0" applyNumberFormat="1" applyFont="1" applyBorder="1" applyAlignment="1">
      <alignment horizontal="center" vertical="center"/>
    </xf>
    <xf numFmtId="169" fontId="12" fillId="0" borderId="29" xfId="0" applyNumberFormat="1" applyFont="1" applyBorder="1" applyAlignment="1">
      <alignment horizontal="center" vertical="center" wrapText="1"/>
    </xf>
    <xf numFmtId="0" fontId="12" fillId="0" borderId="30" xfId="0" applyFont="1" applyBorder="1" applyAlignment="1">
      <alignment horizontal="center" vertical="center" wrapText="1"/>
    </xf>
    <xf numFmtId="49" fontId="12" fillId="3" borderId="6" xfId="0" applyNumberFormat="1" applyFont="1" applyFill="1" applyBorder="1" applyAlignment="1">
      <alignment horizontal="center" vertical="center"/>
    </xf>
    <xf numFmtId="169" fontId="12" fillId="3" borderId="6" xfId="0" applyNumberFormat="1" applyFont="1" applyFill="1" applyBorder="1" applyAlignment="1">
      <alignment horizontal="center" vertical="center"/>
    </xf>
    <xf numFmtId="49" fontId="0" fillId="3" borderId="14" xfId="0" quotePrefix="1" applyNumberFormat="1" applyFill="1" applyBorder="1" applyAlignment="1">
      <alignment horizontal="center" vertical="center"/>
    </xf>
    <xf numFmtId="0" fontId="17" fillId="3" borderId="14" xfId="0" applyFont="1" applyFill="1" applyBorder="1" applyAlignment="1">
      <alignment horizontal="center" vertical="center"/>
    </xf>
    <xf numFmtId="15" fontId="0" fillId="3" borderId="14" xfId="0" applyNumberFormat="1" applyFill="1" applyBorder="1" applyAlignment="1">
      <alignment horizontal="center" vertical="center"/>
    </xf>
    <xf numFmtId="0" fontId="0" fillId="3" borderId="14" xfId="0" applyFill="1" applyBorder="1" applyAlignment="1">
      <alignment horizontal="left" vertical="center"/>
    </xf>
    <xf numFmtId="172" fontId="0" fillId="3" borderId="14" xfId="0" applyNumberFormat="1" applyFill="1" applyBorder="1" applyAlignment="1">
      <alignment horizontal="center" vertical="center"/>
    </xf>
    <xf numFmtId="166" fontId="0" fillId="3" borderId="14" xfId="0" applyNumberFormat="1" applyFill="1" applyBorder="1" applyAlignment="1">
      <alignment horizontal="center" vertical="center"/>
    </xf>
    <xf numFmtId="166" fontId="17" fillId="3" borderId="14" xfId="0" applyNumberFormat="1" applyFont="1" applyFill="1" applyBorder="1" applyAlignment="1">
      <alignment horizontal="center" vertical="center"/>
    </xf>
    <xf numFmtId="17" fontId="0" fillId="3" borderId="16" xfId="0" applyNumberFormat="1" applyFill="1" applyBorder="1" applyAlignment="1">
      <alignment horizontal="left" vertical="center" wrapText="1"/>
    </xf>
    <xf numFmtId="17" fontId="0" fillId="3" borderId="10" xfId="0" applyNumberFormat="1" applyFill="1" applyBorder="1" applyAlignment="1">
      <alignment horizontal="left" vertical="center" wrapText="1"/>
    </xf>
    <xf numFmtId="0" fontId="31" fillId="11" borderId="67" xfId="99" applyFont="1" applyFill="1" applyBorder="1" applyAlignment="1">
      <alignment horizontal="center" vertical="center"/>
    </xf>
    <xf numFmtId="0" fontId="17" fillId="11" borderId="1" xfId="0" quotePrefix="1" applyFont="1" applyFill="1" applyBorder="1" applyAlignment="1">
      <alignment horizontal="center" vertical="center"/>
    </xf>
    <xf numFmtId="0" fontId="45" fillId="0" borderId="0" xfId="99" applyFont="1" applyAlignment="1">
      <alignment horizontal="center" vertical="center"/>
    </xf>
    <xf numFmtId="1" fontId="9" fillId="0" borderId="0" xfId="106" applyNumberFormat="1"/>
    <xf numFmtId="14" fontId="17" fillId="3" borderId="9" xfId="0" applyNumberFormat="1" applyFont="1" applyFill="1" applyBorder="1" applyAlignment="1">
      <alignment horizontal="center" vertical="center" wrapText="1"/>
    </xf>
    <xf numFmtId="49" fontId="22" fillId="3" borderId="0" xfId="0" quotePrefix="1" applyNumberFormat="1" applyFont="1" applyFill="1" applyAlignment="1">
      <alignment horizontal="center" vertical="center"/>
    </xf>
    <xf numFmtId="0" fontId="22" fillId="3" borderId="0" xfId="0" applyFont="1" applyFill="1" applyAlignment="1">
      <alignment horizontal="center" vertical="center"/>
    </xf>
    <xf numFmtId="14" fontId="22" fillId="3" borderId="0" xfId="0" applyNumberFormat="1" applyFont="1" applyFill="1" applyAlignment="1">
      <alignment horizontal="center" vertical="center"/>
    </xf>
    <xf numFmtId="15" fontId="12" fillId="3" borderId="0" xfId="0" applyNumberFormat="1" applyFont="1" applyFill="1" applyAlignment="1">
      <alignment horizontal="center" vertical="center"/>
    </xf>
    <xf numFmtId="15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left" vertical="center"/>
    </xf>
    <xf numFmtId="17" fontId="17" fillId="3" borderId="0" xfId="0" applyNumberFormat="1" applyFont="1" applyFill="1" applyAlignment="1">
      <alignment horizontal="left" vertical="center" wrapText="1"/>
    </xf>
    <xf numFmtId="0" fontId="17" fillId="3" borderId="2" xfId="0" applyFont="1" applyFill="1" applyBorder="1" applyAlignment="1">
      <alignment horizontal="center" vertical="center"/>
    </xf>
    <xf numFmtId="17" fontId="17" fillId="3" borderId="10" xfId="0" applyNumberFormat="1" applyFont="1" applyFill="1" applyBorder="1" applyAlignment="1">
      <alignment horizontal="left" vertical="center" wrapText="1"/>
    </xf>
    <xf numFmtId="14" fontId="0" fillId="3" borderId="0" xfId="0" applyNumberFormat="1" applyFill="1"/>
    <xf numFmtId="0" fontId="45" fillId="3" borderId="0" xfId="99" applyFont="1" applyFill="1" applyAlignment="1">
      <alignment vertical="center"/>
    </xf>
    <xf numFmtId="16" fontId="19" fillId="3" borderId="1" xfId="0" quotePrefix="1" applyNumberFormat="1" applyFont="1" applyFill="1" applyBorder="1" applyAlignment="1">
      <alignment horizontal="center" vertical="center"/>
    </xf>
    <xf numFmtId="2" fontId="17" fillId="0" borderId="1" xfId="0" applyNumberFormat="1" applyFont="1" applyBorder="1" applyAlignment="1">
      <alignment horizontal="center" vertical="center"/>
    </xf>
    <xf numFmtId="17" fontId="17" fillId="0" borderId="1" xfId="0" applyNumberFormat="1" applyFont="1" applyBorder="1" applyAlignment="1">
      <alignment horizontal="center" vertical="center"/>
    </xf>
    <xf numFmtId="0" fontId="19" fillId="3" borderId="1" xfId="0" quotePrefix="1" applyFont="1" applyFill="1" applyBorder="1" applyAlignment="1">
      <alignment horizontal="center" vertical="center"/>
    </xf>
    <xf numFmtId="0" fontId="17" fillId="3" borderId="1" xfId="0" applyFont="1" applyFill="1" applyBorder="1"/>
    <xf numFmtId="17" fontId="17" fillId="3" borderId="1" xfId="0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166" fontId="0" fillId="0" borderId="4" xfId="0" applyNumberFormat="1" applyBorder="1"/>
    <xf numFmtId="166" fontId="0" fillId="3" borderId="4" xfId="0" applyNumberFormat="1" applyFill="1" applyBorder="1"/>
    <xf numFmtId="166" fontId="17" fillId="3" borderId="1" xfId="0" applyNumberFormat="1" applyFont="1" applyFill="1" applyBorder="1"/>
    <xf numFmtId="166" fontId="0" fillId="3" borderId="1" xfId="0" applyNumberFormat="1" applyFill="1" applyBorder="1"/>
    <xf numFmtId="0" fontId="17" fillId="3" borderId="2" xfId="0" applyFont="1" applyFill="1" applyBorder="1" applyAlignment="1">
      <alignment horizontal="center"/>
    </xf>
    <xf numFmtId="0" fontId="0" fillId="3" borderId="10" xfId="0" applyFill="1" applyBorder="1" applyAlignment="1">
      <alignment horizontal="center" vertical="center"/>
    </xf>
    <xf numFmtId="0" fontId="15" fillId="0" borderId="1" xfId="0" applyFont="1" applyBorder="1" applyAlignment="1">
      <alignment vertical="center"/>
    </xf>
    <xf numFmtId="14" fontId="23" fillId="0" borderId="1" xfId="0" applyNumberFormat="1" applyFont="1" applyBorder="1" applyAlignment="1">
      <alignment horizontal="center" vertical="center"/>
    </xf>
    <xf numFmtId="43" fontId="0" fillId="9" borderId="1" xfId="98" applyFont="1" applyFill="1" applyBorder="1" applyAlignment="1">
      <alignment horizontal="right" vertical="center"/>
    </xf>
    <xf numFmtId="178" fontId="32" fillId="2" borderId="0" xfId="35" applyNumberFormat="1" applyFont="1" applyFill="1" applyAlignment="1">
      <alignment horizontal="center" vertical="center" wrapText="1"/>
    </xf>
    <xf numFmtId="16" fontId="22" fillId="3" borderId="0" xfId="0" applyNumberFormat="1" applyFont="1" applyFill="1" applyAlignment="1">
      <alignment horizontal="left" vertical="center" wrapText="1"/>
    </xf>
    <xf numFmtId="0" fontId="31" fillId="3" borderId="0" xfId="99" applyFont="1" applyFill="1" applyAlignment="1">
      <alignment vertical="center"/>
    </xf>
    <xf numFmtId="14" fontId="17" fillId="11" borderId="1" xfId="0" applyNumberFormat="1" applyFont="1" applyFill="1" applyBorder="1" applyAlignment="1">
      <alignment horizontal="center" vertical="center"/>
    </xf>
    <xf numFmtId="0" fontId="92" fillId="0" borderId="59" xfId="0" applyFont="1" applyBorder="1" applyAlignment="1">
      <alignment horizontal="center" vertical="center" wrapText="1" readingOrder="1"/>
    </xf>
    <xf numFmtId="1" fontId="0" fillId="9" borderId="1" xfId="0" applyNumberFormat="1" applyFill="1" applyBorder="1" applyAlignment="1">
      <alignment horizontal="center" vertical="center"/>
    </xf>
    <xf numFmtId="1" fontId="43" fillId="9" borderId="1" xfId="98" applyNumberFormat="1" applyFont="1" applyFill="1" applyBorder="1" applyAlignment="1">
      <alignment horizontal="center" vertical="center"/>
    </xf>
    <xf numFmtId="0" fontId="19" fillId="11" borderId="1" xfId="0" applyFont="1" applyFill="1" applyBorder="1" applyAlignment="1">
      <alignment vertical="center"/>
    </xf>
    <xf numFmtId="0" fontId="19" fillId="3" borderId="1" xfId="0" applyFont="1" applyFill="1" applyBorder="1" applyAlignment="1">
      <alignment horizontal="center" vertical="center"/>
    </xf>
    <xf numFmtId="0" fontId="19" fillId="11" borderId="1" xfId="0" applyFont="1" applyFill="1" applyBorder="1" applyAlignment="1">
      <alignment horizontal="center" vertical="center"/>
    </xf>
    <xf numFmtId="16" fontId="0" fillId="3" borderId="1" xfId="0" quotePrefix="1" applyNumberFormat="1" applyFill="1" applyBorder="1" applyAlignment="1">
      <alignment horizontal="center" vertical="center"/>
    </xf>
    <xf numFmtId="43" fontId="28" fillId="9" borderId="1" xfId="98" applyFont="1" applyFill="1" applyBorder="1" applyAlignment="1">
      <alignment horizontal="center" vertical="center"/>
    </xf>
    <xf numFmtId="14" fontId="17" fillId="11" borderId="1" xfId="0" quotePrefix="1" applyNumberFormat="1" applyFont="1" applyFill="1" applyBorder="1" applyAlignment="1">
      <alignment horizontal="center" vertical="center"/>
    </xf>
    <xf numFmtId="166" fontId="15" fillId="3" borderId="26" xfId="0" applyNumberFormat="1" applyFont="1" applyFill="1" applyBorder="1" applyAlignment="1">
      <alignment vertical="center"/>
    </xf>
    <xf numFmtId="167" fontId="17" fillId="2" borderId="1" xfId="35" applyNumberFormat="1" applyFont="1" applyFill="1" applyBorder="1" applyAlignment="1">
      <alignment horizontal="right" vertical="center" wrapText="1"/>
    </xf>
    <xf numFmtId="0" fontId="93" fillId="15" borderId="1" xfId="35" applyFont="1" applyFill="1" applyBorder="1" applyAlignment="1">
      <alignment horizontal="center" vertical="center" wrapText="1"/>
    </xf>
    <xf numFmtId="43" fontId="28" fillId="9" borderId="22" xfId="98" applyFon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/>
    </xf>
    <xf numFmtId="0" fontId="16" fillId="0" borderId="3" xfId="0" applyFont="1" applyBorder="1" applyAlignment="1">
      <alignment vertical="center"/>
    </xf>
    <xf numFmtId="0" fontId="17" fillId="3" borderId="0" xfId="43" applyFont="1" applyFill="1" applyAlignment="1">
      <alignment horizontal="center"/>
    </xf>
    <xf numFmtId="14" fontId="17" fillId="3" borderId="0" xfId="0" quotePrefix="1" applyNumberFormat="1" applyFont="1" applyFill="1" applyAlignment="1">
      <alignment horizontal="center" vertical="center"/>
    </xf>
    <xf numFmtId="0" fontId="12" fillId="0" borderId="10" xfId="0" applyFont="1" applyBorder="1" applyAlignment="1">
      <alignment horizontal="center" vertical="center" wrapText="1"/>
    </xf>
    <xf numFmtId="17" fontId="17" fillId="11" borderId="1" xfId="0" applyNumberFormat="1" applyFont="1" applyFill="1" applyBorder="1" applyAlignment="1">
      <alignment horizontal="center" vertical="center"/>
    </xf>
    <xf numFmtId="0" fontId="12" fillId="31" borderId="2" xfId="0" applyFont="1" applyFill="1" applyBorder="1" applyAlignment="1">
      <alignment vertical="center"/>
    </xf>
    <xf numFmtId="0" fontId="12" fillId="31" borderId="1" xfId="0" applyFont="1" applyFill="1" applyBorder="1" applyAlignment="1">
      <alignment vertical="center"/>
    </xf>
    <xf numFmtId="0" fontId="12" fillId="31" borderId="10" xfId="0" applyFont="1" applyFill="1" applyBorder="1" applyAlignment="1">
      <alignment vertical="center"/>
    </xf>
    <xf numFmtId="16" fontId="22" fillId="3" borderId="1" xfId="0" applyNumberFormat="1" applyFont="1" applyFill="1" applyBorder="1" applyAlignment="1">
      <alignment horizontal="left" vertical="top" wrapText="1"/>
    </xf>
    <xf numFmtId="175" fontId="28" fillId="9" borderId="1" xfId="98" applyNumberFormat="1" applyFont="1" applyFill="1" applyBorder="1" applyAlignment="1">
      <alignment vertical="center"/>
    </xf>
    <xf numFmtId="175" fontId="28" fillId="9" borderId="10" xfId="98" applyNumberFormat="1" applyFont="1" applyFill="1" applyBorder="1" applyAlignment="1">
      <alignment vertical="top"/>
    </xf>
    <xf numFmtId="175" fontId="28" fillId="9" borderId="1" xfId="98" applyNumberFormat="1" applyFont="1" applyFill="1" applyBorder="1" applyAlignment="1">
      <alignment horizontal="left" vertical="center"/>
    </xf>
    <xf numFmtId="166" fontId="15" fillId="0" borderId="1" xfId="0" applyNumberFormat="1" applyFont="1" applyBorder="1" applyAlignment="1">
      <alignment vertical="center"/>
    </xf>
    <xf numFmtId="0" fontId="17" fillId="3" borderId="1" xfId="0" applyFont="1" applyFill="1" applyBorder="1" applyAlignment="1">
      <alignment vertical="center"/>
    </xf>
    <xf numFmtId="49" fontId="17" fillId="3" borderId="1" xfId="0" quotePrefix="1" applyNumberFormat="1" applyFont="1" applyFill="1" applyBorder="1" applyAlignment="1">
      <alignment horizontal="center" vertical="top" wrapText="1"/>
    </xf>
    <xf numFmtId="49" fontId="17" fillId="3" borderId="1" xfId="0" applyNumberFormat="1" applyFont="1" applyFill="1" applyBorder="1" applyAlignment="1">
      <alignment horizontal="center" vertical="top"/>
    </xf>
    <xf numFmtId="49" fontId="17" fillId="3" borderId="1" xfId="0" quotePrefix="1" applyNumberFormat="1" applyFont="1" applyFill="1" applyBorder="1" applyAlignment="1">
      <alignment horizontal="center" vertical="top"/>
    </xf>
    <xf numFmtId="0" fontId="21" fillId="25" borderId="1" xfId="43" quotePrefix="1" applyFont="1" applyFill="1" applyBorder="1" applyAlignment="1">
      <alignment horizontal="center" vertical="center"/>
    </xf>
    <xf numFmtId="0" fontId="17" fillId="2" borderId="1" xfId="35" applyFont="1" applyFill="1" applyBorder="1" applyAlignment="1">
      <alignment horizontal="center" vertical="center" wrapText="1"/>
    </xf>
    <xf numFmtId="1" fontId="17" fillId="0" borderId="1" xfId="0" applyNumberFormat="1" applyFont="1" applyBorder="1" applyAlignment="1">
      <alignment horizontal="center" vertical="center"/>
    </xf>
    <xf numFmtId="0" fontId="32" fillId="3" borderId="74" xfId="99" applyFont="1" applyFill="1" applyBorder="1"/>
    <xf numFmtId="0" fontId="32" fillId="3" borderId="102" xfId="99" applyFont="1" applyFill="1" applyBorder="1"/>
    <xf numFmtId="0" fontId="15" fillId="0" borderId="16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94" fillId="0" borderId="9" xfId="0" applyFont="1" applyBorder="1" applyAlignment="1">
      <alignment horizontal="center" vertical="center"/>
    </xf>
    <xf numFmtId="17" fontId="0" fillId="0" borderId="1" xfId="0" applyNumberFormat="1" applyBorder="1" applyAlignment="1">
      <alignment horizontal="center" vertical="center"/>
    </xf>
    <xf numFmtId="0" fontId="94" fillId="0" borderId="1" xfId="0" applyFont="1" applyBorder="1" applyAlignment="1">
      <alignment horizontal="center" vertical="center"/>
    </xf>
    <xf numFmtId="0" fontId="94" fillId="0" borderId="1" xfId="0" applyFont="1" applyBorder="1" applyAlignment="1">
      <alignment horizontal="center" vertical="center" wrapText="1"/>
    </xf>
    <xf numFmtId="2" fontId="0" fillId="0" borderId="33" xfId="0" applyNumberFormat="1" applyBorder="1" applyAlignment="1">
      <alignment horizontal="center" vertical="center"/>
    </xf>
    <xf numFmtId="0" fontId="45" fillId="3" borderId="13" xfId="0" applyFont="1" applyFill="1" applyBorder="1" applyAlignment="1">
      <alignment horizontal="center" vertical="center"/>
    </xf>
    <xf numFmtId="0" fontId="45" fillId="3" borderId="14" xfId="0" applyFont="1" applyFill="1" applyBorder="1" applyAlignment="1">
      <alignment horizontal="left" vertical="center"/>
    </xf>
    <xf numFmtId="0" fontId="73" fillId="3" borderId="14" xfId="0" applyFont="1" applyFill="1" applyBorder="1" applyAlignment="1">
      <alignment horizontal="center" vertical="center"/>
    </xf>
    <xf numFmtId="0" fontId="73" fillId="3" borderId="0" xfId="0" applyFont="1" applyFill="1"/>
    <xf numFmtId="166" fontId="73" fillId="3" borderId="0" xfId="0" applyNumberFormat="1" applyFont="1" applyFill="1"/>
    <xf numFmtId="0" fontId="45" fillId="4" borderId="23" xfId="0" applyFont="1" applyFill="1" applyBorder="1" applyAlignment="1">
      <alignment horizontal="center" vertical="center"/>
    </xf>
    <xf numFmtId="0" fontId="45" fillId="4" borderId="1" xfId="0" applyFont="1" applyFill="1" applyBorder="1" applyAlignment="1">
      <alignment horizontal="left" vertical="center"/>
    </xf>
    <xf numFmtId="166" fontId="73" fillId="4" borderId="9" xfId="0" applyNumberFormat="1" applyFont="1" applyFill="1" applyBorder="1" applyAlignment="1">
      <alignment horizontal="center" vertical="center"/>
    </xf>
    <xf numFmtId="0" fontId="73" fillId="4" borderId="1" xfId="0" applyFont="1" applyFill="1" applyBorder="1" applyAlignment="1">
      <alignment horizontal="center" vertical="center"/>
    </xf>
    <xf numFmtId="166" fontId="73" fillId="4" borderId="10" xfId="0" applyNumberFormat="1" applyFont="1" applyFill="1" applyBorder="1" applyAlignment="1">
      <alignment horizontal="center" vertical="center"/>
    </xf>
    <xf numFmtId="0" fontId="20" fillId="3" borderId="23" xfId="0" applyFont="1" applyFill="1" applyBorder="1" applyAlignment="1">
      <alignment horizontal="center" vertical="center"/>
    </xf>
    <xf numFmtId="0" fontId="20" fillId="3" borderId="1" xfId="0" applyFont="1" applyFill="1" applyBorder="1" applyAlignment="1">
      <alignment horizontal="left" vertical="center"/>
    </xf>
    <xf numFmtId="166" fontId="21" fillId="3" borderId="9" xfId="0" applyNumberFormat="1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horizontal="center" vertical="center"/>
    </xf>
    <xf numFmtId="0" fontId="21" fillId="3" borderId="10" xfId="0" applyFont="1" applyFill="1" applyBorder="1" applyAlignment="1">
      <alignment horizontal="center" vertical="center"/>
    </xf>
    <xf numFmtId="0" fontId="21" fillId="3" borderId="0" xfId="0" applyFont="1" applyFill="1"/>
    <xf numFmtId="0" fontId="20" fillId="3" borderId="2" xfId="0" applyFont="1" applyFill="1" applyBorder="1" applyAlignment="1">
      <alignment horizontal="center" vertical="center"/>
    </xf>
    <xf numFmtId="0" fontId="20" fillId="4" borderId="23" xfId="0" applyFont="1" applyFill="1" applyBorder="1" applyAlignment="1">
      <alignment horizontal="center" vertical="center"/>
    </xf>
    <xf numFmtId="0" fontId="20" fillId="4" borderId="1" xfId="0" applyFont="1" applyFill="1" applyBorder="1" applyAlignment="1">
      <alignment horizontal="left" vertical="center"/>
    </xf>
    <xf numFmtId="166" fontId="21" fillId="4" borderId="9" xfId="0" applyNumberFormat="1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center" vertical="center"/>
    </xf>
    <xf numFmtId="166" fontId="21" fillId="4" borderId="10" xfId="0" applyNumberFormat="1" applyFont="1" applyFill="1" applyBorder="1" applyAlignment="1">
      <alignment horizontal="center" vertical="center"/>
    </xf>
    <xf numFmtId="0" fontId="21" fillId="3" borderId="0" xfId="0" applyFont="1" applyFill="1" applyAlignment="1">
      <alignment horizontal="center" vertical="center"/>
    </xf>
    <xf numFmtId="0" fontId="12" fillId="3" borderId="67" xfId="99" applyFont="1" applyFill="1" applyBorder="1" applyAlignment="1">
      <alignment horizontal="center" vertical="center"/>
    </xf>
    <xf numFmtId="0" fontId="15" fillId="3" borderId="67" xfId="99" applyFont="1" applyFill="1" applyBorder="1" applyAlignment="1">
      <alignment vertical="center"/>
    </xf>
    <xf numFmtId="0" fontId="45" fillId="4" borderId="9" xfId="0" applyFont="1" applyFill="1" applyBorder="1" applyAlignment="1">
      <alignment horizontal="left" vertical="center"/>
    </xf>
    <xf numFmtId="0" fontId="73" fillId="4" borderId="10" xfId="0" applyFont="1" applyFill="1" applyBorder="1" applyAlignment="1">
      <alignment horizontal="center" vertical="center"/>
    </xf>
    <xf numFmtId="166" fontId="89" fillId="3" borderId="22" xfId="132" applyNumberFormat="1" applyFont="1" applyFill="1" applyBorder="1" applyAlignment="1">
      <alignment vertical="center" wrapText="1"/>
    </xf>
    <xf numFmtId="166" fontId="12" fillId="0" borderId="22" xfId="0" applyNumberFormat="1" applyFont="1" applyBorder="1" applyAlignment="1">
      <alignment vertical="center"/>
    </xf>
    <xf numFmtId="166" fontId="45" fillId="3" borderId="0" xfId="0" applyNumberFormat="1" applyFont="1" applyFill="1"/>
    <xf numFmtId="0" fontId="45" fillId="3" borderId="0" xfId="0" applyFont="1" applyFill="1"/>
    <xf numFmtId="0" fontId="43" fillId="3" borderId="0" xfId="0" applyFont="1" applyFill="1" applyAlignment="1">
      <alignment horizontal="center" vertical="center"/>
    </xf>
    <xf numFmtId="0" fontId="17" fillId="0" borderId="1" xfId="35" applyFont="1" applyBorder="1"/>
    <xf numFmtId="0" fontId="96" fillId="35" borderId="1" xfId="0" applyFont="1" applyFill="1" applyBorder="1" applyAlignment="1">
      <alignment horizontal="center" vertical="center"/>
    </xf>
    <xf numFmtId="0" fontId="17" fillId="0" borderId="1" xfId="35" applyFont="1" applyBorder="1" applyAlignment="1">
      <alignment wrapText="1"/>
    </xf>
    <xf numFmtId="14" fontId="17" fillId="0" borderId="1" xfId="35" applyNumberFormat="1" applyFont="1" applyBorder="1" applyAlignment="1">
      <alignment horizontal="center" vertical="center"/>
    </xf>
    <xf numFmtId="0" fontId="97" fillId="0" borderId="0" xfId="0" applyFont="1" applyAlignment="1">
      <alignment vertical="center" wrapText="1"/>
    </xf>
    <xf numFmtId="0" fontId="70" fillId="3" borderId="0" xfId="99" applyFont="1" applyFill="1"/>
    <xf numFmtId="0" fontId="12" fillId="3" borderId="0" xfId="0" applyFont="1" applyFill="1"/>
    <xf numFmtId="0" fontId="12" fillId="3" borderId="0" xfId="99" applyFont="1" applyFill="1"/>
    <xf numFmtId="0" fontId="12" fillId="3" borderId="0" xfId="0" quotePrefix="1" applyFont="1" applyFill="1"/>
    <xf numFmtId="2" fontId="22" fillId="3" borderId="1" xfId="0" applyNumberFormat="1" applyFont="1" applyFill="1" applyBorder="1" applyAlignment="1">
      <alignment horizontal="center" vertical="center"/>
    </xf>
    <xf numFmtId="0" fontId="12" fillId="3" borderId="0" xfId="0" applyFont="1" applyFill="1" applyAlignment="1">
      <alignment vertical="center"/>
    </xf>
    <xf numFmtId="0" fontId="15" fillId="0" borderId="49" xfId="0" applyFont="1" applyBorder="1" applyAlignment="1">
      <alignment horizontal="center" vertical="center"/>
    </xf>
    <xf numFmtId="166" fontId="73" fillId="4" borderId="0" xfId="0" applyNumberFormat="1" applyFont="1" applyFill="1"/>
    <xf numFmtId="0" fontId="73" fillId="4" borderId="0" xfId="0" applyFont="1" applyFill="1"/>
    <xf numFmtId="2" fontId="21" fillId="3" borderId="9" xfId="0" applyNumberFormat="1" applyFont="1" applyFill="1" applyBorder="1" applyAlignment="1">
      <alignment horizontal="center" vertical="center"/>
    </xf>
    <xf numFmtId="166" fontId="89" fillId="3" borderId="0" xfId="132" applyNumberFormat="1" applyFont="1" applyFill="1" applyAlignment="1">
      <alignment horizontal="center" vertical="center" wrapText="1"/>
    </xf>
    <xf numFmtId="166" fontId="12" fillId="0" borderId="0" xfId="0" applyNumberFormat="1" applyFont="1" applyAlignment="1">
      <alignment horizontal="center" vertical="center"/>
    </xf>
    <xf numFmtId="0" fontId="73" fillId="3" borderId="65" xfId="0" applyFont="1" applyFill="1" applyBorder="1" applyAlignment="1">
      <alignment horizontal="center" vertical="center"/>
    </xf>
    <xf numFmtId="0" fontId="73" fillId="4" borderId="22" xfId="0" applyFont="1" applyFill="1" applyBorder="1" applyAlignment="1">
      <alignment horizontal="center" vertical="center"/>
    </xf>
    <xf numFmtId="0" fontId="21" fillId="3" borderId="22" xfId="0" applyFont="1" applyFill="1" applyBorder="1" applyAlignment="1">
      <alignment horizontal="center" vertical="center"/>
    </xf>
    <xf numFmtId="172" fontId="12" fillId="0" borderId="1" xfId="0" applyNumberFormat="1" applyFont="1" applyBorder="1" applyAlignment="1">
      <alignment horizontal="center" vertical="center"/>
    </xf>
    <xf numFmtId="17" fontId="0" fillId="3" borderId="1" xfId="0" applyNumberFormat="1" applyFill="1" applyBorder="1" applyAlignment="1">
      <alignment horizontal="center" vertical="center"/>
    </xf>
    <xf numFmtId="169" fontId="12" fillId="3" borderId="1" xfId="0" applyNumberFormat="1" applyFont="1" applyFill="1" applyBorder="1" applyAlignment="1">
      <alignment horizontal="center" vertical="center"/>
    </xf>
    <xf numFmtId="169" fontId="12" fillId="3" borderId="1" xfId="0" applyNumberFormat="1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left" vertical="center" wrapText="1"/>
    </xf>
    <xf numFmtId="0" fontId="73" fillId="4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left" vertical="center" wrapText="1"/>
    </xf>
    <xf numFmtId="15" fontId="17" fillId="3" borderId="0" xfId="0" applyNumberFormat="1" applyFont="1" applyFill="1" applyAlignment="1">
      <alignment horizontal="center" vertical="center"/>
    </xf>
    <xf numFmtId="2" fontId="17" fillId="3" borderId="0" xfId="0" applyNumberFormat="1" applyFont="1" applyFill="1" applyAlignment="1">
      <alignment horizontal="center" vertical="center"/>
    </xf>
    <xf numFmtId="17" fontId="17" fillId="3" borderId="0" xfId="0" applyNumberFormat="1" applyFont="1" applyFill="1" applyAlignment="1">
      <alignment horizontal="center" vertical="center"/>
    </xf>
    <xf numFmtId="166" fontId="21" fillId="3" borderId="0" xfId="0" applyNumberFormat="1" applyFont="1" applyFill="1"/>
    <xf numFmtId="177" fontId="17" fillId="3" borderId="1" xfId="0" applyNumberFormat="1" applyFont="1" applyFill="1" applyBorder="1" applyAlignment="1">
      <alignment horizontal="center" vertical="center"/>
    </xf>
    <xf numFmtId="17" fontId="17" fillId="3" borderId="10" xfId="0" applyNumberFormat="1" applyFont="1" applyFill="1" applyBorder="1" applyAlignment="1">
      <alignment horizontal="left" vertical="center"/>
    </xf>
    <xf numFmtId="0" fontId="0" fillId="3" borderId="23" xfId="0" applyFill="1" applyBorder="1" applyAlignment="1">
      <alignment horizontal="center" vertical="center"/>
    </xf>
    <xf numFmtId="0" fontId="96" fillId="0" borderId="1" xfId="0" applyFont="1" applyBorder="1" applyAlignment="1">
      <alignment horizontal="center" vertical="center" wrapText="1"/>
    </xf>
    <xf numFmtId="14" fontId="17" fillId="0" borderId="1" xfId="35" applyNumberFormat="1" applyFont="1" applyBorder="1" applyAlignment="1">
      <alignment vertical="center"/>
    </xf>
    <xf numFmtId="0" fontId="17" fillId="0" borderId="1" xfId="35" applyFont="1" applyBorder="1" applyAlignment="1">
      <alignment horizontal="center" vertical="center"/>
    </xf>
    <xf numFmtId="0" fontId="96" fillId="35" borderId="1" xfId="0" quotePrefix="1" applyFont="1" applyFill="1" applyBorder="1" applyAlignment="1">
      <alignment horizontal="center" vertical="center"/>
    </xf>
    <xf numFmtId="0" fontId="73" fillId="3" borderId="10" xfId="0" applyFont="1" applyFill="1" applyBorder="1" applyAlignment="1">
      <alignment horizontal="center" vertical="center"/>
    </xf>
    <xf numFmtId="0" fontId="45" fillId="3" borderId="23" xfId="0" applyFont="1" applyFill="1" applyBorder="1" applyAlignment="1">
      <alignment horizontal="center" vertical="center"/>
    </xf>
    <xf numFmtId="0" fontId="45" fillId="3" borderId="9" xfId="0" applyFont="1" applyFill="1" applyBorder="1" applyAlignment="1">
      <alignment horizontal="left" vertical="center"/>
    </xf>
    <xf numFmtId="166" fontId="73" fillId="3" borderId="9" xfId="0" applyNumberFormat="1" applyFont="1" applyFill="1" applyBorder="1" applyAlignment="1">
      <alignment horizontal="center" vertical="center"/>
    </xf>
    <xf numFmtId="0" fontId="73" fillId="3" borderId="1" xfId="0" applyFont="1" applyFill="1" applyBorder="1" applyAlignment="1">
      <alignment horizontal="center" vertical="center"/>
    </xf>
    <xf numFmtId="0" fontId="73" fillId="3" borderId="22" xfId="0" applyFont="1" applyFill="1" applyBorder="1" applyAlignment="1">
      <alignment horizontal="center" vertical="center"/>
    </xf>
    <xf numFmtId="16" fontId="100" fillId="3" borderId="1" xfId="30" quotePrefix="1" applyNumberFormat="1" applyFont="1" applyFill="1" applyBorder="1" applyAlignment="1">
      <alignment horizontal="center" vertical="center"/>
    </xf>
    <xf numFmtId="166" fontId="21" fillId="11" borderId="9" xfId="0" applyNumberFormat="1" applyFont="1" applyFill="1" applyBorder="1" applyAlignment="1">
      <alignment horizontal="center" vertical="center"/>
    </xf>
    <xf numFmtId="0" fontId="21" fillId="11" borderId="1" xfId="0" applyFont="1" applyFill="1" applyBorder="1" applyAlignment="1">
      <alignment horizontal="center" vertical="center"/>
    </xf>
    <xf numFmtId="0" fontId="21" fillId="11" borderId="22" xfId="0" applyFont="1" applyFill="1" applyBorder="1" applyAlignment="1">
      <alignment horizontal="center" vertical="center"/>
    </xf>
    <xf numFmtId="0" fontId="21" fillId="11" borderId="10" xfId="0" applyFont="1" applyFill="1" applyBorder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166" fontId="14" fillId="0" borderId="0" xfId="0" applyNumberFormat="1" applyFont="1" applyAlignment="1">
      <alignment horizontal="center" vertical="center"/>
    </xf>
    <xf numFmtId="0" fontId="0" fillId="0" borderId="6" xfId="0" applyBorder="1" applyAlignment="1">
      <alignment horizontal="center" vertical="center"/>
    </xf>
    <xf numFmtId="14" fontId="23" fillId="0" borderId="24" xfId="0" applyNumberFormat="1" applyFont="1" applyBorder="1" applyAlignment="1">
      <alignment horizontal="center" vertical="center"/>
    </xf>
    <xf numFmtId="14" fontId="0" fillId="0" borderId="14" xfId="0" applyNumberFormat="1" applyBorder="1" applyAlignment="1">
      <alignment horizontal="center" vertical="center"/>
    </xf>
    <xf numFmtId="17" fontId="0" fillId="0" borderId="14" xfId="0" applyNumberFormat="1" applyBorder="1" applyAlignment="1">
      <alignment horizontal="center" vertical="center"/>
    </xf>
    <xf numFmtId="0" fontId="0" fillId="0" borderId="109" xfId="0" applyBorder="1" applyAlignment="1">
      <alignment horizontal="center" vertical="center"/>
    </xf>
    <xf numFmtId="0" fontId="20" fillId="11" borderId="1" xfId="0" applyFont="1" applyFill="1" applyBorder="1" applyAlignment="1">
      <alignment horizontal="left" vertical="center"/>
    </xf>
    <xf numFmtId="0" fontId="0" fillId="3" borderId="4" xfId="0" quotePrefix="1" applyFill="1" applyBorder="1" applyAlignment="1">
      <alignment horizontal="center" vertical="center"/>
    </xf>
    <xf numFmtId="166" fontId="100" fillId="3" borderId="4" xfId="30" applyNumberFormat="1" applyFont="1" applyFill="1" applyBorder="1" applyAlignment="1">
      <alignment horizontal="center" vertical="center"/>
    </xf>
    <xf numFmtId="166" fontId="0" fillId="3" borderId="4" xfId="0" applyNumberFormat="1" applyFill="1" applyBorder="1" applyAlignment="1">
      <alignment horizontal="center" vertical="center"/>
    </xf>
    <xf numFmtId="14" fontId="0" fillId="3" borderId="4" xfId="0" applyNumberFormat="1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20" fillId="3" borderId="10" xfId="0" applyFont="1" applyFill="1" applyBorder="1" applyAlignment="1">
      <alignment horizontal="center" vertical="center"/>
    </xf>
    <xf numFmtId="168" fontId="32" fillId="2" borderId="0" xfId="35" applyNumberFormat="1" applyFont="1" applyFill="1" applyAlignment="1">
      <alignment horizontal="center" vertical="center" wrapText="1"/>
    </xf>
    <xf numFmtId="0" fontId="20" fillId="4" borderId="2" xfId="0" applyFont="1" applyFill="1" applyBorder="1" applyAlignment="1">
      <alignment horizontal="center" vertical="center"/>
    </xf>
    <xf numFmtId="0" fontId="20" fillId="4" borderId="9" xfId="0" applyFont="1" applyFill="1" applyBorder="1" applyAlignment="1">
      <alignment horizontal="left" vertical="center"/>
    </xf>
    <xf numFmtId="0" fontId="21" fillId="4" borderId="22" xfId="0" applyFont="1" applyFill="1" applyBorder="1" applyAlignment="1">
      <alignment horizontal="center" vertical="center"/>
    </xf>
    <xf numFmtId="166" fontId="17" fillId="3" borderId="9" xfId="0" applyNumberFormat="1" applyFont="1" applyFill="1" applyBorder="1" applyAlignment="1">
      <alignment horizontal="center" vertical="center"/>
    </xf>
    <xf numFmtId="17" fontId="17" fillId="3" borderId="10" xfId="0" quotePrefix="1" applyNumberFormat="1" applyFont="1" applyFill="1" applyBorder="1" applyAlignment="1">
      <alignment horizontal="left" vertical="center" wrapText="1"/>
    </xf>
    <xf numFmtId="0" fontId="43" fillId="3" borderId="1" xfId="0" quotePrefix="1" applyFont="1" applyFill="1" applyBorder="1" applyAlignment="1">
      <alignment horizontal="center" vertical="center"/>
    </xf>
    <xf numFmtId="0" fontId="17" fillId="0" borderId="10" xfId="0" applyFont="1" applyBorder="1" applyAlignment="1">
      <alignment horizontal="left" vertical="center" wrapText="1"/>
    </xf>
    <xf numFmtId="179" fontId="17" fillId="0" borderId="0" xfId="0" applyNumberFormat="1" applyFont="1" applyAlignment="1">
      <alignment horizontal="center" vertical="center"/>
    </xf>
    <xf numFmtId="177" fontId="17" fillId="0" borderId="0" xfId="0" applyNumberFormat="1" applyFont="1" applyAlignment="1">
      <alignment horizontal="center" vertical="center"/>
    </xf>
    <xf numFmtId="14" fontId="27" fillId="3" borderId="9" xfId="0" applyNumberFormat="1" applyFont="1" applyFill="1" applyBorder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21" fillId="11" borderId="1" xfId="43" quotePrefix="1" applyFont="1" applyFill="1" applyBorder="1" applyAlignment="1">
      <alignment horizontal="left" vertical="center" indent="1"/>
    </xf>
    <xf numFmtId="166" fontId="22" fillId="11" borderId="1" xfId="43" applyNumberFormat="1" applyFont="1" applyFill="1" applyBorder="1" applyAlignment="1">
      <alignment horizontal="center" vertical="center"/>
    </xf>
    <xf numFmtId="0" fontId="19" fillId="11" borderId="1" xfId="43" quotePrefix="1" applyFont="1" applyFill="1" applyBorder="1" applyAlignment="1">
      <alignment horizontal="center" vertical="center"/>
    </xf>
    <xf numFmtId="166" fontId="22" fillId="0" borderId="0" xfId="43" applyNumberFormat="1" applyFont="1" applyAlignment="1">
      <alignment horizontal="center" vertical="center"/>
    </xf>
    <xf numFmtId="166" fontId="22" fillId="3" borderId="1" xfId="43" quotePrefix="1" applyNumberFormat="1" applyFont="1" applyFill="1" applyBorder="1" applyAlignment="1">
      <alignment horizontal="center" vertical="center"/>
    </xf>
    <xf numFmtId="166" fontId="101" fillId="3" borderId="1" xfId="0" applyNumberFormat="1" applyFont="1" applyFill="1" applyBorder="1" applyAlignment="1">
      <alignment horizontal="center" vertical="center" wrapText="1"/>
    </xf>
    <xf numFmtId="166" fontId="101" fillId="3" borderId="1" xfId="0" applyNumberFormat="1" applyFont="1" applyFill="1" applyBorder="1" applyAlignment="1">
      <alignment horizontal="center" vertical="center"/>
    </xf>
    <xf numFmtId="166" fontId="73" fillId="3" borderId="14" xfId="0" applyNumberFormat="1" applyFont="1" applyFill="1" applyBorder="1" applyAlignment="1">
      <alignment horizontal="center" vertical="center"/>
    </xf>
    <xf numFmtId="0" fontId="23" fillId="11" borderId="1" xfId="0" applyFont="1" applyFill="1" applyBorder="1" applyAlignment="1">
      <alignment horizontal="center" vertical="center"/>
    </xf>
    <xf numFmtId="0" fontId="102" fillId="0" borderId="1" xfId="0" applyFont="1" applyBorder="1" applyAlignment="1">
      <alignment horizontal="center" vertical="center" wrapText="1"/>
    </xf>
    <xf numFmtId="0" fontId="91" fillId="3" borderId="10" xfId="43" quotePrefix="1" applyFont="1" applyFill="1" applyBorder="1" applyAlignment="1">
      <alignment horizontal="left" vertical="center" indent="1"/>
    </xf>
    <xf numFmtId="0" fontId="47" fillId="3" borderId="1" xfId="43" applyFont="1" applyFill="1" applyBorder="1" applyAlignment="1">
      <alignment horizontal="center" vertical="center"/>
    </xf>
    <xf numFmtId="0" fontId="24" fillId="3" borderId="1" xfId="43" applyFont="1" applyFill="1" applyBorder="1" applyAlignment="1">
      <alignment horizontal="center" vertical="center" wrapText="1"/>
    </xf>
    <xf numFmtId="0" fontId="103" fillId="0" borderId="1" xfId="35" applyFont="1" applyBorder="1" applyAlignment="1">
      <alignment horizontal="center" vertical="center" wrapText="1"/>
    </xf>
    <xf numFmtId="0" fontId="104" fillId="35" borderId="1" xfId="0" quotePrefix="1" applyFont="1" applyFill="1" applyBorder="1" applyAlignment="1">
      <alignment horizontal="center" vertical="center"/>
    </xf>
    <xf numFmtId="0" fontId="103" fillId="0" borderId="1" xfId="43" quotePrefix="1" applyFont="1" applyBorder="1" applyAlignment="1">
      <alignment horizontal="center" vertical="center"/>
    </xf>
    <xf numFmtId="0" fontId="104" fillId="0" borderId="1" xfId="0" applyFont="1" applyBorder="1" applyAlignment="1">
      <alignment horizontal="center" vertical="center" wrapText="1"/>
    </xf>
    <xf numFmtId="14" fontId="43" fillId="0" borderId="1" xfId="35" applyNumberFormat="1" applyFont="1" applyBorder="1" applyAlignment="1">
      <alignment horizontal="center" vertical="center"/>
    </xf>
    <xf numFmtId="0" fontId="43" fillId="0" borderId="1" xfId="35" applyFont="1" applyBorder="1" applyAlignment="1">
      <alignment horizontal="center" vertical="center"/>
    </xf>
    <xf numFmtId="0" fontId="43" fillId="0" borderId="1" xfId="35" applyFont="1" applyBorder="1" applyAlignment="1">
      <alignment vertical="center" wrapText="1"/>
    </xf>
    <xf numFmtId="0" fontId="43" fillId="0" borderId="1" xfId="35" applyFont="1" applyBorder="1" applyAlignment="1">
      <alignment horizontal="center" vertical="center" wrapText="1"/>
    </xf>
    <xf numFmtId="0" fontId="43" fillId="0" borderId="0" xfId="35" applyFont="1"/>
    <xf numFmtId="0" fontId="1" fillId="35" borderId="1" xfId="0" quotePrefix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6" fontId="0" fillId="3" borderId="14" xfId="0" quotePrefix="1" applyNumberFormat="1" applyFill="1" applyBorder="1" applyAlignment="1">
      <alignment horizontal="center" vertical="center"/>
    </xf>
    <xf numFmtId="0" fontId="21" fillId="34" borderId="1" xfId="43" quotePrefix="1" applyFont="1" applyFill="1" applyBorder="1" applyAlignment="1">
      <alignment horizontal="center" vertical="center"/>
    </xf>
    <xf numFmtId="0" fontId="21" fillId="34" borderId="1" xfId="43" applyFont="1" applyFill="1" applyBorder="1" applyAlignment="1">
      <alignment horizontal="center" vertical="center"/>
    </xf>
    <xf numFmtId="0" fontId="20" fillId="0" borderId="1" xfId="43" applyFont="1" applyBorder="1" applyAlignment="1">
      <alignment vertical="center"/>
    </xf>
    <xf numFmtId="14" fontId="0" fillId="3" borderId="1" xfId="0" quotePrefix="1" applyNumberFormat="1" applyFill="1" applyBorder="1" applyAlignment="1">
      <alignment horizontal="center" vertical="center"/>
    </xf>
    <xf numFmtId="0" fontId="12" fillId="3" borderId="33" xfId="0" applyFont="1" applyFill="1" applyBorder="1" applyAlignment="1">
      <alignment horizontal="center" vertical="center"/>
    </xf>
    <xf numFmtId="0" fontId="105" fillId="35" borderId="1" xfId="0" quotePrefix="1" applyFont="1" applyFill="1" applyBorder="1" applyAlignment="1">
      <alignment horizontal="center" vertical="center"/>
    </xf>
    <xf numFmtId="0" fontId="67" fillId="0" borderId="1" xfId="43" quotePrefix="1" applyFont="1" applyBorder="1" applyAlignment="1">
      <alignment horizontal="center" vertical="center"/>
    </xf>
    <xf numFmtId="0" fontId="105" fillId="0" borderId="1" xfId="0" applyFont="1" applyBorder="1" applyAlignment="1">
      <alignment horizontal="center" vertical="center" wrapText="1"/>
    </xf>
    <xf numFmtId="14" fontId="9" fillId="0" borderId="1" xfId="35" applyNumberFormat="1" applyFont="1" applyBorder="1" applyAlignment="1">
      <alignment horizontal="center" vertical="center"/>
    </xf>
    <xf numFmtId="0" fontId="9" fillId="0" borderId="1" xfId="35" applyFont="1" applyBorder="1" applyAlignment="1">
      <alignment horizontal="center" vertical="center"/>
    </xf>
    <xf numFmtId="0" fontId="9" fillId="0" borderId="1" xfId="35" applyFont="1" applyBorder="1" applyAlignment="1">
      <alignment vertical="center" wrapText="1"/>
    </xf>
    <xf numFmtId="0" fontId="9" fillId="0" borderId="1" xfId="35" applyFont="1" applyBorder="1" applyAlignment="1">
      <alignment horizontal="center" vertical="center" wrapText="1"/>
    </xf>
    <xf numFmtId="0" fontId="9" fillId="0" borderId="0" xfId="35" applyFont="1"/>
    <xf numFmtId="0" fontId="0" fillId="3" borderId="10" xfId="0" applyFill="1" applyBorder="1" applyAlignment="1">
      <alignment horizontal="left" vertical="center" wrapText="1"/>
    </xf>
    <xf numFmtId="0" fontId="0" fillId="0" borderId="1" xfId="35" applyFont="1" applyBorder="1" applyAlignment="1">
      <alignment horizontal="center" vertical="center"/>
    </xf>
    <xf numFmtId="14" fontId="0" fillId="0" borderId="1" xfId="35" applyNumberFormat="1" applyFont="1" applyBorder="1" applyAlignment="1">
      <alignment horizontal="center" vertical="center"/>
    </xf>
    <xf numFmtId="0" fontId="0" fillId="0" borderId="1" xfId="35" applyFont="1" applyBorder="1" applyAlignment="1">
      <alignment vertical="center" wrapText="1"/>
    </xf>
    <xf numFmtId="0" fontId="4" fillId="2" borderId="15" xfId="35" applyFont="1" applyFill="1" applyBorder="1" applyAlignment="1">
      <alignment horizontal="left" vertical="center"/>
    </xf>
    <xf numFmtId="180" fontId="0" fillId="3" borderId="1" xfId="0" quotePrefix="1" applyNumberFormat="1" applyFill="1" applyBorder="1" applyAlignment="1">
      <alignment horizontal="center" vertical="center"/>
    </xf>
    <xf numFmtId="0" fontId="4" fillId="2" borderId="20" xfId="35" applyFont="1" applyFill="1" applyBorder="1" applyAlignment="1">
      <alignment horizontal="left" vertical="center"/>
    </xf>
    <xf numFmtId="0" fontId="4" fillId="2" borderId="15" xfId="35" applyFont="1" applyFill="1" applyBorder="1" applyAlignment="1">
      <alignment vertical="center"/>
    </xf>
    <xf numFmtId="0" fontId="2" fillId="2" borderId="15" xfId="35" applyFont="1" applyFill="1" applyBorder="1" applyAlignment="1">
      <alignment vertical="center"/>
    </xf>
    <xf numFmtId="0" fontId="2" fillId="2" borderId="108" xfId="35" applyFont="1" applyFill="1" applyBorder="1" applyAlignment="1">
      <alignment vertical="center"/>
    </xf>
    <xf numFmtId="0" fontId="17" fillId="2" borderId="15" xfId="35" applyFont="1" applyFill="1" applyBorder="1" applyAlignment="1">
      <alignment vertical="center"/>
    </xf>
    <xf numFmtId="0" fontId="17" fillId="2" borderId="20" xfId="35" applyFont="1" applyFill="1" applyBorder="1" applyAlignment="1">
      <alignment vertical="center"/>
    </xf>
    <xf numFmtId="0" fontId="17" fillId="2" borderId="21" xfId="35" applyFont="1" applyFill="1" applyBorder="1" applyAlignment="1">
      <alignment vertical="center"/>
    </xf>
    <xf numFmtId="169" fontId="12" fillId="0" borderId="1" xfId="0" applyNumberFormat="1" applyFont="1" applyBorder="1" applyAlignment="1">
      <alignment horizontal="center" vertical="center"/>
    </xf>
    <xf numFmtId="169" fontId="12" fillId="0" borderId="1" xfId="0" applyNumberFormat="1" applyFont="1" applyBorder="1" applyAlignment="1">
      <alignment horizontal="center" vertical="center" wrapText="1"/>
    </xf>
    <xf numFmtId="166" fontId="21" fillId="3" borderId="10" xfId="0" applyNumberFormat="1" applyFont="1" applyFill="1" applyBorder="1" applyAlignment="1">
      <alignment horizontal="center" vertical="center"/>
    </xf>
    <xf numFmtId="0" fontId="21" fillId="4" borderId="10" xfId="0" applyFont="1" applyFill="1" applyBorder="1" applyAlignment="1">
      <alignment horizontal="center" vertical="center"/>
    </xf>
    <xf numFmtId="16" fontId="17" fillId="0" borderId="1" xfId="35" quotePrefix="1" applyNumberFormat="1" applyFont="1" applyBorder="1" applyAlignment="1">
      <alignment horizontal="center" vertical="center" wrapText="1"/>
    </xf>
    <xf numFmtId="0" fontId="28" fillId="0" borderId="0" xfId="0" applyFont="1"/>
    <xf numFmtId="0" fontId="22" fillId="0" borderId="1" xfId="43" applyFont="1" applyBorder="1" applyAlignment="1">
      <alignment horizontal="center" vertical="center" wrapText="1"/>
    </xf>
    <xf numFmtId="14" fontId="22" fillId="0" borderId="1" xfId="43" applyNumberFormat="1" applyFont="1" applyBorder="1" applyAlignment="1">
      <alignment horizontal="center" vertical="center" wrapText="1"/>
    </xf>
    <xf numFmtId="0" fontId="32" fillId="0" borderId="29" xfId="43" quotePrefix="1" applyFont="1" applyBorder="1" applyAlignment="1">
      <alignment horizontal="center" vertical="center"/>
    </xf>
    <xf numFmtId="0" fontId="32" fillId="11" borderId="29" xfId="43" quotePrefix="1" applyFont="1" applyFill="1" applyBorder="1" applyAlignment="1">
      <alignment horizontal="left" vertical="center" indent="1"/>
    </xf>
    <xf numFmtId="0" fontId="32" fillId="0" borderId="1" xfId="43" quotePrefix="1" applyFont="1" applyBorder="1" applyAlignment="1">
      <alignment horizontal="center" vertical="center"/>
    </xf>
    <xf numFmtId="0" fontId="32" fillId="0" borderId="1" xfId="43" applyFont="1" applyBorder="1" applyAlignment="1">
      <alignment horizontal="left" vertical="center" indent="1"/>
    </xf>
    <xf numFmtId="0" fontId="28" fillId="0" borderId="1" xfId="0" applyFont="1" applyBorder="1"/>
    <xf numFmtId="0" fontId="32" fillId="34" borderId="1" xfId="43" quotePrefix="1" applyFont="1" applyFill="1" applyBorder="1" applyAlignment="1">
      <alignment horizontal="center" vertical="center"/>
    </xf>
    <xf numFmtId="0" fontId="32" fillId="0" borderId="1" xfId="43" applyFont="1" applyBorder="1" applyAlignment="1">
      <alignment horizontal="center" vertical="center"/>
    </xf>
    <xf numFmtId="0" fontId="32" fillId="3" borderId="1" xfId="43" quotePrefix="1" applyFont="1" applyFill="1" applyBorder="1" applyAlignment="1">
      <alignment horizontal="center" vertical="center"/>
    </xf>
    <xf numFmtId="0" fontId="89" fillId="3" borderId="1" xfId="132" applyFont="1" applyFill="1" applyBorder="1" applyAlignment="1">
      <alignment horizontal="center" vertical="center" wrapText="1"/>
    </xf>
    <xf numFmtId="166" fontId="89" fillId="3" borderId="1" xfId="132" applyNumberFormat="1" applyFont="1" applyFill="1" applyBorder="1" applyAlignment="1">
      <alignment vertical="center" wrapText="1"/>
    </xf>
    <xf numFmtId="0" fontId="106" fillId="11" borderId="1" xfId="132" applyFont="1" applyFill="1" applyBorder="1" applyAlignment="1">
      <alignment horizontal="center" vertical="center"/>
    </xf>
    <xf numFmtId="0" fontId="14" fillId="11" borderId="1" xfId="0" applyFont="1" applyFill="1" applyBorder="1" applyAlignment="1">
      <alignment horizontal="center" vertical="center"/>
    </xf>
    <xf numFmtId="166" fontId="45" fillId="11" borderId="1" xfId="0" applyNumberFormat="1" applyFont="1" applyFill="1" applyBorder="1" applyAlignment="1">
      <alignment horizontal="center" vertical="center"/>
    </xf>
    <xf numFmtId="166" fontId="14" fillId="11" borderId="1" xfId="0" applyNumberFormat="1" applyFont="1" applyFill="1" applyBorder="1" applyAlignment="1">
      <alignment horizontal="center" vertical="center"/>
    </xf>
    <xf numFmtId="2" fontId="14" fillId="11" borderId="1" xfId="0" applyNumberFormat="1" applyFont="1" applyFill="1" applyBorder="1" applyAlignment="1">
      <alignment vertical="center"/>
    </xf>
    <xf numFmtId="2" fontId="28" fillId="0" borderId="1" xfId="0" applyNumberFormat="1" applyFont="1" applyBorder="1" applyAlignment="1">
      <alignment horizontal="center" vertical="center"/>
    </xf>
    <xf numFmtId="0" fontId="4" fillId="2" borderId="20" xfId="35" applyFont="1" applyFill="1" applyBorder="1" applyAlignment="1">
      <alignment vertical="center"/>
    </xf>
    <xf numFmtId="0" fontId="4" fillId="2" borderId="21" xfId="35" applyFont="1" applyFill="1" applyBorder="1" applyAlignment="1">
      <alignment vertical="center"/>
    </xf>
    <xf numFmtId="0" fontId="0" fillId="11" borderId="1" xfId="0" quotePrefix="1" applyFill="1" applyBorder="1" applyAlignment="1">
      <alignment horizontal="center" vertical="center"/>
    </xf>
    <xf numFmtId="0" fontId="21" fillId="11" borderId="0" xfId="0" applyFont="1" applyFill="1"/>
    <xf numFmtId="0" fontId="0" fillId="3" borderId="9" xfId="0" applyFill="1" applyBorder="1" applyAlignment="1">
      <alignment horizontal="center" vertical="center"/>
    </xf>
    <xf numFmtId="0" fontId="0" fillId="3" borderId="29" xfId="0" applyFill="1" applyBorder="1" applyAlignment="1">
      <alignment horizontal="center" vertical="center"/>
    </xf>
    <xf numFmtId="14" fontId="0" fillId="3" borderId="9" xfId="0" applyNumberFormat="1" applyFill="1" applyBorder="1" applyAlignment="1">
      <alignment horizontal="center" vertical="center"/>
    </xf>
    <xf numFmtId="17" fontId="0" fillId="3" borderId="12" xfId="0" applyNumberFormat="1" applyFill="1" applyBorder="1" applyAlignment="1">
      <alignment vertical="center"/>
    </xf>
    <xf numFmtId="0" fontId="17" fillId="2" borderId="3" xfId="35" applyFont="1" applyFill="1" applyBorder="1" applyAlignment="1">
      <alignment horizontal="center" vertical="center" wrapText="1"/>
    </xf>
    <xf numFmtId="0" fontId="17" fillId="0" borderId="1" xfId="35" quotePrefix="1" applyFont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17" fontId="0" fillId="3" borderId="28" xfId="0" applyNumberFormat="1" applyFill="1" applyBorder="1" applyAlignment="1">
      <alignment vertical="center"/>
    </xf>
    <xf numFmtId="0" fontId="28" fillId="0" borderId="31" xfId="99" applyFont="1" applyBorder="1"/>
    <xf numFmtId="0" fontId="34" fillId="0" borderId="0" xfId="99" applyFont="1" applyAlignment="1">
      <alignment horizontal="center"/>
    </xf>
    <xf numFmtId="0" fontId="0" fillId="3" borderId="3" xfId="0" quotePrefix="1" applyFill="1" applyBorder="1" applyAlignment="1">
      <alignment horizontal="center" vertical="center"/>
    </xf>
    <xf numFmtId="14" fontId="0" fillId="3" borderId="3" xfId="0" applyNumberFormat="1" applyFill="1" applyBorder="1" applyAlignment="1">
      <alignment horizontal="center" vertical="center"/>
    </xf>
    <xf numFmtId="0" fontId="32" fillId="3" borderId="29" xfId="43" quotePrefix="1" applyFont="1" applyFill="1" applyBorder="1" applyAlignment="1">
      <alignment horizontal="center" vertical="center"/>
    </xf>
    <xf numFmtId="0" fontId="32" fillId="3" borderId="1" xfId="43" quotePrefix="1" applyFont="1" applyFill="1" applyBorder="1" applyAlignment="1">
      <alignment horizontal="left" vertical="center" indent="1"/>
    </xf>
    <xf numFmtId="0" fontId="34" fillId="3" borderId="1" xfId="43" quotePrefix="1" applyFont="1" applyFill="1" applyBorder="1" applyAlignment="1">
      <alignment horizontal="left" vertical="center" indent="1"/>
    </xf>
    <xf numFmtId="0" fontId="32" fillId="3" borderId="29" xfId="43" quotePrefix="1" applyFont="1" applyFill="1" applyBorder="1" applyAlignment="1">
      <alignment horizontal="left" vertical="center" indent="1"/>
    </xf>
    <xf numFmtId="0" fontId="38" fillId="0" borderId="59" xfId="0" applyFont="1" applyBorder="1" applyAlignment="1">
      <alignment horizontal="left" vertical="center" wrapText="1" readingOrder="1"/>
    </xf>
    <xf numFmtId="0" fontId="17" fillId="0" borderId="2" xfId="0" applyFont="1" applyBorder="1" applyAlignment="1">
      <alignment horizontal="center" vertical="center"/>
    </xf>
    <xf numFmtId="17" fontId="17" fillId="3" borderId="10" xfId="0" applyNumberFormat="1" applyFont="1" applyFill="1" applyBorder="1" applyAlignment="1">
      <alignment vertical="center"/>
    </xf>
    <xf numFmtId="0" fontId="17" fillId="3" borderId="8" xfId="0" applyFont="1" applyFill="1" applyBorder="1" applyAlignment="1">
      <alignment horizontal="center" vertical="center"/>
    </xf>
    <xf numFmtId="0" fontId="17" fillId="3" borderId="4" xfId="0" applyFont="1" applyFill="1" applyBorder="1" applyAlignment="1">
      <alignment horizontal="center" vertical="center"/>
    </xf>
    <xf numFmtId="0" fontId="17" fillId="3" borderId="7" xfId="0" applyFont="1" applyFill="1" applyBorder="1" applyAlignment="1">
      <alignment horizontal="center" vertical="center"/>
    </xf>
    <xf numFmtId="0" fontId="0" fillId="3" borderId="28" xfId="0" applyFill="1" applyBorder="1" applyAlignment="1">
      <alignment horizontal="center" vertical="center"/>
    </xf>
    <xf numFmtId="0" fontId="0" fillId="0" borderId="16" xfId="0" applyBorder="1" applyAlignment="1">
      <alignment horizontal="left" vertical="center" wrapText="1"/>
    </xf>
    <xf numFmtId="166" fontId="89" fillId="3" borderId="22" xfId="132" applyNumberFormat="1" applyFont="1" applyFill="1" applyBorder="1" applyAlignment="1">
      <alignment horizontal="center" vertical="center" wrapText="1"/>
    </xf>
    <xf numFmtId="1" fontId="12" fillId="0" borderId="22" xfId="0" applyNumberFormat="1" applyFont="1" applyBorder="1" applyAlignment="1">
      <alignment horizontal="center" vertical="center"/>
    </xf>
    <xf numFmtId="16" fontId="0" fillId="3" borderId="9" xfId="0" quotePrefix="1" applyNumberFormat="1" applyFill="1" applyBorder="1" applyAlignment="1">
      <alignment horizontal="center" vertical="center"/>
    </xf>
    <xf numFmtId="0" fontId="17" fillId="36" borderId="1" xfId="0" applyFont="1" applyFill="1" applyBorder="1" applyAlignment="1">
      <alignment horizontal="center" vertical="center"/>
    </xf>
    <xf numFmtId="16" fontId="19" fillId="36" borderId="1" xfId="0" quotePrefix="1" applyNumberFormat="1" applyFont="1" applyFill="1" applyBorder="1" applyAlignment="1">
      <alignment horizontal="center" vertical="center"/>
    </xf>
    <xf numFmtId="15" fontId="17" fillId="36" borderId="1" xfId="0" applyNumberFormat="1" applyFont="1" applyFill="1" applyBorder="1" applyAlignment="1">
      <alignment horizontal="center" vertical="center"/>
    </xf>
    <xf numFmtId="0" fontId="17" fillId="36" borderId="1" xfId="0" applyFont="1" applyFill="1" applyBorder="1" applyAlignment="1">
      <alignment horizontal="left" vertical="center"/>
    </xf>
    <xf numFmtId="166" fontId="17" fillId="36" borderId="1" xfId="0" applyNumberFormat="1" applyFont="1" applyFill="1" applyBorder="1" applyAlignment="1">
      <alignment horizontal="center" vertical="center"/>
    </xf>
    <xf numFmtId="2" fontId="17" fillId="36" borderId="1" xfId="0" applyNumberFormat="1" applyFont="1" applyFill="1" applyBorder="1" applyAlignment="1">
      <alignment horizontal="center" vertical="center"/>
    </xf>
    <xf numFmtId="17" fontId="17" fillId="36" borderId="1" xfId="0" applyNumberFormat="1" applyFont="1" applyFill="1" applyBorder="1" applyAlignment="1">
      <alignment horizontal="center" vertical="center"/>
    </xf>
    <xf numFmtId="0" fontId="17" fillId="3" borderId="3" xfId="0" quotePrefix="1" applyFont="1" applyFill="1" applyBorder="1" applyAlignment="1">
      <alignment horizontal="center" vertical="center"/>
    </xf>
    <xf numFmtId="0" fontId="0" fillId="3" borderId="9" xfId="0" quotePrefix="1" applyFill="1" applyBorder="1" applyAlignment="1">
      <alignment horizontal="center" vertical="center"/>
    </xf>
    <xf numFmtId="0" fontId="20" fillId="4" borderId="10" xfId="0" applyFont="1" applyFill="1" applyBorder="1" applyAlignment="1">
      <alignment horizontal="center" vertical="center"/>
    </xf>
    <xf numFmtId="0" fontId="17" fillId="2" borderId="1" xfId="35" applyFont="1" applyFill="1" applyBorder="1" applyAlignment="1">
      <alignment vertical="center"/>
    </xf>
    <xf numFmtId="0" fontId="43" fillId="3" borderId="0" xfId="0" quotePrefix="1" applyFont="1" applyFill="1" applyAlignment="1">
      <alignment horizontal="center" vertical="center"/>
    </xf>
    <xf numFmtId="0" fontId="20" fillId="11" borderId="2" xfId="0" applyFont="1" applyFill="1" applyBorder="1" applyAlignment="1">
      <alignment horizontal="center" vertical="center"/>
    </xf>
    <xf numFmtId="0" fontId="12" fillId="3" borderId="88" xfId="0" applyFont="1" applyFill="1" applyBorder="1" applyAlignment="1">
      <alignment horizontal="center" vertical="center" wrapText="1"/>
    </xf>
    <xf numFmtId="0" fontId="12" fillId="3" borderId="39" xfId="0" applyFont="1" applyFill="1" applyBorder="1" applyAlignment="1">
      <alignment horizontal="center" vertical="center" wrapText="1"/>
    </xf>
    <xf numFmtId="0" fontId="12" fillId="3" borderId="39" xfId="0" applyFont="1" applyFill="1" applyBorder="1" applyAlignment="1">
      <alignment horizontal="center" vertical="center"/>
    </xf>
    <xf numFmtId="0" fontId="22" fillId="3" borderId="39" xfId="60" applyFont="1" applyFill="1" applyBorder="1" applyAlignment="1">
      <alignment horizontal="center" vertical="center" wrapText="1"/>
    </xf>
    <xf numFmtId="169" fontId="12" fillId="3" borderId="39" xfId="0" applyNumberFormat="1" applyFont="1" applyFill="1" applyBorder="1" applyAlignment="1">
      <alignment horizontal="center" vertical="center" wrapText="1"/>
    </xf>
    <xf numFmtId="0" fontId="12" fillId="3" borderId="89" xfId="0" applyFont="1" applyFill="1" applyBorder="1" applyAlignment="1">
      <alignment horizontal="center" vertical="center" wrapText="1"/>
    </xf>
    <xf numFmtId="17" fontId="0" fillId="3" borderId="1" xfId="0" applyNumberFormat="1" applyFill="1" applyBorder="1" applyAlignment="1">
      <alignment vertical="center"/>
    </xf>
    <xf numFmtId="0" fontId="19" fillId="3" borderId="1" xfId="43" applyFont="1" applyFill="1" applyBorder="1" applyAlignment="1">
      <alignment horizontal="left" vertical="center" indent="1"/>
    </xf>
    <xf numFmtId="0" fontId="0" fillId="11" borderId="3" xfId="0" quotePrefix="1" applyFill="1" applyBorder="1" applyAlignment="1">
      <alignment horizontal="center" vertical="center"/>
    </xf>
    <xf numFmtId="177" fontId="17" fillId="0" borderId="1" xfId="0" applyNumberFormat="1" applyFont="1" applyBorder="1" applyAlignment="1">
      <alignment horizontal="center" vertical="center"/>
    </xf>
    <xf numFmtId="0" fontId="21" fillId="4" borderId="23" xfId="0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left" vertical="center"/>
    </xf>
    <xf numFmtId="0" fontId="0" fillId="3" borderId="7" xfId="0" applyFill="1" applyBorder="1" applyAlignment="1">
      <alignment horizontal="center" vertical="center"/>
    </xf>
    <xf numFmtId="16" fontId="0" fillId="3" borderId="3" xfId="0" quotePrefix="1" applyNumberFormat="1" applyFill="1" applyBorder="1" applyAlignment="1">
      <alignment horizontal="center" vertical="center"/>
    </xf>
    <xf numFmtId="49" fontId="0" fillId="3" borderId="3" xfId="0" quotePrefix="1" applyNumberFormat="1" applyFill="1" applyBorder="1" applyAlignment="1">
      <alignment horizontal="center" vertical="center"/>
    </xf>
    <xf numFmtId="166" fontId="0" fillId="3" borderId="3" xfId="0" applyNumberFormat="1" applyFill="1" applyBorder="1" applyAlignment="1">
      <alignment horizontal="center" vertical="center"/>
    </xf>
    <xf numFmtId="17" fontId="0" fillId="3" borderId="3" xfId="0" applyNumberFormat="1" applyFill="1" applyBorder="1" applyAlignment="1">
      <alignment horizontal="center" vertical="center"/>
    </xf>
    <xf numFmtId="0" fontId="0" fillId="3" borderId="28" xfId="0" applyFill="1" applyBorder="1" applyAlignment="1">
      <alignment horizontal="left" vertical="center" wrapText="1"/>
    </xf>
    <xf numFmtId="0" fontId="0" fillId="11" borderId="2" xfId="0" applyFill="1" applyBorder="1" applyAlignment="1">
      <alignment horizontal="center" vertical="center"/>
    </xf>
    <xf numFmtId="14" fontId="0" fillId="11" borderId="1" xfId="0" applyNumberFormat="1" applyFill="1" applyBorder="1" applyAlignment="1">
      <alignment horizontal="center" vertical="center"/>
    </xf>
    <xf numFmtId="0" fontId="0" fillId="11" borderId="28" xfId="0" applyFill="1" applyBorder="1" applyAlignment="1">
      <alignment horizontal="center" vertical="center"/>
    </xf>
    <xf numFmtId="14" fontId="22" fillId="0" borderId="28" xfId="0" applyNumberFormat="1" applyFont="1" applyBorder="1" applyAlignment="1">
      <alignment horizontal="center" vertical="center"/>
    </xf>
    <xf numFmtId="0" fontId="24" fillId="0" borderId="14" xfId="0" applyFont="1" applyBorder="1" applyAlignment="1">
      <alignment horizontal="center" vertical="center"/>
    </xf>
    <xf numFmtId="177" fontId="24" fillId="0" borderId="14" xfId="0" applyNumberFormat="1" applyFont="1" applyBorder="1" applyAlignment="1">
      <alignment horizontal="center" vertical="center"/>
    </xf>
    <xf numFmtId="0" fontId="22" fillId="0" borderId="16" xfId="0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0" fontId="17" fillId="0" borderId="30" xfId="0" applyFont="1" applyBorder="1" applyAlignment="1">
      <alignment horizontal="center" vertical="center"/>
    </xf>
    <xf numFmtId="0" fontId="17" fillId="0" borderId="29" xfId="0" applyFont="1" applyBorder="1" applyAlignment="1">
      <alignment horizontal="center" vertical="center"/>
    </xf>
    <xf numFmtId="166" fontId="17" fillId="0" borderId="29" xfId="0" applyNumberFormat="1" applyFont="1" applyBorder="1" applyAlignment="1">
      <alignment horizontal="center" vertical="center"/>
    </xf>
    <xf numFmtId="15" fontId="17" fillId="0" borderId="9" xfId="0" applyNumberFormat="1" applyFont="1" applyBorder="1" applyAlignment="1">
      <alignment horizontal="center" vertical="center"/>
    </xf>
    <xf numFmtId="15" fontId="17" fillId="0" borderId="29" xfId="0" applyNumberFormat="1" applyFont="1" applyBorder="1" applyAlignment="1">
      <alignment horizontal="center" vertical="center"/>
    </xf>
    <xf numFmtId="177" fontId="17" fillId="0" borderId="29" xfId="0" applyNumberFormat="1" applyFont="1" applyBorder="1" applyAlignment="1">
      <alignment horizontal="center" vertical="center"/>
    </xf>
    <xf numFmtId="0" fontId="17" fillId="0" borderId="12" xfId="0" applyFont="1" applyBorder="1" applyAlignment="1">
      <alignment horizontal="left" vertical="center" wrapText="1"/>
    </xf>
    <xf numFmtId="177" fontId="17" fillId="3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6" fontId="17" fillId="3" borderId="29" xfId="0" applyNumberFormat="1" applyFont="1" applyFill="1" applyBorder="1" applyAlignment="1">
      <alignment horizontal="center" vertical="center"/>
    </xf>
    <xf numFmtId="0" fontId="17" fillId="3" borderId="10" xfId="0" applyFont="1" applyFill="1" applyBorder="1" applyAlignment="1">
      <alignment horizontal="left" vertical="center"/>
    </xf>
    <xf numFmtId="0" fontId="17" fillId="0" borderId="8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7" fillId="0" borderId="11" xfId="0" applyFont="1" applyBorder="1" applyAlignment="1">
      <alignment horizontal="left" vertical="center"/>
    </xf>
    <xf numFmtId="166" fontId="17" fillId="3" borderId="3" xfId="0" applyNumberFormat="1" applyFont="1" applyFill="1" applyBorder="1" applyAlignment="1">
      <alignment horizontal="center" vertical="center"/>
    </xf>
    <xf numFmtId="15" fontId="17" fillId="3" borderId="3" xfId="0" applyNumberFormat="1" applyFont="1" applyFill="1" applyBorder="1" applyAlignment="1">
      <alignment horizontal="center" vertical="center"/>
    </xf>
    <xf numFmtId="0" fontId="107" fillId="0" borderId="0" xfId="0" applyFont="1" applyAlignment="1">
      <alignment horizontal="center" vertical="center"/>
    </xf>
    <xf numFmtId="0" fontId="109" fillId="0" borderId="0" xfId="0" applyFont="1"/>
    <xf numFmtId="181" fontId="107" fillId="37" borderId="113" xfId="0" applyNumberFormat="1" applyFont="1" applyFill="1" applyBorder="1" applyAlignment="1">
      <alignment horizontal="center" vertical="center"/>
    </xf>
    <xf numFmtId="0" fontId="107" fillId="38" borderId="0" xfId="0" applyFont="1" applyFill="1" applyAlignment="1">
      <alignment horizontal="center" vertical="center"/>
    </xf>
    <xf numFmtId="0" fontId="107" fillId="39" borderId="1" xfId="0" applyFont="1" applyFill="1" applyBorder="1" applyAlignment="1">
      <alignment horizontal="center" vertical="center"/>
    </xf>
    <xf numFmtId="49" fontId="107" fillId="39" borderId="1" xfId="0" applyNumberFormat="1" applyFont="1" applyFill="1" applyBorder="1" applyAlignment="1">
      <alignment horizontal="center" vertical="center"/>
    </xf>
    <xf numFmtId="182" fontId="107" fillId="39" borderId="1" xfId="0" applyNumberFormat="1" applyFont="1" applyFill="1" applyBorder="1" applyAlignment="1">
      <alignment horizontal="center" vertical="center"/>
    </xf>
    <xf numFmtId="0" fontId="107" fillId="39" borderId="1" xfId="0" applyFont="1" applyFill="1" applyBorder="1" applyAlignment="1">
      <alignment vertical="center"/>
    </xf>
    <xf numFmtId="0" fontId="110" fillId="0" borderId="0" xfId="0" applyFont="1" applyAlignment="1">
      <alignment horizontal="center" vertical="center"/>
    </xf>
    <xf numFmtId="0" fontId="110" fillId="38" borderId="0" xfId="0" applyFont="1" applyFill="1" applyAlignment="1">
      <alignment horizontal="center" vertical="center"/>
    </xf>
    <xf numFmtId="0" fontId="110" fillId="0" borderId="1" xfId="0" applyFont="1" applyBorder="1" applyAlignment="1">
      <alignment horizontal="center" vertical="center"/>
    </xf>
    <xf numFmtId="0" fontId="110" fillId="0" borderId="1" xfId="0" applyFont="1" applyBorder="1" applyAlignment="1">
      <alignment horizontal="left" vertical="center"/>
    </xf>
    <xf numFmtId="0" fontId="110" fillId="0" borderId="1" xfId="0" applyFont="1" applyBorder="1" applyAlignment="1">
      <alignment horizontal="center" vertical="center" wrapText="1"/>
    </xf>
    <xf numFmtId="182" fontId="110" fillId="0" borderId="1" xfId="0" applyNumberFormat="1" applyFont="1" applyBorder="1" applyAlignment="1">
      <alignment horizontal="center" vertical="center"/>
    </xf>
    <xf numFmtId="0" fontId="110" fillId="0" borderId="0" xfId="0" applyFont="1" applyAlignment="1">
      <alignment horizontal="left" vertical="center"/>
    </xf>
    <xf numFmtId="0" fontId="110" fillId="0" borderId="0" xfId="0" applyFont="1" applyAlignment="1">
      <alignment horizontal="center" vertical="center" wrapText="1"/>
    </xf>
    <xf numFmtId="182" fontId="110" fillId="0" borderId="0" xfId="0" applyNumberFormat="1" applyFont="1" applyAlignment="1">
      <alignment horizontal="center" vertical="center"/>
    </xf>
    <xf numFmtId="0" fontId="108" fillId="0" borderId="1" xfId="0" applyFont="1" applyBorder="1"/>
    <xf numFmtId="0" fontId="107" fillId="0" borderId="119" xfId="0" applyFont="1" applyBorder="1" applyAlignment="1">
      <alignment horizontal="center" vertical="center" wrapText="1"/>
    </xf>
    <xf numFmtId="0" fontId="107" fillId="0" borderId="119" xfId="0" applyFont="1" applyBorder="1" applyAlignment="1">
      <alignment horizontal="center" vertical="center"/>
    </xf>
    <xf numFmtId="183" fontId="107" fillId="0" borderId="119" xfId="0" applyNumberFormat="1" applyFont="1" applyBorder="1" applyAlignment="1">
      <alignment horizontal="center" vertical="center"/>
    </xf>
    <xf numFmtId="0" fontId="107" fillId="39" borderId="118" xfId="0" applyFont="1" applyFill="1" applyBorder="1" applyAlignment="1">
      <alignment vertical="center"/>
    </xf>
    <xf numFmtId="0" fontId="110" fillId="0" borderId="114" xfId="0" applyFont="1" applyBorder="1" applyAlignment="1">
      <alignment horizontal="center" vertical="center"/>
    </xf>
    <xf numFmtId="0" fontId="110" fillId="0" borderId="120" xfId="0" applyFont="1" applyBorder="1" applyAlignment="1">
      <alignment horizontal="left" vertical="center"/>
    </xf>
    <xf numFmtId="0" fontId="110" fillId="0" borderId="114" xfId="0" applyFont="1" applyBorder="1" applyAlignment="1">
      <alignment horizontal="left" vertical="center" wrapText="1"/>
    </xf>
    <xf numFmtId="166" fontId="60" fillId="0" borderId="114" xfId="0" applyNumberFormat="1" applyFont="1" applyBorder="1" applyAlignment="1">
      <alignment horizontal="center" vertical="center"/>
    </xf>
    <xf numFmtId="182" fontId="110" fillId="0" borderId="3" xfId="0" applyNumberFormat="1" applyFont="1" applyBorder="1" applyAlignment="1">
      <alignment horizontal="center" vertical="center"/>
    </xf>
    <xf numFmtId="182" fontId="110" fillId="0" borderId="118" xfId="0" applyNumberFormat="1" applyFont="1" applyBorder="1" applyAlignment="1">
      <alignment horizontal="center" vertical="center"/>
    </xf>
    <xf numFmtId="0" fontId="110" fillId="0" borderId="3" xfId="0" applyFont="1" applyBorder="1" applyAlignment="1">
      <alignment horizontal="center" vertical="center" wrapText="1"/>
    </xf>
    <xf numFmtId="166" fontId="60" fillId="0" borderId="1" xfId="0" applyNumberFormat="1" applyFont="1" applyBorder="1" applyAlignment="1">
      <alignment horizontal="center" vertical="center"/>
    </xf>
    <xf numFmtId="0" fontId="108" fillId="0" borderId="1" xfId="0" applyFont="1" applyBorder="1" applyAlignment="1">
      <alignment vertical="center"/>
    </xf>
    <xf numFmtId="0" fontId="108" fillId="0" borderId="1" xfId="0" applyFont="1" applyBorder="1" applyAlignment="1">
      <alignment horizontal="center" vertical="center"/>
    </xf>
    <xf numFmtId="0" fontId="108" fillId="0" borderId="1" xfId="0" applyFont="1" applyBorder="1" applyAlignment="1">
      <alignment horizontal="left" vertical="center"/>
    </xf>
    <xf numFmtId="0" fontId="108" fillId="0" borderId="1" xfId="0" applyFont="1" applyBorder="1" applyAlignment="1">
      <alignment horizontal="left" vertical="center" wrapText="1"/>
    </xf>
    <xf numFmtId="166" fontId="108" fillId="0" borderId="1" xfId="0" applyNumberFormat="1" applyFont="1" applyBorder="1" applyAlignment="1">
      <alignment horizontal="center" vertical="center"/>
    </xf>
    <xf numFmtId="182" fontId="108" fillId="0" borderId="1" xfId="0" applyNumberFormat="1" applyFont="1" applyBorder="1" applyAlignment="1">
      <alignment horizontal="center" vertical="center"/>
    </xf>
    <xf numFmtId="0" fontId="108" fillId="0" borderId="1" xfId="0" applyFont="1" applyBorder="1" applyAlignment="1">
      <alignment horizontal="center" vertical="center" wrapText="1"/>
    </xf>
    <xf numFmtId="0" fontId="108" fillId="0" borderId="0" xfId="0" applyFont="1" applyAlignment="1">
      <alignment horizontal="center" vertical="center"/>
    </xf>
    <xf numFmtId="0" fontId="111" fillId="0" borderId="0" xfId="0" applyFont="1"/>
    <xf numFmtId="0" fontId="110" fillId="0" borderId="0" xfId="0" applyFont="1" applyAlignment="1">
      <alignment horizontal="left" vertical="center" wrapText="1"/>
    </xf>
    <xf numFmtId="0" fontId="107" fillId="0" borderId="113" xfId="0" applyFont="1" applyBorder="1" applyAlignment="1">
      <alignment horizontal="center" vertical="center" wrapText="1"/>
    </xf>
    <xf numFmtId="0" fontId="107" fillId="0" borderId="113" xfId="0" applyFont="1" applyBorder="1" applyAlignment="1">
      <alignment horizontal="center" vertical="center"/>
    </xf>
    <xf numFmtId="183" fontId="107" fillId="0" borderId="113" xfId="0" applyNumberFormat="1" applyFont="1" applyBorder="1" applyAlignment="1">
      <alignment horizontal="center" vertical="center"/>
    </xf>
    <xf numFmtId="0" fontId="110" fillId="0" borderId="113" xfId="0" applyFont="1" applyBorder="1" applyAlignment="1">
      <alignment horizontal="center" vertical="center"/>
    </xf>
    <xf numFmtId="0" fontId="110" fillId="0" borderId="113" xfId="0" quotePrefix="1" applyFont="1" applyBorder="1" applyAlignment="1">
      <alignment horizontal="center" vertical="center"/>
    </xf>
    <xf numFmtId="0" fontId="107" fillId="3" borderId="113" xfId="0" applyFont="1" applyFill="1" applyBorder="1" applyAlignment="1">
      <alignment horizontal="center" vertical="center" wrapText="1"/>
    </xf>
    <xf numFmtId="182" fontId="110" fillId="0" borderId="113" xfId="0" applyNumberFormat="1" applyFont="1" applyBorder="1" applyAlignment="1">
      <alignment horizontal="center" vertical="center" wrapText="1"/>
    </xf>
    <xf numFmtId="14" fontId="110" fillId="0" borderId="113" xfId="0" applyNumberFormat="1" applyFont="1" applyBorder="1" applyAlignment="1">
      <alignment horizontal="center" vertical="center"/>
    </xf>
    <xf numFmtId="0" fontId="110" fillId="0" borderId="113" xfId="0" applyFont="1" applyBorder="1" applyAlignment="1">
      <alignment horizontal="center" vertical="center" wrapText="1"/>
    </xf>
    <xf numFmtId="166" fontId="110" fillId="0" borderId="113" xfId="0" applyNumberFormat="1" applyFont="1" applyBorder="1" applyAlignment="1">
      <alignment horizontal="center" vertical="center" wrapText="1"/>
    </xf>
    <xf numFmtId="49" fontId="110" fillId="0" borderId="113" xfId="0" applyNumberFormat="1" applyFont="1" applyBorder="1" applyAlignment="1">
      <alignment horizontal="center" vertical="center" wrapText="1"/>
    </xf>
    <xf numFmtId="183" fontId="107" fillId="0" borderId="113" xfId="0" applyNumberFormat="1" applyFont="1" applyBorder="1" applyAlignment="1">
      <alignment horizontal="center" vertical="center" wrapText="1"/>
    </xf>
    <xf numFmtId="0" fontId="110" fillId="0" borderId="113" xfId="0" applyFont="1" applyBorder="1" applyAlignment="1">
      <alignment horizontal="center"/>
    </xf>
    <xf numFmtId="49" fontId="110" fillId="0" borderId="113" xfId="0" applyNumberFormat="1" applyFont="1" applyBorder="1" applyAlignment="1">
      <alignment horizontal="center" vertical="center"/>
    </xf>
    <xf numFmtId="0" fontId="107" fillId="0" borderId="0" xfId="0" applyFont="1" applyAlignment="1">
      <alignment horizontal="center" vertical="center" wrapText="1"/>
    </xf>
    <xf numFmtId="0" fontId="108" fillId="0" borderId="3" xfId="0" applyFont="1" applyBorder="1" applyAlignment="1">
      <alignment vertical="center" wrapText="1"/>
    </xf>
    <xf numFmtId="0" fontId="12" fillId="0" borderId="0" xfId="0" applyFont="1" applyAlignment="1">
      <alignment horizontal="center"/>
    </xf>
    <xf numFmtId="17" fontId="92" fillId="0" borderId="59" xfId="0" applyNumberFormat="1" applyFont="1" applyBorder="1" applyAlignment="1">
      <alignment horizontal="center" vertical="center" wrapText="1" readingOrder="1"/>
    </xf>
    <xf numFmtId="0" fontId="17" fillId="11" borderId="47" xfId="0" applyFont="1" applyFill="1" applyBorder="1" applyAlignment="1">
      <alignment horizontal="center" vertical="center"/>
    </xf>
    <xf numFmtId="0" fontId="17" fillId="11" borderId="3" xfId="0" applyFont="1" applyFill="1" applyBorder="1" applyAlignment="1">
      <alignment horizontal="center" vertical="center"/>
    </xf>
    <xf numFmtId="0" fontId="17" fillId="11" borderId="3" xfId="0" quotePrefix="1" applyFont="1" applyFill="1" applyBorder="1" applyAlignment="1">
      <alignment horizontal="center" vertical="center"/>
    </xf>
    <xf numFmtId="166" fontId="17" fillId="11" borderId="3" xfId="0" applyNumberFormat="1" applyFont="1" applyFill="1" applyBorder="1" applyAlignment="1">
      <alignment horizontal="center" vertical="center"/>
    </xf>
    <xf numFmtId="15" fontId="17" fillId="11" borderId="3" xfId="0" applyNumberFormat="1" applyFont="1" applyFill="1" applyBorder="1" applyAlignment="1">
      <alignment horizontal="center" vertical="center"/>
    </xf>
    <xf numFmtId="0" fontId="17" fillId="11" borderId="28" xfId="0" applyFont="1" applyFill="1" applyBorder="1" applyAlignment="1">
      <alignment horizontal="left" vertical="center"/>
    </xf>
    <xf numFmtId="0" fontId="100" fillId="3" borderId="1" xfId="30" applyFont="1" applyFill="1" applyBorder="1" applyAlignment="1">
      <alignment horizontal="center" vertical="center"/>
    </xf>
    <xf numFmtId="166" fontId="100" fillId="3" borderId="1" xfId="30" applyNumberFormat="1" applyFont="1" applyFill="1" applyBorder="1" applyAlignment="1">
      <alignment horizontal="center" vertical="center"/>
    </xf>
    <xf numFmtId="0" fontId="17" fillId="3" borderId="47" xfId="0" applyFont="1" applyFill="1" applyBorder="1" applyAlignment="1">
      <alignment horizontal="center" vertical="center"/>
    </xf>
    <xf numFmtId="0" fontId="17" fillId="3" borderId="28" xfId="0" applyFont="1" applyFill="1" applyBorder="1" applyAlignment="1">
      <alignment horizontal="left" vertical="center"/>
    </xf>
    <xf numFmtId="0" fontId="45" fillId="11" borderId="23" xfId="0" applyFont="1" applyFill="1" applyBorder="1" applyAlignment="1">
      <alignment horizontal="center" vertical="center"/>
    </xf>
    <xf numFmtId="0" fontId="45" fillId="11" borderId="9" xfId="0" applyFont="1" applyFill="1" applyBorder="1" applyAlignment="1">
      <alignment horizontal="left" vertical="center"/>
    </xf>
    <xf numFmtId="166" fontId="73" fillId="11" borderId="9" xfId="0" applyNumberFormat="1" applyFont="1" applyFill="1" applyBorder="1" applyAlignment="1">
      <alignment horizontal="center" vertical="center"/>
    </xf>
    <xf numFmtId="0" fontId="73" fillId="11" borderId="1" xfId="0" applyFont="1" applyFill="1" applyBorder="1" applyAlignment="1">
      <alignment horizontal="center" vertical="center"/>
    </xf>
    <xf numFmtId="0" fontId="73" fillId="11" borderId="22" xfId="0" applyFont="1" applyFill="1" applyBorder="1" applyAlignment="1">
      <alignment horizontal="center" vertical="center"/>
    </xf>
    <xf numFmtId="0" fontId="73" fillId="11" borderId="10" xfId="0" applyFont="1" applyFill="1" applyBorder="1" applyAlignment="1">
      <alignment horizontal="center" vertical="center"/>
    </xf>
    <xf numFmtId="0" fontId="110" fillId="0" borderId="1" xfId="0" applyFont="1" applyBorder="1" applyAlignment="1">
      <alignment horizontal="left" vertical="center" wrapText="1"/>
    </xf>
    <xf numFmtId="0" fontId="108" fillId="0" borderId="1" xfId="0" applyFont="1" applyBorder="1" applyAlignment="1">
      <alignment vertical="center" wrapText="1"/>
    </xf>
    <xf numFmtId="14" fontId="110" fillId="0" borderId="1" xfId="0" quotePrefix="1" applyNumberFormat="1" applyFont="1" applyBorder="1" applyAlignment="1">
      <alignment horizontal="center" vertical="center"/>
    </xf>
    <xf numFmtId="168" fontId="17" fillId="0" borderId="1" xfId="35" applyNumberFormat="1" applyFont="1" applyBorder="1" applyAlignment="1">
      <alignment horizontal="right" vertical="center" wrapText="1"/>
    </xf>
    <xf numFmtId="0" fontId="13" fillId="2" borderId="0" xfId="35" applyFont="1" applyFill="1" applyAlignment="1">
      <alignment horizontal="center" vertical="center" wrapText="1"/>
    </xf>
    <xf numFmtId="0" fontId="17" fillId="2" borderId="0" xfId="35" applyFont="1" applyFill="1" applyAlignment="1">
      <alignment horizontal="center" vertical="center"/>
    </xf>
    <xf numFmtId="0" fontId="17" fillId="0" borderId="3" xfId="35" applyFont="1" applyBorder="1" applyAlignment="1">
      <alignment horizontal="center" vertical="center" wrapText="1"/>
    </xf>
    <xf numFmtId="0" fontId="17" fillId="0" borderId="29" xfId="35" applyFont="1" applyBorder="1" applyAlignment="1">
      <alignment horizontal="center" vertical="center" wrapText="1"/>
    </xf>
    <xf numFmtId="0" fontId="17" fillId="0" borderId="9" xfId="35" applyFont="1" applyBorder="1" applyAlignment="1">
      <alignment horizontal="center" vertical="center" wrapText="1"/>
    </xf>
    <xf numFmtId="0" fontId="39" fillId="2" borderId="48" xfId="35" applyFont="1" applyFill="1" applyBorder="1" applyAlignment="1">
      <alignment horizontal="center" vertical="center" wrapText="1"/>
    </xf>
    <xf numFmtId="0" fontId="4" fillId="2" borderId="20" xfId="35" applyFont="1" applyFill="1" applyBorder="1" applyAlignment="1">
      <alignment horizontal="center" vertical="center"/>
    </xf>
    <xf numFmtId="0" fontId="17" fillId="2" borderId="30" xfId="35" applyFont="1" applyFill="1" applyBorder="1" applyAlignment="1">
      <alignment horizontal="center" vertical="center"/>
    </xf>
    <xf numFmtId="0" fontId="107" fillId="37" borderId="121" xfId="0" applyFont="1" applyFill="1" applyBorder="1" applyAlignment="1">
      <alignment horizontal="center" vertical="center"/>
    </xf>
    <xf numFmtId="0" fontId="108" fillId="0" borderId="0" xfId="0" applyFont="1"/>
    <xf numFmtId="0" fontId="108" fillId="0" borderId="122" xfId="0" applyFont="1" applyBorder="1"/>
    <xf numFmtId="0" fontId="107" fillId="37" borderId="1" xfId="0" applyFont="1" applyFill="1" applyBorder="1" applyAlignment="1">
      <alignment horizontal="center" vertical="center"/>
    </xf>
    <xf numFmtId="0" fontId="108" fillId="0" borderId="1" xfId="0" applyFont="1" applyBorder="1"/>
    <xf numFmtId="0" fontId="102" fillId="0" borderId="110" xfId="0" applyFont="1" applyBorder="1" applyAlignment="1">
      <alignment horizontal="center" vertical="center"/>
    </xf>
    <xf numFmtId="0" fontId="2" fillId="0" borderId="111" xfId="0" applyFont="1" applyBorder="1"/>
    <xf numFmtId="0" fontId="2" fillId="0" borderId="112" xfId="0" applyFont="1" applyBorder="1"/>
    <xf numFmtId="0" fontId="107" fillId="37" borderId="110" xfId="0" applyFont="1" applyFill="1" applyBorder="1" applyAlignment="1">
      <alignment horizontal="right" vertical="center"/>
    </xf>
    <xf numFmtId="0" fontId="108" fillId="0" borderId="111" xfId="0" applyFont="1" applyBorder="1"/>
    <xf numFmtId="0" fontId="108" fillId="0" borderId="112" xfId="0" applyFont="1" applyBorder="1"/>
    <xf numFmtId="0" fontId="107" fillId="0" borderId="110" xfId="0" applyFont="1" applyBorder="1" applyAlignment="1">
      <alignment horizontal="center" vertical="center"/>
    </xf>
    <xf numFmtId="0" fontId="107" fillId="0" borderId="110" xfId="0" applyFont="1" applyBorder="1" applyAlignment="1">
      <alignment horizontal="left" vertical="center"/>
    </xf>
    <xf numFmtId="0" fontId="107" fillId="37" borderId="110" xfId="0" applyFont="1" applyFill="1" applyBorder="1" applyAlignment="1">
      <alignment horizontal="center" vertical="center"/>
    </xf>
    <xf numFmtId="0" fontId="107" fillId="37" borderId="115" xfId="0" applyFont="1" applyFill="1" applyBorder="1" applyAlignment="1">
      <alignment horizontal="center" vertical="center"/>
    </xf>
    <xf numFmtId="0" fontId="108" fillId="0" borderId="116" xfId="0" applyFont="1" applyBorder="1"/>
    <xf numFmtId="0" fontId="108" fillId="0" borderId="117" xfId="0" applyFont="1" applyBorder="1"/>
    <xf numFmtId="0" fontId="110" fillId="0" borderId="110" xfId="0" applyFont="1" applyBorder="1" applyAlignment="1">
      <alignment horizontal="center" vertical="center" wrapText="1"/>
    </xf>
    <xf numFmtId="0" fontId="99" fillId="0" borderId="1" xfId="0" applyFont="1" applyBorder="1" applyAlignment="1">
      <alignment vertical="center" wrapText="1"/>
    </xf>
    <xf numFmtId="0" fontId="98" fillId="11" borderId="1" xfId="0" applyFont="1" applyFill="1" applyBorder="1" applyAlignment="1">
      <alignment horizontal="center" vertical="center" wrapText="1"/>
    </xf>
    <xf numFmtId="0" fontId="98" fillId="0" borderId="1" xfId="0" applyFont="1" applyBorder="1" applyAlignment="1">
      <alignment horizontal="center" vertical="center" wrapText="1"/>
    </xf>
    <xf numFmtId="0" fontId="99" fillId="0" borderId="1" xfId="0" applyFont="1" applyBorder="1" applyAlignment="1">
      <alignment horizontal="center" vertical="center" wrapText="1"/>
    </xf>
    <xf numFmtId="0" fontId="59" fillId="3" borderId="86" xfId="99" applyFont="1" applyFill="1" applyBorder="1" applyAlignment="1">
      <alignment horizontal="center"/>
    </xf>
    <xf numFmtId="0" fontId="59" fillId="3" borderId="87" xfId="99" applyFont="1" applyFill="1" applyBorder="1" applyAlignment="1">
      <alignment horizontal="center"/>
    </xf>
    <xf numFmtId="0" fontId="59" fillId="3" borderId="74" xfId="99" applyFont="1" applyFill="1" applyBorder="1" applyAlignment="1">
      <alignment horizontal="center"/>
    </xf>
    <xf numFmtId="0" fontId="34" fillId="3" borderId="41" xfId="33" applyFont="1" applyFill="1" applyBorder="1" applyAlignment="1">
      <alignment horizontal="center" vertical="center"/>
    </xf>
    <xf numFmtId="0" fontId="34" fillId="3" borderId="32" xfId="33" applyFont="1" applyFill="1" applyBorder="1" applyAlignment="1">
      <alignment horizontal="center" vertical="center"/>
    </xf>
    <xf numFmtId="0" fontId="34" fillId="3" borderId="47" xfId="33" applyFont="1" applyFill="1" applyBorder="1" applyAlignment="1">
      <alignment horizontal="center" vertical="center"/>
    </xf>
    <xf numFmtId="0" fontId="34" fillId="3" borderId="34" xfId="33" applyFont="1" applyFill="1" applyBorder="1" applyAlignment="1">
      <alignment horizontal="center" vertical="center"/>
    </xf>
    <xf numFmtId="0" fontId="34" fillId="3" borderId="45" xfId="33" applyFont="1" applyFill="1" applyBorder="1" applyAlignment="1">
      <alignment horizontal="center" vertical="center"/>
    </xf>
    <xf numFmtId="0" fontId="34" fillId="3" borderId="40" xfId="33" applyFont="1" applyFill="1" applyBorder="1" applyAlignment="1">
      <alignment horizontal="center" vertical="center"/>
    </xf>
    <xf numFmtId="0" fontId="34" fillId="3" borderId="1" xfId="33" applyFont="1" applyFill="1" applyBorder="1" applyAlignment="1">
      <alignment horizontal="center" vertical="center"/>
    </xf>
    <xf numFmtId="166" fontId="34" fillId="3" borderId="22" xfId="33" applyNumberFormat="1" applyFont="1" applyFill="1" applyBorder="1" applyAlignment="1">
      <alignment horizontal="center" vertical="center"/>
    </xf>
    <xf numFmtId="166" fontId="34" fillId="3" borderId="20" xfId="33" applyNumberFormat="1" applyFont="1" applyFill="1" applyBorder="1" applyAlignment="1">
      <alignment horizontal="center" vertical="center"/>
    </xf>
    <xf numFmtId="166" fontId="34" fillId="3" borderId="33" xfId="33" applyNumberFormat="1" applyFont="1" applyFill="1" applyBorder="1" applyAlignment="1">
      <alignment horizontal="center" vertical="center"/>
    </xf>
    <xf numFmtId="0" fontId="34" fillId="3" borderId="22" xfId="33" applyFont="1" applyFill="1" applyBorder="1" applyAlignment="1">
      <alignment horizontal="center"/>
    </xf>
    <xf numFmtId="0" fontId="34" fillId="3" borderId="33" xfId="33" applyFont="1" applyFill="1" applyBorder="1" applyAlignment="1">
      <alignment horizontal="center"/>
    </xf>
    <xf numFmtId="0" fontId="34" fillId="3" borderId="22" xfId="33" applyFont="1" applyFill="1" applyBorder="1" applyAlignment="1">
      <alignment horizontal="center" vertical="center"/>
    </xf>
    <xf numFmtId="0" fontId="34" fillId="3" borderId="20" xfId="33" applyFont="1" applyFill="1" applyBorder="1" applyAlignment="1">
      <alignment horizontal="center" vertical="center"/>
    </xf>
    <xf numFmtId="0" fontId="34" fillId="3" borderId="33" xfId="33" applyFont="1" applyFill="1" applyBorder="1" applyAlignment="1">
      <alignment horizontal="center" vertical="center"/>
    </xf>
    <xf numFmtId="166" fontId="34" fillId="3" borderId="22" xfId="33" applyNumberFormat="1" applyFont="1" applyFill="1" applyBorder="1" applyAlignment="1">
      <alignment horizontal="center"/>
    </xf>
    <xf numFmtId="166" fontId="34" fillId="3" borderId="33" xfId="33" applyNumberFormat="1" applyFont="1" applyFill="1" applyBorder="1" applyAlignment="1">
      <alignment horizontal="center"/>
    </xf>
    <xf numFmtId="0" fontId="34" fillId="3" borderId="1" xfId="33" applyFont="1" applyFill="1" applyBorder="1" applyAlignment="1">
      <alignment horizontal="center"/>
    </xf>
    <xf numFmtId="2" fontId="34" fillId="3" borderId="1" xfId="33" applyNumberFormat="1" applyFont="1" applyFill="1" applyBorder="1" applyAlignment="1">
      <alignment horizontal="center"/>
    </xf>
    <xf numFmtId="0" fontId="28" fillId="3" borderId="0" xfId="99" applyFont="1" applyFill="1" applyAlignment="1">
      <alignment horizontal="center" vertical="center"/>
    </xf>
    <xf numFmtId="166" fontId="34" fillId="3" borderId="1" xfId="33" applyNumberFormat="1" applyFont="1" applyFill="1" applyBorder="1" applyAlignment="1">
      <alignment horizontal="center" vertical="center"/>
    </xf>
    <xf numFmtId="0" fontId="15" fillId="0" borderId="67" xfId="99" applyFont="1" applyBorder="1" applyAlignment="1">
      <alignment horizontal="center" vertical="center"/>
    </xf>
    <xf numFmtId="0" fontId="72" fillId="0" borderId="1" xfId="0" applyFont="1" applyBorder="1" applyAlignment="1">
      <alignment horizontal="center" vertical="center"/>
    </xf>
    <xf numFmtId="0" fontId="72" fillId="0" borderId="81" xfId="0" applyFont="1" applyBorder="1" applyAlignment="1">
      <alignment horizontal="center" vertical="center"/>
    </xf>
    <xf numFmtId="0" fontId="72" fillId="0" borderId="73" xfId="0" applyFont="1" applyBorder="1" applyAlignment="1">
      <alignment horizontal="center" vertical="center"/>
    </xf>
    <xf numFmtId="0" fontId="71" fillId="3" borderId="90" xfId="99" applyFont="1" applyFill="1" applyBorder="1" applyAlignment="1">
      <alignment horizontal="center"/>
    </xf>
    <xf numFmtId="0" fontId="71" fillId="3" borderId="91" xfId="99" applyFont="1" applyFill="1" applyBorder="1" applyAlignment="1">
      <alignment horizontal="center"/>
    </xf>
    <xf numFmtId="0" fontId="71" fillId="3" borderId="92" xfId="99" applyFont="1" applyFill="1" applyBorder="1" applyAlignment="1">
      <alignment horizontal="center"/>
    </xf>
    <xf numFmtId="0" fontId="70" fillId="33" borderId="0" xfId="99" applyFont="1" applyFill="1" applyAlignment="1">
      <alignment horizontal="center"/>
    </xf>
    <xf numFmtId="0" fontId="71" fillId="3" borderId="1" xfId="99" applyFont="1" applyFill="1" applyBorder="1" applyAlignment="1">
      <alignment horizontal="center"/>
    </xf>
    <xf numFmtId="0" fontId="72" fillId="0" borderId="72" xfId="0" applyFont="1" applyBorder="1" applyAlignment="1">
      <alignment horizontal="center" vertical="center"/>
    </xf>
    <xf numFmtId="0" fontId="28" fillId="3" borderId="86" xfId="99" applyFont="1" applyFill="1" applyBorder="1" applyAlignment="1">
      <alignment horizontal="left" vertical="center"/>
    </xf>
    <xf numFmtId="0" fontId="28" fillId="3" borderId="74" xfId="99" applyFont="1" applyFill="1" applyBorder="1" applyAlignment="1">
      <alignment horizontal="left" vertical="center"/>
    </xf>
    <xf numFmtId="0" fontId="28" fillId="3" borderId="94" xfId="99" applyFont="1" applyFill="1" applyBorder="1" applyAlignment="1">
      <alignment horizontal="center"/>
    </xf>
    <xf numFmtId="0" fontId="28" fillId="3" borderId="95" xfId="99" applyFont="1" applyFill="1" applyBorder="1" applyAlignment="1">
      <alignment horizontal="center"/>
    </xf>
    <xf numFmtId="0" fontId="31" fillId="28" borderId="22" xfId="103" applyFont="1" applyFill="1" applyBorder="1" applyAlignment="1">
      <alignment horizontal="center"/>
    </xf>
    <xf numFmtId="0" fontId="31" fillId="28" borderId="20" xfId="103" applyFont="1" applyFill="1" applyBorder="1" applyAlignment="1">
      <alignment horizontal="center"/>
    </xf>
    <xf numFmtId="0" fontId="31" fillId="28" borderId="33" xfId="103" applyFont="1" applyFill="1" applyBorder="1" applyAlignment="1">
      <alignment horizontal="center"/>
    </xf>
    <xf numFmtId="0" fontId="28" fillId="3" borderId="96" xfId="99" applyFont="1" applyFill="1" applyBorder="1" applyAlignment="1">
      <alignment horizontal="left" vertical="center"/>
    </xf>
    <xf numFmtId="0" fontId="28" fillId="3" borderId="97" xfId="99" applyFont="1" applyFill="1" applyBorder="1" applyAlignment="1">
      <alignment horizontal="left" vertical="center"/>
    </xf>
    <xf numFmtId="0" fontId="22" fillId="3" borderId="45" xfId="103" applyFont="1" applyFill="1" applyBorder="1" applyAlignment="1">
      <alignment horizontal="center"/>
    </xf>
    <xf numFmtId="0" fontId="31" fillId="3" borderId="41" xfId="99" applyFont="1" applyFill="1" applyBorder="1" applyAlignment="1">
      <alignment horizontal="center" vertical="center"/>
    </xf>
    <xf numFmtId="0" fontId="31" fillId="3" borderId="47" xfId="99" applyFont="1" applyFill="1" applyBorder="1" applyAlignment="1">
      <alignment horizontal="center" vertical="center"/>
    </xf>
    <xf numFmtId="0" fontId="31" fillId="3" borderId="34" xfId="99" applyFont="1" applyFill="1" applyBorder="1" applyAlignment="1">
      <alignment horizontal="center" vertical="center"/>
    </xf>
    <xf numFmtId="0" fontId="31" fillId="3" borderId="40" xfId="99" applyFont="1" applyFill="1" applyBorder="1" applyAlignment="1">
      <alignment horizontal="center" vertical="center"/>
    </xf>
    <xf numFmtId="0" fontId="31" fillId="3" borderId="41" xfId="99" applyFont="1" applyFill="1" applyBorder="1" applyAlignment="1">
      <alignment horizontal="center" vertical="center" wrapText="1"/>
    </xf>
    <xf numFmtId="0" fontId="31" fillId="3" borderId="47" xfId="99" applyFont="1" applyFill="1" applyBorder="1" applyAlignment="1">
      <alignment horizontal="center" vertical="center" wrapText="1"/>
    </xf>
    <xf numFmtId="0" fontId="31" fillId="3" borderId="34" xfId="99" applyFont="1" applyFill="1" applyBorder="1" applyAlignment="1">
      <alignment horizontal="center" vertical="center" wrapText="1"/>
    </xf>
    <xf numFmtId="0" fontId="31" fillId="3" borderId="40" xfId="99" applyFont="1" applyFill="1" applyBorder="1" applyAlignment="1">
      <alignment horizontal="center" vertical="center" wrapText="1"/>
    </xf>
    <xf numFmtId="0" fontId="59" fillId="3" borderId="74" xfId="99" applyFont="1" applyFill="1" applyBorder="1" applyAlignment="1">
      <alignment horizontal="center" vertical="center"/>
    </xf>
    <xf numFmtId="0" fontId="59" fillId="3" borderId="87" xfId="99" applyFont="1" applyFill="1" applyBorder="1" applyAlignment="1">
      <alignment horizontal="center" vertical="center"/>
    </xf>
    <xf numFmtId="0" fontId="28" fillId="3" borderId="98" xfId="99" applyFont="1" applyFill="1" applyBorder="1" applyAlignment="1">
      <alignment horizontal="center"/>
    </xf>
    <xf numFmtId="0" fontId="28" fillId="3" borderId="99" xfId="99" applyFont="1" applyFill="1" applyBorder="1" applyAlignment="1">
      <alignment horizontal="center"/>
    </xf>
    <xf numFmtId="0" fontId="31" fillId="3" borderId="22" xfId="99" applyFont="1" applyFill="1" applyBorder="1" applyAlignment="1">
      <alignment horizontal="center" vertical="center" wrapText="1"/>
    </xf>
    <xf numFmtId="0" fontId="31" fillId="3" borderId="33" xfId="99" applyFont="1" applyFill="1" applyBorder="1" applyAlignment="1">
      <alignment horizontal="center" vertical="center" wrapText="1"/>
    </xf>
    <xf numFmtId="0" fontId="20" fillId="3" borderId="36" xfId="33" applyFont="1" applyFill="1" applyBorder="1" applyAlignment="1">
      <alignment horizontal="center" vertical="center"/>
    </xf>
    <xf numFmtId="0" fontId="20" fillId="3" borderId="37" xfId="33" applyFont="1" applyFill="1" applyBorder="1" applyAlignment="1">
      <alignment horizontal="center" vertical="center"/>
    </xf>
    <xf numFmtId="0" fontId="20" fillId="3" borderId="38" xfId="33" applyFont="1" applyFill="1" applyBorder="1" applyAlignment="1">
      <alignment horizontal="center" vertical="center"/>
    </xf>
    <xf numFmtId="14" fontId="14" fillId="3" borderId="17" xfId="99" applyNumberFormat="1" applyFont="1" applyFill="1" applyBorder="1" applyAlignment="1">
      <alignment horizontal="center"/>
    </xf>
    <xf numFmtId="0" fontId="14" fillId="3" borderId="17" xfId="99" applyFont="1" applyFill="1" applyBorder="1" applyAlignment="1">
      <alignment horizontal="center"/>
    </xf>
    <xf numFmtId="1" fontId="28" fillId="3" borderId="30" xfId="99" applyNumberFormat="1" applyFont="1" applyFill="1" applyBorder="1" applyAlignment="1">
      <alignment horizontal="center" vertical="center"/>
    </xf>
    <xf numFmtId="0" fontId="28" fillId="11" borderId="3" xfId="99" applyFont="1" applyFill="1" applyBorder="1" applyAlignment="1">
      <alignment horizontal="center" vertical="center"/>
    </xf>
    <xf numFmtId="0" fontId="28" fillId="11" borderId="9" xfId="99" applyFont="1" applyFill="1" applyBorder="1" applyAlignment="1">
      <alignment horizontal="center" vertical="center"/>
    </xf>
    <xf numFmtId="1" fontId="28" fillId="13" borderId="30" xfId="99" applyNumberFormat="1" applyFont="1" applyFill="1" applyBorder="1" applyAlignment="1">
      <alignment horizontal="center" vertical="center"/>
    </xf>
    <xf numFmtId="0" fontId="34" fillId="3" borderId="0" xfId="33" applyFont="1" applyFill="1" applyAlignment="1">
      <alignment horizontal="center"/>
    </xf>
    <xf numFmtId="0" fontId="31" fillId="3" borderId="22" xfId="99" applyFont="1" applyFill="1" applyBorder="1" applyAlignment="1">
      <alignment horizontal="center"/>
    </xf>
    <xf numFmtId="0" fontId="31" fillId="3" borderId="33" xfId="99" applyFont="1" applyFill="1" applyBorder="1" applyAlignment="1">
      <alignment horizontal="center"/>
    </xf>
    <xf numFmtId="0" fontId="28" fillId="3" borderId="22" xfId="99" applyFont="1" applyFill="1" applyBorder="1" applyAlignment="1">
      <alignment horizontal="center"/>
    </xf>
    <xf numFmtId="0" fontId="28" fillId="3" borderId="33" xfId="99" applyFont="1" applyFill="1" applyBorder="1" applyAlignment="1">
      <alignment horizontal="center"/>
    </xf>
    <xf numFmtId="0" fontId="59" fillId="3" borderId="22" xfId="99" applyFont="1" applyFill="1" applyBorder="1" applyAlignment="1">
      <alignment horizontal="center"/>
    </xf>
    <xf numFmtId="0" fontId="59" fillId="3" borderId="33" xfId="99" applyFont="1" applyFill="1" applyBorder="1" applyAlignment="1">
      <alignment horizontal="center"/>
    </xf>
    <xf numFmtId="0" fontId="32" fillId="3" borderId="94" xfId="99" applyFont="1" applyFill="1" applyBorder="1" applyAlignment="1">
      <alignment horizontal="center"/>
    </xf>
    <xf numFmtId="0" fontId="32" fillId="3" borderId="95" xfId="99" applyFont="1" applyFill="1" applyBorder="1" applyAlignment="1">
      <alignment horizontal="center"/>
    </xf>
    <xf numFmtId="0" fontId="32" fillId="3" borderId="103" xfId="99" applyFont="1" applyFill="1" applyBorder="1" applyAlignment="1">
      <alignment horizontal="center"/>
    </xf>
    <xf numFmtId="0" fontId="32" fillId="3" borderId="104" xfId="99" applyFont="1" applyFill="1" applyBorder="1" applyAlignment="1">
      <alignment horizontal="center"/>
    </xf>
    <xf numFmtId="0" fontId="32" fillId="3" borderId="101" xfId="99" applyFont="1" applyFill="1" applyBorder="1" applyAlignment="1">
      <alignment horizontal="left" vertical="center"/>
    </xf>
    <xf numFmtId="0" fontId="32" fillId="3" borderId="102" xfId="99" applyFont="1" applyFill="1" applyBorder="1" applyAlignment="1">
      <alignment horizontal="left" vertical="center"/>
    </xf>
    <xf numFmtId="0" fontId="32" fillId="3" borderId="86" xfId="99" applyFont="1" applyFill="1" applyBorder="1" applyAlignment="1">
      <alignment horizontal="left" vertical="center"/>
    </xf>
    <xf numFmtId="0" fontId="32" fillId="3" borderId="74" xfId="99" applyFont="1" applyFill="1" applyBorder="1" applyAlignment="1">
      <alignment horizontal="left" vertical="center"/>
    </xf>
    <xf numFmtId="0" fontId="59" fillId="3" borderId="97" xfId="99" applyFont="1" applyFill="1" applyBorder="1" applyAlignment="1">
      <alignment horizontal="center"/>
    </xf>
    <xf numFmtId="0" fontId="59" fillId="3" borderId="100" xfId="99" applyFont="1" applyFill="1" applyBorder="1" applyAlignment="1">
      <alignment horizontal="center"/>
    </xf>
    <xf numFmtId="0" fontId="59" fillId="3" borderId="96" xfId="99" applyFont="1" applyFill="1" applyBorder="1" applyAlignment="1">
      <alignment horizontal="center"/>
    </xf>
    <xf numFmtId="0" fontId="45" fillId="5" borderId="0" xfId="99" applyFont="1" applyFill="1" applyAlignment="1">
      <alignment horizontal="center" vertical="center"/>
    </xf>
    <xf numFmtId="0" fontId="45" fillId="11" borderId="0" xfId="99" applyFont="1" applyFill="1" applyAlignment="1">
      <alignment horizontal="center" vertical="center"/>
    </xf>
    <xf numFmtId="0" fontId="31" fillId="5" borderId="0" xfId="99" applyFont="1" applyFill="1" applyAlignment="1">
      <alignment horizontal="center" vertical="center"/>
    </xf>
    <xf numFmtId="0" fontId="98" fillId="0" borderId="22" xfId="0" applyFont="1" applyBorder="1" applyAlignment="1">
      <alignment horizontal="center" vertical="center" wrapText="1"/>
    </xf>
    <xf numFmtId="0" fontId="98" fillId="0" borderId="33" xfId="0" applyFont="1" applyBorder="1" applyAlignment="1">
      <alignment horizontal="center" vertical="center" wrapText="1"/>
    </xf>
    <xf numFmtId="0" fontId="71" fillId="11" borderId="67" xfId="99" applyFont="1" applyFill="1" applyBorder="1" applyAlignment="1">
      <alignment horizontal="center" vertical="center"/>
    </xf>
    <xf numFmtId="0" fontId="71" fillId="11" borderId="68" xfId="99" applyFont="1" applyFill="1" applyBorder="1" applyAlignment="1">
      <alignment horizontal="center" vertical="center"/>
    </xf>
    <xf numFmtId="0" fontId="15" fillId="11" borderId="0" xfId="99" applyFont="1" applyFill="1" applyAlignment="1">
      <alignment horizontal="center" vertical="center"/>
    </xf>
    <xf numFmtId="0" fontId="70" fillId="3" borderId="1" xfId="99" applyFont="1" applyFill="1" applyBorder="1" applyAlignment="1">
      <alignment horizontal="center"/>
    </xf>
    <xf numFmtId="0" fontId="45" fillId="11" borderId="67" xfId="99" applyFont="1" applyFill="1" applyBorder="1" applyAlignment="1">
      <alignment horizontal="center" vertical="center"/>
    </xf>
    <xf numFmtId="0" fontId="70" fillId="3" borderId="75" xfId="99" applyFont="1" applyFill="1" applyBorder="1" applyAlignment="1">
      <alignment horizontal="center"/>
    </xf>
    <xf numFmtId="0" fontId="70" fillId="3" borderId="93" xfId="99" applyFont="1" applyFill="1" applyBorder="1" applyAlignment="1">
      <alignment horizontal="center"/>
    </xf>
    <xf numFmtId="0" fontId="70" fillId="3" borderId="76" xfId="99" applyFont="1" applyFill="1" applyBorder="1" applyAlignment="1">
      <alignment horizontal="center"/>
    </xf>
    <xf numFmtId="17" fontId="17" fillId="0" borderId="0" xfId="0" applyNumberFormat="1" applyFont="1" applyAlignment="1">
      <alignment horizontal="left" vertical="center"/>
    </xf>
    <xf numFmtId="0" fontId="24" fillId="3" borderId="41" xfId="0" applyFont="1" applyFill="1" applyBorder="1" applyAlignment="1">
      <alignment horizontal="center" vertical="center"/>
    </xf>
    <xf numFmtId="0" fontId="24" fillId="3" borderId="32" xfId="0" applyFont="1" applyFill="1" applyBorder="1" applyAlignment="1">
      <alignment horizontal="center" vertical="center"/>
    </xf>
    <xf numFmtId="0" fontId="24" fillId="3" borderId="47" xfId="0" applyFont="1" applyFill="1" applyBorder="1" applyAlignment="1">
      <alignment horizontal="center" vertical="center"/>
    </xf>
    <xf numFmtId="0" fontId="24" fillId="3" borderId="48" xfId="0" applyFont="1" applyFill="1" applyBorder="1" applyAlignment="1">
      <alignment horizontal="center" vertical="center"/>
    </xf>
    <xf numFmtId="0" fontId="24" fillId="3" borderId="49" xfId="0" applyFont="1" applyFill="1" applyBorder="1" applyAlignment="1">
      <alignment horizontal="center" vertical="center"/>
    </xf>
    <xf numFmtId="0" fontId="24" fillId="3" borderId="50" xfId="0" applyFont="1" applyFill="1" applyBorder="1" applyAlignment="1">
      <alignment horizontal="center" vertical="center"/>
    </xf>
    <xf numFmtId="0" fontId="24" fillId="0" borderId="55" xfId="0" applyFont="1" applyBorder="1" applyAlignment="1">
      <alignment horizontal="center" vertical="center"/>
    </xf>
    <xf numFmtId="0" fontId="24" fillId="0" borderId="32" xfId="0" applyFont="1" applyBorder="1" applyAlignment="1">
      <alignment horizontal="center" vertical="center"/>
    </xf>
    <xf numFmtId="0" fontId="22" fillId="0" borderId="88" xfId="0" applyFont="1" applyBorder="1" applyAlignment="1">
      <alignment horizontal="center" vertical="center" wrapText="1"/>
    </xf>
    <xf numFmtId="0" fontId="22" fillId="0" borderId="51" xfId="0" applyFont="1" applyBorder="1" applyAlignment="1">
      <alignment horizontal="center" vertical="center" wrapText="1"/>
    </xf>
    <xf numFmtId="0" fontId="22" fillId="0" borderId="14" xfId="0" applyFont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 wrapText="1"/>
    </xf>
    <xf numFmtId="0" fontId="24" fillId="0" borderId="14" xfId="0" applyFont="1" applyBorder="1" applyAlignment="1">
      <alignment horizontal="center" vertical="center"/>
    </xf>
    <xf numFmtId="0" fontId="12" fillId="0" borderId="39" xfId="0" applyFont="1" applyBorder="1" applyAlignment="1">
      <alignment horizontal="center" vertical="center" wrapText="1"/>
    </xf>
    <xf numFmtId="0" fontId="12" fillId="0" borderId="52" xfId="0" applyFont="1" applyBorder="1" applyAlignment="1">
      <alignment horizontal="center" vertical="center" wrapText="1"/>
    </xf>
    <xf numFmtId="0" fontId="15" fillId="0" borderId="65" xfId="0" applyFont="1" applyBorder="1" applyAlignment="1">
      <alignment horizontal="center" vertical="center"/>
    </xf>
    <xf numFmtId="0" fontId="15" fillId="0" borderId="49" xfId="0" applyFont="1" applyBorder="1" applyAlignment="1">
      <alignment horizontal="center" vertical="center"/>
    </xf>
    <xf numFmtId="0" fontId="31" fillId="0" borderId="42" xfId="0" applyFont="1" applyBorder="1" applyAlignment="1">
      <alignment horizontal="center" vertical="center"/>
    </xf>
    <xf numFmtId="0" fontId="31" fillId="0" borderId="43" xfId="0" applyFont="1" applyBorder="1" applyAlignment="1">
      <alignment horizontal="center" vertical="center"/>
    </xf>
    <xf numFmtId="0" fontId="47" fillId="3" borderId="0" xfId="132" applyFont="1" applyFill="1" applyAlignment="1">
      <alignment horizontal="center"/>
    </xf>
    <xf numFmtId="0" fontId="12" fillId="0" borderId="88" xfId="0" applyFont="1" applyBorder="1" applyAlignment="1">
      <alignment horizontal="center" vertical="center" wrapText="1"/>
    </xf>
    <xf numFmtId="0" fontId="12" fillId="0" borderId="51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/>
    </xf>
    <xf numFmtId="0" fontId="24" fillId="3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48" fillId="0" borderId="1" xfId="0" applyFont="1" applyBorder="1" applyAlignment="1">
      <alignment horizontal="center" vertical="center"/>
    </xf>
    <xf numFmtId="0" fontId="12" fillId="0" borderId="5" xfId="0" applyFont="1" applyBorder="1" applyAlignment="1">
      <alignment vertical="center"/>
    </xf>
    <xf numFmtId="0" fontId="12" fillId="0" borderId="6" xfId="0" applyFont="1" applyBorder="1" applyAlignment="1">
      <alignment vertical="center"/>
    </xf>
    <xf numFmtId="0" fontId="12" fillId="12" borderId="6" xfId="0" applyFont="1" applyFill="1" applyBorder="1" applyAlignment="1">
      <alignment horizontal="center" vertical="center"/>
    </xf>
    <xf numFmtId="0" fontId="12" fillId="6" borderId="17" xfId="0" applyFont="1" applyFill="1" applyBorder="1" applyAlignment="1">
      <alignment horizontal="center" vertical="center"/>
    </xf>
    <xf numFmtId="0" fontId="12" fillId="6" borderId="18" xfId="0" applyFont="1" applyFill="1" applyBorder="1" applyAlignment="1">
      <alignment horizontal="center" vertical="center"/>
    </xf>
    <xf numFmtId="0" fontId="24" fillId="3" borderId="36" xfId="0" applyFont="1" applyFill="1" applyBorder="1" applyAlignment="1">
      <alignment horizontal="center" vertical="center"/>
    </xf>
    <xf numFmtId="0" fontId="24" fillId="3" borderId="37" xfId="0" applyFont="1" applyFill="1" applyBorder="1" applyAlignment="1">
      <alignment horizontal="center" vertical="center"/>
    </xf>
    <xf numFmtId="0" fontId="24" fillId="3" borderId="38" xfId="0" applyFont="1" applyFill="1" applyBorder="1" applyAlignment="1">
      <alignment horizontal="center" vertical="center"/>
    </xf>
    <xf numFmtId="0" fontId="24" fillId="3" borderId="44" xfId="0" applyFont="1" applyFill="1" applyBorder="1" applyAlignment="1">
      <alignment horizontal="center" vertical="center"/>
    </xf>
    <xf numFmtId="0" fontId="24" fillId="3" borderId="45" xfId="0" applyFont="1" applyFill="1" applyBorder="1" applyAlignment="1">
      <alignment horizontal="center" vertical="center"/>
    </xf>
    <xf numFmtId="0" fontId="24" fillId="3" borderId="46" xfId="0" applyFont="1" applyFill="1" applyBorder="1" applyAlignment="1">
      <alignment horizontal="center" vertical="center"/>
    </xf>
    <xf numFmtId="0" fontId="22" fillId="3" borderId="7" xfId="0" applyFont="1" applyFill="1" applyBorder="1" applyAlignment="1">
      <alignment horizontal="center" vertical="center" wrapText="1"/>
    </xf>
    <xf numFmtId="0" fontId="22" fillId="3" borderId="23" xfId="0" applyFont="1" applyFill="1" applyBorder="1" applyAlignment="1">
      <alignment horizontal="center" vertical="center" wrapText="1"/>
    </xf>
    <xf numFmtId="0" fontId="22" fillId="3" borderId="22" xfId="0" applyFont="1" applyFill="1" applyBorder="1" applyAlignment="1">
      <alignment horizontal="center" vertical="center" wrapText="1"/>
    </xf>
    <xf numFmtId="0" fontId="22" fillId="3" borderId="33" xfId="0" applyFont="1" applyFill="1" applyBorder="1" applyAlignment="1">
      <alignment horizontal="center" vertical="center" wrapText="1"/>
    </xf>
    <xf numFmtId="0" fontId="22" fillId="3" borderId="3" xfId="0" applyFont="1" applyFill="1" applyBorder="1" applyAlignment="1">
      <alignment horizontal="center" vertical="center" wrapText="1"/>
    </xf>
    <xf numFmtId="0" fontId="22" fillId="3" borderId="9" xfId="0" applyFont="1" applyFill="1" applyBorder="1" applyAlignment="1">
      <alignment horizontal="center" vertical="center" wrapText="1"/>
    </xf>
    <xf numFmtId="0" fontId="24" fillId="3" borderId="2" xfId="0" applyFont="1" applyFill="1" applyBorder="1" applyAlignment="1">
      <alignment horizontal="center" vertical="center"/>
    </xf>
    <xf numFmtId="0" fontId="22" fillId="3" borderId="28" xfId="0" applyFont="1" applyFill="1" applyBorder="1" applyAlignment="1">
      <alignment horizontal="center" vertical="center" wrapText="1"/>
    </xf>
    <xf numFmtId="0" fontId="22" fillId="3" borderId="12" xfId="0" applyFont="1" applyFill="1" applyBorder="1" applyAlignment="1">
      <alignment horizontal="center" vertical="center" wrapText="1"/>
    </xf>
    <xf numFmtId="0" fontId="24" fillId="3" borderId="15" xfId="0" applyFont="1" applyFill="1" applyBorder="1" applyAlignment="1">
      <alignment horizontal="center" vertical="center"/>
    </xf>
    <xf numFmtId="0" fontId="24" fillId="3" borderId="20" xfId="0" applyFont="1" applyFill="1" applyBorder="1" applyAlignment="1">
      <alignment horizontal="center" vertical="center"/>
    </xf>
    <xf numFmtId="0" fontId="24" fillId="3" borderId="33" xfId="0" applyFont="1" applyFill="1" applyBorder="1" applyAlignment="1">
      <alignment horizontal="center" vertical="center"/>
    </xf>
    <xf numFmtId="17" fontId="12" fillId="3" borderId="42" xfId="0" applyNumberFormat="1" applyFont="1" applyFill="1" applyBorder="1" applyAlignment="1">
      <alignment horizontal="center" vertical="center"/>
    </xf>
    <xf numFmtId="17" fontId="12" fillId="3" borderId="17" xfId="0" applyNumberFormat="1" applyFont="1" applyFill="1" applyBorder="1" applyAlignment="1">
      <alignment horizontal="center" vertical="center"/>
    </xf>
    <xf numFmtId="17" fontId="12" fillId="3" borderId="43" xfId="0" applyNumberFormat="1" applyFont="1" applyFill="1" applyBorder="1" applyAlignment="1">
      <alignment horizontal="center" vertical="center"/>
    </xf>
    <xf numFmtId="0" fontId="24" fillId="3" borderId="13" xfId="0" applyFont="1" applyFill="1" applyBorder="1" applyAlignment="1">
      <alignment horizontal="center" vertical="center"/>
    </xf>
    <xf numFmtId="0" fontId="24" fillId="3" borderId="14" xfId="0" applyFont="1" applyFill="1" applyBorder="1" applyAlignment="1">
      <alignment horizontal="center" vertical="center"/>
    </xf>
    <xf numFmtId="0" fontId="24" fillId="3" borderId="16" xfId="0" applyFont="1" applyFill="1" applyBorder="1" applyAlignment="1">
      <alignment horizontal="center" vertical="center"/>
    </xf>
    <xf numFmtId="0" fontId="24" fillId="3" borderId="10" xfId="0" applyFont="1" applyFill="1" applyBorder="1" applyAlignment="1">
      <alignment horizontal="center" vertical="center"/>
    </xf>
    <xf numFmtId="0" fontId="22" fillId="3" borderId="2" xfId="0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24" fillId="3" borderId="1" xfId="0" applyFont="1" applyFill="1" applyBorder="1" applyAlignment="1">
      <alignment horizontal="center" wrapText="1"/>
    </xf>
    <xf numFmtId="0" fontId="24" fillId="3" borderId="1" xfId="0" applyFont="1" applyFill="1" applyBorder="1" applyAlignment="1">
      <alignment horizontal="center"/>
    </xf>
    <xf numFmtId="15" fontId="12" fillId="0" borderId="1" xfId="0" applyNumberFormat="1" applyFont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center" vertical="center"/>
    </xf>
    <xf numFmtId="0" fontId="15" fillId="0" borderId="0" xfId="0" applyFont="1" applyAlignment="1">
      <alignment horizontal="center"/>
    </xf>
    <xf numFmtId="0" fontId="22" fillId="0" borderId="1" xfId="43" applyFont="1" applyBorder="1" applyAlignment="1">
      <alignment horizontal="center" vertical="center" wrapText="1"/>
    </xf>
    <xf numFmtId="0" fontId="22" fillId="0" borderId="3" xfId="43" applyFont="1" applyBorder="1" applyAlignment="1">
      <alignment horizontal="center" vertical="center" wrapText="1"/>
    </xf>
    <xf numFmtId="0" fontId="22" fillId="0" borderId="9" xfId="43" applyFont="1" applyBorder="1" applyAlignment="1">
      <alignment horizontal="center" vertical="center" wrapText="1"/>
    </xf>
    <xf numFmtId="0" fontId="24" fillId="3" borderId="21" xfId="0" applyFont="1" applyFill="1" applyBorder="1" applyAlignment="1">
      <alignment horizontal="center" vertical="center"/>
    </xf>
    <xf numFmtId="0" fontId="15" fillId="3" borderId="55" xfId="0" applyFont="1" applyFill="1" applyBorder="1" applyAlignment="1">
      <alignment horizontal="center" vertical="center"/>
    </xf>
    <xf numFmtId="0" fontId="15" fillId="3" borderId="32" xfId="0" applyFont="1" applyFill="1" applyBorder="1" applyAlignment="1">
      <alignment horizontal="center" vertical="center"/>
    </xf>
    <xf numFmtId="0" fontId="12" fillId="0" borderId="12" xfId="0" applyFont="1" applyBorder="1" applyAlignment="1">
      <alignment horizontal="center" vertical="center" wrapText="1"/>
    </xf>
    <xf numFmtId="0" fontId="12" fillId="0" borderId="28" xfId="0" applyFont="1" applyBorder="1" applyAlignment="1">
      <alignment horizontal="center" vertical="center" wrapText="1"/>
    </xf>
    <xf numFmtId="0" fontId="24" fillId="3" borderId="42" xfId="0" applyFont="1" applyFill="1" applyBorder="1" applyAlignment="1">
      <alignment horizontal="center" vertical="center"/>
    </xf>
    <xf numFmtId="0" fontId="24" fillId="3" borderId="17" xfId="0" applyFont="1" applyFill="1" applyBorder="1" applyAlignment="1">
      <alignment horizontal="center" vertical="center"/>
    </xf>
    <xf numFmtId="0" fontId="24" fillId="3" borderId="18" xfId="0" applyFont="1" applyFill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2" fillId="0" borderId="54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5" fillId="0" borderId="34" xfId="0" applyFont="1" applyBorder="1" applyAlignment="1">
      <alignment horizontal="center" vertical="center"/>
    </xf>
    <xf numFmtId="0" fontId="15" fillId="0" borderId="45" xfId="0" applyFont="1" applyBorder="1" applyAlignment="1">
      <alignment horizontal="center" vertical="center"/>
    </xf>
    <xf numFmtId="0" fontId="15" fillId="0" borderId="40" xfId="0" applyFont="1" applyBorder="1" applyAlignment="1">
      <alignment horizontal="center" vertical="center"/>
    </xf>
    <xf numFmtId="0" fontId="12" fillId="0" borderId="29" xfId="0" applyFont="1" applyBorder="1" applyAlignment="1">
      <alignment horizontal="center" vertical="center" wrapText="1"/>
    </xf>
    <xf numFmtId="169" fontId="12" fillId="0" borderId="29" xfId="0" applyNumberFormat="1" applyFont="1" applyBorder="1" applyAlignment="1">
      <alignment horizontal="center" vertical="center" wrapText="1"/>
    </xf>
    <xf numFmtId="0" fontId="12" fillId="0" borderId="56" xfId="0" applyFont="1" applyBorder="1" applyAlignment="1">
      <alignment horizontal="center" vertical="center" wrapText="1"/>
    </xf>
    <xf numFmtId="0" fontId="24" fillId="3" borderId="48" xfId="0" applyFont="1" applyFill="1" applyBorder="1" applyAlignment="1">
      <alignment horizontal="center"/>
    </xf>
    <xf numFmtId="0" fontId="24" fillId="3" borderId="49" xfId="0" applyFont="1" applyFill="1" applyBorder="1" applyAlignment="1">
      <alignment horizontal="center"/>
    </xf>
    <xf numFmtId="0" fontId="24" fillId="3" borderId="50" xfId="0" applyFont="1" applyFill="1" applyBorder="1" applyAlignment="1">
      <alignment horizontal="center"/>
    </xf>
    <xf numFmtId="0" fontId="24" fillId="3" borderId="15" xfId="0" applyFont="1" applyFill="1" applyBorder="1" applyAlignment="1">
      <alignment horizontal="center"/>
    </xf>
    <xf numFmtId="0" fontId="24" fillId="3" borderId="20" xfId="0" applyFont="1" applyFill="1" applyBorder="1" applyAlignment="1">
      <alignment horizontal="center"/>
    </xf>
    <xf numFmtId="0" fontId="24" fillId="3" borderId="21" xfId="0" applyFont="1" applyFill="1" applyBorder="1" applyAlignment="1">
      <alignment horizontal="center"/>
    </xf>
    <xf numFmtId="0" fontId="45" fillId="4" borderId="45" xfId="0" applyFont="1" applyFill="1" applyBorder="1" applyAlignment="1">
      <alignment horizontal="center"/>
    </xf>
    <xf numFmtId="0" fontId="36" fillId="3" borderId="60" xfId="0" applyFont="1" applyFill="1" applyBorder="1" applyAlignment="1">
      <alignment horizontal="center" vertical="center" wrapText="1" readingOrder="1"/>
    </xf>
    <xf numFmtId="0" fontId="36" fillId="3" borderId="61" xfId="0" applyFont="1" applyFill="1" applyBorder="1" applyAlignment="1">
      <alignment horizontal="center" vertical="center" wrapText="1" readingOrder="1"/>
    </xf>
    <xf numFmtId="0" fontId="36" fillId="3" borderId="62" xfId="0" applyFont="1" applyFill="1" applyBorder="1" applyAlignment="1">
      <alignment horizontal="center" vertical="center" wrapText="1" readingOrder="1"/>
    </xf>
    <xf numFmtId="0" fontId="36" fillId="3" borderId="57" xfId="0" applyFont="1" applyFill="1" applyBorder="1" applyAlignment="1">
      <alignment horizontal="center" vertical="center" wrapText="1" readingOrder="1"/>
    </xf>
    <xf numFmtId="0" fontId="36" fillId="3" borderId="58" xfId="0" applyFont="1" applyFill="1" applyBorder="1" applyAlignment="1">
      <alignment horizontal="center" vertical="center" wrapText="1" readingOrder="1"/>
    </xf>
    <xf numFmtId="0" fontId="36" fillId="3" borderId="105" xfId="0" applyFont="1" applyFill="1" applyBorder="1" applyAlignment="1">
      <alignment horizontal="center" vertical="center" wrapText="1" readingOrder="1"/>
    </xf>
    <xf numFmtId="0" fontId="36" fillId="3" borderId="106" xfId="0" applyFont="1" applyFill="1" applyBorder="1" applyAlignment="1">
      <alignment horizontal="center" vertical="center" wrapText="1" readingOrder="1"/>
    </xf>
    <xf numFmtId="0" fontId="36" fillId="3" borderId="107" xfId="0" applyFont="1" applyFill="1" applyBorder="1" applyAlignment="1">
      <alignment horizontal="center" vertical="center" wrapText="1" readingOrder="1"/>
    </xf>
    <xf numFmtId="0" fontId="22" fillId="6" borderId="1" xfId="35" applyFont="1" applyFill="1" applyBorder="1" applyAlignment="1">
      <alignment horizontal="left" vertical="center" wrapText="1"/>
    </xf>
    <xf numFmtId="0" fontId="40" fillId="3" borderId="0" xfId="35" applyFont="1" applyFill="1" applyAlignment="1">
      <alignment horizontal="center" wrapText="1"/>
    </xf>
    <xf numFmtId="0" fontId="66" fillId="3" borderId="3" xfId="35" applyFont="1" applyFill="1" applyBorder="1" applyAlignment="1">
      <alignment horizontal="left" vertical="center" wrapText="1"/>
    </xf>
    <xf numFmtId="0" fontId="66" fillId="3" borderId="29" xfId="35" applyFont="1" applyFill="1" applyBorder="1" applyAlignment="1">
      <alignment horizontal="left" vertical="center" wrapText="1"/>
    </xf>
    <xf numFmtId="0" fontId="66" fillId="3" borderId="9" xfId="35" applyFont="1" applyFill="1" applyBorder="1" applyAlignment="1">
      <alignment horizontal="left" vertical="center" wrapText="1"/>
    </xf>
    <xf numFmtId="0" fontId="66" fillId="3" borderId="3" xfId="35" applyFont="1" applyFill="1" applyBorder="1" applyAlignment="1">
      <alignment horizontal="center" vertical="center"/>
    </xf>
    <xf numFmtId="0" fontId="66" fillId="3" borderId="29" xfId="35" applyFont="1" applyFill="1" applyBorder="1" applyAlignment="1">
      <alignment horizontal="center" vertical="center"/>
    </xf>
    <xf numFmtId="0" fontId="66" fillId="3" borderId="9" xfId="35" applyFont="1" applyFill="1" applyBorder="1" applyAlignment="1">
      <alignment horizontal="center" vertical="center"/>
    </xf>
    <xf numFmtId="0" fontId="95" fillId="11" borderId="1" xfId="0" applyFont="1" applyFill="1" applyBorder="1" applyAlignment="1">
      <alignment horizontal="center"/>
    </xf>
    <xf numFmtId="0" fontId="94" fillId="11" borderId="1" xfId="0" applyFont="1" applyFill="1" applyBorder="1" applyAlignment="1">
      <alignment horizontal="center" vertical="center"/>
    </xf>
    <xf numFmtId="0" fontId="95" fillId="11" borderId="1" xfId="0" applyFont="1" applyFill="1" applyBorder="1" applyAlignment="1">
      <alignment horizontal="center" vertical="center"/>
    </xf>
    <xf numFmtId="0" fontId="86" fillId="6" borderId="48" xfId="106" applyFont="1" applyFill="1" applyBorder="1" applyAlignment="1">
      <alignment horizontal="center" vertical="center"/>
    </xf>
    <xf numFmtId="0" fontId="86" fillId="6" borderId="49" xfId="106" applyFont="1" applyFill="1" applyBorder="1" applyAlignment="1">
      <alignment horizontal="center" vertical="center"/>
    </xf>
    <xf numFmtId="0" fontId="86" fillId="6" borderId="71" xfId="106" applyFont="1" applyFill="1" applyBorder="1" applyAlignment="1">
      <alignment horizontal="center" vertical="center"/>
    </xf>
    <xf numFmtId="0" fontId="78" fillId="6" borderId="2" xfId="106" applyFont="1" applyFill="1" applyBorder="1" applyAlignment="1">
      <alignment horizontal="left" vertical="center" wrapText="1"/>
    </xf>
    <xf numFmtId="0" fontId="78" fillId="6" borderId="1" xfId="106" applyFont="1" applyFill="1" applyBorder="1" applyAlignment="1">
      <alignment horizontal="left" vertical="center" wrapText="1"/>
    </xf>
    <xf numFmtId="0" fontId="78" fillId="6" borderId="22" xfId="106" applyFont="1" applyFill="1" applyBorder="1" applyAlignment="1">
      <alignment horizontal="center" vertical="center"/>
    </xf>
    <xf numFmtId="0" fontId="78" fillId="6" borderId="21" xfId="106" applyFont="1" applyFill="1" applyBorder="1" applyAlignment="1">
      <alignment horizontal="center" vertical="center"/>
    </xf>
    <xf numFmtId="0" fontId="85" fillId="3" borderId="13" xfId="106" applyFont="1" applyFill="1" applyBorder="1" applyAlignment="1">
      <alignment horizontal="center" vertical="center" wrapText="1"/>
    </xf>
    <xf numFmtId="0" fontId="85" fillId="3" borderId="2" xfId="106" applyFont="1" applyFill="1" applyBorder="1" applyAlignment="1">
      <alignment horizontal="center" vertical="center" wrapText="1"/>
    </xf>
    <xf numFmtId="0" fontId="85" fillId="3" borderId="14" xfId="106" applyFont="1" applyFill="1" applyBorder="1" applyAlignment="1">
      <alignment horizontal="center" vertical="center" wrapText="1"/>
    </xf>
    <xf numFmtId="0" fontId="85" fillId="3" borderId="1" xfId="106" applyFont="1" applyFill="1" applyBorder="1" applyAlignment="1">
      <alignment horizontal="center" vertical="center" wrapText="1"/>
    </xf>
    <xf numFmtId="0" fontId="85" fillId="3" borderId="39" xfId="106" applyFont="1" applyFill="1" applyBorder="1" applyAlignment="1">
      <alignment horizontal="center" vertical="center" wrapText="1"/>
    </xf>
    <xf numFmtId="0" fontId="85" fillId="3" borderId="9" xfId="106" applyFont="1" applyFill="1" applyBorder="1" applyAlignment="1">
      <alignment horizontal="center" vertical="center" wrapText="1"/>
    </xf>
    <xf numFmtId="0" fontId="85" fillId="3" borderId="65" xfId="106" applyFont="1" applyFill="1" applyBorder="1" applyAlignment="1">
      <alignment horizontal="center" vertical="center" wrapText="1"/>
    </xf>
    <xf numFmtId="0" fontId="85" fillId="3" borderId="71" xfId="106" applyFont="1" applyFill="1" applyBorder="1" applyAlignment="1">
      <alignment horizontal="center" vertical="center" wrapText="1"/>
    </xf>
    <xf numFmtId="0" fontId="54" fillId="3" borderId="3" xfId="106" applyFont="1" applyFill="1" applyBorder="1" applyAlignment="1">
      <alignment horizontal="center" vertical="center"/>
    </xf>
    <xf numFmtId="0" fontId="54" fillId="3" borderId="29" xfId="106" applyFont="1" applyFill="1" applyBorder="1" applyAlignment="1">
      <alignment horizontal="center" vertical="center"/>
    </xf>
    <xf numFmtId="0" fontId="54" fillId="3" borderId="9" xfId="106" applyFont="1" applyFill="1" applyBorder="1" applyAlignment="1">
      <alignment horizontal="center" vertical="center"/>
    </xf>
    <xf numFmtId="0" fontId="22" fillId="0" borderId="3" xfId="106" applyFont="1" applyBorder="1" applyAlignment="1" applyProtection="1">
      <alignment horizontal="center" vertical="center"/>
      <protection hidden="1"/>
    </xf>
    <xf numFmtId="0" fontId="22" fillId="0" borderId="29" xfId="106" applyFont="1" applyBorder="1" applyAlignment="1" applyProtection="1">
      <alignment horizontal="center" vertical="center"/>
      <protection hidden="1"/>
    </xf>
    <xf numFmtId="0" fontId="17" fillId="0" borderId="3" xfId="106" applyFont="1" applyBorder="1" applyAlignment="1">
      <alignment horizontal="center" vertical="center"/>
    </xf>
    <xf numFmtId="0" fontId="17" fillId="0" borderId="29" xfId="106" applyFont="1" applyBorder="1" applyAlignment="1">
      <alignment horizontal="center" vertical="center"/>
    </xf>
    <xf numFmtId="0" fontId="17" fillId="0" borderId="9" xfId="106" applyFont="1" applyBorder="1" applyAlignment="1">
      <alignment horizontal="center" vertical="center"/>
    </xf>
    <xf numFmtId="0" fontId="62" fillId="0" borderId="42" xfId="106" applyFont="1" applyBorder="1" applyAlignment="1">
      <alignment horizontal="center" vertical="center"/>
    </xf>
    <xf numFmtId="0" fontId="62" fillId="0" borderId="17" xfId="106" applyFont="1" applyBorder="1" applyAlignment="1">
      <alignment horizontal="center" vertical="center"/>
    </xf>
    <xf numFmtId="0" fontId="62" fillId="0" borderId="18" xfId="106" applyFont="1" applyBorder="1" applyAlignment="1">
      <alignment horizontal="center" vertical="center"/>
    </xf>
    <xf numFmtId="171" fontId="16" fillId="5" borderId="1" xfId="0" applyNumberFormat="1" applyFont="1" applyFill="1" applyBorder="1" applyAlignment="1">
      <alignment horizontal="center" vertical="center"/>
    </xf>
    <xf numFmtId="0" fontId="41" fillId="0" borderId="56" xfId="0" applyFont="1" applyBorder="1" applyAlignment="1">
      <alignment horizontal="left" vertical="center"/>
    </xf>
    <xf numFmtId="0" fontId="41" fillId="0" borderId="0" xfId="0" applyFont="1" applyAlignment="1">
      <alignment horizontal="left" vertical="center"/>
    </xf>
    <xf numFmtId="0" fontId="47" fillId="28" borderId="32" xfId="43" applyFont="1" applyFill="1" applyBorder="1" applyAlignment="1">
      <alignment horizontal="center" vertical="center"/>
    </xf>
    <xf numFmtId="0" fontId="47" fillId="28" borderId="0" xfId="43" applyFont="1" applyFill="1" applyAlignment="1">
      <alignment horizontal="center" vertical="center"/>
    </xf>
    <xf numFmtId="0" fontId="47" fillId="28" borderId="45" xfId="43" applyFont="1" applyFill="1" applyBorder="1" applyAlignment="1">
      <alignment horizontal="center" vertical="center"/>
    </xf>
    <xf numFmtId="0" fontId="47" fillId="3" borderId="36" xfId="43" applyFont="1" applyFill="1" applyBorder="1" applyAlignment="1">
      <alignment horizontal="center" vertical="center"/>
    </xf>
    <xf numFmtId="0" fontId="47" fillId="3" borderId="37" xfId="43" applyFont="1" applyFill="1" applyBorder="1" applyAlignment="1">
      <alignment horizontal="center" vertical="center"/>
    </xf>
    <xf numFmtId="0" fontId="47" fillId="3" borderId="38" xfId="43" applyFont="1" applyFill="1" applyBorder="1" applyAlignment="1">
      <alignment horizontal="center" vertical="center"/>
    </xf>
    <xf numFmtId="0" fontId="20" fillId="0" borderId="22" xfId="43" applyFont="1" applyBorder="1" applyAlignment="1">
      <alignment horizontal="center" vertical="center"/>
    </xf>
    <xf numFmtId="0" fontId="20" fillId="0" borderId="33" xfId="43" applyFont="1" applyBorder="1" applyAlignment="1">
      <alignment horizontal="center" vertical="center"/>
    </xf>
    <xf numFmtId="0" fontId="20" fillId="3" borderId="1" xfId="43" applyFont="1" applyFill="1" applyBorder="1" applyAlignment="1">
      <alignment horizontal="center" vertical="center"/>
    </xf>
    <xf numFmtId="0" fontId="20" fillId="18" borderId="13" xfId="43" applyFont="1" applyFill="1" applyBorder="1" applyAlignment="1">
      <alignment horizontal="center" vertical="center" wrapText="1"/>
    </xf>
    <xf numFmtId="0" fontId="20" fillId="18" borderId="8" xfId="43" applyFont="1" applyFill="1" applyBorder="1" applyAlignment="1">
      <alignment horizontal="center" vertical="center" wrapText="1"/>
    </xf>
    <xf numFmtId="0" fontId="20" fillId="18" borderId="2" xfId="43" applyFont="1" applyFill="1" applyBorder="1" applyAlignment="1">
      <alignment horizontal="center" vertical="center" wrapText="1"/>
    </xf>
    <xf numFmtId="0" fontId="47" fillId="0" borderId="10" xfId="43" applyFont="1" applyBorder="1" applyAlignment="1">
      <alignment horizontal="center" vertical="center"/>
    </xf>
    <xf numFmtId="0" fontId="24" fillId="0" borderId="67" xfId="43" applyFont="1" applyBorder="1" applyAlignment="1">
      <alignment horizontal="center" vertical="center" wrapText="1"/>
    </xf>
    <xf numFmtId="0" fontId="24" fillId="0" borderId="68" xfId="43" applyFont="1" applyBorder="1" applyAlignment="1">
      <alignment horizontal="center" vertical="center" wrapText="1"/>
    </xf>
    <xf numFmtId="0" fontId="21" fillId="3" borderId="1" xfId="43" applyFont="1" applyFill="1" applyBorder="1" applyAlignment="1">
      <alignment horizontal="center" vertical="center"/>
    </xf>
    <xf numFmtId="0" fontId="21" fillId="0" borderId="1" xfId="43" applyFont="1" applyBorder="1" applyAlignment="1">
      <alignment horizontal="center" vertical="center"/>
    </xf>
    <xf numFmtId="0" fontId="47" fillId="3" borderId="30" xfId="43" applyFont="1" applyFill="1" applyBorder="1" applyAlignment="1">
      <alignment horizontal="center" vertical="center"/>
    </xf>
    <xf numFmtId="0" fontId="47" fillId="3" borderId="0" xfId="43" applyFont="1" applyFill="1" applyAlignment="1">
      <alignment horizontal="center" vertical="center"/>
    </xf>
    <xf numFmtId="0" fontId="47" fillId="3" borderId="1" xfId="43" applyFont="1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 wrapText="1"/>
    </xf>
    <xf numFmtId="0" fontId="0" fillId="3" borderId="33" xfId="0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left" vertical="center"/>
    </xf>
    <xf numFmtId="0" fontId="20" fillId="3" borderId="1" xfId="0" applyFont="1" applyFill="1" applyBorder="1" applyAlignment="1">
      <alignment horizontal="center" vertical="center"/>
    </xf>
    <xf numFmtId="0" fontId="22" fillId="19" borderId="22" xfId="119" applyFont="1" applyFill="1" applyBorder="1" applyAlignment="1">
      <alignment horizontal="center" vertical="center"/>
    </xf>
    <xf numFmtId="0" fontId="22" fillId="19" borderId="20" xfId="119" applyFont="1" applyFill="1" applyBorder="1" applyAlignment="1">
      <alignment horizontal="center" vertical="center"/>
    </xf>
    <xf numFmtId="0" fontId="22" fillId="19" borderId="33" xfId="119" applyFont="1" applyFill="1" applyBorder="1" applyAlignment="1">
      <alignment horizontal="center" vertical="center"/>
    </xf>
    <xf numFmtId="0" fontId="20" fillId="27" borderId="1" xfId="119" applyFont="1" applyFill="1" applyBorder="1" applyAlignment="1">
      <alignment horizontal="center" vertical="center"/>
    </xf>
    <xf numFmtId="0" fontId="17" fillId="3" borderId="22" xfId="119" applyFont="1" applyFill="1" applyBorder="1" applyAlignment="1">
      <alignment horizontal="center"/>
    </xf>
    <xf numFmtId="0" fontId="17" fillId="3" borderId="20" xfId="119" applyFont="1" applyFill="1" applyBorder="1" applyAlignment="1">
      <alignment horizontal="center"/>
    </xf>
    <xf numFmtId="0" fontId="17" fillId="3" borderId="33" xfId="119" applyFont="1" applyFill="1" applyBorder="1" applyAlignment="1">
      <alignment horizontal="center"/>
    </xf>
    <xf numFmtId="0" fontId="20" fillId="27" borderId="22" xfId="119" applyFont="1" applyFill="1" applyBorder="1" applyAlignment="1">
      <alignment horizontal="center" vertical="center"/>
    </xf>
    <xf numFmtId="0" fontId="20" fillId="27" borderId="20" xfId="119" applyFont="1" applyFill="1" applyBorder="1" applyAlignment="1">
      <alignment horizontal="center" vertical="center"/>
    </xf>
    <xf numFmtId="0" fontId="20" fillId="27" borderId="33" xfId="119" applyFont="1" applyFill="1" applyBorder="1" applyAlignment="1">
      <alignment horizontal="center" vertical="center"/>
    </xf>
    <xf numFmtId="0" fontId="17" fillId="3" borderId="1" xfId="119" applyFont="1" applyFill="1" applyBorder="1" applyAlignment="1">
      <alignment horizontal="left" vertical="center"/>
    </xf>
    <xf numFmtId="0" fontId="22" fillId="12" borderId="1" xfId="119" applyFont="1" applyFill="1" applyBorder="1" applyAlignment="1">
      <alignment horizontal="center" vertical="center"/>
    </xf>
    <xf numFmtId="0" fontId="22" fillId="11" borderId="1" xfId="119" applyFont="1" applyFill="1" applyBorder="1" applyAlignment="1">
      <alignment horizontal="center" vertical="center"/>
    </xf>
    <xf numFmtId="0" fontId="21" fillId="3" borderId="22" xfId="119" applyFont="1" applyFill="1" applyBorder="1" applyAlignment="1">
      <alignment horizontal="left" vertical="center"/>
    </xf>
    <xf numFmtId="0" fontId="21" fillId="3" borderId="20" xfId="119" applyFont="1" applyFill="1" applyBorder="1" applyAlignment="1">
      <alignment horizontal="left" vertical="center"/>
    </xf>
    <xf numFmtId="0" fontId="21" fillId="3" borderId="33" xfId="119" applyFont="1" applyFill="1" applyBorder="1" applyAlignment="1">
      <alignment horizontal="left" vertical="center"/>
    </xf>
    <xf numFmtId="0" fontId="47" fillId="3" borderId="42" xfId="43" applyFont="1" applyFill="1" applyBorder="1" applyAlignment="1">
      <alignment horizontal="center" vertical="center"/>
    </xf>
    <xf numFmtId="0" fontId="47" fillId="3" borderId="17" xfId="43" applyFont="1" applyFill="1" applyBorder="1" applyAlignment="1">
      <alignment horizontal="center" vertical="center"/>
    </xf>
    <xf numFmtId="0" fontId="47" fillId="3" borderId="17" xfId="43" applyFont="1" applyFill="1" applyBorder="1" applyAlignment="1">
      <alignment horizontal="left" vertical="center"/>
    </xf>
    <xf numFmtId="0" fontId="47" fillId="3" borderId="18" xfId="43" applyFont="1" applyFill="1" applyBorder="1" applyAlignment="1">
      <alignment horizontal="center" vertical="center"/>
    </xf>
    <xf numFmtId="0" fontId="22" fillId="18" borderId="9" xfId="43" applyFont="1" applyFill="1" applyBorder="1" applyAlignment="1">
      <alignment horizontal="center" vertical="center" wrapText="1"/>
    </xf>
    <xf numFmtId="0" fontId="22" fillId="18" borderId="3" xfId="43" applyFont="1" applyFill="1" applyBorder="1" applyAlignment="1">
      <alignment horizontal="center" vertical="center" wrapText="1"/>
    </xf>
    <xf numFmtId="0" fontId="47" fillId="3" borderId="37" xfId="43" applyFont="1" applyFill="1" applyBorder="1" applyAlignment="1">
      <alignment horizontal="left" vertical="center"/>
    </xf>
    <xf numFmtId="0" fontId="20" fillId="18" borderId="1" xfId="43" applyFont="1" applyFill="1" applyBorder="1" applyAlignment="1">
      <alignment horizontal="center" vertical="center" wrapText="1"/>
    </xf>
    <xf numFmtId="0" fontId="12" fillId="3" borderId="13" xfId="0" applyFont="1" applyFill="1" applyBorder="1" applyAlignment="1">
      <alignment horizontal="center" vertical="center" wrapText="1"/>
    </xf>
    <xf numFmtId="0" fontId="12" fillId="3" borderId="14" xfId="0" applyFont="1" applyFill="1" applyBorder="1" applyAlignment="1">
      <alignment horizontal="center" vertical="center" wrapText="1"/>
    </xf>
    <xf numFmtId="0" fontId="12" fillId="3" borderId="16" xfId="0" applyFont="1" applyFill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/>
    </xf>
    <xf numFmtId="0" fontId="12" fillId="6" borderId="13" xfId="0" applyFont="1" applyFill="1" applyBorder="1" applyAlignment="1">
      <alignment horizontal="center" vertical="center"/>
    </xf>
    <xf numFmtId="0" fontId="12" fillId="6" borderId="14" xfId="0" applyFont="1" applyFill="1" applyBorder="1" applyAlignment="1">
      <alignment horizontal="center" vertical="center"/>
    </xf>
    <xf numFmtId="0" fontId="12" fillId="11" borderId="35" xfId="0" applyFont="1" applyFill="1" applyBorder="1" applyAlignment="1">
      <alignment horizontal="center" vertical="center" wrapText="1"/>
    </xf>
    <xf numFmtId="0" fontId="12" fillId="11" borderId="26" xfId="0" applyFont="1" applyFill="1" applyBorder="1" applyAlignment="1">
      <alignment horizontal="center" vertical="center" wrapText="1"/>
    </xf>
    <xf numFmtId="0" fontId="12" fillId="11" borderId="27" xfId="0" applyFont="1" applyFill="1" applyBorder="1" applyAlignment="1">
      <alignment horizontal="center" vertical="center" wrapText="1"/>
    </xf>
    <xf numFmtId="0" fontId="12" fillId="25" borderId="35" xfId="0" applyFont="1" applyFill="1" applyBorder="1" applyAlignment="1">
      <alignment horizontal="center" vertical="center" wrapText="1"/>
    </xf>
    <xf numFmtId="0" fontId="12" fillId="25" borderId="26" xfId="0" applyFont="1" applyFill="1" applyBorder="1" applyAlignment="1">
      <alignment horizontal="center" vertical="center" wrapText="1"/>
    </xf>
    <xf numFmtId="0" fontId="12" fillId="25" borderId="70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7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15" fillId="0" borderId="71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33" xfId="0" applyFont="1" applyBorder="1" applyAlignment="1">
      <alignment horizontal="center" vertical="center"/>
    </xf>
    <xf numFmtId="166" fontId="12" fillId="0" borderId="1" xfId="0" applyNumberFormat="1" applyFont="1" applyBorder="1" applyAlignment="1">
      <alignment horizontal="center" vertical="center"/>
    </xf>
    <xf numFmtId="166" fontId="12" fillId="0" borderId="22" xfId="0" applyNumberFormat="1" applyFont="1" applyBorder="1" applyAlignment="1">
      <alignment horizontal="center" vertical="center"/>
    </xf>
    <xf numFmtId="166" fontId="12" fillId="0" borderId="33" xfId="0" applyNumberFormat="1" applyFont="1" applyBorder="1" applyAlignment="1">
      <alignment horizontal="center" vertical="center"/>
    </xf>
    <xf numFmtId="166" fontId="89" fillId="3" borderId="1" xfId="132" applyNumberFormat="1" applyFont="1" applyFill="1" applyBorder="1" applyAlignment="1">
      <alignment horizontal="center" vertical="center"/>
    </xf>
    <xf numFmtId="166" fontId="89" fillId="3" borderId="22" xfId="132" applyNumberFormat="1" applyFont="1" applyFill="1" applyBorder="1" applyAlignment="1">
      <alignment horizontal="center" vertical="center" wrapText="1"/>
    </xf>
    <xf numFmtId="166" fontId="89" fillId="3" borderId="33" xfId="132" applyNumberFormat="1" applyFont="1" applyFill="1" applyBorder="1" applyAlignment="1">
      <alignment horizontal="center" vertical="center" wrapText="1"/>
    </xf>
    <xf numFmtId="0" fontId="89" fillId="3" borderId="1" xfId="132" applyFont="1" applyFill="1" applyBorder="1" applyAlignment="1">
      <alignment horizontal="center" vertical="center"/>
    </xf>
    <xf numFmtId="166" fontId="89" fillId="3" borderId="1" xfId="132" applyNumberFormat="1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/>
    </xf>
  </cellXfs>
  <cellStyles count="183">
    <cellStyle name="Comma" xfId="98" builtinId="3"/>
    <cellStyle name="Comma 2" xfId="1" xr:uid="{00000000-0005-0000-0000-000000000000}"/>
    <cellStyle name="Comma 2 2" xfId="2" xr:uid="{00000000-0005-0000-0000-000001000000}"/>
    <cellStyle name="Comma 2 2 2" xfId="3" xr:uid="{00000000-0005-0000-0000-000002000000}"/>
    <cellStyle name="Comma 2 2 2 2" xfId="135" xr:uid="{8E05A902-3CCE-48FA-9F06-3A33B51AC668}"/>
    <cellStyle name="Comma 2 2 2 2 2" xfId="167" xr:uid="{C543F4D9-0EDE-492A-A42B-D5F8FF58BEEC}"/>
    <cellStyle name="Comma 2 2 2 3" xfId="151" xr:uid="{7E5AC4D4-A701-4997-B35B-E6D4FFED1D2C}"/>
    <cellStyle name="Comma 2 2 3" xfId="4" xr:uid="{00000000-0005-0000-0000-000003000000}"/>
    <cellStyle name="Comma 2 2 3 2" xfId="136" xr:uid="{4188731F-E786-433F-8F5C-ECFA3F1D602D}"/>
    <cellStyle name="Comma 2 2 3 2 2" xfId="168" xr:uid="{54164F79-C6D1-43F2-BC09-AF4AF834F4AD}"/>
    <cellStyle name="Comma 2 2 3 3" xfId="152" xr:uid="{325B2691-B273-4587-AD2C-32EE6BD1DC5E}"/>
    <cellStyle name="Comma 2 2 4" xfId="134" xr:uid="{7CAF4ED0-7D02-4C68-8E7A-6B53E2589260}"/>
    <cellStyle name="Comma 2 2 4 2" xfId="166" xr:uid="{210742D9-AEEB-46CC-B734-3D3CF8D4B34D}"/>
    <cellStyle name="Comma 2 2 5" xfId="150" xr:uid="{99282302-0D6F-4C33-95DC-980B2EBA8790}"/>
    <cellStyle name="Comma 2 3" xfId="5" xr:uid="{00000000-0005-0000-0000-000004000000}"/>
    <cellStyle name="Comma 2 3 2" xfId="137" xr:uid="{A8018466-4650-478F-A987-0B7FE97622E4}"/>
    <cellStyle name="Comma 2 3 2 2" xfId="169" xr:uid="{330A6C49-CA20-4180-B109-EE3861779B92}"/>
    <cellStyle name="Comma 2 3 3" xfId="153" xr:uid="{2D448E4E-18CC-4F7E-AE78-5080F9B4A732}"/>
    <cellStyle name="Comma 2 4" xfId="6" xr:uid="{00000000-0005-0000-0000-000005000000}"/>
    <cellStyle name="Comma 2 4 2" xfId="138" xr:uid="{9EFF7EDE-67E1-4FD1-A527-DDEC5CFC83C9}"/>
    <cellStyle name="Comma 2 4 2 2" xfId="170" xr:uid="{A8C94105-EB21-45F2-A475-E1C403BFA585}"/>
    <cellStyle name="Comma 2 4 3" xfId="154" xr:uid="{CFBBF71A-16A2-4B09-8BD9-51E0B6CBEE5D}"/>
    <cellStyle name="Comma 2 5" xfId="7" xr:uid="{00000000-0005-0000-0000-000006000000}"/>
    <cellStyle name="Comma 2 5 2" xfId="139" xr:uid="{E37FC955-FE46-4E92-AC7B-2B9E752EFA4A}"/>
    <cellStyle name="Comma 2 5 2 2" xfId="171" xr:uid="{6CB17F3E-3CD8-4E9A-AA8C-B9D003D49A24}"/>
    <cellStyle name="Comma 2 5 3" xfId="155" xr:uid="{8754CB04-8A4E-41EB-9D13-747D08382248}"/>
    <cellStyle name="Comma 2 6" xfId="126" xr:uid="{D9040429-735E-41AA-943B-C5FD84E0700C}"/>
    <cellStyle name="Comma 2 7" xfId="133" xr:uid="{626724D9-E26F-4EA4-BF0A-093EDCD24189}"/>
    <cellStyle name="Comma 2 7 2" xfId="165" xr:uid="{F87CE0F9-C751-48ED-A3D3-59D443FF2526}"/>
    <cellStyle name="Comma 2 8" xfId="182" xr:uid="{21AA9FF6-4DD6-456D-A475-B003C9A85FC6}"/>
    <cellStyle name="Comma 3" xfId="8" xr:uid="{00000000-0005-0000-0000-000007000000}"/>
    <cellStyle name="Comma 3 2" xfId="123" xr:uid="{4E1DF4C9-FBB9-4AAD-8113-C47F2A862076}"/>
    <cellStyle name="Comma 3 3" xfId="140" xr:uid="{3B76AD70-086C-4D06-BA60-96F45D4538BC}"/>
    <cellStyle name="Comma 3 3 2" xfId="172" xr:uid="{EAF9513C-71C5-47A4-B5F7-A10F85369BEF}"/>
    <cellStyle name="Comma 3 4" xfId="156" xr:uid="{0ACA4770-620E-414B-AF36-7BA03498BC1F}"/>
    <cellStyle name="Comma 4" xfId="9" xr:uid="{00000000-0005-0000-0000-000008000000}"/>
    <cellStyle name="Comma 4 2" xfId="10" xr:uid="{00000000-0005-0000-0000-000009000000}"/>
    <cellStyle name="Comma 4 2 2" xfId="142" xr:uid="{713BF831-D1A3-4D5A-BB4F-EA4DF5C742E1}"/>
    <cellStyle name="Comma 4 2 2 2" xfId="174" xr:uid="{B72E7387-28A2-4A25-9DC4-92CE64042939}"/>
    <cellStyle name="Comma 4 2 3" xfId="157" xr:uid="{EAAA0885-396B-4C52-A732-7F20FB3084F9}"/>
    <cellStyle name="Comma 4 3" xfId="11" xr:uid="{00000000-0005-0000-0000-00000A000000}"/>
    <cellStyle name="Comma 4 3 2" xfId="143" xr:uid="{FECBDC3D-FF59-4C60-94B1-F037E87D37F6}"/>
    <cellStyle name="Comma 4 3 2 2" xfId="175" xr:uid="{3167B67B-35F6-456B-B751-B2B5EA183ED1}"/>
    <cellStyle name="Comma 4 3 3" xfId="158" xr:uid="{C1149059-05A6-4D9C-83D3-E6FE7CB0B426}"/>
    <cellStyle name="Comma 4 4" xfId="12" xr:uid="{00000000-0005-0000-0000-00000B000000}"/>
    <cellStyle name="Comma 4 4 2" xfId="144" xr:uid="{648F088D-50B5-465C-934B-B576685E435A}"/>
    <cellStyle name="Comma 4 4 2 2" xfId="176" xr:uid="{5DA71D29-E219-41DF-B209-A28DC279D64C}"/>
    <cellStyle name="Comma 4 4 3" xfId="159" xr:uid="{8B2C52B8-8226-4593-9BF8-AD689C986ABB}"/>
    <cellStyle name="Comma 4 5" xfId="122" xr:uid="{D84910D4-C030-4903-9C7A-3644C0142949}"/>
    <cellStyle name="Comma 4 5 2" xfId="149" xr:uid="{4EE92C08-D602-43B6-8510-C8B826CD7C3E}"/>
    <cellStyle name="Comma 4 5 2 2" xfId="181" xr:uid="{2C51F5B9-8586-4585-AC39-F35E24AA5086}"/>
    <cellStyle name="Comma 4 5 3" xfId="164" xr:uid="{5ABC7B55-34F6-428B-B72F-EC07157EDA8A}"/>
    <cellStyle name="Comma 4 6" xfId="141" xr:uid="{EF627A87-F698-444F-BEBB-CF20E1AD30B4}"/>
    <cellStyle name="Comma 4 6 2" xfId="173" xr:uid="{1DC52BA8-56E9-4163-BBA8-9AB27C64A6FD}"/>
    <cellStyle name="Comma 5" xfId="13" xr:uid="{00000000-0005-0000-0000-00000C000000}"/>
    <cellStyle name="Comma 5 2" xfId="128" xr:uid="{E40CA749-47D9-49F8-B8C2-F56B1463DD21}"/>
    <cellStyle name="Comma 5 3" xfId="145" xr:uid="{8D3219F3-A3EF-4153-8156-CE24850C646D}"/>
    <cellStyle name="Comma 5 3 2" xfId="177" xr:uid="{BEE0417B-D570-444D-9E8A-3E68074C95CB}"/>
    <cellStyle name="Comma 5 4" xfId="160" xr:uid="{2FDBB03F-23FA-48FF-866B-D82FDC9034DB}"/>
    <cellStyle name="Comma 6" xfId="14" xr:uid="{00000000-0005-0000-0000-00000D000000}"/>
    <cellStyle name="Comma 6 2" xfId="146" xr:uid="{2DE70326-D4D6-47BE-8354-EB590B8394B1}"/>
    <cellStyle name="Comma 6 2 2" xfId="178" xr:uid="{252E1B6C-BB28-4D52-9BFE-2DC3DAE55EBF}"/>
    <cellStyle name="Comma 6 3" xfId="161" xr:uid="{048CCC4B-F524-418B-A204-CAA74100D30B}"/>
    <cellStyle name="Comma 7" xfId="147" xr:uid="{C12141DE-8385-4CD4-9E8D-AA736F356726}"/>
    <cellStyle name="Comma 7 2" xfId="179" xr:uid="{B279AC2A-D8EB-40EB-8F29-40B8335E9459}"/>
    <cellStyle name="Comma 8" xfId="100" xr:uid="{404F2925-68E2-463C-BCB9-4BE0676E3BA4}"/>
    <cellStyle name="Comma 8 2" xfId="148" xr:uid="{C91760D5-DD43-4071-B1F7-2E94874E9072}"/>
    <cellStyle name="Comma 8 2 2" xfId="180" xr:uid="{EE951BD6-9209-4524-9C48-E3A5B9BB0458}"/>
    <cellStyle name="Comma 8 3" xfId="163" xr:uid="{F9264097-B3CD-4748-9DF3-D38960E577FC}"/>
    <cellStyle name="Comma 9" xfId="162" xr:uid="{5648190F-9BEA-4A2D-A689-0F75E02F1613}"/>
    <cellStyle name="Comma 9 3" xfId="15" xr:uid="{00000000-0005-0000-0000-00000E000000}"/>
    <cellStyle name="Hyperlink 2" xfId="16" xr:uid="{00000000-0005-0000-0000-000010000000}"/>
    <cellStyle name="Normal" xfId="0" builtinId="0"/>
    <cellStyle name="Normal 10" xfId="17" xr:uid="{00000000-0005-0000-0000-000012000000}"/>
    <cellStyle name="Normal 10 2" xfId="18" xr:uid="{00000000-0005-0000-0000-000013000000}"/>
    <cellStyle name="Normal 10 2 2" xfId="19" xr:uid="{00000000-0005-0000-0000-000014000000}"/>
    <cellStyle name="Normal 10 2 2 2" xfId="20" xr:uid="{00000000-0005-0000-0000-000015000000}"/>
    <cellStyle name="Normal 10 2 3" xfId="21" xr:uid="{00000000-0005-0000-0000-000016000000}"/>
    <cellStyle name="Normal 10 3" xfId="22" xr:uid="{00000000-0005-0000-0000-000017000000}"/>
    <cellStyle name="Normal 10 3 2" xfId="23" xr:uid="{00000000-0005-0000-0000-000018000000}"/>
    <cellStyle name="Normal 10 4" xfId="24" xr:uid="{00000000-0005-0000-0000-000019000000}"/>
    <cellStyle name="Normal 11" xfId="25" xr:uid="{00000000-0005-0000-0000-00001A000000}"/>
    <cellStyle name="Normal 11 2" xfId="26" xr:uid="{00000000-0005-0000-0000-00001B000000}"/>
    <cellStyle name="Normal 11 2 2" xfId="27" xr:uid="{00000000-0005-0000-0000-00001C000000}"/>
    <cellStyle name="Normal 11 3" xfId="28" xr:uid="{00000000-0005-0000-0000-00001D000000}"/>
    <cellStyle name="Normal 12" xfId="29" xr:uid="{00000000-0005-0000-0000-00001E000000}"/>
    <cellStyle name="Normal 12 2" xfId="30" xr:uid="{00000000-0005-0000-0000-00001F000000}"/>
    <cellStyle name="Normal 13" xfId="31" xr:uid="{00000000-0005-0000-0000-000020000000}"/>
    <cellStyle name="Normal 14" xfId="32" xr:uid="{00000000-0005-0000-0000-000021000000}"/>
    <cellStyle name="Normal 14 2 2" xfId="33" xr:uid="{00000000-0005-0000-0000-000022000000}"/>
    <cellStyle name="Normal 15" xfId="104" xr:uid="{36EFC056-7BCB-4BCD-B148-3A2A3A274F4D}"/>
    <cellStyle name="Normal 16" xfId="105" xr:uid="{56D46472-3D51-40E5-B26F-0B44264806AE}"/>
    <cellStyle name="Normal 16 2" xfId="117" xr:uid="{02615D38-7A9F-46E7-BE9D-027E4ABAAB7A}"/>
    <cellStyle name="Normal 17 2" xfId="131" xr:uid="{9244BE8A-2F9E-4EE5-A36F-F195CBBBA572}"/>
    <cellStyle name="Normal 197" xfId="34" xr:uid="{00000000-0005-0000-0000-000023000000}"/>
    <cellStyle name="Normal 2" xfId="35" xr:uid="{00000000-0005-0000-0000-000024000000}"/>
    <cellStyle name="Normal 2 10" xfId="119" xr:uid="{4ABD6936-CD53-4415-A09C-01A65630EF1F}"/>
    <cellStyle name="Normal 2 2" xfId="36" xr:uid="{00000000-0005-0000-0000-000025000000}"/>
    <cellStyle name="Normal 2 2 2" xfId="37" xr:uid="{00000000-0005-0000-0000-000026000000}"/>
    <cellStyle name="Normal 2 2 2 2" xfId="108" xr:uid="{1950B71A-0A97-4C07-9E07-85A0D74BE3E5}"/>
    <cellStyle name="Normal 2 2 3" xfId="38" xr:uid="{00000000-0005-0000-0000-000027000000}"/>
    <cellStyle name="Normal 2 2 4" xfId="39" xr:uid="{00000000-0005-0000-0000-000028000000}"/>
    <cellStyle name="Normal 2 2 4 2" xfId="109" xr:uid="{9D4E0B18-1998-4CAB-BD86-310022C82D88}"/>
    <cellStyle name="Normal 2 3" xfId="40" xr:uid="{00000000-0005-0000-0000-000029000000}"/>
    <cellStyle name="Normal 2 3 2" xfId="41" xr:uid="{00000000-0005-0000-0000-00002A000000}"/>
    <cellStyle name="Normal 2 3 3" xfId="42" xr:uid="{00000000-0005-0000-0000-00002B000000}"/>
    <cellStyle name="Normal 2 3 3 2" xfId="110" xr:uid="{C3D29ABF-A365-4871-A020-364842B8B8BA}"/>
    <cellStyle name="Normal 2 3 5" xfId="132" xr:uid="{8539FFF8-915C-4155-83B7-0B0530F3E8FA}"/>
    <cellStyle name="Normal 2 4" xfId="43" xr:uid="{00000000-0005-0000-0000-00002C000000}"/>
    <cellStyle name="Normal 2 5" xfId="44" xr:uid="{00000000-0005-0000-0000-00002D000000}"/>
    <cellStyle name="Normal 2 5 2" xfId="45" xr:uid="{00000000-0005-0000-0000-00002E000000}"/>
    <cellStyle name="Normal 2 5 2 2" xfId="46" xr:uid="{00000000-0005-0000-0000-00002F000000}"/>
    <cellStyle name="Normal 2 5 3" xfId="47" xr:uid="{00000000-0005-0000-0000-000030000000}"/>
    <cellStyle name="Normal 2 6" xfId="48" xr:uid="{00000000-0005-0000-0000-000031000000}"/>
    <cellStyle name="Normal 2 6 2" xfId="111" xr:uid="{CBDEDFF1-C3EB-4926-B44A-65CAD5D26333}"/>
    <cellStyle name="Normal 23 3" xfId="49" xr:uid="{00000000-0005-0000-0000-000032000000}"/>
    <cellStyle name="Normal 23 3 2" xfId="50" xr:uid="{00000000-0005-0000-0000-000033000000}"/>
    <cellStyle name="Normal 23 3 3" xfId="51" xr:uid="{00000000-0005-0000-0000-000034000000}"/>
    <cellStyle name="Normal 3" xfId="52" xr:uid="{00000000-0005-0000-0000-000035000000}"/>
    <cellStyle name="Normal 3 10" xfId="53" xr:uid="{00000000-0005-0000-0000-000036000000}"/>
    <cellStyle name="Normal 3 2" xfId="54" xr:uid="{00000000-0005-0000-0000-000037000000}"/>
    <cellStyle name="Normal 3 2 2" xfId="55" xr:uid="{00000000-0005-0000-0000-000038000000}"/>
    <cellStyle name="Normal 3 2 3" xfId="56" xr:uid="{00000000-0005-0000-0000-000039000000}"/>
    <cellStyle name="Normal 3 2 4" xfId="57" xr:uid="{00000000-0005-0000-0000-00003A000000}"/>
    <cellStyle name="Normal 3 2 5" xfId="129" xr:uid="{FD0A2D7F-2CBD-4133-87C0-49F28C5D6189}"/>
    <cellStyle name="Normal 3 3" xfId="58" xr:uid="{00000000-0005-0000-0000-00003B000000}"/>
    <cellStyle name="Normal 3 4" xfId="59" xr:uid="{00000000-0005-0000-0000-00003C000000}"/>
    <cellStyle name="Normal 3 4 2" xfId="113" xr:uid="{7EA37697-BB05-4287-ACC7-F2107C5EE84D}"/>
    <cellStyle name="Normal 3 5" xfId="112" xr:uid="{9324B33E-8A11-40AC-AF29-9224DEB3AABB}"/>
    <cellStyle name="Normal 3 6" xfId="121" xr:uid="{160033A4-EDD1-49FC-994B-622F29BBB4D7}"/>
    <cellStyle name="Normal 31 2" xfId="60" xr:uid="{00000000-0005-0000-0000-00003D000000}"/>
    <cellStyle name="Normal 4" xfId="61" xr:uid="{00000000-0005-0000-0000-00003E000000}"/>
    <cellStyle name="Normal 4 2" xfId="62" xr:uid="{00000000-0005-0000-0000-00003F000000}"/>
    <cellStyle name="Normal 4 2 2" xfId="63" xr:uid="{00000000-0005-0000-0000-000040000000}"/>
    <cellStyle name="Normal 4 2 2 2" xfId="102" xr:uid="{4634081C-9563-4E15-8819-C68AD14E9EBD}"/>
    <cellStyle name="Normal 4 2 3" xfId="64" xr:uid="{00000000-0005-0000-0000-000041000000}"/>
    <cellStyle name="Normal 4 2 4" xfId="65" xr:uid="{00000000-0005-0000-0000-000042000000}"/>
    <cellStyle name="Normal 4 2 5 2" xfId="103" xr:uid="{226C5A13-E120-496D-8D03-108D0536986D}"/>
    <cellStyle name="Normal 4 2 6" xfId="99" xr:uid="{2C686F8A-F326-4095-913B-CBC74DFDDB75}"/>
    <cellStyle name="Normal 4 2 7" xfId="118" xr:uid="{40AE9381-4049-4BEF-A013-1DEFF8168D48}"/>
    <cellStyle name="Normal 4 3" xfId="66" xr:uid="{00000000-0005-0000-0000-000043000000}"/>
    <cellStyle name="Normal 4 4" xfId="106" xr:uid="{5C7CCD4E-BC51-4BFB-914E-3B2518F09BC4}"/>
    <cellStyle name="Normal 4 5" xfId="127" xr:uid="{AEE50F95-E992-425C-A2BF-53BCDA7D32E1}"/>
    <cellStyle name="Normal 40" xfId="96" xr:uid="{0C09BF61-5442-4542-88D9-DC6AF6CF22A3}"/>
    <cellStyle name="Normal 42" xfId="124" xr:uid="{ACB8AD22-F130-4E9D-B350-6E2DE2330D90}"/>
    <cellStyle name="Normal 48" xfId="125" xr:uid="{40323F61-F1A3-4F9A-90CB-EAAD2194631A}"/>
    <cellStyle name="Normal 5" xfId="67" xr:uid="{00000000-0005-0000-0000-000044000000}"/>
    <cellStyle name="Normal 5 2" xfId="68" xr:uid="{00000000-0005-0000-0000-000045000000}"/>
    <cellStyle name="Normal 5 2 2" xfId="69" xr:uid="{00000000-0005-0000-0000-000046000000}"/>
    <cellStyle name="Normal 5 3" xfId="70" xr:uid="{00000000-0005-0000-0000-000047000000}"/>
    <cellStyle name="Normal 5 4" xfId="71" xr:uid="{00000000-0005-0000-0000-000048000000}"/>
    <cellStyle name="Normal 5 5" xfId="72" xr:uid="{00000000-0005-0000-0000-000049000000}"/>
    <cellStyle name="Normal 6" xfId="73" xr:uid="{00000000-0005-0000-0000-00004A000000}"/>
    <cellStyle name="Normal 6 2" xfId="120" xr:uid="{0573FD5B-C45E-432F-B3E3-56C4A5C813DF}"/>
    <cellStyle name="Normal 7" xfId="74" xr:uid="{00000000-0005-0000-0000-00004B000000}"/>
    <cellStyle name="Normal 7 2" xfId="75" xr:uid="{00000000-0005-0000-0000-00004C000000}"/>
    <cellStyle name="Normal 7 3" xfId="76" xr:uid="{00000000-0005-0000-0000-00004D000000}"/>
    <cellStyle name="Normal 7 4" xfId="77" xr:uid="{00000000-0005-0000-0000-00004E000000}"/>
    <cellStyle name="Normal 7 4 2" xfId="114" xr:uid="{59D25E1A-ACEC-4992-B85E-0D5BF77CF2F0}"/>
    <cellStyle name="Normal 8" xfId="78" xr:uid="{00000000-0005-0000-0000-00004F000000}"/>
    <cellStyle name="Normal 8 2" xfId="79" xr:uid="{00000000-0005-0000-0000-000050000000}"/>
    <cellStyle name="Normal 8 2 2" xfId="80" xr:uid="{00000000-0005-0000-0000-000051000000}"/>
    <cellStyle name="Normal 8 3" xfId="81" xr:uid="{00000000-0005-0000-0000-000052000000}"/>
    <cellStyle name="Normal 8 4" xfId="82" xr:uid="{00000000-0005-0000-0000-000053000000}"/>
    <cellStyle name="Normal 8 5" xfId="83" xr:uid="{00000000-0005-0000-0000-000054000000}"/>
    <cellStyle name="Normal 9" xfId="84" xr:uid="{00000000-0005-0000-0000-000055000000}"/>
    <cellStyle name="Normal 9 2" xfId="115" xr:uid="{4C6FAB44-E997-4AAC-8700-AB165A4C8CC3}"/>
    <cellStyle name="Note 4" xfId="97" xr:uid="{589FFF6E-9E51-4239-B591-B833E23EFDD2}"/>
    <cellStyle name="Percent" xfId="95" builtinId="5"/>
    <cellStyle name="Percent 2" xfId="85" xr:uid="{00000000-0005-0000-0000-000056000000}"/>
    <cellStyle name="Percent 2 2" xfId="86" xr:uid="{00000000-0005-0000-0000-000057000000}"/>
    <cellStyle name="Percent 2 2 2" xfId="87" xr:uid="{00000000-0005-0000-0000-000058000000}"/>
    <cellStyle name="Percent 2 2 2 2" xfId="88" xr:uid="{00000000-0005-0000-0000-000059000000}"/>
    <cellStyle name="Percent 2 2 3" xfId="89" xr:uid="{00000000-0005-0000-0000-00005A000000}"/>
    <cellStyle name="Percent 2 3" xfId="90" xr:uid="{00000000-0005-0000-0000-00005B000000}"/>
    <cellStyle name="Percent 2 3 2" xfId="91" xr:uid="{00000000-0005-0000-0000-00005C000000}"/>
    <cellStyle name="Percent 2 4" xfId="92" xr:uid="{00000000-0005-0000-0000-00005D000000}"/>
    <cellStyle name="Percent 2 5" xfId="107" xr:uid="{D8E5AD55-2957-42B6-8C96-5A71C465A783}"/>
    <cellStyle name="Percent 2 6" xfId="130" xr:uid="{ABFC4042-8DFD-46CC-A2EA-97E0C5DD60D1}"/>
    <cellStyle name="Percent 3" xfId="93" xr:uid="{00000000-0005-0000-0000-00005E000000}"/>
    <cellStyle name="Percent 3 2" xfId="116" xr:uid="{0F5A9A25-3A20-4DD4-9227-110C458DB748}"/>
    <cellStyle name="Percent 4" xfId="101" xr:uid="{87EB6BFB-3578-4EC8-9990-8F6A8F930EC6}"/>
    <cellStyle name="TableStyleLight1" xfId="94" xr:uid="{00000000-0005-0000-0000-00005F000000}"/>
  </cellStyles>
  <dxfs count="23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 defaultTableStyle="TableStyleMedium2" defaultPivotStyle="PivotStyleLight16">
    <tableStyle name="Komal Gang-style" pivot="0" count="4" xr9:uid="{9C57A659-B3A0-49E9-846B-E5C38D2E1C19}">
      <tableStyleElement type="wholeTable" size="0" dxfId="233"/>
      <tableStyleElement type="headerRow" dxfId="232"/>
      <tableStyleElement type="firstRowStripe" dxfId="231"/>
      <tableStyleElement type="secondRowStripe" dxfId="230"/>
    </tableStyle>
    <tableStyle name="Rahul Gang-style" pivot="0" count="4" xr9:uid="{3D22637C-CDC4-45FB-9A29-30C7D42679DD}">
      <tableStyleElement type="wholeTable" size="0" dxfId="229"/>
      <tableStyleElement type="headerRow" dxfId="228"/>
      <tableStyleElement type="firstRowStripe" dxfId="227"/>
      <tableStyleElement type="secondRowStripe" dxfId="226"/>
    </tableStyle>
  </tableStyles>
  <colors>
    <mruColors>
      <color rgb="FF00FFCC"/>
      <color rgb="FFFFFF99"/>
      <color rgb="FFFFCCFF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2800"/>
              <a:t>'S' Curve Foundation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'S-Curve FDN'!$B$2</c:f>
              <c:strCache>
                <c:ptCount val="1"/>
                <c:pt idx="0">
                  <c:v>L2-FDN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FDN'!$A$3:$A$17</c:f>
              <c:numCache>
                <c:formatCode>mmm\-yy</c:formatCode>
                <c:ptCount val="15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  <c:pt idx="4">
                  <c:v>45536</c:v>
                </c:pt>
                <c:pt idx="5">
                  <c:v>45566</c:v>
                </c:pt>
                <c:pt idx="6">
                  <c:v>45597</c:v>
                </c:pt>
                <c:pt idx="7">
                  <c:v>45627</c:v>
                </c:pt>
                <c:pt idx="8">
                  <c:v>45658</c:v>
                </c:pt>
                <c:pt idx="9">
                  <c:v>45689</c:v>
                </c:pt>
                <c:pt idx="10">
                  <c:v>45717</c:v>
                </c:pt>
                <c:pt idx="11">
                  <c:v>45748</c:v>
                </c:pt>
                <c:pt idx="12">
                  <c:v>45778</c:v>
                </c:pt>
                <c:pt idx="13">
                  <c:v>45809</c:v>
                </c:pt>
                <c:pt idx="14">
                  <c:v>45839</c:v>
                </c:pt>
              </c:numCache>
            </c:numRef>
          </c:cat>
          <c:val>
            <c:numRef>
              <c:f>'S-Curve FDN'!$B$3:$B$17</c:f>
              <c:numCache>
                <c:formatCode>General</c:formatCode>
                <c:ptCount val="15"/>
                <c:pt idx="0">
                  <c:v>6</c:v>
                </c:pt>
                <c:pt idx="1">
                  <c:v>18</c:v>
                </c:pt>
                <c:pt idx="2">
                  <c:v>18</c:v>
                </c:pt>
                <c:pt idx="3">
                  <c:v>20</c:v>
                </c:pt>
                <c:pt idx="4">
                  <c:v>22</c:v>
                </c:pt>
                <c:pt idx="5">
                  <c:v>22</c:v>
                </c:pt>
                <c:pt idx="6">
                  <c:v>25</c:v>
                </c:pt>
                <c:pt idx="7">
                  <c:v>25</c:v>
                </c:pt>
                <c:pt idx="8">
                  <c:v>30</c:v>
                </c:pt>
                <c:pt idx="9">
                  <c:v>30</c:v>
                </c:pt>
                <c:pt idx="10">
                  <c:v>25</c:v>
                </c:pt>
                <c:pt idx="11">
                  <c:v>15</c:v>
                </c:pt>
                <c:pt idx="12">
                  <c:v>15</c:v>
                </c:pt>
                <c:pt idx="13">
                  <c:v>10</c:v>
                </c:pt>
                <c:pt idx="1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6F-4F2C-A375-14DFE6A33CB1}"/>
            </c:ext>
          </c:extLst>
        </c:ser>
        <c:ser>
          <c:idx val="1"/>
          <c:order val="1"/>
          <c:tx>
            <c:strRef>
              <c:f>'S-Curve FDN'!$C$2</c:f>
              <c:strCache>
                <c:ptCount val="1"/>
                <c:pt idx="0">
                  <c:v>Act-Foundation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FDN'!$A$3:$A$17</c:f>
              <c:numCache>
                <c:formatCode>mmm\-yy</c:formatCode>
                <c:ptCount val="15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  <c:pt idx="4">
                  <c:v>45536</c:v>
                </c:pt>
                <c:pt idx="5">
                  <c:v>45566</c:v>
                </c:pt>
                <c:pt idx="6">
                  <c:v>45597</c:v>
                </c:pt>
                <c:pt idx="7">
                  <c:v>45627</c:v>
                </c:pt>
                <c:pt idx="8">
                  <c:v>45658</c:v>
                </c:pt>
                <c:pt idx="9">
                  <c:v>45689</c:v>
                </c:pt>
                <c:pt idx="10">
                  <c:v>45717</c:v>
                </c:pt>
                <c:pt idx="11">
                  <c:v>45748</c:v>
                </c:pt>
                <c:pt idx="12">
                  <c:v>45778</c:v>
                </c:pt>
                <c:pt idx="13">
                  <c:v>45809</c:v>
                </c:pt>
                <c:pt idx="14">
                  <c:v>45839</c:v>
                </c:pt>
              </c:numCache>
            </c:numRef>
          </c:cat>
          <c:val>
            <c:numRef>
              <c:f>'S-Curve FDN'!$C$3:$C$17</c:f>
              <c:numCache>
                <c:formatCode>General</c:formatCode>
                <c:ptCount val="15"/>
                <c:pt idx="1">
                  <c:v>14</c:v>
                </c:pt>
                <c:pt idx="2">
                  <c:v>20</c:v>
                </c:pt>
                <c:pt idx="3">
                  <c:v>23</c:v>
                </c:pt>
                <c:pt idx="4">
                  <c:v>40</c:v>
                </c:pt>
                <c:pt idx="5">
                  <c:v>36</c:v>
                </c:pt>
                <c:pt idx="6">
                  <c:v>24</c:v>
                </c:pt>
                <c:pt idx="7">
                  <c:v>32</c:v>
                </c:pt>
                <c:pt idx="8">
                  <c:v>35</c:v>
                </c:pt>
                <c:pt idx="9">
                  <c:v>31</c:v>
                </c:pt>
                <c:pt idx="10">
                  <c:v>19</c:v>
                </c:pt>
                <c:pt idx="11">
                  <c:v>23</c:v>
                </c:pt>
                <c:pt idx="12">
                  <c:v>10</c:v>
                </c:pt>
                <c:pt idx="1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6F-4F2C-A375-14DFE6A33C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82917791"/>
        <c:axId val="1682915871"/>
      </c:barChart>
      <c:lineChart>
        <c:grouping val="standard"/>
        <c:varyColors val="0"/>
        <c:ser>
          <c:idx val="2"/>
          <c:order val="2"/>
          <c:tx>
            <c:strRef>
              <c:f>'S-Curve FDN'!$D$2</c:f>
              <c:strCache>
                <c:ptCount val="1"/>
                <c:pt idx="0">
                  <c:v>Cum. L2 Fdn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FDN'!$A$3:$A$17</c:f>
              <c:numCache>
                <c:formatCode>mmm\-yy</c:formatCode>
                <c:ptCount val="15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  <c:pt idx="4">
                  <c:v>45536</c:v>
                </c:pt>
                <c:pt idx="5">
                  <c:v>45566</c:v>
                </c:pt>
                <c:pt idx="6">
                  <c:v>45597</c:v>
                </c:pt>
                <c:pt idx="7">
                  <c:v>45627</c:v>
                </c:pt>
                <c:pt idx="8">
                  <c:v>45658</c:v>
                </c:pt>
                <c:pt idx="9">
                  <c:v>45689</c:v>
                </c:pt>
                <c:pt idx="10">
                  <c:v>45717</c:v>
                </c:pt>
                <c:pt idx="11">
                  <c:v>45748</c:v>
                </c:pt>
                <c:pt idx="12">
                  <c:v>45778</c:v>
                </c:pt>
                <c:pt idx="13">
                  <c:v>45809</c:v>
                </c:pt>
                <c:pt idx="14">
                  <c:v>45839</c:v>
                </c:pt>
              </c:numCache>
            </c:numRef>
          </c:cat>
          <c:val>
            <c:numRef>
              <c:f>'S-Curve FDN'!$D$3:$D$17</c:f>
              <c:numCache>
                <c:formatCode>General</c:formatCode>
                <c:ptCount val="15"/>
                <c:pt idx="0">
                  <c:v>6</c:v>
                </c:pt>
                <c:pt idx="1">
                  <c:v>24</c:v>
                </c:pt>
                <c:pt idx="2">
                  <c:v>42</c:v>
                </c:pt>
                <c:pt idx="3">
                  <c:v>62</c:v>
                </c:pt>
                <c:pt idx="4">
                  <c:v>84</c:v>
                </c:pt>
                <c:pt idx="5">
                  <c:v>106</c:v>
                </c:pt>
                <c:pt idx="6">
                  <c:v>131</c:v>
                </c:pt>
                <c:pt idx="7">
                  <c:v>156</c:v>
                </c:pt>
                <c:pt idx="8">
                  <c:v>186</c:v>
                </c:pt>
                <c:pt idx="9">
                  <c:v>216</c:v>
                </c:pt>
                <c:pt idx="10">
                  <c:v>241</c:v>
                </c:pt>
                <c:pt idx="11">
                  <c:v>256</c:v>
                </c:pt>
                <c:pt idx="12">
                  <c:v>271</c:v>
                </c:pt>
                <c:pt idx="13">
                  <c:v>281</c:v>
                </c:pt>
                <c:pt idx="14">
                  <c:v>287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66F-4F2C-A375-14DFE6A33CB1}"/>
            </c:ext>
          </c:extLst>
        </c:ser>
        <c:ser>
          <c:idx val="3"/>
          <c:order val="3"/>
          <c:tx>
            <c:strRef>
              <c:f>'S-Curve FDN'!$E$2</c:f>
              <c:strCache>
                <c:ptCount val="1"/>
                <c:pt idx="0">
                  <c:v>Cum. Fdn Actual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FDN'!$A$3:$A$17</c:f>
              <c:numCache>
                <c:formatCode>mmm\-yy</c:formatCode>
                <c:ptCount val="15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  <c:pt idx="4">
                  <c:v>45536</c:v>
                </c:pt>
                <c:pt idx="5">
                  <c:v>45566</c:v>
                </c:pt>
                <c:pt idx="6">
                  <c:v>45597</c:v>
                </c:pt>
                <c:pt idx="7">
                  <c:v>45627</c:v>
                </c:pt>
                <c:pt idx="8">
                  <c:v>45658</c:v>
                </c:pt>
                <c:pt idx="9">
                  <c:v>45689</c:v>
                </c:pt>
                <c:pt idx="10">
                  <c:v>45717</c:v>
                </c:pt>
                <c:pt idx="11">
                  <c:v>45748</c:v>
                </c:pt>
                <c:pt idx="12">
                  <c:v>45778</c:v>
                </c:pt>
                <c:pt idx="13">
                  <c:v>45809</c:v>
                </c:pt>
                <c:pt idx="14">
                  <c:v>45839</c:v>
                </c:pt>
              </c:numCache>
            </c:numRef>
          </c:cat>
          <c:val>
            <c:numRef>
              <c:f>'S-Curve FDN'!$E$3:$E$17</c:f>
              <c:numCache>
                <c:formatCode>General</c:formatCode>
                <c:ptCount val="15"/>
                <c:pt idx="0">
                  <c:v>0</c:v>
                </c:pt>
                <c:pt idx="1">
                  <c:v>14</c:v>
                </c:pt>
                <c:pt idx="2">
                  <c:v>34</c:v>
                </c:pt>
                <c:pt idx="3">
                  <c:v>57</c:v>
                </c:pt>
                <c:pt idx="4">
                  <c:v>97</c:v>
                </c:pt>
                <c:pt idx="5">
                  <c:v>133</c:v>
                </c:pt>
                <c:pt idx="6">
                  <c:v>157</c:v>
                </c:pt>
                <c:pt idx="7">
                  <c:v>189</c:v>
                </c:pt>
                <c:pt idx="8">
                  <c:v>224</c:v>
                </c:pt>
                <c:pt idx="9">
                  <c:v>255</c:v>
                </c:pt>
                <c:pt idx="10">
                  <c:v>274</c:v>
                </c:pt>
                <c:pt idx="11">
                  <c:v>297</c:v>
                </c:pt>
                <c:pt idx="12">
                  <c:v>307</c:v>
                </c:pt>
                <c:pt idx="13">
                  <c:v>313</c:v>
                </c:pt>
                <c:pt idx="14">
                  <c:v>313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66F-4F2C-A375-14DFE6A33C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2907711"/>
        <c:axId val="1682914911"/>
      </c:lineChart>
      <c:dateAx>
        <c:axId val="1682917791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915871"/>
        <c:crosses val="autoZero"/>
        <c:auto val="1"/>
        <c:lblOffset val="100"/>
        <c:baseTimeUnit val="months"/>
      </c:dateAx>
      <c:valAx>
        <c:axId val="1682915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917791"/>
        <c:crosses val="autoZero"/>
        <c:crossBetween val="between"/>
      </c:valAx>
      <c:valAx>
        <c:axId val="1682914911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907711"/>
        <c:crosses val="max"/>
        <c:crossBetween val="between"/>
      </c:valAx>
      <c:dateAx>
        <c:axId val="1682907711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682914911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2400"/>
              <a:t>'S' Curve for Erection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'S-Curve Erection'!$B$2</c:f>
              <c:strCache>
                <c:ptCount val="1"/>
                <c:pt idx="0">
                  <c:v>L2-Ere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Erection'!$A$3:$A$21</c:f>
              <c:numCache>
                <c:formatCode>mmm\-yy</c:formatCode>
                <c:ptCount val="19"/>
                <c:pt idx="0">
                  <c:v>45444</c:v>
                </c:pt>
                <c:pt idx="1">
                  <c:v>45474</c:v>
                </c:pt>
                <c:pt idx="2">
                  <c:v>45505</c:v>
                </c:pt>
                <c:pt idx="3">
                  <c:v>45536</c:v>
                </c:pt>
                <c:pt idx="4">
                  <c:v>45566</c:v>
                </c:pt>
                <c:pt idx="5">
                  <c:v>45597</c:v>
                </c:pt>
                <c:pt idx="6">
                  <c:v>45627</c:v>
                </c:pt>
                <c:pt idx="7">
                  <c:v>45658</c:v>
                </c:pt>
                <c:pt idx="8">
                  <c:v>45689</c:v>
                </c:pt>
                <c:pt idx="9">
                  <c:v>45717</c:v>
                </c:pt>
                <c:pt idx="10">
                  <c:v>45748</c:v>
                </c:pt>
                <c:pt idx="11">
                  <c:v>45778</c:v>
                </c:pt>
                <c:pt idx="12">
                  <c:v>45809</c:v>
                </c:pt>
                <c:pt idx="13">
                  <c:v>45839</c:v>
                </c:pt>
                <c:pt idx="14">
                  <c:v>45870</c:v>
                </c:pt>
                <c:pt idx="15">
                  <c:v>45901</c:v>
                </c:pt>
                <c:pt idx="16">
                  <c:v>45931</c:v>
                </c:pt>
                <c:pt idx="17">
                  <c:v>45962</c:v>
                </c:pt>
                <c:pt idx="18">
                  <c:v>45992</c:v>
                </c:pt>
              </c:numCache>
            </c:numRef>
          </c:cat>
          <c:val>
            <c:numRef>
              <c:f>'S-Curve Erection'!$B$3:$B$21</c:f>
              <c:numCache>
                <c:formatCode>General</c:formatCode>
                <c:ptCount val="19"/>
                <c:pt idx="0">
                  <c:v>4</c:v>
                </c:pt>
                <c:pt idx="1">
                  <c:v>15</c:v>
                </c:pt>
                <c:pt idx="2">
                  <c:v>15</c:v>
                </c:pt>
                <c:pt idx="3">
                  <c:v>22</c:v>
                </c:pt>
                <c:pt idx="4">
                  <c:v>20</c:v>
                </c:pt>
                <c:pt idx="5">
                  <c:v>22</c:v>
                </c:pt>
                <c:pt idx="6">
                  <c:v>22</c:v>
                </c:pt>
                <c:pt idx="7">
                  <c:v>22</c:v>
                </c:pt>
                <c:pt idx="8">
                  <c:v>22</c:v>
                </c:pt>
                <c:pt idx="9">
                  <c:v>22</c:v>
                </c:pt>
                <c:pt idx="10">
                  <c:v>22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12</c:v>
                </c:pt>
                <c:pt idx="15">
                  <c:v>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9B-4C68-B4A4-51D4A7F7040D}"/>
            </c:ext>
          </c:extLst>
        </c:ser>
        <c:ser>
          <c:idx val="1"/>
          <c:order val="1"/>
          <c:tx>
            <c:strRef>
              <c:f>'S-Curve Erection'!$C$2</c:f>
              <c:strCache>
                <c:ptCount val="1"/>
                <c:pt idx="0">
                  <c:v>Act-Erection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Erection'!$A$3:$A$21</c:f>
              <c:numCache>
                <c:formatCode>mmm\-yy</c:formatCode>
                <c:ptCount val="19"/>
                <c:pt idx="0">
                  <c:v>45444</c:v>
                </c:pt>
                <c:pt idx="1">
                  <c:v>45474</c:v>
                </c:pt>
                <c:pt idx="2">
                  <c:v>45505</c:v>
                </c:pt>
                <c:pt idx="3">
                  <c:v>45536</c:v>
                </c:pt>
                <c:pt idx="4">
                  <c:v>45566</c:v>
                </c:pt>
                <c:pt idx="5">
                  <c:v>45597</c:v>
                </c:pt>
                <c:pt idx="6">
                  <c:v>45627</c:v>
                </c:pt>
                <c:pt idx="7">
                  <c:v>45658</c:v>
                </c:pt>
                <c:pt idx="8">
                  <c:v>45689</c:v>
                </c:pt>
                <c:pt idx="9">
                  <c:v>45717</c:v>
                </c:pt>
                <c:pt idx="10">
                  <c:v>45748</c:v>
                </c:pt>
                <c:pt idx="11">
                  <c:v>45778</c:v>
                </c:pt>
                <c:pt idx="12">
                  <c:v>45809</c:v>
                </c:pt>
                <c:pt idx="13">
                  <c:v>45839</c:v>
                </c:pt>
                <c:pt idx="14">
                  <c:v>45870</c:v>
                </c:pt>
                <c:pt idx="15">
                  <c:v>45901</c:v>
                </c:pt>
                <c:pt idx="16">
                  <c:v>45931</c:v>
                </c:pt>
                <c:pt idx="17">
                  <c:v>45962</c:v>
                </c:pt>
                <c:pt idx="18">
                  <c:v>45992</c:v>
                </c:pt>
              </c:numCache>
            </c:numRef>
          </c:cat>
          <c:val>
            <c:numRef>
              <c:f>'S-Curve Erection'!$C$3:$C$21</c:f>
              <c:numCache>
                <c:formatCode>General</c:formatCode>
                <c:ptCount val="19"/>
                <c:pt idx="3">
                  <c:v>2</c:v>
                </c:pt>
                <c:pt idx="4">
                  <c:v>5</c:v>
                </c:pt>
                <c:pt idx="5">
                  <c:v>2</c:v>
                </c:pt>
                <c:pt idx="6">
                  <c:v>13</c:v>
                </c:pt>
                <c:pt idx="7">
                  <c:v>25</c:v>
                </c:pt>
                <c:pt idx="8">
                  <c:v>21</c:v>
                </c:pt>
                <c:pt idx="9">
                  <c:v>25</c:v>
                </c:pt>
                <c:pt idx="10">
                  <c:v>11</c:v>
                </c:pt>
                <c:pt idx="11">
                  <c:v>0</c:v>
                </c:pt>
                <c:pt idx="12">
                  <c:v>0</c:v>
                </c:pt>
                <c:pt idx="13">
                  <c:v>8</c:v>
                </c:pt>
                <c:pt idx="14">
                  <c:v>44</c:v>
                </c:pt>
                <c:pt idx="15">
                  <c:v>65</c:v>
                </c:pt>
                <c:pt idx="16">
                  <c:v>36</c:v>
                </c:pt>
                <c:pt idx="17">
                  <c:v>24</c:v>
                </c:pt>
                <c:pt idx="18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9B-4C68-B4A4-51D4A7F704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8626735"/>
        <c:axId val="208644495"/>
      </c:barChart>
      <c:lineChart>
        <c:grouping val="standard"/>
        <c:varyColors val="0"/>
        <c:ser>
          <c:idx val="2"/>
          <c:order val="2"/>
          <c:tx>
            <c:strRef>
              <c:f>'S-Curve Erection'!$D$2</c:f>
              <c:strCache>
                <c:ptCount val="1"/>
                <c:pt idx="0">
                  <c:v>Cum. L2 Ere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Erection'!$A$3:$A$21</c:f>
              <c:numCache>
                <c:formatCode>mmm\-yy</c:formatCode>
                <c:ptCount val="19"/>
                <c:pt idx="0">
                  <c:v>45444</c:v>
                </c:pt>
                <c:pt idx="1">
                  <c:v>45474</c:v>
                </c:pt>
                <c:pt idx="2">
                  <c:v>45505</c:v>
                </c:pt>
                <c:pt idx="3">
                  <c:v>45536</c:v>
                </c:pt>
                <c:pt idx="4">
                  <c:v>45566</c:v>
                </c:pt>
                <c:pt idx="5">
                  <c:v>45597</c:v>
                </c:pt>
                <c:pt idx="6">
                  <c:v>45627</c:v>
                </c:pt>
                <c:pt idx="7">
                  <c:v>45658</c:v>
                </c:pt>
                <c:pt idx="8">
                  <c:v>45689</c:v>
                </c:pt>
                <c:pt idx="9">
                  <c:v>45717</c:v>
                </c:pt>
                <c:pt idx="10">
                  <c:v>45748</c:v>
                </c:pt>
                <c:pt idx="11">
                  <c:v>45778</c:v>
                </c:pt>
                <c:pt idx="12">
                  <c:v>45809</c:v>
                </c:pt>
                <c:pt idx="13">
                  <c:v>45839</c:v>
                </c:pt>
                <c:pt idx="14">
                  <c:v>45870</c:v>
                </c:pt>
                <c:pt idx="15">
                  <c:v>45901</c:v>
                </c:pt>
                <c:pt idx="16">
                  <c:v>45931</c:v>
                </c:pt>
                <c:pt idx="17">
                  <c:v>45962</c:v>
                </c:pt>
                <c:pt idx="18">
                  <c:v>45992</c:v>
                </c:pt>
              </c:numCache>
            </c:numRef>
          </c:cat>
          <c:val>
            <c:numRef>
              <c:f>'S-Curve Erection'!$D$3:$D$21</c:f>
              <c:numCache>
                <c:formatCode>General</c:formatCode>
                <c:ptCount val="19"/>
                <c:pt idx="0">
                  <c:v>4</c:v>
                </c:pt>
                <c:pt idx="1">
                  <c:v>19</c:v>
                </c:pt>
                <c:pt idx="2">
                  <c:v>34</c:v>
                </c:pt>
                <c:pt idx="3">
                  <c:v>56</c:v>
                </c:pt>
                <c:pt idx="4">
                  <c:v>76</c:v>
                </c:pt>
                <c:pt idx="5">
                  <c:v>98</c:v>
                </c:pt>
                <c:pt idx="6">
                  <c:v>120</c:v>
                </c:pt>
                <c:pt idx="7">
                  <c:v>142</c:v>
                </c:pt>
                <c:pt idx="8">
                  <c:v>164</c:v>
                </c:pt>
                <c:pt idx="9">
                  <c:v>186</c:v>
                </c:pt>
                <c:pt idx="10">
                  <c:v>208</c:v>
                </c:pt>
                <c:pt idx="11">
                  <c:v>228</c:v>
                </c:pt>
                <c:pt idx="12">
                  <c:v>248</c:v>
                </c:pt>
                <c:pt idx="13">
                  <c:v>268</c:v>
                </c:pt>
                <c:pt idx="14">
                  <c:v>280</c:v>
                </c:pt>
                <c:pt idx="15">
                  <c:v>287</c:v>
                </c:pt>
                <c:pt idx="16">
                  <c:v>287</c:v>
                </c:pt>
                <c:pt idx="17">
                  <c:v>287</c:v>
                </c:pt>
                <c:pt idx="18">
                  <c:v>287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B9B-4C68-B4A4-51D4A7F7040D}"/>
            </c:ext>
          </c:extLst>
        </c:ser>
        <c:ser>
          <c:idx val="3"/>
          <c:order val="3"/>
          <c:tx>
            <c:strRef>
              <c:f>'S-Curve Erection'!$E$2</c:f>
              <c:strCache>
                <c:ptCount val="1"/>
                <c:pt idx="0">
                  <c:v>Cum. Ere. Actual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Erection'!$A$3:$A$21</c:f>
              <c:numCache>
                <c:formatCode>mmm\-yy</c:formatCode>
                <c:ptCount val="19"/>
                <c:pt idx="0">
                  <c:v>45444</c:v>
                </c:pt>
                <c:pt idx="1">
                  <c:v>45474</c:v>
                </c:pt>
                <c:pt idx="2">
                  <c:v>45505</c:v>
                </c:pt>
                <c:pt idx="3">
                  <c:v>45536</c:v>
                </c:pt>
                <c:pt idx="4">
                  <c:v>45566</c:v>
                </c:pt>
                <c:pt idx="5">
                  <c:v>45597</c:v>
                </c:pt>
                <c:pt idx="6">
                  <c:v>45627</c:v>
                </c:pt>
                <c:pt idx="7">
                  <c:v>45658</c:v>
                </c:pt>
                <c:pt idx="8">
                  <c:v>45689</c:v>
                </c:pt>
                <c:pt idx="9">
                  <c:v>45717</c:v>
                </c:pt>
                <c:pt idx="10">
                  <c:v>45748</c:v>
                </c:pt>
                <c:pt idx="11">
                  <c:v>45778</c:v>
                </c:pt>
                <c:pt idx="12">
                  <c:v>45809</c:v>
                </c:pt>
                <c:pt idx="13">
                  <c:v>45839</c:v>
                </c:pt>
                <c:pt idx="14">
                  <c:v>45870</c:v>
                </c:pt>
                <c:pt idx="15">
                  <c:v>45901</c:v>
                </c:pt>
                <c:pt idx="16">
                  <c:v>45931</c:v>
                </c:pt>
                <c:pt idx="17">
                  <c:v>45962</c:v>
                </c:pt>
                <c:pt idx="18">
                  <c:v>45992</c:v>
                </c:pt>
              </c:numCache>
            </c:numRef>
          </c:cat>
          <c:val>
            <c:numRef>
              <c:f>'S-Curve Erection'!$E$3:$E$21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7</c:v>
                </c:pt>
                <c:pt idx="5">
                  <c:v>9</c:v>
                </c:pt>
                <c:pt idx="6">
                  <c:v>22</c:v>
                </c:pt>
                <c:pt idx="7">
                  <c:v>47</c:v>
                </c:pt>
                <c:pt idx="8">
                  <c:v>68</c:v>
                </c:pt>
                <c:pt idx="9">
                  <c:v>93</c:v>
                </c:pt>
                <c:pt idx="10">
                  <c:v>104</c:v>
                </c:pt>
                <c:pt idx="11">
                  <c:v>104</c:v>
                </c:pt>
                <c:pt idx="12">
                  <c:v>104</c:v>
                </c:pt>
                <c:pt idx="13">
                  <c:v>112</c:v>
                </c:pt>
                <c:pt idx="14">
                  <c:v>156</c:v>
                </c:pt>
                <c:pt idx="15">
                  <c:v>221</c:v>
                </c:pt>
                <c:pt idx="16">
                  <c:v>257</c:v>
                </c:pt>
                <c:pt idx="17">
                  <c:v>281</c:v>
                </c:pt>
                <c:pt idx="18">
                  <c:v>294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B9B-4C68-B4A4-51D4A7F704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633935"/>
        <c:axId val="208632975"/>
      </c:lineChart>
      <c:dateAx>
        <c:axId val="208626735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44495"/>
        <c:crosses val="autoZero"/>
        <c:auto val="1"/>
        <c:lblOffset val="100"/>
        <c:baseTimeUnit val="months"/>
      </c:dateAx>
      <c:valAx>
        <c:axId val="208644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26735"/>
        <c:crosses val="autoZero"/>
        <c:crossBetween val="between"/>
      </c:valAx>
      <c:valAx>
        <c:axId val="208632975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33935"/>
        <c:crosses val="max"/>
        <c:crossBetween val="between"/>
      </c:valAx>
      <c:dateAx>
        <c:axId val="208633935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208632975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2000"/>
              <a:t>'S'</a:t>
            </a:r>
            <a:r>
              <a:rPr lang="en-IN" sz="2000" baseline="0"/>
              <a:t> Curve for Stringing</a:t>
            </a:r>
            <a:endParaRPr lang="en-IN" sz="2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'S-Curve Stringing'!$B$2</c:f>
              <c:strCache>
                <c:ptCount val="1"/>
                <c:pt idx="0">
                  <c:v>L2-Str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Stringing'!$A$3:$A$20</c:f>
              <c:numCache>
                <c:formatCode>mmm\-yy</c:formatCode>
                <c:ptCount val="18"/>
                <c:pt idx="0">
                  <c:v>45505</c:v>
                </c:pt>
                <c:pt idx="1">
                  <c:v>45536</c:v>
                </c:pt>
                <c:pt idx="2">
                  <c:v>45566</c:v>
                </c:pt>
                <c:pt idx="3">
                  <c:v>45597</c:v>
                </c:pt>
                <c:pt idx="4">
                  <c:v>45627</c:v>
                </c:pt>
                <c:pt idx="5">
                  <c:v>45658</c:v>
                </c:pt>
                <c:pt idx="6">
                  <c:v>45689</c:v>
                </c:pt>
                <c:pt idx="7">
                  <c:v>45717</c:v>
                </c:pt>
                <c:pt idx="8">
                  <c:v>45748</c:v>
                </c:pt>
                <c:pt idx="9">
                  <c:v>45778</c:v>
                </c:pt>
                <c:pt idx="10">
                  <c:v>45809</c:v>
                </c:pt>
                <c:pt idx="11">
                  <c:v>45839</c:v>
                </c:pt>
                <c:pt idx="12">
                  <c:v>45870</c:v>
                </c:pt>
                <c:pt idx="13">
                  <c:v>45901</c:v>
                </c:pt>
                <c:pt idx="14">
                  <c:v>45931</c:v>
                </c:pt>
                <c:pt idx="15">
                  <c:v>45962</c:v>
                </c:pt>
                <c:pt idx="16">
                  <c:v>45992</c:v>
                </c:pt>
                <c:pt idx="17">
                  <c:v>46023</c:v>
                </c:pt>
              </c:numCache>
            </c:numRef>
          </c:cat>
          <c:val>
            <c:numRef>
              <c:f>'S-Curve Stringing'!$B$3:$B$20</c:f>
              <c:numCache>
                <c:formatCode>0.00</c:formatCode>
                <c:ptCount val="18"/>
                <c:pt idx="0">
                  <c:v>4</c:v>
                </c:pt>
                <c:pt idx="1">
                  <c:v>4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  <c:pt idx="13">
                  <c:v>4</c:v>
                </c:pt>
                <c:pt idx="14">
                  <c:v>4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0F-4CA7-A11A-A031F4AF369E}"/>
            </c:ext>
          </c:extLst>
        </c:ser>
        <c:ser>
          <c:idx val="1"/>
          <c:order val="1"/>
          <c:tx>
            <c:strRef>
              <c:f>'S-Curve Stringing'!$C$2</c:f>
              <c:strCache>
                <c:ptCount val="1"/>
                <c:pt idx="0">
                  <c:v>Act-Str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Stringing'!$A$3:$A$20</c:f>
              <c:numCache>
                <c:formatCode>mmm\-yy</c:formatCode>
                <c:ptCount val="18"/>
                <c:pt idx="0">
                  <c:v>45505</c:v>
                </c:pt>
                <c:pt idx="1">
                  <c:v>45536</c:v>
                </c:pt>
                <c:pt idx="2">
                  <c:v>45566</c:v>
                </c:pt>
                <c:pt idx="3">
                  <c:v>45597</c:v>
                </c:pt>
                <c:pt idx="4">
                  <c:v>45627</c:v>
                </c:pt>
                <c:pt idx="5">
                  <c:v>45658</c:v>
                </c:pt>
                <c:pt idx="6">
                  <c:v>45689</c:v>
                </c:pt>
                <c:pt idx="7">
                  <c:v>45717</c:v>
                </c:pt>
                <c:pt idx="8">
                  <c:v>45748</c:v>
                </c:pt>
                <c:pt idx="9">
                  <c:v>45778</c:v>
                </c:pt>
                <c:pt idx="10">
                  <c:v>45809</c:v>
                </c:pt>
                <c:pt idx="11">
                  <c:v>45839</c:v>
                </c:pt>
                <c:pt idx="12">
                  <c:v>45870</c:v>
                </c:pt>
                <c:pt idx="13">
                  <c:v>45901</c:v>
                </c:pt>
                <c:pt idx="14">
                  <c:v>45931</c:v>
                </c:pt>
                <c:pt idx="15">
                  <c:v>45962</c:v>
                </c:pt>
                <c:pt idx="16">
                  <c:v>45992</c:v>
                </c:pt>
                <c:pt idx="17">
                  <c:v>46023</c:v>
                </c:pt>
              </c:numCache>
            </c:numRef>
          </c:cat>
          <c:val>
            <c:numRef>
              <c:f>'S-Curve Stringing'!$C$3:$C$20</c:f>
              <c:numCache>
                <c:formatCode>General</c:formatCode>
                <c:ptCount val="18"/>
                <c:pt idx="7" formatCode="0.000">
                  <c:v>4.899</c:v>
                </c:pt>
                <c:pt idx="8" formatCode="0.000">
                  <c:v>6.7469999999999999</c:v>
                </c:pt>
                <c:pt idx="9" formatCode="0.000">
                  <c:v>4.7160000000000002</c:v>
                </c:pt>
                <c:pt idx="13" formatCode="0.000">
                  <c:v>5.1340000000000003</c:v>
                </c:pt>
                <c:pt idx="14" formatCode="0.000">
                  <c:v>4.9219999999999997</c:v>
                </c:pt>
                <c:pt idx="15" formatCode="0.000">
                  <c:v>4.9009999999999998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0F-4CA7-A11A-A031F4AF36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7005199"/>
        <c:axId val="157005679"/>
      </c:barChart>
      <c:lineChart>
        <c:grouping val="standard"/>
        <c:varyColors val="0"/>
        <c:ser>
          <c:idx val="2"/>
          <c:order val="2"/>
          <c:tx>
            <c:strRef>
              <c:f>'S-Curve Stringing'!$D$2</c:f>
              <c:strCache>
                <c:ptCount val="1"/>
                <c:pt idx="0">
                  <c:v>Cum. L2 Str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Stringing'!$A$3:$A$20</c:f>
              <c:numCache>
                <c:formatCode>mmm\-yy</c:formatCode>
                <c:ptCount val="18"/>
                <c:pt idx="0">
                  <c:v>45505</c:v>
                </c:pt>
                <c:pt idx="1">
                  <c:v>45536</c:v>
                </c:pt>
                <c:pt idx="2">
                  <c:v>45566</c:v>
                </c:pt>
                <c:pt idx="3">
                  <c:v>45597</c:v>
                </c:pt>
                <c:pt idx="4">
                  <c:v>45627</c:v>
                </c:pt>
                <c:pt idx="5">
                  <c:v>45658</c:v>
                </c:pt>
                <c:pt idx="6">
                  <c:v>45689</c:v>
                </c:pt>
                <c:pt idx="7">
                  <c:v>45717</c:v>
                </c:pt>
                <c:pt idx="8">
                  <c:v>45748</c:v>
                </c:pt>
                <c:pt idx="9">
                  <c:v>45778</c:v>
                </c:pt>
                <c:pt idx="10">
                  <c:v>45809</c:v>
                </c:pt>
                <c:pt idx="11">
                  <c:v>45839</c:v>
                </c:pt>
                <c:pt idx="12">
                  <c:v>45870</c:v>
                </c:pt>
                <c:pt idx="13">
                  <c:v>45901</c:v>
                </c:pt>
                <c:pt idx="14">
                  <c:v>45931</c:v>
                </c:pt>
                <c:pt idx="15">
                  <c:v>45962</c:v>
                </c:pt>
                <c:pt idx="16">
                  <c:v>45992</c:v>
                </c:pt>
                <c:pt idx="17">
                  <c:v>46023</c:v>
                </c:pt>
              </c:numCache>
            </c:numRef>
          </c:cat>
          <c:val>
            <c:numRef>
              <c:f>'S-Curve Stringing'!$D$3:$D$20</c:f>
              <c:numCache>
                <c:formatCode>0.00</c:formatCode>
                <c:ptCount val="18"/>
                <c:pt idx="0">
                  <c:v>4</c:v>
                </c:pt>
                <c:pt idx="1">
                  <c:v>8</c:v>
                </c:pt>
                <c:pt idx="2">
                  <c:v>16</c:v>
                </c:pt>
                <c:pt idx="3">
                  <c:v>24</c:v>
                </c:pt>
                <c:pt idx="4">
                  <c:v>32</c:v>
                </c:pt>
                <c:pt idx="5">
                  <c:v>40</c:v>
                </c:pt>
                <c:pt idx="6">
                  <c:v>50</c:v>
                </c:pt>
                <c:pt idx="7">
                  <c:v>60</c:v>
                </c:pt>
                <c:pt idx="8">
                  <c:v>70</c:v>
                </c:pt>
                <c:pt idx="9">
                  <c:v>80</c:v>
                </c:pt>
                <c:pt idx="10">
                  <c:v>88</c:v>
                </c:pt>
                <c:pt idx="11">
                  <c:v>96</c:v>
                </c:pt>
                <c:pt idx="12">
                  <c:v>104</c:v>
                </c:pt>
                <c:pt idx="13">
                  <c:v>108</c:v>
                </c:pt>
                <c:pt idx="14">
                  <c:v>112</c:v>
                </c:pt>
                <c:pt idx="15">
                  <c:v>112</c:v>
                </c:pt>
                <c:pt idx="16">
                  <c:v>112</c:v>
                </c:pt>
                <c:pt idx="17">
                  <c:v>112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70F-4CA7-A11A-A031F4AF369E}"/>
            </c:ext>
          </c:extLst>
        </c:ser>
        <c:ser>
          <c:idx val="3"/>
          <c:order val="3"/>
          <c:tx>
            <c:strRef>
              <c:f>'S-Curve Stringing'!$E$2</c:f>
              <c:strCache>
                <c:ptCount val="1"/>
                <c:pt idx="0">
                  <c:v>Cum. Str Actual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Stringing'!$A$3:$A$20</c:f>
              <c:numCache>
                <c:formatCode>mmm\-yy</c:formatCode>
                <c:ptCount val="18"/>
                <c:pt idx="0">
                  <c:v>45505</c:v>
                </c:pt>
                <c:pt idx="1">
                  <c:v>45536</c:v>
                </c:pt>
                <c:pt idx="2">
                  <c:v>45566</c:v>
                </c:pt>
                <c:pt idx="3">
                  <c:v>45597</c:v>
                </c:pt>
                <c:pt idx="4">
                  <c:v>45627</c:v>
                </c:pt>
                <c:pt idx="5">
                  <c:v>45658</c:v>
                </c:pt>
                <c:pt idx="6">
                  <c:v>45689</c:v>
                </c:pt>
                <c:pt idx="7">
                  <c:v>45717</c:v>
                </c:pt>
                <c:pt idx="8">
                  <c:v>45748</c:v>
                </c:pt>
                <c:pt idx="9">
                  <c:v>45778</c:v>
                </c:pt>
                <c:pt idx="10">
                  <c:v>45809</c:v>
                </c:pt>
                <c:pt idx="11">
                  <c:v>45839</c:v>
                </c:pt>
                <c:pt idx="12">
                  <c:v>45870</c:v>
                </c:pt>
                <c:pt idx="13">
                  <c:v>45901</c:v>
                </c:pt>
                <c:pt idx="14">
                  <c:v>45931</c:v>
                </c:pt>
                <c:pt idx="15">
                  <c:v>45962</c:v>
                </c:pt>
                <c:pt idx="16">
                  <c:v>45992</c:v>
                </c:pt>
                <c:pt idx="17">
                  <c:v>46023</c:v>
                </c:pt>
              </c:numCache>
            </c:numRef>
          </c:cat>
          <c:val>
            <c:numRef>
              <c:f>'S-Curve Stringing'!$E$3:$E$20</c:f>
              <c:numCache>
                <c:formatCode>0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 formatCode="0.000">
                  <c:v>4.899</c:v>
                </c:pt>
                <c:pt idx="8" formatCode="0.000">
                  <c:v>11.646000000000001</c:v>
                </c:pt>
                <c:pt idx="9" formatCode="0.000">
                  <c:v>16.362000000000002</c:v>
                </c:pt>
                <c:pt idx="10" formatCode="0.000">
                  <c:v>16.362000000000002</c:v>
                </c:pt>
                <c:pt idx="11" formatCode="0.000">
                  <c:v>16.362000000000002</c:v>
                </c:pt>
                <c:pt idx="12" formatCode="0.000">
                  <c:v>16.362000000000002</c:v>
                </c:pt>
                <c:pt idx="13" formatCode="0.000">
                  <c:v>21.496000000000002</c:v>
                </c:pt>
                <c:pt idx="14" formatCode="0.000">
                  <c:v>26.418000000000003</c:v>
                </c:pt>
                <c:pt idx="15" formatCode="0.000">
                  <c:v>31.319000000000003</c:v>
                </c:pt>
                <c:pt idx="16" formatCode="0.000">
                  <c:v>31.319000000000003</c:v>
                </c:pt>
                <c:pt idx="17" formatCode="0.000">
                  <c:v>31.319000000000003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70F-4CA7-A11A-A031F4AF36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009999"/>
        <c:axId val="157016719"/>
      </c:lineChart>
      <c:dateAx>
        <c:axId val="15700519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05679"/>
        <c:crosses val="autoZero"/>
        <c:auto val="1"/>
        <c:lblOffset val="100"/>
        <c:baseTimeUnit val="months"/>
      </c:dateAx>
      <c:valAx>
        <c:axId val="157005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05199"/>
        <c:crosses val="autoZero"/>
        <c:crossBetween val="between"/>
      </c:valAx>
      <c:valAx>
        <c:axId val="157016719"/>
        <c:scaling>
          <c:orientation val="minMax"/>
        </c:scaling>
        <c:delete val="0"/>
        <c:axPos val="r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09999"/>
        <c:crosses val="max"/>
        <c:crossBetween val="between"/>
      </c:valAx>
      <c:dateAx>
        <c:axId val="157009999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57016719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hyperlink" Target="#'Location Summary'!Print_Titles"/><Relationship Id="rId4" Type="http://schemas.openxmlformats.org/officeDocument/2006/relationships/image" Target="../media/image4.sv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TA413_PBNTL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3886</xdr:colOff>
      <xdr:row>4</xdr:row>
      <xdr:rowOff>57150</xdr:rowOff>
    </xdr:from>
    <xdr:to>
      <xdr:col>26</xdr:col>
      <xdr:colOff>349897</xdr:colOff>
      <xdr:row>6</xdr:row>
      <xdr:rowOff>0</xdr:rowOff>
    </xdr:to>
    <xdr:sp macro="" textlink="">
      <xdr:nvSpPr>
        <xdr:cNvPr id="2" name="AutoShape 46">
          <a:extLst>
            <a:ext uri="{FF2B5EF4-FFF2-40B4-BE49-F238E27FC236}">
              <a16:creationId xmlns:a16="http://schemas.microsoft.com/office/drawing/2014/main" id="{CF005676-17D0-43C8-A2B1-B77A4F184F08}"/>
            </a:ext>
          </a:extLst>
        </xdr:cNvPr>
        <xdr:cNvSpPr>
          <a:spLocks noChangeArrowheads="1"/>
        </xdr:cNvSpPr>
      </xdr:nvSpPr>
      <xdr:spPr bwMode="auto">
        <a:xfrm>
          <a:off x="7857151" y="931895"/>
          <a:ext cx="346011" cy="302467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72427</xdr:colOff>
      <xdr:row>3</xdr:row>
      <xdr:rowOff>134794</xdr:rowOff>
    </xdr:from>
    <xdr:to>
      <xdr:col>26</xdr:col>
      <xdr:colOff>213975</xdr:colOff>
      <xdr:row>4</xdr:row>
      <xdr:rowOff>114300</xdr:rowOff>
    </xdr:to>
    <xdr:sp macro="" textlink="">
      <xdr:nvSpPr>
        <xdr:cNvPr id="3" name="6-Point Star 527">
          <a:extLst>
            <a:ext uri="{FF2B5EF4-FFF2-40B4-BE49-F238E27FC236}">
              <a16:creationId xmlns:a16="http://schemas.microsoft.com/office/drawing/2014/main" id="{CB8D2921-AB9E-4D3A-9877-6636B5BB0C81}"/>
            </a:ext>
          </a:extLst>
        </xdr:cNvPr>
        <xdr:cNvSpPr/>
      </xdr:nvSpPr>
      <xdr:spPr>
        <a:xfrm>
          <a:off x="7825777" y="811069"/>
          <a:ext cx="141548" cy="170006"/>
        </a:xfrm>
        <a:prstGeom prst="star6">
          <a:avLst/>
        </a:prstGeom>
        <a:solidFill>
          <a:srgbClr val="00206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219075</xdr:colOff>
      <xdr:row>4</xdr:row>
      <xdr:rowOff>66675</xdr:rowOff>
    </xdr:from>
    <xdr:to>
      <xdr:col>28</xdr:col>
      <xdr:colOff>123825</xdr:colOff>
      <xdr:row>4</xdr:row>
      <xdr:rowOff>76200</xdr:rowOff>
    </xdr:to>
    <xdr:sp macro="" textlink="">
      <xdr:nvSpPr>
        <xdr:cNvPr id="4" name="Line 10720">
          <a:extLst>
            <a:ext uri="{FF2B5EF4-FFF2-40B4-BE49-F238E27FC236}">
              <a16:creationId xmlns:a16="http://schemas.microsoft.com/office/drawing/2014/main" id="{69790BD6-9C35-4431-963D-95BB16BC3642}"/>
            </a:ext>
          </a:extLst>
        </xdr:cNvPr>
        <xdr:cNvSpPr>
          <a:spLocks noChangeShapeType="1"/>
        </xdr:cNvSpPr>
      </xdr:nvSpPr>
      <xdr:spPr bwMode="auto">
        <a:xfrm>
          <a:off x="7972425" y="933450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213827</xdr:colOff>
      <xdr:row>3</xdr:row>
      <xdr:rowOff>45358</xdr:rowOff>
    </xdr:from>
    <xdr:to>
      <xdr:col>26</xdr:col>
      <xdr:colOff>180975</xdr:colOff>
      <xdr:row>3</xdr:row>
      <xdr:rowOff>142875</xdr:rowOff>
    </xdr:to>
    <xdr:sp macro="" textlink="">
      <xdr:nvSpPr>
        <xdr:cNvPr id="5" name="Freeform 10707">
          <a:extLst>
            <a:ext uri="{FF2B5EF4-FFF2-40B4-BE49-F238E27FC236}">
              <a16:creationId xmlns:a16="http://schemas.microsoft.com/office/drawing/2014/main" id="{232EFE4C-2D8C-46C6-8F5B-73F4B8FE68CE}"/>
            </a:ext>
          </a:extLst>
        </xdr:cNvPr>
        <xdr:cNvSpPr>
          <a:spLocks/>
        </xdr:cNvSpPr>
      </xdr:nvSpPr>
      <xdr:spPr bwMode="auto">
        <a:xfrm>
          <a:off x="8229082" y="706276"/>
          <a:ext cx="628066" cy="9751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FF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219075</xdr:colOff>
      <xdr:row>5</xdr:row>
      <xdr:rowOff>76200</xdr:rowOff>
    </xdr:from>
    <xdr:to>
      <xdr:col>28</xdr:col>
      <xdr:colOff>123825</xdr:colOff>
      <xdr:row>5</xdr:row>
      <xdr:rowOff>85725</xdr:rowOff>
    </xdr:to>
    <xdr:sp macro="" textlink="">
      <xdr:nvSpPr>
        <xdr:cNvPr id="6" name="Line 10720">
          <a:extLst>
            <a:ext uri="{FF2B5EF4-FFF2-40B4-BE49-F238E27FC236}">
              <a16:creationId xmlns:a16="http://schemas.microsoft.com/office/drawing/2014/main" id="{1DD1C7A7-A1B5-4B66-BFAF-E9250DB541A8}"/>
            </a:ext>
          </a:extLst>
        </xdr:cNvPr>
        <xdr:cNvSpPr>
          <a:spLocks noChangeShapeType="1"/>
        </xdr:cNvSpPr>
      </xdr:nvSpPr>
      <xdr:spPr bwMode="auto">
        <a:xfrm>
          <a:off x="7972425" y="1133475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209550</xdr:colOff>
      <xdr:row>6</xdr:row>
      <xdr:rowOff>142875</xdr:rowOff>
    </xdr:from>
    <xdr:to>
      <xdr:col>28</xdr:col>
      <xdr:colOff>114300</xdr:colOff>
      <xdr:row>7</xdr:row>
      <xdr:rowOff>0</xdr:rowOff>
    </xdr:to>
    <xdr:sp macro="" textlink="">
      <xdr:nvSpPr>
        <xdr:cNvPr id="7" name="Line 10720">
          <a:extLst>
            <a:ext uri="{FF2B5EF4-FFF2-40B4-BE49-F238E27FC236}">
              <a16:creationId xmlns:a16="http://schemas.microsoft.com/office/drawing/2014/main" id="{7DCAC793-735C-441F-96FE-FA8723DAF2CA}"/>
            </a:ext>
          </a:extLst>
        </xdr:cNvPr>
        <xdr:cNvSpPr>
          <a:spLocks noChangeShapeType="1"/>
        </xdr:cNvSpPr>
      </xdr:nvSpPr>
      <xdr:spPr bwMode="auto">
        <a:xfrm>
          <a:off x="7962900" y="1362075"/>
          <a:ext cx="53340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209550</xdr:colOff>
      <xdr:row>3</xdr:row>
      <xdr:rowOff>66675</xdr:rowOff>
    </xdr:from>
    <xdr:to>
      <xdr:col>28</xdr:col>
      <xdr:colOff>114300</xdr:colOff>
      <xdr:row>3</xdr:row>
      <xdr:rowOff>76200</xdr:rowOff>
    </xdr:to>
    <xdr:sp macro="" textlink="">
      <xdr:nvSpPr>
        <xdr:cNvPr id="8" name="Line 10720">
          <a:extLst>
            <a:ext uri="{FF2B5EF4-FFF2-40B4-BE49-F238E27FC236}">
              <a16:creationId xmlns:a16="http://schemas.microsoft.com/office/drawing/2014/main" id="{0458AA52-65DF-43A8-BCE2-45506C5B1406}"/>
            </a:ext>
          </a:extLst>
        </xdr:cNvPr>
        <xdr:cNvSpPr>
          <a:spLocks noChangeShapeType="1"/>
        </xdr:cNvSpPr>
      </xdr:nvSpPr>
      <xdr:spPr bwMode="auto">
        <a:xfrm>
          <a:off x="7962900" y="742950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219075</xdr:colOff>
      <xdr:row>8</xdr:row>
      <xdr:rowOff>95250</xdr:rowOff>
    </xdr:from>
    <xdr:to>
      <xdr:col>28</xdr:col>
      <xdr:colOff>123825</xdr:colOff>
      <xdr:row>8</xdr:row>
      <xdr:rowOff>104775</xdr:rowOff>
    </xdr:to>
    <xdr:sp macro="" textlink="">
      <xdr:nvSpPr>
        <xdr:cNvPr id="9" name="Line 10720">
          <a:extLst>
            <a:ext uri="{FF2B5EF4-FFF2-40B4-BE49-F238E27FC236}">
              <a16:creationId xmlns:a16="http://schemas.microsoft.com/office/drawing/2014/main" id="{E97A2E4D-6283-470F-9D2E-4596C9755510}"/>
            </a:ext>
          </a:extLst>
        </xdr:cNvPr>
        <xdr:cNvSpPr>
          <a:spLocks noChangeShapeType="1"/>
        </xdr:cNvSpPr>
      </xdr:nvSpPr>
      <xdr:spPr bwMode="auto">
        <a:xfrm>
          <a:off x="7972425" y="1666875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1</xdr:colOff>
      <xdr:row>4</xdr:row>
      <xdr:rowOff>57151</xdr:rowOff>
    </xdr:from>
    <xdr:to>
      <xdr:col>36</xdr:col>
      <xdr:colOff>1</xdr:colOff>
      <xdr:row>6</xdr:row>
      <xdr:rowOff>1</xdr:rowOff>
    </xdr:to>
    <xdr:sp macro="" textlink="">
      <xdr:nvSpPr>
        <xdr:cNvPr id="10" name="AutoShape 46">
          <a:extLst>
            <a:ext uri="{FF2B5EF4-FFF2-40B4-BE49-F238E27FC236}">
              <a16:creationId xmlns:a16="http://schemas.microsoft.com/office/drawing/2014/main" id="{66D55884-CDC9-49BF-9B88-BEFAE0974299}"/>
            </a:ext>
          </a:extLst>
        </xdr:cNvPr>
        <xdr:cNvSpPr>
          <a:spLocks noChangeArrowheads="1"/>
        </xdr:cNvSpPr>
      </xdr:nvSpPr>
      <xdr:spPr bwMode="auto">
        <a:xfrm>
          <a:off x="10382251" y="923926"/>
          <a:ext cx="285750" cy="29527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81952</xdr:colOff>
      <xdr:row>3</xdr:row>
      <xdr:rowOff>134794</xdr:rowOff>
    </xdr:from>
    <xdr:to>
      <xdr:col>35</xdr:col>
      <xdr:colOff>223500</xdr:colOff>
      <xdr:row>4</xdr:row>
      <xdr:rowOff>114300</xdr:rowOff>
    </xdr:to>
    <xdr:sp macro="" textlink="">
      <xdr:nvSpPr>
        <xdr:cNvPr id="11" name="6-Point Star 717">
          <a:extLst>
            <a:ext uri="{FF2B5EF4-FFF2-40B4-BE49-F238E27FC236}">
              <a16:creationId xmlns:a16="http://schemas.microsoft.com/office/drawing/2014/main" id="{D04D807F-50AD-486C-B544-F6F8C8386CDE}"/>
            </a:ext>
          </a:extLst>
        </xdr:cNvPr>
        <xdr:cNvSpPr/>
      </xdr:nvSpPr>
      <xdr:spPr>
        <a:xfrm>
          <a:off x="10464202" y="811069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104775</xdr:colOff>
      <xdr:row>3</xdr:row>
      <xdr:rowOff>47625</xdr:rowOff>
    </xdr:from>
    <xdr:to>
      <xdr:col>35</xdr:col>
      <xdr:colOff>190500</xdr:colOff>
      <xdr:row>3</xdr:row>
      <xdr:rowOff>161925</xdr:rowOff>
    </xdr:to>
    <xdr:sp macro="" textlink="">
      <xdr:nvSpPr>
        <xdr:cNvPr id="12" name="Freeform 10707">
          <a:extLst>
            <a:ext uri="{FF2B5EF4-FFF2-40B4-BE49-F238E27FC236}">
              <a16:creationId xmlns:a16="http://schemas.microsoft.com/office/drawing/2014/main" id="{A7D95960-0925-45FE-A6B6-07F9D039E1A7}"/>
            </a:ext>
          </a:extLst>
        </xdr:cNvPr>
        <xdr:cNvSpPr>
          <a:spLocks/>
        </xdr:cNvSpPr>
      </xdr:nvSpPr>
      <xdr:spPr bwMode="auto">
        <a:xfrm>
          <a:off x="10201275" y="723900"/>
          <a:ext cx="371475" cy="1143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35</xdr:col>
      <xdr:colOff>200025</xdr:colOff>
      <xdr:row>3</xdr:row>
      <xdr:rowOff>47625</xdr:rowOff>
    </xdr:from>
    <xdr:to>
      <xdr:col>37</xdr:col>
      <xdr:colOff>104775</xdr:colOff>
      <xdr:row>3</xdr:row>
      <xdr:rowOff>57150</xdr:rowOff>
    </xdr:to>
    <xdr:sp macro="" textlink="">
      <xdr:nvSpPr>
        <xdr:cNvPr id="13" name="Line 10720">
          <a:extLst>
            <a:ext uri="{FF2B5EF4-FFF2-40B4-BE49-F238E27FC236}">
              <a16:creationId xmlns:a16="http://schemas.microsoft.com/office/drawing/2014/main" id="{3D197590-FA0F-41A8-8AD6-E43C28B2F2A2}"/>
            </a:ext>
          </a:extLst>
        </xdr:cNvPr>
        <xdr:cNvSpPr>
          <a:spLocks noChangeShapeType="1"/>
        </xdr:cNvSpPr>
      </xdr:nvSpPr>
      <xdr:spPr bwMode="auto">
        <a:xfrm>
          <a:off x="10582275" y="7239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209550</xdr:colOff>
      <xdr:row>7</xdr:row>
      <xdr:rowOff>76200</xdr:rowOff>
    </xdr:from>
    <xdr:to>
      <xdr:col>37</xdr:col>
      <xdr:colOff>114300</xdr:colOff>
      <xdr:row>7</xdr:row>
      <xdr:rowOff>85725</xdr:rowOff>
    </xdr:to>
    <xdr:sp macro="" textlink="">
      <xdr:nvSpPr>
        <xdr:cNvPr id="14" name="Line 10720">
          <a:extLst>
            <a:ext uri="{FF2B5EF4-FFF2-40B4-BE49-F238E27FC236}">
              <a16:creationId xmlns:a16="http://schemas.microsoft.com/office/drawing/2014/main" id="{D7D27B92-0C2E-4AB7-8870-ACECCD903965}"/>
            </a:ext>
          </a:extLst>
        </xdr:cNvPr>
        <xdr:cNvSpPr>
          <a:spLocks noChangeShapeType="1"/>
        </xdr:cNvSpPr>
      </xdr:nvSpPr>
      <xdr:spPr bwMode="auto">
        <a:xfrm>
          <a:off x="10591800" y="1457325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276225</xdr:colOff>
      <xdr:row>8</xdr:row>
      <xdr:rowOff>85725</xdr:rowOff>
    </xdr:from>
    <xdr:to>
      <xdr:col>37</xdr:col>
      <xdr:colOff>180975</xdr:colOff>
      <xdr:row>8</xdr:row>
      <xdr:rowOff>95250</xdr:rowOff>
    </xdr:to>
    <xdr:sp macro="" textlink="">
      <xdr:nvSpPr>
        <xdr:cNvPr id="15" name="Line 10720">
          <a:extLst>
            <a:ext uri="{FF2B5EF4-FFF2-40B4-BE49-F238E27FC236}">
              <a16:creationId xmlns:a16="http://schemas.microsoft.com/office/drawing/2014/main" id="{19E9A1DF-B2D8-42E1-BD06-15AD86440EF0}"/>
            </a:ext>
          </a:extLst>
        </xdr:cNvPr>
        <xdr:cNvSpPr>
          <a:spLocks noChangeShapeType="1"/>
        </xdr:cNvSpPr>
      </xdr:nvSpPr>
      <xdr:spPr bwMode="auto">
        <a:xfrm>
          <a:off x="10658475" y="165735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36</xdr:col>
      <xdr:colOff>180975</xdr:colOff>
      <xdr:row>9</xdr:row>
      <xdr:rowOff>133350</xdr:rowOff>
    </xdr:from>
    <xdr:to>
      <xdr:col>37</xdr:col>
      <xdr:colOff>152400</xdr:colOff>
      <xdr:row>9</xdr:row>
      <xdr:rowOff>133350</xdr:rowOff>
    </xdr:to>
    <xdr:sp macro="" textlink="">
      <xdr:nvSpPr>
        <xdr:cNvPr id="16" name="Line 10720">
          <a:extLst>
            <a:ext uri="{FF2B5EF4-FFF2-40B4-BE49-F238E27FC236}">
              <a16:creationId xmlns:a16="http://schemas.microsoft.com/office/drawing/2014/main" id="{583BDA3A-2069-4AF5-8BC9-FC0366D4B6E5}"/>
            </a:ext>
          </a:extLst>
        </xdr:cNvPr>
        <xdr:cNvSpPr>
          <a:spLocks noChangeShapeType="1"/>
        </xdr:cNvSpPr>
      </xdr:nvSpPr>
      <xdr:spPr bwMode="auto">
        <a:xfrm>
          <a:off x="10848975" y="1895475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209550</xdr:colOff>
      <xdr:row>5</xdr:row>
      <xdr:rowOff>47625</xdr:rowOff>
    </xdr:from>
    <xdr:to>
      <xdr:col>37</xdr:col>
      <xdr:colOff>114300</xdr:colOff>
      <xdr:row>5</xdr:row>
      <xdr:rowOff>57150</xdr:rowOff>
    </xdr:to>
    <xdr:sp macro="" textlink="">
      <xdr:nvSpPr>
        <xdr:cNvPr id="17" name="Line 10720">
          <a:extLst>
            <a:ext uri="{FF2B5EF4-FFF2-40B4-BE49-F238E27FC236}">
              <a16:creationId xmlns:a16="http://schemas.microsoft.com/office/drawing/2014/main" id="{689933BF-130A-455A-9DB3-8EBB21E8665E}"/>
            </a:ext>
          </a:extLst>
        </xdr:cNvPr>
        <xdr:cNvSpPr>
          <a:spLocks noChangeShapeType="1"/>
        </xdr:cNvSpPr>
      </xdr:nvSpPr>
      <xdr:spPr bwMode="auto">
        <a:xfrm>
          <a:off x="10591800" y="11049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228600</xdr:colOff>
      <xdr:row>4</xdr:row>
      <xdr:rowOff>47625</xdr:rowOff>
    </xdr:from>
    <xdr:to>
      <xdr:col>37</xdr:col>
      <xdr:colOff>133350</xdr:colOff>
      <xdr:row>4</xdr:row>
      <xdr:rowOff>57150</xdr:rowOff>
    </xdr:to>
    <xdr:sp macro="" textlink="">
      <xdr:nvSpPr>
        <xdr:cNvPr id="18" name="Line 10720">
          <a:extLst>
            <a:ext uri="{FF2B5EF4-FFF2-40B4-BE49-F238E27FC236}">
              <a16:creationId xmlns:a16="http://schemas.microsoft.com/office/drawing/2014/main" id="{1E5939D7-E222-4A61-BEF3-B723EFB4D622}"/>
            </a:ext>
          </a:extLst>
        </xdr:cNvPr>
        <xdr:cNvSpPr>
          <a:spLocks noChangeShapeType="1"/>
        </xdr:cNvSpPr>
      </xdr:nvSpPr>
      <xdr:spPr bwMode="auto">
        <a:xfrm>
          <a:off x="10610850" y="9144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19" name="AutoShape 46">
          <a:extLst>
            <a:ext uri="{FF2B5EF4-FFF2-40B4-BE49-F238E27FC236}">
              <a16:creationId xmlns:a16="http://schemas.microsoft.com/office/drawing/2014/main" id="{E2C23833-3899-4D92-8F01-A473EFCC0C1F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0" name="AutoShape 46">
          <a:extLst>
            <a:ext uri="{FF2B5EF4-FFF2-40B4-BE49-F238E27FC236}">
              <a16:creationId xmlns:a16="http://schemas.microsoft.com/office/drawing/2014/main" id="{A3615F94-A939-4918-9B34-A4CBA25977AB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1" name="AutoShape 46">
          <a:extLst>
            <a:ext uri="{FF2B5EF4-FFF2-40B4-BE49-F238E27FC236}">
              <a16:creationId xmlns:a16="http://schemas.microsoft.com/office/drawing/2014/main" id="{F6011971-4A0F-40C9-B8D0-BA19F1FA5358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2" name="AutoShape 46">
          <a:extLst>
            <a:ext uri="{FF2B5EF4-FFF2-40B4-BE49-F238E27FC236}">
              <a16:creationId xmlns:a16="http://schemas.microsoft.com/office/drawing/2014/main" id="{8C6A6DC3-5E1E-4501-9160-7CA899C2329F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3" name="AutoShape 46">
          <a:extLst>
            <a:ext uri="{FF2B5EF4-FFF2-40B4-BE49-F238E27FC236}">
              <a16:creationId xmlns:a16="http://schemas.microsoft.com/office/drawing/2014/main" id="{21245D6D-9E4A-418A-A9F1-8B1C248C19FC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4" name="AutoShape 46">
          <a:extLst>
            <a:ext uri="{FF2B5EF4-FFF2-40B4-BE49-F238E27FC236}">
              <a16:creationId xmlns:a16="http://schemas.microsoft.com/office/drawing/2014/main" id="{1CD9EA01-DF6B-4FE5-87C4-78972F4085D6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5" name="AutoShape 46">
          <a:extLst>
            <a:ext uri="{FF2B5EF4-FFF2-40B4-BE49-F238E27FC236}">
              <a16:creationId xmlns:a16="http://schemas.microsoft.com/office/drawing/2014/main" id="{600EBB3B-2763-4F66-9F71-EF6E17BF3040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6" name="AutoShape 46">
          <a:extLst>
            <a:ext uri="{FF2B5EF4-FFF2-40B4-BE49-F238E27FC236}">
              <a16:creationId xmlns:a16="http://schemas.microsoft.com/office/drawing/2014/main" id="{3500BA58-4EEC-47B0-A6CF-926C5E924D9E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7" name="AutoShape 46">
          <a:extLst>
            <a:ext uri="{FF2B5EF4-FFF2-40B4-BE49-F238E27FC236}">
              <a16:creationId xmlns:a16="http://schemas.microsoft.com/office/drawing/2014/main" id="{9CEEDF2B-75F4-4DEE-8553-70EE1C710ACC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9526</xdr:colOff>
      <xdr:row>43</xdr:row>
      <xdr:rowOff>57152</xdr:rowOff>
    </xdr:from>
    <xdr:to>
      <xdr:col>31</xdr:col>
      <xdr:colOff>276228</xdr:colOff>
      <xdr:row>44</xdr:row>
      <xdr:rowOff>161928</xdr:rowOff>
    </xdr:to>
    <xdr:sp macro="" textlink="">
      <xdr:nvSpPr>
        <xdr:cNvPr id="28" name="AutoShape 1512">
          <a:extLst>
            <a:ext uri="{FF2B5EF4-FFF2-40B4-BE49-F238E27FC236}">
              <a16:creationId xmlns:a16="http://schemas.microsoft.com/office/drawing/2014/main" id="{BAE16A4D-82E4-411E-B16C-F705D118DC07}"/>
            </a:ext>
          </a:extLst>
        </xdr:cNvPr>
        <xdr:cNvSpPr>
          <a:spLocks noChangeArrowheads="1"/>
        </xdr:cNvSpPr>
      </xdr:nvSpPr>
      <xdr:spPr bwMode="auto">
        <a:xfrm rot="5400000" flipV="1">
          <a:off x="9234489" y="8310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9525</xdr:colOff>
      <xdr:row>43</xdr:row>
      <xdr:rowOff>47625</xdr:rowOff>
    </xdr:from>
    <xdr:to>
      <xdr:col>37</xdr:col>
      <xdr:colOff>238125</xdr:colOff>
      <xdr:row>44</xdr:row>
      <xdr:rowOff>152400</xdr:rowOff>
    </xdr:to>
    <xdr:sp macro="" textlink="">
      <xdr:nvSpPr>
        <xdr:cNvPr id="29" name="AutoShape 1512">
          <a:extLst>
            <a:ext uri="{FF2B5EF4-FFF2-40B4-BE49-F238E27FC236}">
              <a16:creationId xmlns:a16="http://schemas.microsoft.com/office/drawing/2014/main" id="{11646055-BD10-4341-813B-9FB915ACB3FB}"/>
            </a:ext>
          </a:extLst>
        </xdr:cNvPr>
        <xdr:cNvSpPr>
          <a:spLocks noChangeArrowheads="1"/>
        </xdr:cNvSpPr>
      </xdr:nvSpPr>
      <xdr:spPr bwMode="auto">
        <a:xfrm rot="5400000" flipV="1">
          <a:off x="10929937" y="8320088"/>
          <a:ext cx="295275" cy="228600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257969</xdr:colOff>
      <xdr:row>14</xdr:row>
      <xdr:rowOff>57151</xdr:rowOff>
    </xdr:from>
    <xdr:to>
      <xdr:col>13</xdr:col>
      <xdr:colOff>217423</xdr:colOff>
      <xdr:row>17</xdr:row>
      <xdr:rowOff>19843</xdr:rowOff>
    </xdr:to>
    <xdr:sp macro="" textlink="">
      <xdr:nvSpPr>
        <xdr:cNvPr id="30" name="Arrow: Notched Right 29">
          <a:extLst>
            <a:ext uri="{FF2B5EF4-FFF2-40B4-BE49-F238E27FC236}">
              <a16:creationId xmlns:a16="http://schemas.microsoft.com/office/drawing/2014/main" id="{0B59C497-2156-4869-97E0-ED64FACB0E0E}"/>
            </a:ext>
          </a:extLst>
        </xdr:cNvPr>
        <xdr:cNvSpPr/>
      </xdr:nvSpPr>
      <xdr:spPr>
        <a:xfrm>
          <a:off x="2751667" y="2782359"/>
          <a:ext cx="1771850" cy="610922"/>
        </a:xfrm>
        <a:prstGeom prst="notchedRightArrow">
          <a:avLst>
            <a:gd name="adj1" fmla="val 50000"/>
            <a:gd name="adj2" fmla="val 65401"/>
          </a:avLst>
        </a:prstGeom>
        <a:noFill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9525</xdr:colOff>
      <xdr:row>105</xdr:row>
      <xdr:rowOff>47625</xdr:rowOff>
    </xdr:from>
    <xdr:to>
      <xdr:col>32</xdr:col>
      <xdr:colOff>200025</xdr:colOff>
      <xdr:row>105</xdr:row>
      <xdr:rowOff>161925</xdr:rowOff>
    </xdr:to>
    <xdr:grpSp>
      <xdr:nvGrpSpPr>
        <xdr:cNvPr id="31" name="Group 1008">
          <a:extLst>
            <a:ext uri="{FF2B5EF4-FFF2-40B4-BE49-F238E27FC236}">
              <a16:creationId xmlns:a16="http://schemas.microsoft.com/office/drawing/2014/main" id="{06D7F7D3-1DAD-4598-A286-38B4D51E8B4B}"/>
            </a:ext>
          </a:extLst>
        </xdr:cNvPr>
        <xdr:cNvGrpSpPr>
          <a:grpSpLocks/>
        </xdr:cNvGrpSpPr>
      </xdr:nvGrpSpPr>
      <xdr:grpSpPr bwMode="auto">
        <a:xfrm>
          <a:off x="10733249" y="20691605"/>
          <a:ext cx="190500" cy="114300"/>
          <a:chOff x="5475762" y="47760700"/>
          <a:chExt cx="314325" cy="230209"/>
        </a:xfrm>
      </xdr:grpSpPr>
      <xdr:cxnSp macro="">
        <xdr:nvCxnSpPr>
          <xdr:cNvPr id="32" name="Straight Connector 31">
            <a:extLst>
              <a:ext uri="{FF2B5EF4-FFF2-40B4-BE49-F238E27FC236}">
                <a16:creationId xmlns:a16="http://schemas.microsoft.com/office/drawing/2014/main" id="{E8ECA25D-CD1A-76DE-3E68-58C24432D6E4}"/>
              </a:ext>
            </a:extLst>
          </xdr:cNvPr>
          <xdr:cNvCxnSpPr/>
        </xdr:nvCxnSpPr>
        <xdr:spPr bwMode="auto">
          <a:xfrm>
            <a:off x="5931533" y="52422432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" name="Straight Connector 529">
            <a:extLst>
              <a:ext uri="{FF2B5EF4-FFF2-40B4-BE49-F238E27FC236}">
                <a16:creationId xmlns:a16="http://schemas.microsoft.com/office/drawing/2014/main" id="{11E5EBB2-9480-4095-33E5-A0EF4151E1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902756" y="52451209"/>
            <a:ext cx="57552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" name="Straight Connector 531">
            <a:extLst>
              <a:ext uri="{FF2B5EF4-FFF2-40B4-BE49-F238E27FC236}">
                <a16:creationId xmlns:a16="http://schemas.microsoft.com/office/drawing/2014/main" id="{EBF1DED7-B4FD-7A47-B04D-B0FE36C84E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931533" y="52479985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" name="Straight Connector 533">
            <a:extLst>
              <a:ext uri="{FF2B5EF4-FFF2-40B4-BE49-F238E27FC236}">
                <a16:creationId xmlns:a16="http://schemas.microsoft.com/office/drawing/2014/main" id="{672F03B4-ACFE-407C-DB9E-9C49E6068E4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931533" y="5251835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" name="Straight Connector 535">
            <a:extLst>
              <a:ext uri="{FF2B5EF4-FFF2-40B4-BE49-F238E27FC236}">
                <a16:creationId xmlns:a16="http://schemas.microsoft.com/office/drawing/2014/main" id="{D34CF0FE-FACB-82BC-4256-81B816929B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931533" y="5251835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7" name="Straight Connector 537">
            <a:extLst>
              <a:ext uri="{FF2B5EF4-FFF2-40B4-BE49-F238E27FC236}">
                <a16:creationId xmlns:a16="http://schemas.microsoft.com/office/drawing/2014/main" id="{5D3FA054-233F-9B4C-5AA1-298E82C13B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931533" y="5253753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</xdr:col>
      <xdr:colOff>0</xdr:colOff>
      <xdr:row>104</xdr:row>
      <xdr:rowOff>95250</xdr:rowOff>
    </xdr:from>
    <xdr:to>
      <xdr:col>2</xdr:col>
      <xdr:colOff>0</xdr:colOff>
      <xdr:row>105</xdr:row>
      <xdr:rowOff>19050</xdr:rowOff>
    </xdr:to>
    <xdr:grpSp>
      <xdr:nvGrpSpPr>
        <xdr:cNvPr id="38" name="Group 1008">
          <a:extLst>
            <a:ext uri="{FF2B5EF4-FFF2-40B4-BE49-F238E27FC236}">
              <a16:creationId xmlns:a16="http://schemas.microsoft.com/office/drawing/2014/main" id="{299D2CEC-127A-47F5-9BDE-68F6EEEE718F}"/>
            </a:ext>
          </a:extLst>
        </xdr:cNvPr>
        <xdr:cNvGrpSpPr>
          <a:grpSpLocks/>
        </xdr:cNvGrpSpPr>
      </xdr:nvGrpSpPr>
      <xdr:grpSpPr bwMode="auto">
        <a:xfrm>
          <a:off x="408214" y="20551321"/>
          <a:ext cx="0" cy="111709"/>
          <a:chOff x="5475762" y="47760700"/>
          <a:chExt cx="314325" cy="230209"/>
        </a:xfrm>
      </xdr:grpSpPr>
      <xdr:cxnSp macro="">
        <xdr:nvCxnSpPr>
          <xdr:cNvPr id="39" name="Straight Connector 38">
            <a:extLst>
              <a:ext uri="{FF2B5EF4-FFF2-40B4-BE49-F238E27FC236}">
                <a16:creationId xmlns:a16="http://schemas.microsoft.com/office/drawing/2014/main" id="{ED14024B-74A7-8A42-AFEA-76CDDF71417E}"/>
              </a:ext>
            </a:extLst>
          </xdr:cNvPr>
          <xdr:cNvCxnSpPr/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0" name="Straight Connector 529">
            <a:extLst>
              <a:ext uri="{FF2B5EF4-FFF2-40B4-BE49-F238E27FC236}">
                <a16:creationId xmlns:a16="http://schemas.microsoft.com/office/drawing/2014/main" id="{68A05A06-FB13-4F02-248B-B8C7312DD1B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" name="Straight Connector 531">
            <a:extLst>
              <a:ext uri="{FF2B5EF4-FFF2-40B4-BE49-F238E27FC236}">
                <a16:creationId xmlns:a16="http://schemas.microsoft.com/office/drawing/2014/main" id="{177C08CF-99DF-339D-EE3D-A022072DF2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" name="Straight Connector 533">
            <a:extLst>
              <a:ext uri="{FF2B5EF4-FFF2-40B4-BE49-F238E27FC236}">
                <a16:creationId xmlns:a16="http://schemas.microsoft.com/office/drawing/2014/main" id="{9BF9A423-60ED-B51A-2F37-4474460E96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" name="Straight Connector 535">
            <a:extLst>
              <a:ext uri="{FF2B5EF4-FFF2-40B4-BE49-F238E27FC236}">
                <a16:creationId xmlns:a16="http://schemas.microsoft.com/office/drawing/2014/main" id="{6B8BCA4D-E4B2-F4D5-62DD-5526CE245B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" name="Straight Connector 537">
            <a:extLst>
              <a:ext uri="{FF2B5EF4-FFF2-40B4-BE49-F238E27FC236}">
                <a16:creationId xmlns:a16="http://schemas.microsoft.com/office/drawing/2014/main" id="{41084A58-6EF4-B752-6F6B-70342FEB3F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</xdr:col>
      <xdr:colOff>128056</xdr:colOff>
      <xdr:row>15</xdr:row>
      <xdr:rowOff>173568</xdr:rowOff>
    </xdr:from>
    <xdr:to>
      <xdr:col>2</xdr:col>
      <xdr:colOff>220490</xdr:colOff>
      <xdr:row>17</xdr:row>
      <xdr:rowOff>119483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992180E9-E756-41CB-890E-41778DCE8C3B}"/>
            </a:ext>
          </a:extLst>
        </xdr:cNvPr>
        <xdr:cNvSpPr/>
      </xdr:nvSpPr>
      <xdr:spPr>
        <a:xfrm>
          <a:off x="366181" y="3078693"/>
          <a:ext cx="378184" cy="326915"/>
        </a:xfrm>
        <a:prstGeom prst="ellipse">
          <a:avLst/>
        </a:prstGeom>
        <a:noFill/>
        <a:ln w="19050"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46" name="Group 1008">
          <a:extLst>
            <a:ext uri="{FF2B5EF4-FFF2-40B4-BE49-F238E27FC236}">
              <a16:creationId xmlns:a16="http://schemas.microsoft.com/office/drawing/2014/main" id="{EDD427DF-AB06-4A64-BC35-2BCCDC442D54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47" name="Straight Connector 46">
            <a:extLst>
              <a:ext uri="{FF2B5EF4-FFF2-40B4-BE49-F238E27FC236}">
                <a16:creationId xmlns:a16="http://schemas.microsoft.com/office/drawing/2014/main" id="{BA3E9A54-95A1-5073-3F41-ADD509FCF2E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" name="Straight Connector 529">
            <a:extLst>
              <a:ext uri="{FF2B5EF4-FFF2-40B4-BE49-F238E27FC236}">
                <a16:creationId xmlns:a16="http://schemas.microsoft.com/office/drawing/2014/main" id="{110AFA83-8E67-E047-44B2-7B5D54D2E63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" name="Straight Connector 531">
            <a:extLst>
              <a:ext uri="{FF2B5EF4-FFF2-40B4-BE49-F238E27FC236}">
                <a16:creationId xmlns:a16="http://schemas.microsoft.com/office/drawing/2014/main" id="{658A6097-EDB0-3F98-B727-3A00B82B75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" name="Straight Connector 533">
            <a:extLst>
              <a:ext uri="{FF2B5EF4-FFF2-40B4-BE49-F238E27FC236}">
                <a16:creationId xmlns:a16="http://schemas.microsoft.com/office/drawing/2014/main" id="{26511BE1-7319-3F0C-E26E-49CFEE52D0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" name="Straight Connector 535">
            <a:extLst>
              <a:ext uri="{FF2B5EF4-FFF2-40B4-BE49-F238E27FC236}">
                <a16:creationId xmlns:a16="http://schemas.microsoft.com/office/drawing/2014/main" id="{4CF44171-577E-D83B-AB0D-61114BBC36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" name="Straight Connector 537">
            <a:extLst>
              <a:ext uri="{FF2B5EF4-FFF2-40B4-BE49-F238E27FC236}">
                <a16:creationId xmlns:a16="http://schemas.microsoft.com/office/drawing/2014/main" id="{50E68CD1-72FE-0FE9-6944-A1E46EE0F2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53" name="Group 1008">
          <a:extLst>
            <a:ext uri="{FF2B5EF4-FFF2-40B4-BE49-F238E27FC236}">
              <a16:creationId xmlns:a16="http://schemas.microsoft.com/office/drawing/2014/main" id="{9A17FD08-F46B-4A81-B93C-AFF5DC35F971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54" name="Straight Connector 53">
            <a:extLst>
              <a:ext uri="{FF2B5EF4-FFF2-40B4-BE49-F238E27FC236}">
                <a16:creationId xmlns:a16="http://schemas.microsoft.com/office/drawing/2014/main" id="{91CC733A-0630-6BA2-CA8D-841767874C7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" name="Straight Connector 529">
            <a:extLst>
              <a:ext uri="{FF2B5EF4-FFF2-40B4-BE49-F238E27FC236}">
                <a16:creationId xmlns:a16="http://schemas.microsoft.com/office/drawing/2014/main" id="{8A7D7688-147C-54FE-DF48-EA10FA5D7C0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" name="Straight Connector 531">
            <a:extLst>
              <a:ext uri="{FF2B5EF4-FFF2-40B4-BE49-F238E27FC236}">
                <a16:creationId xmlns:a16="http://schemas.microsoft.com/office/drawing/2014/main" id="{C5D62B37-BE92-62BA-09EC-9811AB19443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" name="Straight Connector 533">
            <a:extLst>
              <a:ext uri="{FF2B5EF4-FFF2-40B4-BE49-F238E27FC236}">
                <a16:creationId xmlns:a16="http://schemas.microsoft.com/office/drawing/2014/main" id="{C63262B6-4BF7-58A4-6378-F0153829AA9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8" name="Straight Connector 535">
            <a:extLst>
              <a:ext uri="{FF2B5EF4-FFF2-40B4-BE49-F238E27FC236}">
                <a16:creationId xmlns:a16="http://schemas.microsoft.com/office/drawing/2014/main" id="{3529780E-28CB-2410-D4B0-361DDB01E8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9" name="Straight Connector 537">
            <a:extLst>
              <a:ext uri="{FF2B5EF4-FFF2-40B4-BE49-F238E27FC236}">
                <a16:creationId xmlns:a16="http://schemas.microsoft.com/office/drawing/2014/main" id="{A96B5392-694A-B283-187C-487730F231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133350</xdr:rowOff>
    </xdr:from>
    <xdr:to>
      <xdr:col>6</xdr:col>
      <xdr:colOff>0</xdr:colOff>
      <xdr:row>25</xdr:row>
      <xdr:rowOff>47625</xdr:rowOff>
    </xdr:to>
    <xdr:grpSp>
      <xdr:nvGrpSpPr>
        <xdr:cNvPr id="60" name="Group 1008">
          <a:extLst>
            <a:ext uri="{FF2B5EF4-FFF2-40B4-BE49-F238E27FC236}">
              <a16:creationId xmlns:a16="http://schemas.microsoft.com/office/drawing/2014/main" id="{2D97E2C0-7910-4CEB-B115-7AEB79403A4A}"/>
            </a:ext>
          </a:extLst>
        </xdr:cNvPr>
        <xdr:cNvGrpSpPr>
          <a:grpSpLocks/>
        </xdr:cNvGrpSpPr>
      </xdr:nvGrpSpPr>
      <xdr:grpSpPr bwMode="auto">
        <a:xfrm>
          <a:off x="1807806" y="4831054"/>
          <a:ext cx="0" cy="102183"/>
          <a:chOff x="5475762" y="47760700"/>
          <a:chExt cx="314325" cy="230209"/>
        </a:xfrm>
      </xdr:grpSpPr>
      <xdr:cxnSp macro="">
        <xdr:nvCxnSpPr>
          <xdr:cNvPr id="61" name="Straight Connector 60">
            <a:extLst>
              <a:ext uri="{FF2B5EF4-FFF2-40B4-BE49-F238E27FC236}">
                <a16:creationId xmlns:a16="http://schemas.microsoft.com/office/drawing/2014/main" id="{D24CEB05-3BFE-3A61-6EA7-FDB0FED1796C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" name="Straight Connector 529">
            <a:extLst>
              <a:ext uri="{FF2B5EF4-FFF2-40B4-BE49-F238E27FC236}">
                <a16:creationId xmlns:a16="http://schemas.microsoft.com/office/drawing/2014/main" id="{1EEA61BE-FF76-1501-0AD0-AD99BF28320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" name="Straight Connector 531">
            <a:extLst>
              <a:ext uri="{FF2B5EF4-FFF2-40B4-BE49-F238E27FC236}">
                <a16:creationId xmlns:a16="http://schemas.microsoft.com/office/drawing/2014/main" id="{38DAD349-2ABD-4F89-4A55-64B7AF5069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" name="Straight Connector 533">
            <a:extLst>
              <a:ext uri="{FF2B5EF4-FFF2-40B4-BE49-F238E27FC236}">
                <a16:creationId xmlns:a16="http://schemas.microsoft.com/office/drawing/2014/main" id="{75AFD57B-5983-FBE8-4263-44CE23B93F8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" name="Straight Connector 535">
            <a:extLst>
              <a:ext uri="{FF2B5EF4-FFF2-40B4-BE49-F238E27FC236}">
                <a16:creationId xmlns:a16="http://schemas.microsoft.com/office/drawing/2014/main" id="{B3C41DFD-4CA3-DA22-2022-D7D5902142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" name="Straight Connector 537">
            <a:extLst>
              <a:ext uri="{FF2B5EF4-FFF2-40B4-BE49-F238E27FC236}">
                <a16:creationId xmlns:a16="http://schemas.microsoft.com/office/drawing/2014/main" id="{026B345A-F9E0-01CC-28C4-24CFF5A873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133350</xdr:rowOff>
    </xdr:from>
    <xdr:to>
      <xdr:col>6</xdr:col>
      <xdr:colOff>0</xdr:colOff>
      <xdr:row>25</xdr:row>
      <xdr:rowOff>57150</xdr:rowOff>
    </xdr:to>
    <xdr:grpSp>
      <xdr:nvGrpSpPr>
        <xdr:cNvPr id="67" name="Group 1008">
          <a:extLst>
            <a:ext uri="{FF2B5EF4-FFF2-40B4-BE49-F238E27FC236}">
              <a16:creationId xmlns:a16="http://schemas.microsoft.com/office/drawing/2014/main" id="{E6D06C43-4B85-4213-9E8F-E6B6A31B347B}"/>
            </a:ext>
          </a:extLst>
        </xdr:cNvPr>
        <xdr:cNvGrpSpPr>
          <a:grpSpLocks/>
        </xdr:cNvGrpSpPr>
      </xdr:nvGrpSpPr>
      <xdr:grpSpPr bwMode="auto">
        <a:xfrm>
          <a:off x="1807806" y="4831054"/>
          <a:ext cx="0" cy="111708"/>
          <a:chOff x="5475762" y="47760700"/>
          <a:chExt cx="314325" cy="230209"/>
        </a:xfrm>
      </xdr:grpSpPr>
      <xdr:cxnSp macro="">
        <xdr:nvCxnSpPr>
          <xdr:cNvPr id="68" name="Straight Connector 67">
            <a:extLst>
              <a:ext uri="{FF2B5EF4-FFF2-40B4-BE49-F238E27FC236}">
                <a16:creationId xmlns:a16="http://schemas.microsoft.com/office/drawing/2014/main" id="{7FF02350-FB80-BB52-A725-8D34E1746BF8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" name="Straight Connector 529">
            <a:extLst>
              <a:ext uri="{FF2B5EF4-FFF2-40B4-BE49-F238E27FC236}">
                <a16:creationId xmlns:a16="http://schemas.microsoft.com/office/drawing/2014/main" id="{E874AF36-FA74-FA74-5AFA-BE4DE89C939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" name="Straight Connector 531">
            <a:extLst>
              <a:ext uri="{FF2B5EF4-FFF2-40B4-BE49-F238E27FC236}">
                <a16:creationId xmlns:a16="http://schemas.microsoft.com/office/drawing/2014/main" id="{5BD270D2-D5EE-470F-0866-C1903D365C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" name="Straight Connector 533">
            <a:extLst>
              <a:ext uri="{FF2B5EF4-FFF2-40B4-BE49-F238E27FC236}">
                <a16:creationId xmlns:a16="http://schemas.microsoft.com/office/drawing/2014/main" id="{F8071048-4635-1244-07EF-493E3D4355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" name="Straight Connector 535">
            <a:extLst>
              <a:ext uri="{FF2B5EF4-FFF2-40B4-BE49-F238E27FC236}">
                <a16:creationId xmlns:a16="http://schemas.microsoft.com/office/drawing/2014/main" id="{47C986BE-7526-485B-5DD9-FEE06EB13B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" name="Straight Connector 537">
            <a:extLst>
              <a:ext uri="{FF2B5EF4-FFF2-40B4-BE49-F238E27FC236}">
                <a16:creationId xmlns:a16="http://schemas.microsoft.com/office/drawing/2014/main" id="{EC57B65B-3D03-D1C4-B360-963D26EDD0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13</xdr:row>
      <xdr:rowOff>57150</xdr:rowOff>
    </xdr:from>
    <xdr:to>
      <xdr:col>17</xdr:col>
      <xdr:colOff>0</xdr:colOff>
      <xdr:row>15</xdr:row>
      <xdr:rowOff>0</xdr:rowOff>
    </xdr:to>
    <xdr:sp macro="" textlink="">
      <xdr:nvSpPr>
        <xdr:cNvPr id="74" name="AutoShape 46">
          <a:extLst>
            <a:ext uri="{FF2B5EF4-FFF2-40B4-BE49-F238E27FC236}">
              <a16:creationId xmlns:a16="http://schemas.microsoft.com/office/drawing/2014/main" id="{5287A1CD-C827-4B88-9519-F557DE8CCA27}"/>
            </a:ext>
          </a:extLst>
        </xdr:cNvPr>
        <xdr:cNvSpPr>
          <a:spLocks noChangeArrowheads="1"/>
        </xdr:cNvSpPr>
      </xdr:nvSpPr>
      <xdr:spPr bwMode="auto">
        <a:xfrm>
          <a:off x="4895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13</xdr:row>
      <xdr:rowOff>57150</xdr:rowOff>
    </xdr:from>
    <xdr:to>
      <xdr:col>15</xdr:col>
      <xdr:colOff>0</xdr:colOff>
      <xdr:row>15</xdr:row>
      <xdr:rowOff>0</xdr:rowOff>
    </xdr:to>
    <xdr:sp macro="" textlink="">
      <xdr:nvSpPr>
        <xdr:cNvPr id="75" name="AutoShape 46">
          <a:extLst>
            <a:ext uri="{FF2B5EF4-FFF2-40B4-BE49-F238E27FC236}">
              <a16:creationId xmlns:a16="http://schemas.microsoft.com/office/drawing/2014/main" id="{56041B36-2355-4B4A-BFB7-A7CE49474F8C}"/>
            </a:ext>
          </a:extLst>
        </xdr:cNvPr>
        <xdr:cNvSpPr>
          <a:spLocks noChangeArrowheads="1"/>
        </xdr:cNvSpPr>
      </xdr:nvSpPr>
      <xdr:spPr bwMode="auto">
        <a:xfrm>
          <a:off x="4324350" y="2581275"/>
          <a:ext cx="285750" cy="323850"/>
        </a:xfrm>
        <a:prstGeom prst="triangle">
          <a:avLst>
            <a:gd name="adj" fmla="val 50000"/>
          </a:avLst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76" name="Group 1008">
          <a:extLst>
            <a:ext uri="{FF2B5EF4-FFF2-40B4-BE49-F238E27FC236}">
              <a16:creationId xmlns:a16="http://schemas.microsoft.com/office/drawing/2014/main" id="{F35AED4D-0489-4EE7-9515-80BE32433C4F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77" name="Straight Connector 76">
            <a:extLst>
              <a:ext uri="{FF2B5EF4-FFF2-40B4-BE49-F238E27FC236}">
                <a16:creationId xmlns:a16="http://schemas.microsoft.com/office/drawing/2014/main" id="{C544639B-6F0B-287E-1B10-8E4CBB4FCEFE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8" name="Straight Connector 529">
            <a:extLst>
              <a:ext uri="{FF2B5EF4-FFF2-40B4-BE49-F238E27FC236}">
                <a16:creationId xmlns:a16="http://schemas.microsoft.com/office/drawing/2014/main" id="{DE219B40-4D9F-F1D8-99F8-6C20633DC4D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9" name="Straight Connector 531">
            <a:extLst>
              <a:ext uri="{FF2B5EF4-FFF2-40B4-BE49-F238E27FC236}">
                <a16:creationId xmlns:a16="http://schemas.microsoft.com/office/drawing/2014/main" id="{17F0782B-7AE1-0FFB-0455-787B2DE2D1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" name="Straight Connector 533">
            <a:extLst>
              <a:ext uri="{FF2B5EF4-FFF2-40B4-BE49-F238E27FC236}">
                <a16:creationId xmlns:a16="http://schemas.microsoft.com/office/drawing/2014/main" id="{F2B2D977-4369-56A6-D416-82ADC4A4F35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" name="Straight Connector 535">
            <a:extLst>
              <a:ext uri="{FF2B5EF4-FFF2-40B4-BE49-F238E27FC236}">
                <a16:creationId xmlns:a16="http://schemas.microsoft.com/office/drawing/2014/main" id="{EE8EB7B4-8AD7-09BB-BD67-5ADD10CA4A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" name="Straight Connector 537">
            <a:extLst>
              <a:ext uri="{FF2B5EF4-FFF2-40B4-BE49-F238E27FC236}">
                <a16:creationId xmlns:a16="http://schemas.microsoft.com/office/drawing/2014/main" id="{9E7FA5EA-E445-2312-2D91-3854F8D8F4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83" name="Group 1008">
          <a:extLst>
            <a:ext uri="{FF2B5EF4-FFF2-40B4-BE49-F238E27FC236}">
              <a16:creationId xmlns:a16="http://schemas.microsoft.com/office/drawing/2014/main" id="{84C5B4AA-BE1B-427F-B63F-9279AC225415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84" name="Straight Connector 83">
            <a:extLst>
              <a:ext uri="{FF2B5EF4-FFF2-40B4-BE49-F238E27FC236}">
                <a16:creationId xmlns:a16="http://schemas.microsoft.com/office/drawing/2014/main" id="{717F02D5-1625-60C7-A110-E84E2E306253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5" name="Straight Connector 529">
            <a:extLst>
              <a:ext uri="{FF2B5EF4-FFF2-40B4-BE49-F238E27FC236}">
                <a16:creationId xmlns:a16="http://schemas.microsoft.com/office/drawing/2014/main" id="{2CCBF8C5-509F-8173-CFF5-32B024DD5C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" name="Straight Connector 531">
            <a:extLst>
              <a:ext uri="{FF2B5EF4-FFF2-40B4-BE49-F238E27FC236}">
                <a16:creationId xmlns:a16="http://schemas.microsoft.com/office/drawing/2014/main" id="{796BFAC3-379F-41EB-FE5E-4FD87CBA0C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" name="Straight Connector 533">
            <a:extLst>
              <a:ext uri="{FF2B5EF4-FFF2-40B4-BE49-F238E27FC236}">
                <a16:creationId xmlns:a16="http://schemas.microsoft.com/office/drawing/2014/main" id="{32799A03-CE08-F849-DB4F-88E61D4657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" name="Straight Connector 535">
            <a:extLst>
              <a:ext uri="{FF2B5EF4-FFF2-40B4-BE49-F238E27FC236}">
                <a16:creationId xmlns:a16="http://schemas.microsoft.com/office/drawing/2014/main" id="{754B58A3-CC0A-3E86-4BB4-D4E58D6972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" name="Straight Connector 537">
            <a:extLst>
              <a:ext uri="{FF2B5EF4-FFF2-40B4-BE49-F238E27FC236}">
                <a16:creationId xmlns:a16="http://schemas.microsoft.com/office/drawing/2014/main" id="{15AC502E-9EB8-193A-78C0-1FEA12246B1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90" name="Group 1008">
          <a:extLst>
            <a:ext uri="{FF2B5EF4-FFF2-40B4-BE49-F238E27FC236}">
              <a16:creationId xmlns:a16="http://schemas.microsoft.com/office/drawing/2014/main" id="{126BFEB0-35A9-4913-ABCF-A13105C1B320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91" name="Straight Connector 90">
            <a:extLst>
              <a:ext uri="{FF2B5EF4-FFF2-40B4-BE49-F238E27FC236}">
                <a16:creationId xmlns:a16="http://schemas.microsoft.com/office/drawing/2014/main" id="{94AD9EB4-E5E4-AF81-6FD4-6EAD1477AF1B}"/>
              </a:ext>
            </a:extLst>
          </xdr:cNvPr>
          <xdr:cNvCxnSpPr/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2" name="Straight Connector 529">
            <a:extLst>
              <a:ext uri="{FF2B5EF4-FFF2-40B4-BE49-F238E27FC236}">
                <a16:creationId xmlns:a16="http://schemas.microsoft.com/office/drawing/2014/main" id="{02EDE62A-222C-5F9A-E9DC-84D6F2A8AB2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" name="Straight Connector 531">
            <a:extLst>
              <a:ext uri="{FF2B5EF4-FFF2-40B4-BE49-F238E27FC236}">
                <a16:creationId xmlns:a16="http://schemas.microsoft.com/office/drawing/2014/main" id="{57B8D1B8-3679-AA3B-397B-45C00151EC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" name="Straight Connector 533">
            <a:extLst>
              <a:ext uri="{FF2B5EF4-FFF2-40B4-BE49-F238E27FC236}">
                <a16:creationId xmlns:a16="http://schemas.microsoft.com/office/drawing/2014/main" id="{2C9683E7-FED6-5B04-4257-93FCBFCC1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" name="Straight Connector 535">
            <a:extLst>
              <a:ext uri="{FF2B5EF4-FFF2-40B4-BE49-F238E27FC236}">
                <a16:creationId xmlns:a16="http://schemas.microsoft.com/office/drawing/2014/main" id="{C1069BE9-717B-CC70-5EF4-392DC72548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" name="Straight Connector 537">
            <a:extLst>
              <a:ext uri="{FF2B5EF4-FFF2-40B4-BE49-F238E27FC236}">
                <a16:creationId xmlns:a16="http://schemas.microsoft.com/office/drawing/2014/main" id="{19260126-3792-421E-0819-C4AAC5C958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97" name="Group 1008">
          <a:extLst>
            <a:ext uri="{FF2B5EF4-FFF2-40B4-BE49-F238E27FC236}">
              <a16:creationId xmlns:a16="http://schemas.microsoft.com/office/drawing/2014/main" id="{DD7A8B92-C0B3-4FED-B679-C01D2E48133F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98" name="Straight Connector 97">
            <a:extLst>
              <a:ext uri="{FF2B5EF4-FFF2-40B4-BE49-F238E27FC236}">
                <a16:creationId xmlns:a16="http://schemas.microsoft.com/office/drawing/2014/main" id="{5146E64A-CD39-0216-8B46-0A029E4E6654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9" name="Straight Connector 529">
            <a:extLst>
              <a:ext uri="{FF2B5EF4-FFF2-40B4-BE49-F238E27FC236}">
                <a16:creationId xmlns:a16="http://schemas.microsoft.com/office/drawing/2014/main" id="{A3573A91-BD1B-BA96-CC55-249E91BB0F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0" name="Straight Connector 531">
            <a:extLst>
              <a:ext uri="{FF2B5EF4-FFF2-40B4-BE49-F238E27FC236}">
                <a16:creationId xmlns:a16="http://schemas.microsoft.com/office/drawing/2014/main" id="{B5B71220-38F8-7306-D466-587154A5C2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" name="Straight Connector 533">
            <a:extLst>
              <a:ext uri="{FF2B5EF4-FFF2-40B4-BE49-F238E27FC236}">
                <a16:creationId xmlns:a16="http://schemas.microsoft.com/office/drawing/2014/main" id="{5DC06E19-C9FF-F638-A247-20C899FF74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" name="Straight Connector 535">
            <a:extLst>
              <a:ext uri="{FF2B5EF4-FFF2-40B4-BE49-F238E27FC236}">
                <a16:creationId xmlns:a16="http://schemas.microsoft.com/office/drawing/2014/main" id="{532414E1-EDEB-96DB-39C0-CAC15873985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" name="Straight Connector 537">
            <a:extLst>
              <a:ext uri="{FF2B5EF4-FFF2-40B4-BE49-F238E27FC236}">
                <a16:creationId xmlns:a16="http://schemas.microsoft.com/office/drawing/2014/main" id="{46471C3A-B583-64BC-9909-6361A4CE74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3</xdr:row>
      <xdr:rowOff>0</xdr:rowOff>
    </xdr:from>
    <xdr:to>
      <xdr:col>18</xdr:col>
      <xdr:colOff>209550</xdr:colOff>
      <xdr:row>4</xdr:row>
      <xdr:rowOff>28575</xdr:rowOff>
    </xdr:to>
    <xdr:sp macro="" textlink="">
      <xdr:nvSpPr>
        <xdr:cNvPr id="104" name="AutoShape 1512">
          <a:extLst>
            <a:ext uri="{FF2B5EF4-FFF2-40B4-BE49-F238E27FC236}">
              <a16:creationId xmlns:a16="http://schemas.microsoft.com/office/drawing/2014/main" id="{2C7EC5FC-37E8-4D5D-9794-ED66040198DB}"/>
            </a:ext>
          </a:extLst>
        </xdr:cNvPr>
        <xdr:cNvSpPr>
          <a:spLocks noChangeArrowheads="1"/>
        </xdr:cNvSpPr>
      </xdr:nvSpPr>
      <xdr:spPr bwMode="auto">
        <a:xfrm rot="5400000" flipV="1">
          <a:off x="5462587" y="681038"/>
          <a:ext cx="219075" cy="209550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18</xdr:col>
      <xdr:colOff>0</xdr:colOff>
      <xdr:row>4</xdr:row>
      <xdr:rowOff>114300</xdr:rowOff>
    </xdr:from>
    <xdr:to>
      <xdr:col>18</xdr:col>
      <xdr:colOff>240665</xdr:colOff>
      <xdr:row>6</xdr:row>
      <xdr:rowOff>131196</xdr:rowOff>
    </xdr:to>
    <xdr:pic>
      <xdr:nvPicPr>
        <xdr:cNvPr id="105" name="Graphic 2264" descr="Road with solid fill">
          <a:extLst>
            <a:ext uri="{FF2B5EF4-FFF2-40B4-BE49-F238E27FC236}">
              <a16:creationId xmlns:a16="http://schemas.microsoft.com/office/drawing/2014/main" id="{37789397-0A65-4C5C-9130-70BD2B6F34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67350" y="981075"/>
          <a:ext cx="238125" cy="366781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 editAs="oneCell">
    <xdr:from>
      <xdr:col>18</xdr:col>
      <xdr:colOff>19050</xdr:colOff>
      <xdr:row>6</xdr:row>
      <xdr:rowOff>74084</xdr:rowOff>
    </xdr:from>
    <xdr:to>
      <xdr:col>18</xdr:col>
      <xdr:colOff>213360</xdr:colOff>
      <xdr:row>9</xdr:row>
      <xdr:rowOff>23366</xdr:rowOff>
    </xdr:to>
    <xdr:pic>
      <xdr:nvPicPr>
        <xdr:cNvPr id="106" name="Graphic 3644" descr="Train Tracks outline">
          <a:extLst>
            <a:ext uri="{FF2B5EF4-FFF2-40B4-BE49-F238E27FC236}">
              <a16:creationId xmlns:a16="http://schemas.microsoft.com/office/drawing/2014/main" id="{9A4EFD41-5D6B-4CD3-A091-E2F42A4008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293284"/>
          <a:ext cx="190500" cy="4947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17</xdr:col>
      <xdr:colOff>247651</xdr:colOff>
      <xdr:row>8</xdr:row>
      <xdr:rowOff>45507</xdr:rowOff>
    </xdr:from>
    <xdr:to>
      <xdr:col>18</xdr:col>
      <xdr:colOff>258501</xdr:colOff>
      <xdr:row>11</xdr:row>
      <xdr:rowOff>50533</xdr:rowOff>
    </xdr:to>
    <xdr:pic>
      <xdr:nvPicPr>
        <xdr:cNvPr id="107" name="Graphic 106" descr="Aquarius with solid fill">
          <a:extLst>
            <a:ext uri="{FF2B5EF4-FFF2-40B4-BE49-F238E27FC236}">
              <a16:creationId xmlns:a16="http://schemas.microsoft.com/office/drawing/2014/main" id="{0ECE3B00-358A-4148-A2D9-1734B5A70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 rot="16200000">
          <a:off x="5299836" y="1746547"/>
          <a:ext cx="573986" cy="31515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108" name="Group 1008">
          <a:extLst>
            <a:ext uri="{FF2B5EF4-FFF2-40B4-BE49-F238E27FC236}">
              <a16:creationId xmlns:a16="http://schemas.microsoft.com/office/drawing/2014/main" id="{39A61EBC-312E-46B4-A912-12FC1299BD95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109" name="Straight Connector 108">
            <a:extLst>
              <a:ext uri="{FF2B5EF4-FFF2-40B4-BE49-F238E27FC236}">
                <a16:creationId xmlns:a16="http://schemas.microsoft.com/office/drawing/2014/main" id="{C8B6F497-F266-24E9-5ABE-B1D25E1C826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" name="Straight Connector 529">
            <a:extLst>
              <a:ext uri="{FF2B5EF4-FFF2-40B4-BE49-F238E27FC236}">
                <a16:creationId xmlns:a16="http://schemas.microsoft.com/office/drawing/2014/main" id="{C9F73AA0-542C-F30D-1A70-E50B864971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" name="Straight Connector 531">
            <a:extLst>
              <a:ext uri="{FF2B5EF4-FFF2-40B4-BE49-F238E27FC236}">
                <a16:creationId xmlns:a16="http://schemas.microsoft.com/office/drawing/2014/main" id="{39CB48D0-BF15-AF40-4E73-570696A904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" name="Straight Connector 533">
            <a:extLst>
              <a:ext uri="{FF2B5EF4-FFF2-40B4-BE49-F238E27FC236}">
                <a16:creationId xmlns:a16="http://schemas.microsoft.com/office/drawing/2014/main" id="{46DBF963-F4D7-284A-FE7D-15517284DD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" name="Straight Connector 535">
            <a:extLst>
              <a:ext uri="{FF2B5EF4-FFF2-40B4-BE49-F238E27FC236}">
                <a16:creationId xmlns:a16="http://schemas.microsoft.com/office/drawing/2014/main" id="{EB343D33-9EE4-DAB3-95AB-8089ED422E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" name="Straight Connector 537">
            <a:extLst>
              <a:ext uri="{FF2B5EF4-FFF2-40B4-BE49-F238E27FC236}">
                <a16:creationId xmlns:a16="http://schemas.microsoft.com/office/drawing/2014/main" id="{67C9AE03-C484-ED51-EE49-4BA1C5B087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115" name="Group 1008">
          <a:extLst>
            <a:ext uri="{FF2B5EF4-FFF2-40B4-BE49-F238E27FC236}">
              <a16:creationId xmlns:a16="http://schemas.microsoft.com/office/drawing/2014/main" id="{B7B9FF21-B7C6-40AE-A5E7-B32644F152AF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116" name="Straight Connector 115">
            <a:extLst>
              <a:ext uri="{FF2B5EF4-FFF2-40B4-BE49-F238E27FC236}">
                <a16:creationId xmlns:a16="http://schemas.microsoft.com/office/drawing/2014/main" id="{4904E225-7917-F63E-93B7-9E6F40A1AD7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" name="Straight Connector 529">
            <a:extLst>
              <a:ext uri="{FF2B5EF4-FFF2-40B4-BE49-F238E27FC236}">
                <a16:creationId xmlns:a16="http://schemas.microsoft.com/office/drawing/2014/main" id="{23CDF2AA-179C-BFDD-F5E7-619E7672C7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" name="Straight Connector 531">
            <a:extLst>
              <a:ext uri="{FF2B5EF4-FFF2-40B4-BE49-F238E27FC236}">
                <a16:creationId xmlns:a16="http://schemas.microsoft.com/office/drawing/2014/main" id="{F421D9F5-4AC1-91D4-E04D-9F501988C2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9" name="Straight Connector 533">
            <a:extLst>
              <a:ext uri="{FF2B5EF4-FFF2-40B4-BE49-F238E27FC236}">
                <a16:creationId xmlns:a16="http://schemas.microsoft.com/office/drawing/2014/main" id="{5F76466A-822C-8E52-DEA4-39B7B08BAC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0" name="Straight Connector 535">
            <a:extLst>
              <a:ext uri="{FF2B5EF4-FFF2-40B4-BE49-F238E27FC236}">
                <a16:creationId xmlns:a16="http://schemas.microsoft.com/office/drawing/2014/main" id="{5C733369-5D43-0B08-2852-EBD9B10C03C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" name="Straight Connector 537">
            <a:extLst>
              <a:ext uri="{FF2B5EF4-FFF2-40B4-BE49-F238E27FC236}">
                <a16:creationId xmlns:a16="http://schemas.microsoft.com/office/drawing/2014/main" id="{967DD47B-2EA4-B0B8-D774-DDE5BF1003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22" name="Group 1008">
          <a:extLst>
            <a:ext uri="{FF2B5EF4-FFF2-40B4-BE49-F238E27FC236}">
              <a16:creationId xmlns:a16="http://schemas.microsoft.com/office/drawing/2014/main" id="{CA0C2BB8-27C4-4CFD-87A2-159E65B9658C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123" name="Straight Connector 122">
            <a:extLst>
              <a:ext uri="{FF2B5EF4-FFF2-40B4-BE49-F238E27FC236}">
                <a16:creationId xmlns:a16="http://schemas.microsoft.com/office/drawing/2014/main" id="{16565219-EB34-70B7-1C53-34E46195FB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" name="Straight Connector 529">
            <a:extLst>
              <a:ext uri="{FF2B5EF4-FFF2-40B4-BE49-F238E27FC236}">
                <a16:creationId xmlns:a16="http://schemas.microsoft.com/office/drawing/2014/main" id="{F831F9C1-4507-6FD3-08F8-335003D588C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" name="Straight Connector 531">
            <a:extLst>
              <a:ext uri="{FF2B5EF4-FFF2-40B4-BE49-F238E27FC236}">
                <a16:creationId xmlns:a16="http://schemas.microsoft.com/office/drawing/2014/main" id="{DBBB9A90-0E15-4514-3711-D5CC7E5487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" name="Straight Connector 533">
            <a:extLst>
              <a:ext uri="{FF2B5EF4-FFF2-40B4-BE49-F238E27FC236}">
                <a16:creationId xmlns:a16="http://schemas.microsoft.com/office/drawing/2014/main" id="{58D62380-81EC-766F-624F-DD091C1D3E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" name="Straight Connector 535">
            <a:extLst>
              <a:ext uri="{FF2B5EF4-FFF2-40B4-BE49-F238E27FC236}">
                <a16:creationId xmlns:a16="http://schemas.microsoft.com/office/drawing/2014/main" id="{D466FB0D-F61E-85CF-8F88-746145DEBB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" name="Straight Connector 537">
            <a:extLst>
              <a:ext uri="{FF2B5EF4-FFF2-40B4-BE49-F238E27FC236}">
                <a16:creationId xmlns:a16="http://schemas.microsoft.com/office/drawing/2014/main" id="{E1A65E40-4D9A-4A84-101F-0FAC098194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29" name="Group 1008">
          <a:extLst>
            <a:ext uri="{FF2B5EF4-FFF2-40B4-BE49-F238E27FC236}">
              <a16:creationId xmlns:a16="http://schemas.microsoft.com/office/drawing/2014/main" id="{6303C43D-5298-49C6-8D8B-56113BF57F14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130" name="Straight Connector 129">
            <a:extLst>
              <a:ext uri="{FF2B5EF4-FFF2-40B4-BE49-F238E27FC236}">
                <a16:creationId xmlns:a16="http://schemas.microsoft.com/office/drawing/2014/main" id="{57DD9D27-49A8-701B-C12B-D27FC2E82A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" name="Straight Connector 529">
            <a:extLst>
              <a:ext uri="{FF2B5EF4-FFF2-40B4-BE49-F238E27FC236}">
                <a16:creationId xmlns:a16="http://schemas.microsoft.com/office/drawing/2014/main" id="{6D1A992D-C9B6-E17D-66E2-6B37C6F506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" name="Straight Connector 531">
            <a:extLst>
              <a:ext uri="{FF2B5EF4-FFF2-40B4-BE49-F238E27FC236}">
                <a16:creationId xmlns:a16="http://schemas.microsoft.com/office/drawing/2014/main" id="{4647B02E-2EDE-3DFC-B117-BD6AEAC0B11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" name="Straight Connector 533">
            <a:extLst>
              <a:ext uri="{FF2B5EF4-FFF2-40B4-BE49-F238E27FC236}">
                <a16:creationId xmlns:a16="http://schemas.microsoft.com/office/drawing/2014/main" id="{5D075E9B-8871-FC17-C3A9-C0478D4248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" name="Straight Connector 535">
            <a:extLst>
              <a:ext uri="{FF2B5EF4-FFF2-40B4-BE49-F238E27FC236}">
                <a16:creationId xmlns:a16="http://schemas.microsoft.com/office/drawing/2014/main" id="{2D737C37-F02C-D459-E416-5E958770F4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" name="Straight Connector 537">
            <a:extLst>
              <a:ext uri="{FF2B5EF4-FFF2-40B4-BE49-F238E27FC236}">
                <a16:creationId xmlns:a16="http://schemas.microsoft.com/office/drawing/2014/main" id="{3A43FDD7-C795-8854-CB2C-2136F1D0B4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36" name="Group 1008">
          <a:extLst>
            <a:ext uri="{FF2B5EF4-FFF2-40B4-BE49-F238E27FC236}">
              <a16:creationId xmlns:a16="http://schemas.microsoft.com/office/drawing/2014/main" id="{C1AC397E-4ED3-4AA6-820C-2AD8531474B8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137" name="Straight Connector 136">
            <a:extLst>
              <a:ext uri="{FF2B5EF4-FFF2-40B4-BE49-F238E27FC236}">
                <a16:creationId xmlns:a16="http://schemas.microsoft.com/office/drawing/2014/main" id="{75F60C6A-FA67-F0A9-C1B1-E6E59964417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" name="Straight Connector 529">
            <a:extLst>
              <a:ext uri="{FF2B5EF4-FFF2-40B4-BE49-F238E27FC236}">
                <a16:creationId xmlns:a16="http://schemas.microsoft.com/office/drawing/2014/main" id="{3BFAF833-99C8-E0B3-6E5F-204E38AF70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" name="Straight Connector 531">
            <a:extLst>
              <a:ext uri="{FF2B5EF4-FFF2-40B4-BE49-F238E27FC236}">
                <a16:creationId xmlns:a16="http://schemas.microsoft.com/office/drawing/2014/main" id="{06B7DC82-D9AD-44FA-0E80-E9CD046547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0" name="Straight Connector 533">
            <a:extLst>
              <a:ext uri="{FF2B5EF4-FFF2-40B4-BE49-F238E27FC236}">
                <a16:creationId xmlns:a16="http://schemas.microsoft.com/office/drawing/2014/main" id="{3A8E89ED-58EA-D147-7FDA-ECCFE02162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" name="Straight Connector 535">
            <a:extLst>
              <a:ext uri="{FF2B5EF4-FFF2-40B4-BE49-F238E27FC236}">
                <a16:creationId xmlns:a16="http://schemas.microsoft.com/office/drawing/2014/main" id="{B1691632-0E38-F3D7-F47B-902B35905E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" name="Straight Connector 537">
            <a:extLst>
              <a:ext uri="{FF2B5EF4-FFF2-40B4-BE49-F238E27FC236}">
                <a16:creationId xmlns:a16="http://schemas.microsoft.com/office/drawing/2014/main" id="{E95E6BC7-3BFB-7FB3-037F-471C424611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43" name="Group 1008">
          <a:extLst>
            <a:ext uri="{FF2B5EF4-FFF2-40B4-BE49-F238E27FC236}">
              <a16:creationId xmlns:a16="http://schemas.microsoft.com/office/drawing/2014/main" id="{09832657-FB3B-4A90-9903-E3A87CEEB375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144" name="Straight Connector 143">
            <a:extLst>
              <a:ext uri="{FF2B5EF4-FFF2-40B4-BE49-F238E27FC236}">
                <a16:creationId xmlns:a16="http://schemas.microsoft.com/office/drawing/2014/main" id="{ECD9963B-F946-A5B3-02EC-F7F53F9FF55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" name="Straight Connector 529">
            <a:extLst>
              <a:ext uri="{FF2B5EF4-FFF2-40B4-BE49-F238E27FC236}">
                <a16:creationId xmlns:a16="http://schemas.microsoft.com/office/drawing/2014/main" id="{561A16CD-4BE3-E419-8134-53138ABE6CC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" name="Straight Connector 531">
            <a:extLst>
              <a:ext uri="{FF2B5EF4-FFF2-40B4-BE49-F238E27FC236}">
                <a16:creationId xmlns:a16="http://schemas.microsoft.com/office/drawing/2014/main" id="{F463BCAC-C7C8-3AA1-320F-34FB772CB0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" name="Straight Connector 533">
            <a:extLst>
              <a:ext uri="{FF2B5EF4-FFF2-40B4-BE49-F238E27FC236}">
                <a16:creationId xmlns:a16="http://schemas.microsoft.com/office/drawing/2014/main" id="{7D862AFE-A738-3681-E968-8FAB6755DF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" name="Straight Connector 535">
            <a:extLst>
              <a:ext uri="{FF2B5EF4-FFF2-40B4-BE49-F238E27FC236}">
                <a16:creationId xmlns:a16="http://schemas.microsoft.com/office/drawing/2014/main" id="{53A443BF-2E44-3EFE-7F1C-45B9F27486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" name="Straight Connector 537">
            <a:extLst>
              <a:ext uri="{FF2B5EF4-FFF2-40B4-BE49-F238E27FC236}">
                <a16:creationId xmlns:a16="http://schemas.microsoft.com/office/drawing/2014/main" id="{2157E195-9E06-94AA-3F4F-C623EF42F4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50" name="Group 1008">
          <a:extLst>
            <a:ext uri="{FF2B5EF4-FFF2-40B4-BE49-F238E27FC236}">
              <a16:creationId xmlns:a16="http://schemas.microsoft.com/office/drawing/2014/main" id="{633FF2CC-A035-4B27-82E9-AAD73E1F9C48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151" name="Straight Connector 150">
            <a:extLst>
              <a:ext uri="{FF2B5EF4-FFF2-40B4-BE49-F238E27FC236}">
                <a16:creationId xmlns:a16="http://schemas.microsoft.com/office/drawing/2014/main" id="{4EB328BD-2FBD-D45C-0A70-B1565433855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" name="Straight Connector 529">
            <a:extLst>
              <a:ext uri="{FF2B5EF4-FFF2-40B4-BE49-F238E27FC236}">
                <a16:creationId xmlns:a16="http://schemas.microsoft.com/office/drawing/2014/main" id="{C72DB283-F7B1-B8B8-BF9D-F4262B32A0A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" name="Straight Connector 531">
            <a:extLst>
              <a:ext uri="{FF2B5EF4-FFF2-40B4-BE49-F238E27FC236}">
                <a16:creationId xmlns:a16="http://schemas.microsoft.com/office/drawing/2014/main" id="{3EF579D5-F28D-75B5-E463-7175DCD1D5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" name="Straight Connector 533">
            <a:extLst>
              <a:ext uri="{FF2B5EF4-FFF2-40B4-BE49-F238E27FC236}">
                <a16:creationId xmlns:a16="http://schemas.microsoft.com/office/drawing/2014/main" id="{F10810D4-F45B-976B-187E-31917AB1D6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" name="Straight Connector 535">
            <a:extLst>
              <a:ext uri="{FF2B5EF4-FFF2-40B4-BE49-F238E27FC236}">
                <a16:creationId xmlns:a16="http://schemas.microsoft.com/office/drawing/2014/main" id="{6499DD87-797F-AC27-6959-40CC439D5E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" name="Straight Connector 537">
            <a:extLst>
              <a:ext uri="{FF2B5EF4-FFF2-40B4-BE49-F238E27FC236}">
                <a16:creationId xmlns:a16="http://schemas.microsoft.com/office/drawing/2014/main" id="{E5EA57D8-2D06-6003-C517-CA38171B4B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57" name="Group 1008">
          <a:extLst>
            <a:ext uri="{FF2B5EF4-FFF2-40B4-BE49-F238E27FC236}">
              <a16:creationId xmlns:a16="http://schemas.microsoft.com/office/drawing/2014/main" id="{1C6619B3-5469-4605-940B-D5494EEFBC3F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158" name="Straight Connector 157">
            <a:extLst>
              <a:ext uri="{FF2B5EF4-FFF2-40B4-BE49-F238E27FC236}">
                <a16:creationId xmlns:a16="http://schemas.microsoft.com/office/drawing/2014/main" id="{15BDBA6F-A9AC-CA07-A3B9-93DB2BBD84F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9" name="Straight Connector 529">
            <a:extLst>
              <a:ext uri="{FF2B5EF4-FFF2-40B4-BE49-F238E27FC236}">
                <a16:creationId xmlns:a16="http://schemas.microsoft.com/office/drawing/2014/main" id="{FFDC5D0F-5D82-D281-AF2E-B5453B22D5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0" name="Straight Connector 531">
            <a:extLst>
              <a:ext uri="{FF2B5EF4-FFF2-40B4-BE49-F238E27FC236}">
                <a16:creationId xmlns:a16="http://schemas.microsoft.com/office/drawing/2014/main" id="{6DBE0AE7-701F-B362-8539-2DD251BCDA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1" name="Straight Connector 533">
            <a:extLst>
              <a:ext uri="{FF2B5EF4-FFF2-40B4-BE49-F238E27FC236}">
                <a16:creationId xmlns:a16="http://schemas.microsoft.com/office/drawing/2014/main" id="{B1FFFD69-A5CB-A7FB-426B-1E59A90AC5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" name="Straight Connector 535">
            <a:extLst>
              <a:ext uri="{FF2B5EF4-FFF2-40B4-BE49-F238E27FC236}">
                <a16:creationId xmlns:a16="http://schemas.microsoft.com/office/drawing/2014/main" id="{06B46E77-1E8F-44EF-347F-475C75D670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" name="Straight Connector 537">
            <a:extLst>
              <a:ext uri="{FF2B5EF4-FFF2-40B4-BE49-F238E27FC236}">
                <a16:creationId xmlns:a16="http://schemas.microsoft.com/office/drawing/2014/main" id="{2D875F16-D4CD-8D63-11E5-3967D549AB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64" name="Group 1008">
          <a:extLst>
            <a:ext uri="{FF2B5EF4-FFF2-40B4-BE49-F238E27FC236}">
              <a16:creationId xmlns:a16="http://schemas.microsoft.com/office/drawing/2014/main" id="{C91D8212-C37D-477B-9EFC-D6EF150B2E11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165" name="Straight Connector 164">
            <a:extLst>
              <a:ext uri="{FF2B5EF4-FFF2-40B4-BE49-F238E27FC236}">
                <a16:creationId xmlns:a16="http://schemas.microsoft.com/office/drawing/2014/main" id="{FA8B71DF-078A-1D15-8C99-CB8F5B1AB94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6" name="Straight Connector 529">
            <a:extLst>
              <a:ext uri="{FF2B5EF4-FFF2-40B4-BE49-F238E27FC236}">
                <a16:creationId xmlns:a16="http://schemas.microsoft.com/office/drawing/2014/main" id="{3084FAEB-5029-E900-D385-C1D4E319E4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" name="Straight Connector 531">
            <a:extLst>
              <a:ext uri="{FF2B5EF4-FFF2-40B4-BE49-F238E27FC236}">
                <a16:creationId xmlns:a16="http://schemas.microsoft.com/office/drawing/2014/main" id="{1149CA70-3E42-31DD-4C6D-9A5F380A94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" name="Straight Connector 533">
            <a:extLst>
              <a:ext uri="{FF2B5EF4-FFF2-40B4-BE49-F238E27FC236}">
                <a16:creationId xmlns:a16="http://schemas.microsoft.com/office/drawing/2014/main" id="{00660B0F-8071-F9A8-A697-45AC2E51D5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" name="Straight Connector 535">
            <a:extLst>
              <a:ext uri="{FF2B5EF4-FFF2-40B4-BE49-F238E27FC236}">
                <a16:creationId xmlns:a16="http://schemas.microsoft.com/office/drawing/2014/main" id="{17E3F289-8B59-D553-9655-B57774FF25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" name="Straight Connector 537">
            <a:extLst>
              <a:ext uri="{FF2B5EF4-FFF2-40B4-BE49-F238E27FC236}">
                <a16:creationId xmlns:a16="http://schemas.microsoft.com/office/drawing/2014/main" id="{14F60612-BF73-D3FD-8FA1-565DAB8966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71" name="Group 1008">
          <a:extLst>
            <a:ext uri="{FF2B5EF4-FFF2-40B4-BE49-F238E27FC236}">
              <a16:creationId xmlns:a16="http://schemas.microsoft.com/office/drawing/2014/main" id="{27BCFC7A-3AE8-41F9-87C3-84DD97D7CDA1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172" name="Straight Connector 171">
            <a:extLst>
              <a:ext uri="{FF2B5EF4-FFF2-40B4-BE49-F238E27FC236}">
                <a16:creationId xmlns:a16="http://schemas.microsoft.com/office/drawing/2014/main" id="{82AAFBD9-93A7-D091-5915-55DB541CC96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3" name="Straight Connector 529">
            <a:extLst>
              <a:ext uri="{FF2B5EF4-FFF2-40B4-BE49-F238E27FC236}">
                <a16:creationId xmlns:a16="http://schemas.microsoft.com/office/drawing/2014/main" id="{E457ED5E-FFF0-938C-334F-1E2350A51EC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" name="Straight Connector 531">
            <a:extLst>
              <a:ext uri="{FF2B5EF4-FFF2-40B4-BE49-F238E27FC236}">
                <a16:creationId xmlns:a16="http://schemas.microsoft.com/office/drawing/2014/main" id="{0468F1FA-C273-CDCE-377B-956176358F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" name="Straight Connector 533">
            <a:extLst>
              <a:ext uri="{FF2B5EF4-FFF2-40B4-BE49-F238E27FC236}">
                <a16:creationId xmlns:a16="http://schemas.microsoft.com/office/drawing/2014/main" id="{533DF063-2D91-9EAD-2826-5B3A68E720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" name="Straight Connector 535">
            <a:extLst>
              <a:ext uri="{FF2B5EF4-FFF2-40B4-BE49-F238E27FC236}">
                <a16:creationId xmlns:a16="http://schemas.microsoft.com/office/drawing/2014/main" id="{6094D143-0204-81C4-6E26-ADC2EE1DF4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" name="Straight Connector 537">
            <a:extLst>
              <a:ext uri="{FF2B5EF4-FFF2-40B4-BE49-F238E27FC236}">
                <a16:creationId xmlns:a16="http://schemas.microsoft.com/office/drawing/2014/main" id="{8939AAA9-193F-CD8E-6E90-E2B0B77C97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78" name="Group 1008">
          <a:extLst>
            <a:ext uri="{FF2B5EF4-FFF2-40B4-BE49-F238E27FC236}">
              <a16:creationId xmlns:a16="http://schemas.microsoft.com/office/drawing/2014/main" id="{BE9E6BCB-EF79-4C13-A4D8-A2E3DD99A988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179" name="Straight Connector 178">
            <a:extLst>
              <a:ext uri="{FF2B5EF4-FFF2-40B4-BE49-F238E27FC236}">
                <a16:creationId xmlns:a16="http://schemas.microsoft.com/office/drawing/2014/main" id="{F3FC9C6A-2285-190A-25A8-77C48A7DE0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0" name="Straight Connector 529">
            <a:extLst>
              <a:ext uri="{FF2B5EF4-FFF2-40B4-BE49-F238E27FC236}">
                <a16:creationId xmlns:a16="http://schemas.microsoft.com/office/drawing/2014/main" id="{28045E32-1DCE-BE9F-196B-E176CEC1F8D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1" name="Straight Connector 531">
            <a:extLst>
              <a:ext uri="{FF2B5EF4-FFF2-40B4-BE49-F238E27FC236}">
                <a16:creationId xmlns:a16="http://schemas.microsoft.com/office/drawing/2014/main" id="{1C33B832-AC39-8A65-B173-A2C9DE80A51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" name="Straight Connector 533">
            <a:extLst>
              <a:ext uri="{FF2B5EF4-FFF2-40B4-BE49-F238E27FC236}">
                <a16:creationId xmlns:a16="http://schemas.microsoft.com/office/drawing/2014/main" id="{B88F3F3B-9522-B749-5292-B593F8335F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" name="Straight Connector 535">
            <a:extLst>
              <a:ext uri="{FF2B5EF4-FFF2-40B4-BE49-F238E27FC236}">
                <a16:creationId xmlns:a16="http://schemas.microsoft.com/office/drawing/2014/main" id="{2DB5078E-7FF0-EBAE-B499-8691B5EBD3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" name="Straight Connector 537">
            <a:extLst>
              <a:ext uri="{FF2B5EF4-FFF2-40B4-BE49-F238E27FC236}">
                <a16:creationId xmlns:a16="http://schemas.microsoft.com/office/drawing/2014/main" id="{0565DC5E-ACD6-EE34-A894-C00C981BE8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85" name="Group 1008">
          <a:extLst>
            <a:ext uri="{FF2B5EF4-FFF2-40B4-BE49-F238E27FC236}">
              <a16:creationId xmlns:a16="http://schemas.microsoft.com/office/drawing/2014/main" id="{96CBA8B7-CC7E-44E6-B039-F46C9EE52DF4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186" name="Straight Connector 185">
            <a:extLst>
              <a:ext uri="{FF2B5EF4-FFF2-40B4-BE49-F238E27FC236}">
                <a16:creationId xmlns:a16="http://schemas.microsoft.com/office/drawing/2014/main" id="{091D294E-847B-5394-F5F0-1DBA274036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7" name="Straight Connector 529">
            <a:extLst>
              <a:ext uri="{FF2B5EF4-FFF2-40B4-BE49-F238E27FC236}">
                <a16:creationId xmlns:a16="http://schemas.microsoft.com/office/drawing/2014/main" id="{264E0963-4659-290B-065A-E113FA5039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" name="Straight Connector 531">
            <a:extLst>
              <a:ext uri="{FF2B5EF4-FFF2-40B4-BE49-F238E27FC236}">
                <a16:creationId xmlns:a16="http://schemas.microsoft.com/office/drawing/2014/main" id="{FFBB9B48-3A03-C71C-3E29-91B031BE71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" name="Straight Connector 533">
            <a:extLst>
              <a:ext uri="{FF2B5EF4-FFF2-40B4-BE49-F238E27FC236}">
                <a16:creationId xmlns:a16="http://schemas.microsoft.com/office/drawing/2014/main" id="{4B69B8B3-F15C-CA85-0BEE-E792E0FC25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" name="Straight Connector 535">
            <a:extLst>
              <a:ext uri="{FF2B5EF4-FFF2-40B4-BE49-F238E27FC236}">
                <a16:creationId xmlns:a16="http://schemas.microsoft.com/office/drawing/2014/main" id="{E0D0A8DE-C2FE-2110-97A9-33BF4A1CE0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" name="Straight Connector 537">
            <a:extLst>
              <a:ext uri="{FF2B5EF4-FFF2-40B4-BE49-F238E27FC236}">
                <a16:creationId xmlns:a16="http://schemas.microsoft.com/office/drawing/2014/main" id="{074A51D6-EB95-765A-475D-7B66820B88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92" name="Group 1008">
          <a:extLst>
            <a:ext uri="{FF2B5EF4-FFF2-40B4-BE49-F238E27FC236}">
              <a16:creationId xmlns:a16="http://schemas.microsoft.com/office/drawing/2014/main" id="{F96D15EA-C6EA-4494-A46E-30C12613B18F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193" name="Straight Connector 192">
            <a:extLst>
              <a:ext uri="{FF2B5EF4-FFF2-40B4-BE49-F238E27FC236}">
                <a16:creationId xmlns:a16="http://schemas.microsoft.com/office/drawing/2014/main" id="{B199554E-E400-C9F1-B59D-603D1E9650D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4" name="Straight Connector 529">
            <a:extLst>
              <a:ext uri="{FF2B5EF4-FFF2-40B4-BE49-F238E27FC236}">
                <a16:creationId xmlns:a16="http://schemas.microsoft.com/office/drawing/2014/main" id="{2FF7AEF2-BDC6-067F-4ECF-66BA09EF8D5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" name="Straight Connector 531">
            <a:extLst>
              <a:ext uri="{FF2B5EF4-FFF2-40B4-BE49-F238E27FC236}">
                <a16:creationId xmlns:a16="http://schemas.microsoft.com/office/drawing/2014/main" id="{16141067-F579-72C1-9D1F-751C0B895B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" name="Straight Connector 533">
            <a:extLst>
              <a:ext uri="{FF2B5EF4-FFF2-40B4-BE49-F238E27FC236}">
                <a16:creationId xmlns:a16="http://schemas.microsoft.com/office/drawing/2014/main" id="{3EA8CDA1-FCEC-02C2-77B9-5BB98795A4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" name="Straight Connector 535">
            <a:extLst>
              <a:ext uri="{FF2B5EF4-FFF2-40B4-BE49-F238E27FC236}">
                <a16:creationId xmlns:a16="http://schemas.microsoft.com/office/drawing/2014/main" id="{7066A8AB-8462-3D27-88F8-E8554D34D9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" name="Straight Connector 537">
            <a:extLst>
              <a:ext uri="{FF2B5EF4-FFF2-40B4-BE49-F238E27FC236}">
                <a16:creationId xmlns:a16="http://schemas.microsoft.com/office/drawing/2014/main" id="{DFA50059-D3C6-0069-AC7A-45ED16FEBE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99" name="Group 1008">
          <a:extLst>
            <a:ext uri="{FF2B5EF4-FFF2-40B4-BE49-F238E27FC236}">
              <a16:creationId xmlns:a16="http://schemas.microsoft.com/office/drawing/2014/main" id="{2A24928E-45DD-4046-ABDE-AE264AEEB774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200" name="Straight Connector 199">
            <a:extLst>
              <a:ext uri="{FF2B5EF4-FFF2-40B4-BE49-F238E27FC236}">
                <a16:creationId xmlns:a16="http://schemas.microsoft.com/office/drawing/2014/main" id="{D9CD08B3-215B-7103-E100-1C84A627162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1" name="Straight Connector 529">
            <a:extLst>
              <a:ext uri="{FF2B5EF4-FFF2-40B4-BE49-F238E27FC236}">
                <a16:creationId xmlns:a16="http://schemas.microsoft.com/office/drawing/2014/main" id="{6154ED65-53B7-A181-67DD-851F4F464C4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2" name="Straight Connector 531">
            <a:extLst>
              <a:ext uri="{FF2B5EF4-FFF2-40B4-BE49-F238E27FC236}">
                <a16:creationId xmlns:a16="http://schemas.microsoft.com/office/drawing/2014/main" id="{E961FFC6-2629-05F0-B6B8-E1E96B4CA64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" name="Straight Connector 533">
            <a:extLst>
              <a:ext uri="{FF2B5EF4-FFF2-40B4-BE49-F238E27FC236}">
                <a16:creationId xmlns:a16="http://schemas.microsoft.com/office/drawing/2014/main" id="{5AFCD744-A7AD-E865-67EE-D3EFAE39DE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" name="Straight Connector 535">
            <a:extLst>
              <a:ext uri="{FF2B5EF4-FFF2-40B4-BE49-F238E27FC236}">
                <a16:creationId xmlns:a16="http://schemas.microsoft.com/office/drawing/2014/main" id="{E33A5C00-CFDD-DD05-A92D-9528A39663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" name="Straight Connector 537">
            <a:extLst>
              <a:ext uri="{FF2B5EF4-FFF2-40B4-BE49-F238E27FC236}">
                <a16:creationId xmlns:a16="http://schemas.microsoft.com/office/drawing/2014/main" id="{3A811CC1-FB6B-BB51-31D4-64A5B6943A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206" name="Group 1008">
          <a:extLst>
            <a:ext uri="{FF2B5EF4-FFF2-40B4-BE49-F238E27FC236}">
              <a16:creationId xmlns:a16="http://schemas.microsoft.com/office/drawing/2014/main" id="{C4004B11-92C2-4008-B5DF-3C2FCF32C107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207" name="Straight Connector 206">
            <a:extLst>
              <a:ext uri="{FF2B5EF4-FFF2-40B4-BE49-F238E27FC236}">
                <a16:creationId xmlns:a16="http://schemas.microsoft.com/office/drawing/2014/main" id="{685D7467-2B4B-90B4-04EE-19D49FA95DA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8" name="Straight Connector 529">
            <a:extLst>
              <a:ext uri="{FF2B5EF4-FFF2-40B4-BE49-F238E27FC236}">
                <a16:creationId xmlns:a16="http://schemas.microsoft.com/office/drawing/2014/main" id="{7D818EFD-56EF-737C-656F-47C26450E37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" name="Straight Connector 531">
            <a:extLst>
              <a:ext uri="{FF2B5EF4-FFF2-40B4-BE49-F238E27FC236}">
                <a16:creationId xmlns:a16="http://schemas.microsoft.com/office/drawing/2014/main" id="{8CF02737-6779-E84C-4DAF-A6F10BD7B54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" name="Straight Connector 533">
            <a:extLst>
              <a:ext uri="{FF2B5EF4-FFF2-40B4-BE49-F238E27FC236}">
                <a16:creationId xmlns:a16="http://schemas.microsoft.com/office/drawing/2014/main" id="{160741B7-DC93-D5C0-8871-A3BA3A3C2A2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" name="Straight Connector 535">
            <a:extLst>
              <a:ext uri="{FF2B5EF4-FFF2-40B4-BE49-F238E27FC236}">
                <a16:creationId xmlns:a16="http://schemas.microsoft.com/office/drawing/2014/main" id="{CBE1FA5A-BDC1-B279-FCCE-9EEA623CAC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" name="Straight Connector 537">
            <a:extLst>
              <a:ext uri="{FF2B5EF4-FFF2-40B4-BE49-F238E27FC236}">
                <a16:creationId xmlns:a16="http://schemas.microsoft.com/office/drawing/2014/main" id="{8AFA039C-A469-CB8D-EB9A-AA75A3807B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13" name="Group 1008">
          <a:extLst>
            <a:ext uri="{FF2B5EF4-FFF2-40B4-BE49-F238E27FC236}">
              <a16:creationId xmlns:a16="http://schemas.microsoft.com/office/drawing/2014/main" id="{31057378-4BAF-4355-AEEE-6F22FE14D286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14" name="Straight Connector 213">
            <a:extLst>
              <a:ext uri="{FF2B5EF4-FFF2-40B4-BE49-F238E27FC236}">
                <a16:creationId xmlns:a16="http://schemas.microsoft.com/office/drawing/2014/main" id="{1CFF60B3-EA96-B84F-315C-470671A313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5" name="Straight Connector 529">
            <a:extLst>
              <a:ext uri="{FF2B5EF4-FFF2-40B4-BE49-F238E27FC236}">
                <a16:creationId xmlns:a16="http://schemas.microsoft.com/office/drawing/2014/main" id="{AD645BA4-0C97-59D3-DB7A-4CF16AEEEA9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" name="Straight Connector 531">
            <a:extLst>
              <a:ext uri="{FF2B5EF4-FFF2-40B4-BE49-F238E27FC236}">
                <a16:creationId xmlns:a16="http://schemas.microsoft.com/office/drawing/2014/main" id="{B5F8F99A-06EA-E57F-42D9-89F9CC290B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" name="Straight Connector 533">
            <a:extLst>
              <a:ext uri="{FF2B5EF4-FFF2-40B4-BE49-F238E27FC236}">
                <a16:creationId xmlns:a16="http://schemas.microsoft.com/office/drawing/2014/main" id="{1E39DF2D-5FA6-44C2-030E-EFA48D016B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" name="Straight Connector 535">
            <a:extLst>
              <a:ext uri="{FF2B5EF4-FFF2-40B4-BE49-F238E27FC236}">
                <a16:creationId xmlns:a16="http://schemas.microsoft.com/office/drawing/2014/main" id="{25DB4E3A-74D4-07DF-4712-1F1345DBD6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" name="Straight Connector 537">
            <a:extLst>
              <a:ext uri="{FF2B5EF4-FFF2-40B4-BE49-F238E27FC236}">
                <a16:creationId xmlns:a16="http://schemas.microsoft.com/office/drawing/2014/main" id="{E9D09A57-E839-5A86-DB1D-919EE6B382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20" name="Group 1008">
          <a:extLst>
            <a:ext uri="{FF2B5EF4-FFF2-40B4-BE49-F238E27FC236}">
              <a16:creationId xmlns:a16="http://schemas.microsoft.com/office/drawing/2014/main" id="{E91FD923-52F0-40CF-ACCA-DA63A2968611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21" name="Straight Connector 220">
            <a:extLst>
              <a:ext uri="{FF2B5EF4-FFF2-40B4-BE49-F238E27FC236}">
                <a16:creationId xmlns:a16="http://schemas.microsoft.com/office/drawing/2014/main" id="{96D6A082-6444-8E8F-70BB-1E2A162AED8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2" name="Straight Connector 529">
            <a:extLst>
              <a:ext uri="{FF2B5EF4-FFF2-40B4-BE49-F238E27FC236}">
                <a16:creationId xmlns:a16="http://schemas.microsoft.com/office/drawing/2014/main" id="{F8D73BE3-9FE3-36AC-270A-177395427A2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" name="Straight Connector 531">
            <a:extLst>
              <a:ext uri="{FF2B5EF4-FFF2-40B4-BE49-F238E27FC236}">
                <a16:creationId xmlns:a16="http://schemas.microsoft.com/office/drawing/2014/main" id="{FC374D9A-B08D-CD85-3880-1D0E1C6CCA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" name="Straight Connector 533">
            <a:extLst>
              <a:ext uri="{FF2B5EF4-FFF2-40B4-BE49-F238E27FC236}">
                <a16:creationId xmlns:a16="http://schemas.microsoft.com/office/drawing/2014/main" id="{DED67FC6-EC2C-1DD7-34C2-79B9799DBC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" name="Straight Connector 535">
            <a:extLst>
              <a:ext uri="{FF2B5EF4-FFF2-40B4-BE49-F238E27FC236}">
                <a16:creationId xmlns:a16="http://schemas.microsoft.com/office/drawing/2014/main" id="{DC9C4F12-7E7D-7766-DD02-EE012248F9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" name="Straight Connector 537">
            <a:extLst>
              <a:ext uri="{FF2B5EF4-FFF2-40B4-BE49-F238E27FC236}">
                <a16:creationId xmlns:a16="http://schemas.microsoft.com/office/drawing/2014/main" id="{DF186C82-596D-7AFD-7268-C7E6720C47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27" name="Group 1008">
          <a:extLst>
            <a:ext uri="{FF2B5EF4-FFF2-40B4-BE49-F238E27FC236}">
              <a16:creationId xmlns:a16="http://schemas.microsoft.com/office/drawing/2014/main" id="{374376F9-FEBD-4F58-A8CE-339A9BE8911B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28" name="Straight Connector 227">
            <a:extLst>
              <a:ext uri="{FF2B5EF4-FFF2-40B4-BE49-F238E27FC236}">
                <a16:creationId xmlns:a16="http://schemas.microsoft.com/office/drawing/2014/main" id="{7DAB8BD6-C738-3468-23BE-07C09220B5B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9" name="Straight Connector 529">
            <a:extLst>
              <a:ext uri="{FF2B5EF4-FFF2-40B4-BE49-F238E27FC236}">
                <a16:creationId xmlns:a16="http://schemas.microsoft.com/office/drawing/2014/main" id="{C50347ED-973D-45EE-393E-67792F14DDA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" name="Straight Connector 531">
            <a:extLst>
              <a:ext uri="{FF2B5EF4-FFF2-40B4-BE49-F238E27FC236}">
                <a16:creationId xmlns:a16="http://schemas.microsoft.com/office/drawing/2014/main" id="{90A0407E-2850-38E4-A7BD-D866409878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" name="Straight Connector 533">
            <a:extLst>
              <a:ext uri="{FF2B5EF4-FFF2-40B4-BE49-F238E27FC236}">
                <a16:creationId xmlns:a16="http://schemas.microsoft.com/office/drawing/2014/main" id="{F3DF12AE-A6FE-BAF6-DBF3-F9EF62691A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" name="Straight Connector 535">
            <a:extLst>
              <a:ext uri="{FF2B5EF4-FFF2-40B4-BE49-F238E27FC236}">
                <a16:creationId xmlns:a16="http://schemas.microsoft.com/office/drawing/2014/main" id="{A837ADE4-EDD1-3AFD-9130-CE23A3B7C4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" name="Straight Connector 537">
            <a:extLst>
              <a:ext uri="{FF2B5EF4-FFF2-40B4-BE49-F238E27FC236}">
                <a16:creationId xmlns:a16="http://schemas.microsoft.com/office/drawing/2014/main" id="{572AD0D2-DE89-1D70-11DB-779065606E9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34" name="Group 1008">
          <a:extLst>
            <a:ext uri="{FF2B5EF4-FFF2-40B4-BE49-F238E27FC236}">
              <a16:creationId xmlns:a16="http://schemas.microsoft.com/office/drawing/2014/main" id="{64A4684B-8121-4E4A-A475-1487A1FCEE19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35" name="Straight Connector 234">
            <a:extLst>
              <a:ext uri="{FF2B5EF4-FFF2-40B4-BE49-F238E27FC236}">
                <a16:creationId xmlns:a16="http://schemas.microsoft.com/office/drawing/2014/main" id="{774D39AE-540B-8640-B763-2DE3EC746D4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6" name="Straight Connector 529">
            <a:extLst>
              <a:ext uri="{FF2B5EF4-FFF2-40B4-BE49-F238E27FC236}">
                <a16:creationId xmlns:a16="http://schemas.microsoft.com/office/drawing/2014/main" id="{A059F5BD-6643-5825-FBD5-977D5F9BE6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" name="Straight Connector 531">
            <a:extLst>
              <a:ext uri="{FF2B5EF4-FFF2-40B4-BE49-F238E27FC236}">
                <a16:creationId xmlns:a16="http://schemas.microsoft.com/office/drawing/2014/main" id="{E1C52B39-1BA3-C9CA-06CF-9E7C406A1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" name="Straight Connector 533">
            <a:extLst>
              <a:ext uri="{FF2B5EF4-FFF2-40B4-BE49-F238E27FC236}">
                <a16:creationId xmlns:a16="http://schemas.microsoft.com/office/drawing/2014/main" id="{294CFC99-D29F-BE26-C011-27FD3BF19C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" name="Straight Connector 535">
            <a:extLst>
              <a:ext uri="{FF2B5EF4-FFF2-40B4-BE49-F238E27FC236}">
                <a16:creationId xmlns:a16="http://schemas.microsoft.com/office/drawing/2014/main" id="{817260AA-3B77-4BE2-70AF-937CE32037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" name="Straight Connector 537">
            <a:extLst>
              <a:ext uri="{FF2B5EF4-FFF2-40B4-BE49-F238E27FC236}">
                <a16:creationId xmlns:a16="http://schemas.microsoft.com/office/drawing/2014/main" id="{B565E96D-36F5-07D0-DE9A-8F61C7A5F7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41" name="Group 1008">
          <a:extLst>
            <a:ext uri="{FF2B5EF4-FFF2-40B4-BE49-F238E27FC236}">
              <a16:creationId xmlns:a16="http://schemas.microsoft.com/office/drawing/2014/main" id="{C0C79BE2-6B0F-4253-B3FB-7C5E3BF8B2ED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42" name="Straight Connector 241">
            <a:extLst>
              <a:ext uri="{FF2B5EF4-FFF2-40B4-BE49-F238E27FC236}">
                <a16:creationId xmlns:a16="http://schemas.microsoft.com/office/drawing/2014/main" id="{E7ADE3FB-3F17-AFD8-CA6F-12399A80DEB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3" name="Straight Connector 529">
            <a:extLst>
              <a:ext uri="{FF2B5EF4-FFF2-40B4-BE49-F238E27FC236}">
                <a16:creationId xmlns:a16="http://schemas.microsoft.com/office/drawing/2014/main" id="{A55B4C88-11E8-E4BA-F1D7-DE720349A79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" name="Straight Connector 531">
            <a:extLst>
              <a:ext uri="{FF2B5EF4-FFF2-40B4-BE49-F238E27FC236}">
                <a16:creationId xmlns:a16="http://schemas.microsoft.com/office/drawing/2014/main" id="{FE9C4C66-DF6F-26D1-67E3-972F3A3338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" name="Straight Connector 533">
            <a:extLst>
              <a:ext uri="{FF2B5EF4-FFF2-40B4-BE49-F238E27FC236}">
                <a16:creationId xmlns:a16="http://schemas.microsoft.com/office/drawing/2014/main" id="{1E21DC95-3F5F-3960-C363-D8FC6E0659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" name="Straight Connector 535">
            <a:extLst>
              <a:ext uri="{FF2B5EF4-FFF2-40B4-BE49-F238E27FC236}">
                <a16:creationId xmlns:a16="http://schemas.microsoft.com/office/drawing/2014/main" id="{AFBD5E1B-9403-38C5-606C-D31708DC81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" name="Straight Connector 537">
            <a:extLst>
              <a:ext uri="{FF2B5EF4-FFF2-40B4-BE49-F238E27FC236}">
                <a16:creationId xmlns:a16="http://schemas.microsoft.com/office/drawing/2014/main" id="{A0C8A71B-6232-62CC-565E-1EB2C63829F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48" name="Group 1008">
          <a:extLst>
            <a:ext uri="{FF2B5EF4-FFF2-40B4-BE49-F238E27FC236}">
              <a16:creationId xmlns:a16="http://schemas.microsoft.com/office/drawing/2014/main" id="{8A64D648-B8BE-4DD6-8677-1AE5FA7A5B00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49" name="Straight Connector 248">
            <a:extLst>
              <a:ext uri="{FF2B5EF4-FFF2-40B4-BE49-F238E27FC236}">
                <a16:creationId xmlns:a16="http://schemas.microsoft.com/office/drawing/2014/main" id="{B34A27EB-F30F-9A02-EF80-EA910FBA32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0" name="Straight Connector 529">
            <a:extLst>
              <a:ext uri="{FF2B5EF4-FFF2-40B4-BE49-F238E27FC236}">
                <a16:creationId xmlns:a16="http://schemas.microsoft.com/office/drawing/2014/main" id="{07D0807D-2C17-4BC9-880D-7DE91B6B2F4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" name="Straight Connector 531">
            <a:extLst>
              <a:ext uri="{FF2B5EF4-FFF2-40B4-BE49-F238E27FC236}">
                <a16:creationId xmlns:a16="http://schemas.microsoft.com/office/drawing/2014/main" id="{BDD9B67D-901D-58CB-62CB-A811D2EFC4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" name="Straight Connector 533">
            <a:extLst>
              <a:ext uri="{FF2B5EF4-FFF2-40B4-BE49-F238E27FC236}">
                <a16:creationId xmlns:a16="http://schemas.microsoft.com/office/drawing/2014/main" id="{FE37E984-0AEE-F12F-1535-D5351DFEBB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" name="Straight Connector 535">
            <a:extLst>
              <a:ext uri="{FF2B5EF4-FFF2-40B4-BE49-F238E27FC236}">
                <a16:creationId xmlns:a16="http://schemas.microsoft.com/office/drawing/2014/main" id="{70A4B41C-E45B-4A06-EDF7-3766F46061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" name="Straight Connector 537">
            <a:extLst>
              <a:ext uri="{FF2B5EF4-FFF2-40B4-BE49-F238E27FC236}">
                <a16:creationId xmlns:a16="http://schemas.microsoft.com/office/drawing/2014/main" id="{8F2F8B5A-6316-3DB2-4E15-E27B5F1645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55" name="Group 1008">
          <a:extLst>
            <a:ext uri="{FF2B5EF4-FFF2-40B4-BE49-F238E27FC236}">
              <a16:creationId xmlns:a16="http://schemas.microsoft.com/office/drawing/2014/main" id="{9342DB68-75F7-46DC-8C4D-29AECB1FB3EA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56" name="Straight Connector 255">
            <a:extLst>
              <a:ext uri="{FF2B5EF4-FFF2-40B4-BE49-F238E27FC236}">
                <a16:creationId xmlns:a16="http://schemas.microsoft.com/office/drawing/2014/main" id="{E42D05F3-E9B4-2A92-5F2C-6838634F993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7" name="Straight Connector 529">
            <a:extLst>
              <a:ext uri="{FF2B5EF4-FFF2-40B4-BE49-F238E27FC236}">
                <a16:creationId xmlns:a16="http://schemas.microsoft.com/office/drawing/2014/main" id="{DA29DE67-A111-514D-1BDD-E68172F6C59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" name="Straight Connector 531">
            <a:extLst>
              <a:ext uri="{FF2B5EF4-FFF2-40B4-BE49-F238E27FC236}">
                <a16:creationId xmlns:a16="http://schemas.microsoft.com/office/drawing/2014/main" id="{493B3E15-9AB5-35ED-053B-79B3C3EED3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" name="Straight Connector 533">
            <a:extLst>
              <a:ext uri="{FF2B5EF4-FFF2-40B4-BE49-F238E27FC236}">
                <a16:creationId xmlns:a16="http://schemas.microsoft.com/office/drawing/2014/main" id="{90FF04EA-01B7-64B0-FFAC-7B0A495608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" name="Straight Connector 535">
            <a:extLst>
              <a:ext uri="{FF2B5EF4-FFF2-40B4-BE49-F238E27FC236}">
                <a16:creationId xmlns:a16="http://schemas.microsoft.com/office/drawing/2014/main" id="{2BECEFD3-9DB2-AF34-017E-FD6EA68F62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" name="Straight Connector 537">
            <a:extLst>
              <a:ext uri="{FF2B5EF4-FFF2-40B4-BE49-F238E27FC236}">
                <a16:creationId xmlns:a16="http://schemas.microsoft.com/office/drawing/2014/main" id="{A5517D5D-35A7-EA06-ED06-39DE970126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62" name="Group 1008">
          <a:extLst>
            <a:ext uri="{FF2B5EF4-FFF2-40B4-BE49-F238E27FC236}">
              <a16:creationId xmlns:a16="http://schemas.microsoft.com/office/drawing/2014/main" id="{A3606B4A-D89C-423C-9F08-818B9E5FB060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63" name="Straight Connector 262">
            <a:extLst>
              <a:ext uri="{FF2B5EF4-FFF2-40B4-BE49-F238E27FC236}">
                <a16:creationId xmlns:a16="http://schemas.microsoft.com/office/drawing/2014/main" id="{B89DEE30-98B0-5342-DBF8-B7E252AEA65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4" name="Straight Connector 529">
            <a:extLst>
              <a:ext uri="{FF2B5EF4-FFF2-40B4-BE49-F238E27FC236}">
                <a16:creationId xmlns:a16="http://schemas.microsoft.com/office/drawing/2014/main" id="{4DD98982-7F83-8DFE-89A7-B5DBB15422C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" name="Straight Connector 531">
            <a:extLst>
              <a:ext uri="{FF2B5EF4-FFF2-40B4-BE49-F238E27FC236}">
                <a16:creationId xmlns:a16="http://schemas.microsoft.com/office/drawing/2014/main" id="{B8FC9DD3-2A25-844B-C17E-52F6807E32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" name="Straight Connector 533">
            <a:extLst>
              <a:ext uri="{FF2B5EF4-FFF2-40B4-BE49-F238E27FC236}">
                <a16:creationId xmlns:a16="http://schemas.microsoft.com/office/drawing/2014/main" id="{1B8DEECF-34C1-C070-939E-D7DB4B116C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" name="Straight Connector 535">
            <a:extLst>
              <a:ext uri="{FF2B5EF4-FFF2-40B4-BE49-F238E27FC236}">
                <a16:creationId xmlns:a16="http://schemas.microsoft.com/office/drawing/2014/main" id="{F33129EF-9CCA-34C0-C58E-D87EB214D71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" name="Straight Connector 537">
            <a:extLst>
              <a:ext uri="{FF2B5EF4-FFF2-40B4-BE49-F238E27FC236}">
                <a16:creationId xmlns:a16="http://schemas.microsoft.com/office/drawing/2014/main" id="{66DAD8C9-AA5D-C509-2BBC-E8667D59BA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69" name="Group 1008">
          <a:extLst>
            <a:ext uri="{FF2B5EF4-FFF2-40B4-BE49-F238E27FC236}">
              <a16:creationId xmlns:a16="http://schemas.microsoft.com/office/drawing/2014/main" id="{F43A774A-54E0-47BC-875A-D52AD52017FD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70" name="Straight Connector 269">
            <a:extLst>
              <a:ext uri="{FF2B5EF4-FFF2-40B4-BE49-F238E27FC236}">
                <a16:creationId xmlns:a16="http://schemas.microsoft.com/office/drawing/2014/main" id="{5F7B6DB5-4FF5-5AEA-AB60-7516FFEE42A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1" name="Straight Connector 529">
            <a:extLst>
              <a:ext uri="{FF2B5EF4-FFF2-40B4-BE49-F238E27FC236}">
                <a16:creationId xmlns:a16="http://schemas.microsoft.com/office/drawing/2014/main" id="{95F39E40-9769-319D-00B7-EC4B6E68638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" name="Straight Connector 531">
            <a:extLst>
              <a:ext uri="{FF2B5EF4-FFF2-40B4-BE49-F238E27FC236}">
                <a16:creationId xmlns:a16="http://schemas.microsoft.com/office/drawing/2014/main" id="{B6E74C06-B399-7939-842B-47BA664FAA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" name="Straight Connector 533">
            <a:extLst>
              <a:ext uri="{FF2B5EF4-FFF2-40B4-BE49-F238E27FC236}">
                <a16:creationId xmlns:a16="http://schemas.microsoft.com/office/drawing/2014/main" id="{4D19AC14-AA5D-2E86-3EB4-95813F1A25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" name="Straight Connector 535">
            <a:extLst>
              <a:ext uri="{FF2B5EF4-FFF2-40B4-BE49-F238E27FC236}">
                <a16:creationId xmlns:a16="http://schemas.microsoft.com/office/drawing/2014/main" id="{8B08E43A-9E0C-CDF5-1FBF-D4E42B02084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" name="Straight Connector 537">
            <a:extLst>
              <a:ext uri="{FF2B5EF4-FFF2-40B4-BE49-F238E27FC236}">
                <a16:creationId xmlns:a16="http://schemas.microsoft.com/office/drawing/2014/main" id="{85A56EF3-04C8-4C62-926D-241F069387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76" name="Group 1008">
          <a:extLst>
            <a:ext uri="{FF2B5EF4-FFF2-40B4-BE49-F238E27FC236}">
              <a16:creationId xmlns:a16="http://schemas.microsoft.com/office/drawing/2014/main" id="{9BD8FCC0-93E9-4EF5-8BAE-FA0762200EF2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77" name="Straight Connector 276">
            <a:extLst>
              <a:ext uri="{FF2B5EF4-FFF2-40B4-BE49-F238E27FC236}">
                <a16:creationId xmlns:a16="http://schemas.microsoft.com/office/drawing/2014/main" id="{3DD7C125-2EC0-F64F-90C7-660941AF2C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8" name="Straight Connector 529">
            <a:extLst>
              <a:ext uri="{FF2B5EF4-FFF2-40B4-BE49-F238E27FC236}">
                <a16:creationId xmlns:a16="http://schemas.microsoft.com/office/drawing/2014/main" id="{670A2C80-0323-FB02-B847-15E039AA52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" name="Straight Connector 531">
            <a:extLst>
              <a:ext uri="{FF2B5EF4-FFF2-40B4-BE49-F238E27FC236}">
                <a16:creationId xmlns:a16="http://schemas.microsoft.com/office/drawing/2014/main" id="{56290C54-464E-F6A4-6605-0B2304EE0C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" name="Straight Connector 533">
            <a:extLst>
              <a:ext uri="{FF2B5EF4-FFF2-40B4-BE49-F238E27FC236}">
                <a16:creationId xmlns:a16="http://schemas.microsoft.com/office/drawing/2014/main" id="{0AB531A8-D53E-D583-C6DA-35075D6F13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" name="Straight Connector 535">
            <a:extLst>
              <a:ext uri="{FF2B5EF4-FFF2-40B4-BE49-F238E27FC236}">
                <a16:creationId xmlns:a16="http://schemas.microsoft.com/office/drawing/2014/main" id="{CC3B546B-C4DF-D4D0-D3B5-23D62001D5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2" name="Straight Connector 537">
            <a:extLst>
              <a:ext uri="{FF2B5EF4-FFF2-40B4-BE49-F238E27FC236}">
                <a16:creationId xmlns:a16="http://schemas.microsoft.com/office/drawing/2014/main" id="{258BEBB3-3937-ADFE-1A04-30370EAD130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83" name="Group 1008">
          <a:extLst>
            <a:ext uri="{FF2B5EF4-FFF2-40B4-BE49-F238E27FC236}">
              <a16:creationId xmlns:a16="http://schemas.microsoft.com/office/drawing/2014/main" id="{63E9BFCF-8E45-43A9-81D1-54CC50CBB72F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84" name="Straight Connector 283">
            <a:extLst>
              <a:ext uri="{FF2B5EF4-FFF2-40B4-BE49-F238E27FC236}">
                <a16:creationId xmlns:a16="http://schemas.microsoft.com/office/drawing/2014/main" id="{0ABF3ECB-2ADF-B6A1-7BDD-39154CDF314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5" name="Straight Connector 529">
            <a:extLst>
              <a:ext uri="{FF2B5EF4-FFF2-40B4-BE49-F238E27FC236}">
                <a16:creationId xmlns:a16="http://schemas.microsoft.com/office/drawing/2014/main" id="{0376CE86-1032-EA93-258C-50587BC5DF1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" name="Straight Connector 531">
            <a:extLst>
              <a:ext uri="{FF2B5EF4-FFF2-40B4-BE49-F238E27FC236}">
                <a16:creationId xmlns:a16="http://schemas.microsoft.com/office/drawing/2014/main" id="{4924DE89-BCB8-6AFE-A099-AEFBB935A4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" name="Straight Connector 533">
            <a:extLst>
              <a:ext uri="{FF2B5EF4-FFF2-40B4-BE49-F238E27FC236}">
                <a16:creationId xmlns:a16="http://schemas.microsoft.com/office/drawing/2014/main" id="{FEA863D7-54D8-FD4E-E36B-F8CC509449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" name="Straight Connector 535">
            <a:extLst>
              <a:ext uri="{FF2B5EF4-FFF2-40B4-BE49-F238E27FC236}">
                <a16:creationId xmlns:a16="http://schemas.microsoft.com/office/drawing/2014/main" id="{2BF7B0BB-3010-BB46-C3B6-EF02EE2E33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" name="Straight Connector 537">
            <a:extLst>
              <a:ext uri="{FF2B5EF4-FFF2-40B4-BE49-F238E27FC236}">
                <a16:creationId xmlns:a16="http://schemas.microsoft.com/office/drawing/2014/main" id="{11BC94D0-8668-0945-A1EE-9BB8D6D36F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90" name="Group 1008">
          <a:extLst>
            <a:ext uri="{FF2B5EF4-FFF2-40B4-BE49-F238E27FC236}">
              <a16:creationId xmlns:a16="http://schemas.microsoft.com/office/drawing/2014/main" id="{43E34916-3B0E-4438-B5DF-86C1A045AAC5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91" name="Straight Connector 290">
            <a:extLst>
              <a:ext uri="{FF2B5EF4-FFF2-40B4-BE49-F238E27FC236}">
                <a16:creationId xmlns:a16="http://schemas.microsoft.com/office/drawing/2014/main" id="{888988D3-8562-02BB-22D4-6605BEA85F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2" name="Straight Connector 529">
            <a:extLst>
              <a:ext uri="{FF2B5EF4-FFF2-40B4-BE49-F238E27FC236}">
                <a16:creationId xmlns:a16="http://schemas.microsoft.com/office/drawing/2014/main" id="{D29A281F-4A60-F681-6752-8DB8FC5FF4E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" name="Straight Connector 531">
            <a:extLst>
              <a:ext uri="{FF2B5EF4-FFF2-40B4-BE49-F238E27FC236}">
                <a16:creationId xmlns:a16="http://schemas.microsoft.com/office/drawing/2014/main" id="{77C77C2B-6389-3437-6C6B-4E3D9476B5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" name="Straight Connector 533">
            <a:extLst>
              <a:ext uri="{FF2B5EF4-FFF2-40B4-BE49-F238E27FC236}">
                <a16:creationId xmlns:a16="http://schemas.microsoft.com/office/drawing/2014/main" id="{DF9EDFF9-C392-C8EF-502F-70B0750821F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" name="Straight Connector 535">
            <a:extLst>
              <a:ext uri="{FF2B5EF4-FFF2-40B4-BE49-F238E27FC236}">
                <a16:creationId xmlns:a16="http://schemas.microsoft.com/office/drawing/2014/main" id="{8D72DA61-E62B-78AB-A195-DFF6EB22C2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" name="Straight Connector 537">
            <a:extLst>
              <a:ext uri="{FF2B5EF4-FFF2-40B4-BE49-F238E27FC236}">
                <a16:creationId xmlns:a16="http://schemas.microsoft.com/office/drawing/2014/main" id="{87590BC8-DA14-D176-BE3E-0CACECB1D5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97" name="Group 1008">
          <a:extLst>
            <a:ext uri="{FF2B5EF4-FFF2-40B4-BE49-F238E27FC236}">
              <a16:creationId xmlns:a16="http://schemas.microsoft.com/office/drawing/2014/main" id="{09C4F5A5-A86F-4EE3-9477-F1B28F00CAC7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98" name="Straight Connector 297">
            <a:extLst>
              <a:ext uri="{FF2B5EF4-FFF2-40B4-BE49-F238E27FC236}">
                <a16:creationId xmlns:a16="http://schemas.microsoft.com/office/drawing/2014/main" id="{85D2676E-C97D-EF15-4598-EB90AEDFCE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9" name="Straight Connector 529">
            <a:extLst>
              <a:ext uri="{FF2B5EF4-FFF2-40B4-BE49-F238E27FC236}">
                <a16:creationId xmlns:a16="http://schemas.microsoft.com/office/drawing/2014/main" id="{687B6450-87A5-5BCA-BA09-FA226E8256E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" name="Straight Connector 531">
            <a:extLst>
              <a:ext uri="{FF2B5EF4-FFF2-40B4-BE49-F238E27FC236}">
                <a16:creationId xmlns:a16="http://schemas.microsoft.com/office/drawing/2014/main" id="{12E427C2-AB63-9345-1299-7178FAC0CB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1" name="Straight Connector 533">
            <a:extLst>
              <a:ext uri="{FF2B5EF4-FFF2-40B4-BE49-F238E27FC236}">
                <a16:creationId xmlns:a16="http://schemas.microsoft.com/office/drawing/2014/main" id="{1F968ACC-11B3-F4C9-F0BD-E49F085CEF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2" name="Straight Connector 535">
            <a:extLst>
              <a:ext uri="{FF2B5EF4-FFF2-40B4-BE49-F238E27FC236}">
                <a16:creationId xmlns:a16="http://schemas.microsoft.com/office/drawing/2014/main" id="{C88C1ACC-4D04-551E-FDCD-4A9FE7AB22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3" name="Straight Connector 537">
            <a:extLst>
              <a:ext uri="{FF2B5EF4-FFF2-40B4-BE49-F238E27FC236}">
                <a16:creationId xmlns:a16="http://schemas.microsoft.com/office/drawing/2014/main" id="{62E3EC98-E8A3-7893-3CA1-7D2E4DE6CD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04" name="Group 1008">
          <a:extLst>
            <a:ext uri="{FF2B5EF4-FFF2-40B4-BE49-F238E27FC236}">
              <a16:creationId xmlns:a16="http://schemas.microsoft.com/office/drawing/2014/main" id="{F633E597-1A41-49C9-B629-6F4ED0B10BF1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05" name="Straight Connector 304">
            <a:extLst>
              <a:ext uri="{FF2B5EF4-FFF2-40B4-BE49-F238E27FC236}">
                <a16:creationId xmlns:a16="http://schemas.microsoft.com/office/drawing/2014/main" id="{22575AB0-FDC2-95F5-0165-FB98ECE43A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6" name="Straight Connector 529">
            <a:extLst>
              <a:ext uri="{FF2B5EF4-FFF2-40B4-BE49-F238E27FC236}">
                <a16:creationId xmlns:a16="http://schemas.microsoft.com/office/drawing/2014/main" id="{61C7CECC-9C90-6723-53BE-9D504017BB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7" name="Straight Connector 531">
            <a:extLst>
              <a:ext uri="{FF2B5EF4-FFF2-40B4-BE49-F238E27FC236}">
                <a16:creationId xmlns:a16="http://schemas.microsoft.com/office/drawing/2014/main" id="{0235CF7E-275C-B7D3-5FEB-10185B1D88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8" name="Straight Connector 533">
            <a:extLst>
              <a:ext uri="{FF2B5EF4-FFF2-40B4-BE49-F238E27FC236}">
                <a16:creationId xmlns:a16="http://schemas.microsoft.com/office/drawing/2014/main" id="{680156B3-0AE6-D9C0-5E5D-996DD0B108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9" name="Straight Connector 535">
            <a:extLst>
              <a:ext uri="{FF2B5EF4-FFF2-40B4-BE49-F238E27FC236}">
                <a16:creationId xmlns:a16="http://schemas.microsoft.com/office/drawing/2014/main" id="{D09BEFD8-00C0-445B-9F2B-F45205B575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0" name="Straight Connector 537">
            <a:extLst>
              <a:ext uri="{FF2B5EF4-FFF2-40B4-BE49-F238E27FC236}">
                <a16:creationId xmlns:a16="http://schemas.microsoft.com/office/drawing/2014/main" id="{A3592CD0-C7CF-FF13-4140-B3888042F5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11" name="Group 1008">
          <a:extLst>
            <a:ext uri="{FF2B5EF4-FFF2-40B4-BE49-F238E27FC236}">
              <a16:creationId xmlns:a16="http://schemas.microsoft.com/office/drawing/2014/main" id="{FDC72537-A6FC-4C40-BED4-513C706E9AA5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12" name="Straight Connector 311">
            <a:extLst>
              <a:ext uri="{FF2B5EF4-FFF2-40B4-BE49-F238E27FC236}">
                <a16:creationId xmlns:a16="http://schemas.microsoft.com/office/drawing/2014/main" id="{8FF39332-9AE9-ECBF-E32A-35956647466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3" name="Straight Connector 529">
            <a:extLst>
              <a:ext uri="{FF2B5EF4-FFF2-40B4-BE49-F238E27FC236}">
                <a16:creationId xmlns:a16="http://schemas.microsoft.com/office/drawing/2014/main" id="{BEA340C6-4805-3752-60BE-37718AF25DA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4" name="Straight Connector 531">
            <a:extLst>
              <a:ext uri="{FF2B5EF4-FFF2-40B4-BE49-F238E27FC236}">
                <a16:creationId xmlns:a16="http://schemas.microsoft.com/office/drawing/2014/main" id="{7726BAAE-1DD1-1F96-8558-DECBC91630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" name="Straight Connector 533">
            <a:extLst>
              <a:ext uri="{FF2B5EF4-FFF2-40B4-BE49-F238E27FC236}">
                <a16:creationId xmlns:a16="http://schemas.microsoft.com/office/drawing/2014/main" id="{E909B79D-F908-34BF-86EA-9D675B33059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6" name="Straight Connector 535">
            <a:extLst>
              <a:ext uri="{FF2B5EF4-FFF2-40B4-BE49-F238E27FC236}">
                <a16:creationId xmlns:a16="http://schemas.microsoft.com/office/drawing/2014/main" id="{655EF8BF-072A-71E3-778A-80F1B7C971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7" name="Straight Connector 537">
            <a:extLst>
              <a:ext uri="{FF2B5EF4-FFF2-40B4-BE49-F238E27FC236}">
                <a16:creationId xmlns:a16="http://schemas.microsoft.com/office/drawing/2014/main" id="{5BD67AE1-6DCB-CDF4-E386-9DD00AC6618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18" name="Group 1008">
          <a:extLst>
            <a:ext uri="{FF2B5EF4-FFF2-40B4-BE49-F238E27FC236}">
              <a16:creationId xmlns:a16="http://schemas.microsoft.com/office/drawing/2014/main" id="{B648FEFD-4553-494C-A47C-C23E4288378E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19" name="Straight Connector 318">
            <a:extLst>
              <a:ext uri="{FF2B5EF4-FFF2-40B4-BE49-F238E27FC236}">
                <a16:creationId xmlns:a16="http://schemas.microsoft.com/office/drawing/2014/main" id="{DBE17B01-2A61-5C3B-3F57-5811274C0D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0" name="Straight Connector 529">
            <a:extLst>
              <a:ext uri="{FF2B5EF4-FFF2-40B4-BE49-F238E27FC236}">
                <a16:creationId xmlns:a16="http://schemas.microsoft.com/office/drawing/2014/main" id="{2302987D-59A4-C105-278E-411FBE8A59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1" name="Straight Connector 531">
            <a:extLst>
              <a:ext uri="{FF2B5EF4-FFF2-40B4-BE49-F238E27FC236}">
                <a16:creationId xmlns:a16="http://schemas.microsoft.com/office/drawing/2014/main" id="{D1FFBF42-1DFA-A0DA-2BEA-4E09EE61E4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2" name="Straight Connector 533">
            <a:extLst>
              <a:ext uri="{FF2B5EF4-FFF2-40B4-BE49-F238E27FC236}">
                <a16:creationId xmlns:a16="http://schemas.microsoft.com/office/drawing/2014/main" id="{41717FAD-6D2A-B14A-AEFC-4C2A0B43AE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3" name="Straight Connector 535">
            <a:extLst>
              <a:ext uri="{FF2B5EF4-FFF2-40B4-BE49-F238E27FC236}">
                <a16:creationId xmlns:a16="http://schemas.microsoft.com/office/drawing/2014/main" id="{8F55D9A4-2FE8-A1A5-3B92-53E5FD2E311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4" name="Straight Connector 537">
            <a:extLst>
              <a:ext uri="{FF2B5EF4-FFF2-40B4-BE49-F238E27FC236}">
                <a16:creationId xmlns:a16="http://schemas.microsoft.com/office/drawing/2014/main" id="{762FCEC5-1DBA-E83D-1693-2C7E98F57E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25" name="Group 1008">
          <a:extLst>
            <a:ext uri="{FF2B5EF4-FFF2-40B4-BE49-F238E27FC236}">
              <a16:creationId xmlns:a16="http://schemas.microsoft.com/office/drawing/2014/main" id="{76CCA1CB-71C0-4859-B7FF-454D66A09270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26" name="Straight Connector 325">
            <a:extLst>
              <a:ext uri="{FF2B5EF4-FFF2-40B4-BE49-F238E27FC236}">
                <a16:creationId xmlns:a16="http://schemas.microsoft.com/office/drawing/2014/main" id="{8FC82016-B065-C13F-AF76-AB63DED2CF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7" name="Straight Connector 529">
            <a:extLst>
              <a:ext uri="{FF2B5EF4-FFF2-40B4-BE49-F238E27FC236}">
                <a16:creationId xmlns:a16="http://schemas.microsoft.com/office/drawing/2014/main" id="{EDDAD467-3513-9B3C-6A19-D7E4CE86C2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" name="Straight Connector 531">
            <a:extLst>
              <a:ext uri="{FF2B5EF4-FFF2-40B4-BE49-F238E27FC236}">
                <a16:creationId xmlns:a16="http://schemas.microsoft.com/office/drawing/2014/main" id="{91F3E57B-8991-F75D-60CB-EB0EA14D59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" name="Straight Connector 533">
            <a:extLst>
              <a:ext uri="{FF2B5EF4-FFF2-40B4-BE49-F238E27FC236}">
                <a16:creationId xmlns:a16="http://schemas.microsoft.com/office/drawing/2014/main" id="{E3A7B725-2E1A-C3A2-278F-CFF661E126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" name="Straight Connector 535">
            <a:extLst>
              <a:ext uri="{FF2B5EF4-FFF2-40B4-BE49-F238E27FC236}">
                <a16:creationId xmlns:a16="http://schemas.microsoft.com/office/drawing/2014/main" id="{305CE6E7-A9CD-C24B-240B-4419719A65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" name="Straight Connector 537">
            <a:extLst>
              <a:ext uri="{FF2B5EF4-FFF2-40B4-BE49-F238E27FC236}">
                <a16:creationId xmlns:a16="http://schemas.microsoft.com/office/drawing/2014/main" id="{84B21637-8C31-6674-BC0E-FC4584D01D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32" name="Group 1008">
          <a:extLst>
            <a:ext uri="{FF2B5EF4-FFF2-40B4-BE49-F238E27FC236}">
              <a16:creationId xmlns:a16="http://schemas.microsoft.com/office/drawing/2014/main" id="{44472F5B-FF1F-4C92-BFBB-EA83967D1820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33" name="Straight Connector 332">
            <a:extLst>
              <a:ext uri="{FF2B5EF4-FFF2-40B4-BE49-F238E27FC236}">
                <a16:creationId xmlns:a16="http://schemas.microsoft.com/office/drawing/2014/main" id="{CCB68FF7-C7AC-467A-FD74-805B85E989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4" name="Straight Connector 529">
            <a:extLst>
              <a:ext uri="{FF2B5EF4-FFF2-40B4-BE49-F238E27FC236}">
                <a16:creationId xmlns:a16="http://schemas.microsoft.com/office/drawing/2014/main" id="{95FBF291-9D48-2AD0-6599-75833667AE9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" name="Straight Connector 531">
            <a:extLst>
              <a:ext uri="{FF2B5EF4-FFF2-40B4-BE49-F238E27FC236}">
                <a16:creationId xmlns:a16="http://schemas.microsoft.com/office/drawing/2014/main" id="{B771E438-C835-6A5C-F4C7-9017D85AB3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" name="Straight Connector 533">
            <a:extLst>
              <a:ext uri="{FF2B5EF4-FFF2-40B4-BE49-F238E27FC236}">
                <a16:creationId xmlns:a16="http://schemas.microsoft.com/office/drawing/2014/main" id="{A1835542-C3C1-DF20-DBC1-90D40196C5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" name="Straight Connector 535">
            <a:extLst>
              <a:ext uri="{FF2B5EF4-FFF2-40B4-BE49-F238E27FC236}">
                <a16:creationId xmlns:a16="http://schemas.microsoft.com/office/drawing/2014/main" id="{05A61C9E-794D-0A73-177B-E72FD0479B9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" name="Straight Connector 537">
            <a:extLst>
              <a:ext uri="{FF2B5EF4-FFF2-40B4-BE49-F238E27FC236}">
                <a16:creationId xmlns:a16="http://schemas.microsoft.com/office/drawing/2014/main" id="{DEE42C5C-AF57-E4CA-675F-9397965AC4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39" name="Group 1008">
          <a:extLst>
            <a:ext uri="{FF2B5EF4-FFF2-40B4-BE49-F238E27FC236}">
              <a16:creationId xmlns:a16="http://schemas.microsoft.com/office/drawing/2014/main" id="{AC11DFF7-F1C6-4580-97CC-620DA2C9EC5D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40" name="Straight Connector 339">
            <a:extLst>
              <a:ext uri="{FF2B5EF4-FFF2-40B4-BE49-F238E27FC236}">
                <a16:creationId xmlns:a16="http://schemas.microsoft.com/office/drawing/2014/main" id="{7FC4A6C5-33C6-639E-D539-81438BFAFC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1" name="Straight Connector 529">
            <a:extLst>
              <a:ext uri="{FF2B5EF4-FFF2-40B4-BE49-F238E27FC236}">
                <a16:creationId xmlns:a16="http://schemas.microsoft.com/office/drawing/2014/main" id="{A249BDA1-E1C5-BF72-7BB2-AFE108534D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" name="Straight Connector 531">
            <a:extLst>
              <a:ext uri="{FF2B5EF4-FFF2-40B4-BE49-F238E27FC236}">
                <a16:creationId xmlns:a16="http://schemas.microsoft.com/office/drawing/2014/main" id="{7D06E50A-A17A-1BBF-E099-B9F7B869CA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" name="Straight Connector 533">
            <a:extLst>
              <a:ext uri="{FF2B5EF4-FFF2-40B4-BE49-F238E27FC236}">
                <a16:creationId xmlns:a16="http://schemas.microsoft.com/office/drawing/2014/main" id="{328648D5-A177-8787-B448-04D2328FA8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" name="Straight Connector 535">
            <a:extLst>
              <a:ext uri="{FF2B5EF4-FFF2-40B4-BE49-F238E27FC236}">
                <a16:creationId xmlns:a16="http://schemas.microsoft.com/office/drawing/2014/main" id="{C21BC348-2B52-784A-E782-CF489B07198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" name="Straight Connector 537">
            <a:extLst>
              <a:ext uri="{FF2B5EF4-FFF2-40B4-BE49-F238E27FC236}">
                <a16:creationId xmlns:a16="http://schemas.microsoft.com/office/drawing/2014/main" id="{3B6C1973-E141-F914-5B87-A7532F3ED4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46" name="Group 1008">
          <a:extLst>
            <a:ext uri="{FF2B5EF4-FFF2-40B4-BE49-F238E27FC236}">
              <a16:creationId xmlns:a16="http://schemas.microsoft.com/office/drawing/2014/main" id="{3F9F819C-D710-484D-AC0A-689B9A5D41EE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47" name="Straight Connector 346">
            <a:extLst>
              <a:ext uri="{FF2B5EF4-FFF2-40B4-BE49-F238E27FC236}">
                <a16:creationId xmlns:a16="http://schemas.microsoft.com/office/drawing/2014/main" id="{E255F5F5-72B5-1AD6-4782-9033F2A75A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8" name="Straight Connector 529">
            <a:extLst>
              <a:ext uri="{FF2B5EF4-FFF2-40B4-BE49-F238E27FC236}">
                <a16:creationId xmlns:a16="http://schemas.microsoft.com/office/drawing/2014/main" id="{324F0A71-DBA2-44D8-039F-65C3E3D2D4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" name="Straight Connector 531">
            <a:extLst>
              <a:ext uri="{FF2B5EF4-FFF2-40B4-BE49-F238E27FC236}">
                <a16:creationId xmlns:a16="http://schemas.microsoft.com/office/drawing/2014/main" id="{F2B13611-C4E3-1BCA-E4BB-52259572BE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" name="Straight Connector 533">
            <a:extLst>
              <a:ext uri="{FF2B5EF4-FFF2-40B4-BE49-F238E27FC236}">
                <a16:creationId xmlns:a16="http://schemas.microsoft.com/office/drawing/2014/main" id="{296B6CC0-9D6B-70A9-9921-63B7529F7C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" name="Straight Connector 535">
            <a:extLst>
              <a:ext uri="{FF2B5EF4-FFF2-40B4-BE49-F238E27FC236}">
                <a16:creationId xmlns:a16="http://schemas.microsoft.com/office/drawing/2014/main" id="{C3E53AE1-3936-7BC2-3BF3-0FF7C3D9F9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" name="Straight Connector 537">
            <a:extLst>
              <a:ext uri="{FF2B5EF4-FFF2-40B4-BE49-F238E27FC236}">
                <a16:creationId xmlns:a16="http://schemas.microsoft.com/office/drawing/2014/main" id="{8221F9A0-3350-63FF-43BF-7E6C921118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 editAs="oneCell">
    <xdr:from>
      <xdr:col>10</xdr:col>
      <xdr:colOff>334733</xdr:colOff>
      <xdr:row>55</xdr:row>
      <xdr:rowOff>76583</xdr:rowOff>
    </xdr:from>
    <xdr:to>
      <xdr:col>12</xdr:col>
      <xdr:colOff>11888</xdr:colOff>
      <xdr:row>58</xdr:row>
      <xdr:rowOff>115534</xdr:rowOff>
    </xdr:to>
    <xdr:pic>
      <xdr:nvPicPr>
        <xdr:cNvPr id="353" name="Graphic 352" descr="Aquarius with solid fill">
          <a:extLst>
            <a:ext uri="{FF2B5EF4-FFF2-40B4-BE49-F238E27FC236}">
              <a16:creationId xmlns:a16="http://schemas.microsoft.com/office/drawing/2014/main" id="{161578BA-F4A8-44AE-8955-DA3E11B2A3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 rot="16200000">
          <a:off x="3370953" y="11357021"/>
          <a:ext cx="680430" cy="318635"/>
        </a:xfrm>
        <a:prstGeom prst="rect">
          <a:avLst/>
        </a:prstGeom>
      </xdr:spPr>
    </xdr:pic>
    <xdr:clientData/>
  </xdr:twoCellAnchor>
  <xdr:twoCellAnchor>
    <xdr:from>
      <xdr:col>25</xdr:col>
      <xdr:colOff>9526</xdr:colOff>
      <xdr:row>59</xdr:row>
      <xdr:rowOff>57152</xdr:rowOff>
    </xdr:from>
    <xdr:to>
      <xdr:col>25</xdr:col>
      <xdr:colOff>276228</xdr:colOff>
      <xdr:row>60</xdr:row>
      <xdr:rowOff>161928</xdr:rowOff>
    </xdr:to>
    <xdr:sp macro="" textlink="">
      <xdr:nvSpPr>
        <xdr:cNvPr id="354" name="AutoShape 1512">
          <a:extLst>
            <a:ext uri="{FF2B5EF4-FFF2-40B4-BE49-F238E27FC236}">
              <a16:creationId xmlns:a16="http://schemas.microsoft.com/office/drawing/2014/main" id="{3FDFD4E2-E11E-4A06-BA1C-39E2514614BD}"/>
            </a:ext>
          </a:extLst>
        </xdr:cNvPr>
        <xdr:cNvSpPr>
          <a:spLocks noChangeArrowheads="1"/>
        </xdr:cNvSpPr>
      </xdr:nvSpPr>
      <xdr:spPr bwMode="auto">
        <a:xfrm rot="5400000" flipV="1">
          <a:off x="746283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9526</xdr:colOff>
      <xdr:row>59</xdr:row>
      <xdr:rowOff>57152</xdr:rowOff>
    </xdr:from>
    <xdr:to>
      <xdr:col>31</xdr:col>
      <xdr:colOff>276228</xdr:colOff>
      <xdr:row>60</xdr:row>
      <xdr:rowOff>161928</xdr:rowOff>
    </xdr:to>
    <xdr:sp macro="" textlink="">
      <xdr:nvSpPr>
        <xdr:cNvPr id="355" name="AutoShape 1512">
          <a:extLst>
            <a:ext uri="{FF2B5EF4-FFF2-40B4-BE49-F238E27FC236}">
              <a16:creationId xmlns:a16="http://schemas.microsoft.com/office/drawing/2014/main" id="{BE39E188-A460-427B-91C5-466B176FDCEE}"/>
            </a:ext>
          </a:extLst>
        </xdr:cNvPr>
        <xdr:cNvSpPr>
          <a:spLocks noChangeArrowheads="1"/>
        </xdr:cNvSpPr>
      </xdr:nvSpPr>
      <xdr:spPr bwMode="auto">
        <a:xfrm rot="5400000" flipV="1">
          <a:off x="923448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9526</xdr:colOff>
      <xdr:row>59</xdr:row>
      <xdr:rowOff>57152</xdr:rowOff>
    </xdr:from>
    <xdr:to>
      <xdr:col>35</xdr:col>
      <xdr:colOff>276228</xdr:colOff>
      <xdr:row>60</xdr:row>
      <xdr:rowOff>161928</xdr:rowOff>
    </xdr:to>
    <xdr:sp macro="" textlink="">
      <xdr:nvSpPr>
        <xdr:cNvPr id="356" name="AutoShape 1512">
          <a:extLst>
            <a:ext uri="{FF2B5EF4-FFF2-40B4-BE49-F238E27FC236}">
              <a16:creationId xmlns:a16="http://schemas.microsoft.com/office/drawing/2014/main" id="{00D1B1A0-32A9-4115-B72A-68F06F1CB5C4}"/>
            </a:ext>
          </a:extLst>
        </xdr:cNvPr>
        <xdr:cNvSpPr>
          <a:spLocks noChangeArrowheads="1"/>
        </xdr:cNvSpPr>
      </xdr:nvSpPr>
      <xdr:spPr bwMode="auto">
        <a:xfrm rot="5400000" flipV="1">
          <a:off x="1037748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41</xdr:col>
      <xdr:colOff>38100</xdr:colOff>
      <xdr:row>55</xdr:row>
      <xdr:rowOff>66675</xdr:rowOff>
    </xdr:from>
    <xdr:to>
      <xdr:col>41</xdr:col>
      <xdr:colOff>240665</xdr:colOff>
      <xdr:row>58</xdr:row>
      <xdr:rowOff>62277</xdr:rowOff>
    </xdr:to>
    <xdr:pic>
      <xdr:nvPicPr>
        <xdr:cNvPr id="357" name="Graphic 3644" descr="Train Tracks outline">
          <a:extLst>
            <a:ext uri="{FF2B5EF4-FFF2-40B4-BE49-F238E27FC236}">
              <a16:creationId xmlns:a16="http://schemas.microsoft.com/office/drawing/2014/main" id="{EF25CF72-2E31-44C2-A541-05E957FE17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34850" y="10591800"/>
          <a:ext cx="200025" cy="621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115493</xdr:colOff>
      <xdr:row>13</xdr:row>
      <xdr:rowOff>93179</xdr:rowOff>
    </xdr:from>
    <xdr:to>
      <xdr:col>2</xdr:col>
      <xdr:colOff>208673</xdr:colOff>
      <xdr:row>15</xdr:row>
      <xdr:rowOff>93179</xdr:rowOff>
    </xdr:to>
    <xdr:sp macro="" textlink="">
      <xdr:nvSpPr>
        <xdr:cNvPr id="358" name="Rectangle: Rounded Corners 357">
          <a:extLst>
            <a:ext uri="{FF2B5EF4-FFF2-40B4-BE49-F238E27FC236}">
              <a16:creationId xmlns:a16="http://schemas.microsoft.com/office/drawing/2014/main" id="{235DD242-6D10-4B8F-B71D-9E887DCECEF1}"/>
            </a:ext>
          </a:extLst>
        </xdr:cNvPr>
        <xdr:cNvSpPr/>
      </xdr:nvSpPr>
      <xdr:spPr>
        <a:xfrm>
          <a:off x="353618" y="2617304"/>
          <a:ext cx="378930" cy="381000"/>
        </a:xfrm>
        <a:prstGeom prst="roundRect">
          <a:avLst/>
        </a:prstGeom>
        <a:noFill/>
        <a:ln>
          <a:solidFill>
            <a:srgbClr val="00B0F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0</xdr:colOff>
      <xdr:row>13</xdr:row>
      <xdr:rowOff>57150</xdr:rowOff>
    </xdr:from>
    <xdr:to>
      <xdr:col>19</xdr:col>
      <xdr:colOff>0</xdr:colOff>
      <xdr:row>15</xdr:row>
      <xdr:rowOff>0</xdr:rowOff>
    </xdr:to>
    <xdr:sp macro="" textlink="">
      <xdr:nvSpPr>
        <xdr:cNvPr id="359" name="AutoShape 46">
          <a:extLst>
            <a:ext uri="{FF2B5EF4-FFF2-40B4-BE49-F238E27FC236}">
              <a16:creationId xmlns:a16="http://schemas.microsoft.com/office/drawing/2014/main" id="{E6B41190-6460-4BCB-83D1-1ADDDAB3A7E2}"/>
            </a:ext>
          </a:extLst>
        </xdr:cNvPr>
        <xdr:cNvSpPr>
          <a:spLocks noChangeArrowheads="1"/>
        </xdr:cNvSpPr>
      </xdr:nvSpPr>
      <xdr:spPr bwMode="auto">
        <a:xfrm>
          <a:off x="54673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13</xdr:row>
      <xdr:rowOff>57150</xdr:rowOff>
    </xdr:from>
    <xdr:to>
      <xdr:col>21</xdr:col>
      <xdr:colOff>0</xdr:colOff>
      <xdr:row>15</xdr:row>
      <xdr:rowOff>0</xdr:rowOff>
    </xdr:to>
    <xdr:sp macro="" textlink="">
      <xdr:nvSpPr>
        <xdr:cNvPr id="360" name="AutoShape 46">
          <a:extLst>
            <a:ext uri="{FF2B5EF4-FFF2-40B4-BE49-F238E27FC236}">
              <a16:creationId xmlns:a16="http://schemas.microsoft.com/office/drawing/2014/main" id="{DACC0302-2B31-4C49-AC39-74121827E367}"/>
            </a:ext>
          </a:extLst>
        </xdr:cNvPr>
        <xdr:cNvSpPr>
          <a:spLocks noChangeArrowheads="1"/>
        </xdr:cNvSpPr>
      </xdr:nvSpPr>
      <xdr:spPr bwMode="auto">
        <a:xfrm>
          <a:off x="6038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13</xdr:row>
      <xdr:rowOff>57150</xdr:rowOff>
    </xdr:from>
    <xdr:to>
      <xdr:col>23</xdr:col>
      <xdr:colOff>0</xdr:colOff>
      <xdr:row>15</xdr:row>
      <xdr:rowOff>0</xdr:rowOff>
    </xdr:to>
    <xdr:sp macro="" textlink="">
      <xdr:nvSpPr>
        <xdr:cNvPr id="361" name="AutoShape 46">
          <a:extLst>
            <a:ext uri="{FF2B5EF4-FFF2-40B4-BE49-F238E27FC236}">
              <a16:creationId xmlns:a16="http://schemas.microsoft.com/office/drawing/2014/main" id="{C9BC695E-9ACB-4150-9D66-073E132A7BC3}"/>
            </a:ext>
          </a:extLst>
        </xdr:cNvPr>
        <xdr:cNvSpPr>
          <a:spLocks noChangeArrowheads="1"/>
        </xdr:cNvSpPr>
      </xdr:nvSpPr>
      <xdr:spPr bwMode="auto">
        <a:xfrm>
          <a:off x="66103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13</xdr:row>
      <xdr:rowOff>57150</xdr:rowOff>
    </xdr:from>
    <xdr:to>
      <xdr:col>25</xdr:col>
      <xdr:colOff>0</xdr:colOff>
      <xdr:row>15</xdr:row>
      <xdr:rowOff>0</xdr:rowOff>
    </xdr:to>
    <xdr:sp macro="" textlink="">
      <xdr:nvSpPr>
        <xdr:cNvPr id="362" name="AutoShape 46">
          <a:extLst>
            <a:ext uri="{FF2B5EF4-FFF2-40B4-BE49-F238E27FC236}">
              <a16:creationId xmlns:a16="http://schemas.microsoft.com/office/drawing/2014/main" id="{6A50E3AA-82D8-4727-8B37-3CCA94C49534}"/>
            </a:ext>
          </a:extLst>
        </xdr:cNvPr>
        <xdr:cNvSpPr>
          <a:spLocks noChangeArrowheads="1"/>
        </xdr:cNvSpPr>
      </xdr:nvSpPr>
      <xdr:spPr bwMode="auto">
        <a:xfrm>
          <a:off x="7181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13</xdr:row>
      <xdr:rowOff>57150</xdr:rowOff>
    </xdr:from>
    <xdr:to>
      <xdr:col>27</xdr:col>
      <xdr:colOff>0</xdr:colOff>
      <xdr:row>15</xdr:row>
      <xdr:rowOff>0</xdr:rowOff>
    </xdr:to>
    <xdr:sp macro="" textlink="">
      <xdr:nvSpPr>
        <xdr:cNvPr id="363" name="AutoShape 46">
          <a:extLst>
            <a:ext uri="{FF2B5EF4-FFF2-40B4-BE49-F238E27FC236}">
              <a16:creationId xmlns:a16="http://schemas.microsoft.com/office/drawing/2014/main" id="{300975D6-43EB-4380-9C7C-2F0F23863916}"/>
            </a:ext>
          </a:extLst>
        </xdr:cNvPr>
        <xdr:cNvSpPr>
          <a:spLocks noChangeArrowheads="1"/>
        </xdr:cNvSpPr>
      </xdr:nvSpPr>
      <xdr:spPr bwMode="auto">
        <a:xfrm>
          <a:off x="77533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13</xdr:row>
      <xdr:rowOff>57150</xdr:rowOff>
    </xdr:from>
    <xdr:to>
      <xdr:col>29</xdr:col>
      <xdr:colOff>0</xdr:colOff>
      <xdr:row>15</xdr:row>
      <xdr:rowOff>0</xdr:rowOff>
    </xdr:to>
    <xdr:sp macro="" textlink="">
      <xdr:nvSpPr>
        <xdr:cNvPr id="364" name="AutoShape 46">
          <a:extLst>
            <a:ext uri="{FF2B5EF4-FFF2-40B4-BE49-F238E27FC236}">
              <a16:creationId xmlns:a16="http://schemas.microsoft.com/office/drawing/2014/main" id="{85782677-63E1-452E-9DCC-46452498C24B}"/>
            </a:ext>
          </a:extLst>
        </xdr:cNvPr>
        <xdr:cNvSpPr>
          <a:spLocks noChangeArrowheads="1"/>
        </xdr:cNvSpPr>
      </xdr:nvSpPr>
      <xdr:spPr bwMode="auto">
        <a:xfrm>
          <a:off x="8382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13</xdr:row>
      <xdr:rowOff>57150</xdr:rowOff>
    </xdr:from>
    <xdr:to>
      <xdr:col>31</xdr:col>
      <xdr:colOff>0</xdr:colOff>
      <xdr:row>15</xdr:row>
      <xdr:rowOff>0</xdr:rowOff>
    </xdr:to>
    <xdr:sp macro="" textlink="">
      <xdr:nvSpPr>
        <xdr:cNvPr id="365" name="AutoShape 46">
          <a:extLst>
            <a:ext uri="{FF2B5EF4-FFF2-40B4-BE49-F238E27FC236}">
              <a16:creationId xmlns:a16="http://schemas.microsoft.com/office/drawing/2014/main" id="{57D667D5-527C-4C3B-B38B-9DA0D6364FB3}"/>
            </a:ext>
          </a:extLst>
        </xdr:cNvPr>
        <xdr:cNvSpPr>
          <a:spLocks noChangeArrowheads="1"/>
        </xdr:cNvSpPr>
      </xdr:nvSpPr>
      <xdr:spPr bwMode="auto">
        <a:xfrm>
          <a:off x="8953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13</xdr:row>
      <xdr:rowOff>57150</xdr:rowOff>
    </xdr:from>
    <xdr:to>
      <xdr:col>33</xdr:col>
      <xdr:colOff>0</xdr:colOff>
      <xdr:row>15</xdr:row>
      <xdr:rowOff>0</xdr:rowOff>
    </xdr:to>
    <xdr:sp macro="" textlink="">
      <xdr:nvSpPr>
        <xdr:cNvPr id="366" name="AutoShape 46">
          <a:extLst>
            <a:ext uri="{FF2B5EF4-FFF2-40B4-BE49-F238E27FC236}">
              <a16:creationId xmlns:a16="http://schemas.microsoft.com/office/drawing/2014/main" id="{F77B35A5-7D59-43E9-8AB0-CE4708BFE8B0}"/>
            </a:ext>
          </a:extLst>
        </xdr:cNvPr>
        <xdr:cNvSpPr>
          <a:spLocks noChangeArrowheads="1"/>
        </xdr:cNvSpPr>
      </xdr:nvSpPr>
      <xdr:spPr bwMode="auto">
        <a:xfrm>
          <a:off x="9525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13</xdr:row>
      <xdr:rowOff>57150</xdr:rowOff>
    </xdr:from>
    <xdr:to>
      <xdr:col>35</xdr:col>
      <xdr:colOff>0</xdr:colOff>
      <xdr:row>15</xdr:row>
      <xdr:rowOff>0</xdr:rowOff>
    </xdr:to>
    <xdr:sp macro="" textlink="">
      <xdr:nvSpPr>
        <xdr:cNvPr id="367" name="AutoShape 46">
          <a:extLst>
            <a:ext uri="{FF2B5EF4-FFF2-40B4-BE49-F238E27FC236}">
              <a16:creationId xmlns:a16="http://schemas.microsoft.com/office/drawing/2014/main" id="{B363F162-FA38-4966-9642-FC7AC3D7DAAB}"/>
            </a:ext>
          </a:extLst>
        </xdr:cNvPr>
        <xdr:cNvSpPr>
          <a:spLocks noChangeArrowheads="1"/>
        </xdr:cNvSpPr>
      </xdr:nvSpPr>
      <xdr:spPr bwMode="auto">
        <a:xfrm>
          <a:off x="10096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13</xdr:row>
      <xdr:rowOff>57150</xdr:rowOff>
    </xdr:from>
    <xdr:to>
      <xdr:col>37</xdr:col>
      <xdr:colOff>0</xdr:colOff>
      <xdr:row>15</xdr:row>
      <xdr:rowOff>0</xdr:rowOff>
    </xdr:to>
    <xdr:sp macro="" textlink="">
      <xdr:nvSpPr>
        <xdr:cNvPr id="368" name="AutoShape 46">
          <a:extLst>
            <a:ext uri="{FF2B5EF4-FFF2-40B4-BE49-F238E27FC236}">
              <a16:creationId xmlns:a16="http://schemas.microsoft.com/office/drawing/2014/main" id="{7B2F80FB-D0FB-4957-9C8F-C95984A63C5D}"/>
            </a:ext>
          </a:extLst>
        </xdr:cNvPr>
        <xdr:cNvSpPr>
          <a:spLocks noChangeArrowheads="1"/>
        </xdr:cNvSpPr>
      </xdr:nvSpPr>
      <xdr:spPr bwMode="auto">
        <a:xfrm>
          <a:off x="10668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13</xdr:row>
      <xdr:rowOff>57150</xdr:rowOff>
    </xdr:from>
    <xdr:to>
      <xdr:col>39</xdr:col>
      <xdr:colOff>0</xdr:colOff>
      <xdr:row>15</xdr:row>
      <xdr:rowOff>0</xdr:rowOff>
    </xdr:to>
    <xdr:sp macro="" textlink="">
      <xdr:nvSpPr>
        <xdr:cNvPr id="369" name="AutoShape 46">
          <a:extLst>
            <a:ext uri="{FF2B5EF4-FFF2-40B4-BE49-F238E27FC236}">
              <a16:creationId xmlns:a16="http://schemas.microsoft.com/office/drawing/2014/main" id="{27940772-8FC1-4B7C-8EEF-4507ADD2C260}"/>
            </a:ext>
          </a:extLst>
        </xdr:cNvPr>
        <xdr:cNvSpPr>
          <a:spLocks noChangeArrowheads="1"/>
        </xdr:cNvSpPr>
      </xdr:nvSpPr>
      <xdr:spPr bwMode="auto">
        <a:xfrm>
          <a:off x="11239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13</xdr:row>
      <xdr:rowOff>57150</xdr:rowOff>
    </xdr:from>
    <xdr:to>
      <xdr:col>41</xdr:col>
      <xdr:colOff>0</xdr:colOff>
      <xdr:row>15</xdr:row>
      <xdr:rowOff>0</xdr:rowOff>
    </xdr:to>
    <xdr:sp macro="" textlink="">
      <xdr:nvSpPr>
        <xdr:cNvPr id="370" name="AutoShape 46">
          <a:extLst>
            <a:ext uri="{FF2B5EF4-FFF2-40B4-BE49-F238E27FC236}">
              <a16:creationId xmlns:a16="http://schemas.microsoft.com/office/drawing/2014/main" id="{0BA93E0B-C371-4330-AAD4-CF82AB68E953}"/>
            </a:ext>
          </a:extLst>
        </xdr:cNvPr>
        <xdr:cNvSpPr>
          <a:spLocks noChangeArrowheads="1"/>
        </xdr:cNvSpPr>
      </xdr:nvSpPr>
      <xdr:spPr bwMode="auto">
        <a:xfrm>
          <a:off x="11811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13</xdr:row>
      <xdr:rowOff>57150</xdr:rowOff>
    </xdr:from>
    <xdr:to>
      <xdr:col>43</xdr:col>
      <xdr:colOff>0</xdr:colOff>
      <xdr:row>15</xdr:row>
      <xdr:rowOff>0</xdr:rowOff>
    </xdr:to>
    <xdr:sp macro="" textlink="">
      <xdr:nvSpPr>
        <xdr:cNvPr id="371" name="AutoShape 46">
          <a:extLst>
            <a:ext uri="{FF2B5EF4-FFF2-40B4-BE49-F238E27FC236}">
              <a16:creationId xmlns:a16="http://schemas.microsoft.com/office/drawing/2014/main" id="{927EA8A0-F38E-4DFE-98A3-EFA244249F43}"/>
            </a:ext>
          </a:extLst>
        </xdr:cNvPr>
        <xdr:cNvSpPr>
          <a:spLocks noChangeArrowheads="1"/>
        </xdr:cNvSpPr>
      </xdr:nvSpPr>
      <xdr:spPr bwMode="auto">
        <a:xfrm>
          <a:off x="12382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13</xdr:row>
      <xdr:rowOff>57150</xdr:rowOff>
    </xdr:from>
    <xdr:to>
      <xdr:col>45</xdr:col>
      <xdr:colOff>0</xdr:colOff>
      <xdr:row>15</xdr:row>
      <xdr:rowOff>0</xdr:rowOff>
    </xdr:to>
    <xdr:sp macro="" textlink="">
      <xdr:nvSpPr>
        <xdr:cNvPr id="372" name="AutoShape 46">
          <a:extLst>
            <a:ext uri="{FF2B5EF4-FFF2-40B4-BE49-F238E27FC236}">
              <a16:creationId xmlns:a16="http://schemas.microsoft.com/office/drawing/2014/main" id="{C3E37FFD-55E4-4549-9CFE-511525B9A2F6}"/>
            </a:ext>
          </a:extLst>
        </xdr:cNvPr>
        <xdr:cNvSpPr>
          <a:spLocks noChangeArrowheads="1"/>
        </xdr:cNvSpPr>
      </xdr:nvSpPr>
      <xdr:spPr bwMode="auto">
        <a:xfrm>
          <a:off x="12954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21</xdr:row>
      <xdr:rowOff>57150</xdr:rowOff>
    </xdr:from>
    <xdr:to>
      <xdr:col>17</xdr:col>
      <xdr:colOff>0</xdr:colOff>
      <xdr:row>23</xdr:row>
      <xdr:rowOff>0</xdr:rowOff>
    </xdr:to>
    <xdr:sp macro="" textlink="">
      <xdr:nvSpPr>
        <xdr:cNvPr id="373" name="AutoShape 46">
          <a:extLst>
            <a:ext uri="{FF2B5EF4-FFF2-40B4-BE49-F238E27FC236}">
              <a16:creationId xmlns:a16="http://schemas.microsoft.com/office/drawing/2014/main" id="{5C1C0D17-EFC9-4705-B09F-2FEB418353F6}"/>
            </a:ext>
          </a:extLst>
        </xdr:cNvPr>
        <xdr:cNvSpPr>
          <a:spLocks noChangeArrowheads="1"/>
        </xdr:cNvSpPr>
      </xdr:nvSpPr>
      <xdr:spPr bwMode="auto">
        <a:xfrm>
          <a:off x="4895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21</xdr:row>
      <xdr:rowOff>57150</xdr:rowOff>
    </xdr:from>
    <xdr:to>
      <xdr:col>19</xdr:col>
      <xdr:colOff>0</xdr:colOff>
      <xdr:row>23</xdr:row>
      <xdr:rowOff>0</xdr:rowOff>
    </xdr:to>
    <xdr:sp macro="" textlink="">
      <xdr:nvSpPr>
        <xdr:cNvPr id="374" name="AutoShape 46">
          <a:extLst>
            <a:ext uri="{FF2B5EF4-FFF2-40B4-BE49-F238E27FC236}">
              <a16:creationId xmlns:a16="http://schemas.microsoft.com/office/drawing/2014/main" id="{C9F78C42-9C08-46E7-966E-8A4DDEE7467A}"/>
            </a:ext>
          </a:extLst>
        </xdr:cNvPr>
        <xdr:cNvSpPr>
          <a:spLocks noChangeArrowheads="1"/>
        </xdr:cNvSpPr>
      </xdr:nvSpPr>
      <xdr:spPr bwMode="auto">
        <a:xfrm>
          <a:off x="5467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21</xdr:row>
      <xdr:rowOff>57150</xdr:rowOff>
    </xdr:from>
    <xdr:to>
      <xdr:col>21</xdr:col>
      <xdr:colOff>0</xdr:colOff>
      <xdr:row>23</xdr:row>
      <xdr:rowOff>0</xdr:rowOff>
    </xdr:to>
    <xdr:sp macro="" textlink="">
      <xdr:nvSpPr>
        <xdr:cNvPr id="375" name="AutoShape 46">
          <a:extLst>
            <a:ext uri="{FF2B5EF4-FFF2-40B4-BE49-F238E27FC236}">
              <a16:creationId xmlns:a16="http://schemas.microsoft.com/office/drawing/2014/main" id="{2F2E0695-9610-4525-85D8-137B2375D8B1}"/>
            </a:ext>
          </a:extLst>
        </xdr:cNvPr>
        <xdr:cNvSpPr>
          <a:spLocks noChangeArrowheads="1"/>
        </xdr:cNvSpPr>
      </xdr:nvSpPr>
      <xdr:spPr bwMode="auto">
        <a:xfrm>
          <a:off x="6038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21</xdr:row>
      <xdr:rowOff>57150</xdr:rowOff>
    </xdr:from>
    <xdr:to>
      <xdr:col>23</xdr:col>
      <xdr:colOff>0</xdr:colOff>
      <xdr:row>23</xdr:row>
      <xdr:rowOff>0</xdr:rowOff>
    </xdr:to>
    <xdr:sp macro="" textlink="">
      <xdr:nvSpPr>
        <xdr:cNvPr id="376" name="AutoShape 46">
          <a:extLst>
            <a:ext uri="{FF2B5EF4-FFF2-40B4-BE49-F238E27FC236}">
              <a16:creationId xmlns:a16="http://schemas.microsoft.com/office/drawing/2014/main" id="{81DD1CBB-8089-439E-A174-6C94A7BBAAF1}"/>
            </a:ext>
          </a:extLst>
        </xdr:cNvPr>
        <xdr:cNvSpPr>
          <a:spLocks noChangeArrowheads="1"/>
        </xdr:cNvSpPr>
      </xdr:nvSpPr>
      <xdr:spPr bwMode="auto">
        <a:xfrm>
          <a:off x="6610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21</xdr:row>
      <xdr:rowOff>29158</xdr:rowOff>
    </xdr:from>
    <xdr:to>
      <xdr:col>25</xdr:col>
      <xdr:colOff>29158</xdr:colOff>
      <xdr:row>23</xdr:row>
      <xdr:rowOff>0</xdr:rowOff>
    </xdr:to>
    <xdr:sp macro="" textlink="">
      <xdr:nvSpPr>
        <xdr:cNvPr id="377" name="AutoShape 46">
          <a:extLst>
            <a:ext uri="{FF2B5EF4-FFF2-40B4-BE49-F238E27FC236}">
              <a16:creationId xmlns:a16="http://schemas.microsoft.com/office/drawing/2014/main" id="{CFFA4469-3578-4479-A2E0-68A87D5BC8DD}"/>
            </a:ext>
          </a:extLst>
        </xdr:cNvPr>
        <xdr:cNvSpPr>
          <a:spLocks noChangeArrowheads="1"/>
        </xdr:cNvSpPr>
      </xdr:nvSpPr>
      <xdr:spPr bwMode="auto">
        <a:xfrm>
          <a:off x="7561684" y="4218214"/>
          <a:ext cx="369336" cy="35961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21</xdr:row>
      <xdr:rowOff>29158</xdr:rowOff>
    </xdr:from>
    <xdr:to>
      <xdr:col>27</xdr:col>
      <xdr:colOff>9719</xdr:colOff>
      <xdr:row>23</xdr:row>
      <xdr:rowOff>0</xdr:rowOff>
    </xdr:to>
    <xdr:sp macro="" textlink="">
      <xdr:nvSpPr>
        <xdr:cNvPr id="378" name="AutoShape 46">
          <a:extLst>
            <a:ext uri="{FF2B5EF4-FFF2-40B4-BE49-F238E27FC236}">
              <a16:creationId xmlns:a16="http://schemas.microsoft.com/office/drawing/2014/main" id="{FBE473D5-79B4-4AAE-81D6-8B63F4403FBE}"/>
            </a:ext>
          </a:extLst>
        </xdr:cNvPr>
        <xdr:cNvSpPr>
          <a:spLocks noChangeArrowheads="1"/>
        </xdr:cNvSpPr>
      </xdr:nvSpPr>
      <xdr:spPr bwMode="auto">
        <a:xfrm>
          <a:off x="8183724" y="4218214"/>
          <a:ext cx="349898" cy="35961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21</xdr:row>
      <xdr:rowOff>57150</xdr:rowOff>
    </xdr:from>
    <xdr:to>
      <xdr:col>29</xdr:col>
      <xdr:colOff>0</xdr:colOff>
      <xdr:row>23</xdr:row>
      <xdr:rowOff>0</xdr:rowOff>
    </xdr:to>
    <xdr:sp macro="" textlink="">
      <xdr:nvSpPr>
        <xdr:cNvPr id="379" name="AutoShape 46">
          <a:extLst>
            <a:ext uri="{FF2B5EF4-FFF2-40B4-BE49-F238E27FC236}">
              <a16:creationId xmlns:a16="http://schemas.microsoft.com/office/drawing/2014/main" id="{41B983DB-91D2-4C5D-8A15-BBF16354212F}"/>
            </a:ext>
          </a:extLst>
        </xdr:cNvPr>
        <xdr:cNvSpPr>
          <a:spLocks noChangeArrowheads="1"/>
        </xdr:cNvSpPr>
      </xdr:nvSpPr>
      <xdr:spPr bwMode="auto">
        <a:xfrm>
          <a:off x="8382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21</xdr:row>
      <xdr:rowOff>57150</xdr:rowOff>
    </xdr:from>
    <xdr:to>
      <xdr:col>31</xdr:col>
      <xdr:colOff>0</xdr:colOff>
      <xdr:row>23</xdr:row>
      <xdr:rowOff>0</xdr:rowOff>
    </xdr:to>
    <xdr:sp macro="" textlink="">
      <xdr:nvSpPr>
        <xdr:cNvPr id="380" name="AutoShape 46">
          <a:extLst>
            <a:ext uri="{FF2B5EF4-FFF2-40B4-BE49-F238E27FC236}">
              <a16:creationId xmlns:a16="http://schemas.microsoft.com/office/drawing/2014/main" id="{BAED31D6-7FB6-4E71-8232-C5D802B52A80}"/>
            </a:ext>
          </a:extLst>
        </xdr:cNvPr>
        <xdr:cNvSpPr>
          <a:spLocks noChangeArrowheads="1"/>
        </xdr:cNvSpPr>
      </xdr:nvSpPr>
      <xdr:spPr bwMode="auto">
        <a:xfrm>
          <a:off x="8953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21</xdr:row>
      <xdr:rowOff>57150</xdr:rowOff>
    </xdr:from>
    <xdr:to>
      <xdr:col>33</xdr:col>
      <xdr:colOff>0</xdr:colOff>
      <xdr:row>23</xdr:row>
      <xdr:rowOff>0</xdr:rowOff>
    </xdr:to>
    <xdr:sp macro="" textlink="">
      <xdr:nvSpPr>
        <xdr:cNvPr id="381" name="AutoShape 46">
          <a:extLst>
            <a:ext uri="{FF2B5EF4-FFF2-40B4-BE49-F238E27FC236}">
              <a16:creationId xmlns:a16="http://schemas.microsoft.com/office/drawing/2014/main" id="{E434B01D-38AD-4B70-B74F-2FBC5369B2B8}"/>
            </a:ext>
          </a:extLst>
        </xdr:cNvPr>
        <xdr:cNvSpPr>
          <a:spLocks noChangeArrowheads="1"/>
        </xdr:cNvSpPr>
      </xdr:nvSpPr>
      <xdr:spPr bwMode="auto">
        <a:xfrm>
          <a:off x="9525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21</xdr:row>
      <xdr:rowOff>57150</xdr:rowOff>
    </xdr:from>
    <xdr:to>
      <xdr:col>35</xdr:col>
      <xdr:colOff>0</xdr:colOff>
      <xdr:row>23</xdr:row>
      <xdr:rowOff>0</xdr:rowOff>
    </xdr:to>
    <xdr:sp macro="" textlink="">
      <xdr:nvSpPr>
        <xdr:cNvPr id="382" name="AutoShape 46">
          <a:extLst>
            <a:ext uri="{FF2B5EF4-FFF2-40B4-BE49-F238E27FC236}">
              <a16:creationId xmlns:a16="http://schemas.microsoft.com/office/drawing/2014/main" id="{A108FADA-1AB5-482D-A68D-635790B62C8F}"/>
            </a:ext>
          </a:extLst>
        </xdr:cNvPr>
        <xdr:cNvSpPr>
          <a:spLocks noChangeArrowheads="1"/>
        </xdr:cNvSpPr>
      </xdr:nvSpPr>
      <xdr:spPr bwMode="auto">
        <a:xfrm>
          <a:off x="10096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21</xdr:row>
      <xdr:rowOff>57150</xdr:rowOff>
    </xdr:from>
    <xdr:to>
      <xdr:col>37</xdr:col>
      <xdr:colOff>0</xdr:colOff>
      <xdr:row>23</xdr:row>
      <xdr:rowOff>0</xdr:rowOff>
    </xdr:to>
    <xdr:sp macro="" textlink="">
      <xdr:nvSpPr>
        <xdr:cNvPr id="383" name="AutoShape 46">
          <a:extLst>
            <a:ext uri="{FF2B5EF4-FFF2-40B4-BE49-F238E27FC236}">
              <a16:creationId xmlns:a16="http://schemas.microsoft.com/office/drawing/2014/main" id="{1169E1B3-88B7-4A80-8678-F67882638160}"/>
            </a:ext>
          </a:extLst>
        </xdr:cNvPr>
        <xdr:cNvSpPr>
          <a:spLocks noChangeArrowheads="1"/>
        </xdr:cNvSpPr>
      </xdr:nvSpPr>
      <xdr:spPr bwMode="auto">
        <a:xfrm>
          <a:off x="10668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21</xdr:row>
      <xdr:rowOff>57150</xdr:rowOff>
    </xdr:from>
    <xdr:to>
      <xdr:col>39</xdr:col>
      <xdr:colOff>0</xdr:colOff>
      <xdr:row>23</xdr:row>
      <xdr:rowOff>0</xdr:rowOff>
    </xdr:to>
    <xdr:sp macro="" textlink="">
      <xdr:nvSpPr>
        <xdr:cNvPr id="384" name="AutoShape 46">
          <a:extLst>
            <a:ext uri="{FF2B5EF4-FFF2-40B4-BE49-F238E27FC236}">
              <a16:creationId xmlns:a16="http://schemas.microsoft.com/office/drawing/2014/main" id="{1ECE00B5-306D-47C3-A970-B2A29473E5D6}"/>
            </a:ext>
          </a:extLst>
        </xdr:cNvPr>
        <xdr:cNvSpPr>
          <a:spLocks noChangeArrowheads="1"/>
        </xdr:cNvSpPr>
      </xdr:nvSpPr>
      <xdr:spPr bwMode="auto">
        <a:xfrm>
          <a:off x="11838214" y="4178170"/>
          <a:ext cx="340179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21</xdr:row>
      <xdr:rowOff>57150</xdr:rowOff>
    </xdr:from>
    <xdr:to>
      <xdr:col>41</xdr:col>
      <xdr:colOff>0</xdr:colOff>
      <xdr:row>23</xdr:row>
      <xdr:rowOff>0</xdr:rowOff>
    </xdr:to>
    <xdr:sp macro="" textlink="">
      <xdr:nvSpPr>
        <xdr:cNvPr id="385" name="AutoShape 46">
          <a:extLst>
            <a:ext uri="{FF2B5EF4-FFF2-40B4-BE49-F238E27FC236}">
              <a16:creationId xmlns:a16="http://schemas.microsoft.com/office/drawing/2014/main" id="{6DDCF098-1F13-4ED0-948C-D68BFDD941D3}"/>
            </a:ext>
          </a:extLst>
        </xdr:cNvPr>
        <xdr:cNvSpPr>
          <a:spLocks noChangeArrowheads="1"/>
        </xdr:cNvSpPr>
      </xdr:nvSpPr>
      <xdr:spPr bwMode="auto">
        <a:xfrm>
          <a:off x="11811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21</xdr:row>
      <xdr:rowOff>57150</xdr:rowOff>
    </xdr:from>
    <xdr:to>
      <xdr:col>43</xdr:col>
      <xdr:colOff>0</xdr:colOff>
      <xdr:row>23</xdr:row>
      <xdr:rowOff>0</xdr:rowOff>
    </xdr:to>
    <xdr:sp macro="" textlink="">
      <xdr:nvSpPr>
        <xdr:cNvPr id="386" name="AutoShape 46">
          <a:extLst>
            <a:ext uri="{FF2B5EF4-FFF2-40B4-BE49-F238E27FC236}">
              <a16:creationId xmlns:a16="http://schemas.microsoft.com/office/drawing/2014/main" id="{917C4E20-A475-4C28-8602-C7695FD9E32A}"/>
            </a:ext>
          </a:extLst>
        </xdr:cNvPr>
        <xdr:cNvSpPr>
          <a:spLocks noChangeArrowheads="1"/>
        </xdr:cNvSpPr>
      </xdr:nvSpPr>
      <xdr:spPr bwMode="auto">
        <a:xfrm>
          <a:off x="12382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21</xdr:row>
      <xdr:rowOff>57150</xdr:rowOff>
    </xdr:from>
    <xdr:to>
      <xdr:col>45</xdr:col>
      <xdr:colOff>0</xdr:colOff>
      <xdr:row>23</xdr:row>
      <xdr:rowOff>0</xdr:rowOff>
    </xdr:to>
    <xdr:sp macro="" textlink="">
      <xdr:nvSpPr>
        <xdr:cNvPr id="387" name="AutoShape 46">
          <a:extLst>
            <a:ext uri="{FF2B5EF4-FFF2-40B4-BE49-F238E27FC236}">
              <a16:creationId xmlns:a16="http://schemas.microsoft.com/office/drawing/2014/main" id="{3CC19794-71E4-4684-B289-51A82EC61EFC}"/>
            </a:ext>
          </a:extLst>
        </xdr:cNvPr>
        <xdr:cNvSpPr>
          <a:spLocks noChangeArrowheads="1"/>
        </xdr:cNvSpPr>
      </xdr:nvSpPr>
      <xdr:spPr bwMode="auto">
        <a:xfrm>
          <a:off x="12954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21</xdr:row>
      <xdr:rowOff>57150</xdr:rowOff>
    </xdr:from>
    <xdr:to>
      <xdr:col>11</xdr:col>
      <xdr:colOff>0</xdr:colOff>
      <xdr:row>23</xdr:row>
      <xdr:rowOff>0</xdr:rowOff>
    </xdr:to>
    <xdr:sp macro="" textlink="">
      <xdr:nvSpPr>
        <xdr:cNvPr id="388" name="AutoShape 46">
          <a:extLst>
            <a:ext uri="{FF2B5EF4-FFF2-40B4-BE49-F238E27FC236}">
              <a16:creationId xmlns:a16="http://schemas.microsoft.com/office/drawing/2014/main" id="{E1AF8D3B-AD23-4541-8E30-2A73E625B2DB}"/>
            </a:ext>
          </a:extLst>
        </xdr:cNvPr>
        <xdr:cNvSpPr>
          <a:spLocks noChangeArrowheads="1"/>
        </xdr:cNvSpPr>
      </xdr:nvSpPr>
      <xdr:spPr bwMode="auto">
        <a:xfrm>
          <a:off x="3181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21</xdr:row>
      <xdr:rowOff>57150</xdr:rowOff>
    </xdr:from>
    <xdr:to>
      <xdr:col>13</xdr:col>
      <xdr:colOff>0</xdr:colOff>
      <xdr:row>23</xdr:row>
      <xdr:rowOff>0</xdr:rowOff>
    </xdr:to>
    <xdr:sp macro="" textlink="">
      <xdr:nvSpPr>
        <xdr:cNvPr id="389" name="AutoShape 46">
          <a:extLst>
            <a:ext uri="{FF2B5EF4-FFF2-40B4-BE49-F238E27FC236}">
              <a16:creationId xmlns:a16="http://schemas.microsoft.com/office/drawing/2014/main" id="{DD48F599-A734-482D-B5A5-A3A1F66D822A}"/>
            </a:ext>
          </a:extLst>
        </xdr:cNvPr>
        <xdr:cNvSpPr>
          <a:spLocks noChangeArrowheads="1"/>
        </xdr:cNvSpPr>
      </xdr:nvSpPr>
      <xdr:spPr bwMode="auto">
        <a:xfrm>
          <a:off x="3752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21</xdr:row>
      <xdr:rowOff>57150</xdr:rowOff>
    </xdr:from>
    <xdr:to>
      <xdr:col>15</xdr:col>
      <xdr:colOff>0</xdr:colOff>
      <xdr:row>23</xdr:row>
      <xdr:rowOff>0</xdr:rowOff>
    </xdr:to>
    <xdr:sp macro="" textlink="">
      <xdr:nvSpPr>
        <xdr:cNvPr id="390" name="AutoShape 46">
          <a:extLst>
            <a:ext uri="{FF2B5EF4-FFF2-40B4-BE49-F238E27FC236}">
              <a16:creationId xmlns:a16="http://schemas.microsoft.com/office/drawing/2014/main" id="{AB255308-B84F-42F0-B251-354BCEBFA5A1}"/>
            </a:ext>
          </a:extLst>
        </xdr:cNvPr>
        <xdr:cNvSpPr>
          <a:spLocks noChangeArrowheads="1"/>
        </xdr:cNvSpPr>
      </xdr:nvSpPr>
      <xdr:spPr bwMode="auto">
        <a:xfrm>
          <a:off x="4324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21</xdr:row>
      <xdr:rowOff>57150</xdr:rowOff>
    </xdr:from>
    <xdr:to>
      <xdr:col>9</xdr:col>
      <xdr:colOff>0</xdr:colOff>
      <xdr:row>23</xdr:row>
      <xdr:rowOff>0</xdr:rowOff>
    </xdr:to>
    <xdr:sp macro="" textlink="">
      <xdr:nvSpPr>
        <xdr:cNvPr id="391" name="AutoShape 46">
          <a:extLst>
            <a:ext uri="{FF2B5EF4-FFF2-40B4-BE49-F238E27FC236}">
              <a16:creationId xmlns:a16="http://schemas.microsoft.com/office/drawing/2014/main" id="{DF3A54B4-8930-467C-87B4-2187C56CCD51}"/>
            </a:ext>
          </a:extLst>
        </xdr:cNvPr>
        <xdr:cNvSpPr>
          <a:spLocks noChangeArrowheads="1"/>
        </xdr:cNvSpPr>
      </xdr:nvSpPr>
      <xdr:spPr bwMode="auto">
        <a:xfrm>
          <a:off x="2409825" y="410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21</xdr:row>
      <xdr:rowOff>57150</xdr:rowOff>
    </xdr:from>
    <xdr:to>
      <xdr:col>7</xdr:col>
      <xdr:colOff>0</xdr:colOff>
      <xdr:row>23</xdr:row>
      <xdr:rowOff>0</xdr:rowOff>
    </xdr:to>
    <xdr:sp macro="" textlink="">
      <xdr:nvSpPr>
        <xdr:cNvPr id="392" name="AutoShape 46">
          <a:extLst>
            <a:ext uri="{FF2B5EF4-FFF2-40B4-BE49-F238E27FC236}">
              <a16:creationId xmlns:a16="http://schemas.microsoft.com/office/drawing/2014/main" id="{CD110341-46AB-494C-9567-FA2A1041E099}"/>
            </a:ext>
          </a:extLst>
        </xdr:cNvPr>
        <xdr:cNvSpPr>
          <a:spLocks noChangeArrowheads="1"/>
        </xdr:cNvSpPr>
      </xdr:nvSpPr>
      <xdr:spPr bwMode="auto">
        <a:xfrm>
          <a:off x="1819275" y="410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</xdr:colOff>
      <xdr:row>21</xdr:row>
      <xdr:rowOff>47431</xdr:rowOff>
    </xdr:from>
    <xdr:to>
      <xdr:col>5</xdr:col>
      <xdr:colOff>2</xdr:colOff>
      <xdr:row>22</xdr:row>
      <xdr:rowOff>184669</xdr:rowOff>
    </xdr:to>
    <xdr:sp macro="" textlink="">
      <xdr:nvSpPr>
        <xdr:cNvPr id="393" name="AutoShape 46">
          <a:extLst>
            <a:ext uri="{FF2B5EF4-FFF2-40B4-BE49-F238E27FC236}">
              <a16:creationId xmlns:a16="http://schemas.microsoft.com/office/drawing/2014/main" id="{5EB094B7-0519-44CE-AD36-E69616FFFBFA}"/>
            </a:ext>
          </a:extLst>
        </xdr:cNvPr>
        <xdr:cNvSpPr>
          <a:spLocks noChangeArrowheads="1"/>
        </xdr:cNvSpPr>
      </xdr:nvSpPr>
      <xdr:spPr bwMode="auto">
        <a:xfrm>
          <a:off x="1224645" y="4236487"/>
          <a:ext cx="340178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21</xdr:row>
      <xdr:rowOff>57149</xdr:rowOff>
    </xdr:from>
    <xdr:to>
      <xdr:col>3</xdr:col>
      <xdr:colOff>0</xdr:colOff>
      <xdr:row>22</xdr:row>
      <xdr:rowOff>190499</xdr:rowOff>
    </xdr:to>
    <xdr:sp macro="" textlink="">
      <xdr:nvSpPr>
        <xdr:cNvPr id="394" name="AutoShape 46">
          <a:extLst>
            <a:ext uri="{FF2B5EF4-FFF2-40B4-BE49-F238E27FC236}">
              <a16:creationId xmlns:a16="http://schemas.microsoft.com/office/drawing/2014/main" id="{102368A7-BAE3-4B39-9748-4A78EB2CF4E3}"/>
            </a:ext>
          </a:extLst>
        </xdr:cNvPr>
        <xdr:cNvSpPr>
          <a:spLocks noChangeArrowheads="1"/>
        </xdr:cNvSpPr>
      </xdr:nvSpPr>
      <xdr:spPr bwMode="auto">
        <a:xfrm>
          <a:off x="523875" y="4105274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395" name="Group 1008">
          <a:extLst>
            <a:ext uri="{FF2B5EF4-FFF2-40B4-BE49-F238E27FC236}">
              <a16:creationId xmlns:a16="http://schemas.microsoft.com/office/drawing/2014/main" id="{68E127A9-F5A5-41EE-9991-391DCE64341D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396" name="Straight Connector 395">
            <a:extLst>
              <a:ext uri="{FF2B5EF4-FFF2-40B4-BE49-F238E27FC236}">
                <a16:creationId xmlns:a16="http://schemas.microsoft.com/office/drawing/2014/main" id="{1EBF39DE-AD22-F3BA-528C-0B2B9591EB0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97" name="Straight Connector 529">
            <a:extLst>
              <a:ext uri="{FF2B5EF4-FFF2-40B4-BE49-F238E27FC236}">
                <a16:creationId xmlns:a16="http://schemas.microsoft.com/office/drawing/2014/main" id="{E43C64FB-2D76-2B2C-2D1C-521D8E854A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98" name="Straight Connector 531">
            <a:extLst>
              <a:ext uri="{FF2B5EF4-FFF2-40B4-BE49-F238E27FC236}">
                <a16:creationId xmlns:a16="http://schemas.microsoft.com/office/drawing/2014/main" id="{888B68A3-CBE0-F681-EDBA-963C96E7D9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99" name="Straight Connector 533">
            <a:extLst>
              <a:ext uri="{FF2B5EF4-FFF2-40B4-BE49-F238E27FC236}">
                <a16:creationId xmlns:a16="http://schemas.microsoft.com/office/drawing/2014/main" id="{36626A1C-FC87-9911-758E-9DD3D607B0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0" name="Straight Connector 535">
            <a:extLst>
              <a:ext uri="{FF2B5EF4-FFF2-40B4-BE49-F238E27FC236}">
                <a16:creationId xmlns:a16="http://schemas.microsoft.com/office/drawing/2014/main" id="{C1FA7A44-3B9D-3E2D-A454-4EFDD2E6F9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1" name="Straight Connector 537">
            <a:extLst>
              <a:ext uri="{FF2B5EF4-FFF2-40B4-BE49-F238E27FC236}">
                <a16:creationId xmlns:a16="http://schemas.microsoft.com/office/drawing/2014/main" id="{C1EB923C-00EB-1CAB-3D10-B251C80283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02" name="Group 1008">
          <a:extLst>
            <a:ext uri="{FF2B5EF4-FFF2-40B4-BE49-F238E27FC236}">
              <a16:creationId xmlns:a16="http://schemas.microsoft.com/office/drawing/2014/main" id="{8530A89E-3153-4A6B-A32D-B9FEDD6A03D7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03" name="Straight Connector 402">
            <a:extLst>
              <a:ext uri="{FF2B5EF4-FFF2-40B4-BE49-F238E27FC236}">
                <a16:creationId xmlns:a16="http://schemas.microsoft.com/office/drawing/2014/main" id="{2C38F221-B536-38C6-15BC-A5332330A8A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04" name="Straight Connector 529">
            <a:extLst>
              <a:ext uri="{FF2B5EF4-FFF2-40B4-BE49-F238E27FC236}">
                <a16:creationId xmlns:a16="http://schemas.microsoft.com/office/drawing/2014/main" id="{84D2E67B-AD4B-4D4B-2424-7B1C4ECA22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5" name="Straight Connector 531">
            <a:extLst>
              <a:ext uri="{FF2B5EF4-FFF2-40B4-BE49-F238E27FC236}">
                <a16:creationId xmlns:a16="http://schemas.microsoft.com/office/drawing/2014/main" id="{BE03119C-00F8-A2B3-3584-E5946E2D67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6" name="Straight Connector 533">
            <a:extLst>
              <a:ext uri="{FF2B5EF4-FFF2-40B4-BE49-F238E27FC236}">
                <a16:creationId xmlns:a16="http://schemas.microsoft.com/office/drawing/2014/main" id="{D5089471-315C-6578-4111-74C613460D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7" name="Straight Connector 535">
            <a:extLst>
              <a:ext uri="{FF2B5EF4-FFF2-40B4-BE49-F238E27FC236}">
                <a16:creationId xmlns:a16="http://schemas.microsoft.com/office/drawing/2014/main" id="{F80BAA84-250B-3310-1ED4-2394F3555B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8" name="Straight Connector 537">
            <a:extLst>
              <a:ext uri="{FF2B5EF4-FFF2-40B4-BE49-F238E27FC236}">
                <a16:creationId xmlns:a16="http://schemas.microsoft.com/office/drawing/2014/main" id="{09209C55-F3DD-8DE9-EF4E-3E85619766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133350</xdr:rowOff>
    </xdr:from>
    <xdr:to>
      <xdr:col>6</xdr:col>
      <xdr:colOff>0</xdr:colOff>
      <xdr:row>33</xdr:row>
      <xdr:rowOff>47625</xdr:rowOff>
    </xdr:to>
    <xdr:grpSp>
      <xdr:nvGrpSpPr>
        <xdr:cNvPr id="409" name="Group 1008">
          <a:extLst>
            <a:ext uri="{FF2B5EF4-FFF2-40B4-BE49-F238E27FC236}">
              <a16:creationId xmlns:a16="http://schemas.microsoft.com/office/drawing/2014/main" id="{032974A1-8BC6-4B18-A46C-B2E2BBA66762}"/>
            </a:ext>
          </a:extLst>
        </xdr:cNvPr>
        <xdr:cNvGrpSpPr>
          <a:grpSpLocks/>
        </xdr:cNvGrpSpPr>
      </xdr:nvGrpSpPr>
      <xdr:grpSpPr bwMode="auto">
        <a:xfrm>
          <a:off x="1807806" y="6399115"/>
          <a:ext cx="0" cy="102183"/>
          <a:chOff x="5475762" y="47760700"/>
          <a:chExt cx="314325" cy="230209"/>
        </a:xfrm>
      </xdr:grpSpPr>
      <xdr:cxnSp macro="">
        <xdr:nvCxnSpPr>
          <xdr:cNvPr id="410" name="Straight Connector 409">
            <a:extLst>
              <a:ext uri="{FF2B5EF4-FFF2-40B4-BE49-F238E27FC236}">
                <a16:creationId xmlns:a16="http://schemas.microsoft.com/office/drawing/2014/main" id="{BFFDEC0C-E5D3-18C8-A088-76E3E8060922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11" name="Straight Connector 529">
            <a:extLst>
              <a:ext uri="{FF2B5EF4-FFF2-40B4-BE49-F238E27FC236}">
                <a16:creationId xmlns:a16="http://schemas.microsoft.com/office/drawing/2014/main" id="{E8C30177-F794-BBA6-BB0A-5E55BB00544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2" name="Straight Connector 531">
            <a:extLst>
              <a:ext uri="{FF2B5EF4-FFF2-40B4-BE49-F238E27FC236}">
                <a16:creationId xmlns:a16="http://schemas.microsoft.com/office/drawing/2014/main" id="{2DB6408D-9F19-B7C9-05AF-533EA022CE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3" name="Straight Connector 533">
            <a:extLst>
              <a:ext uri="{FF2B5EF4-FFF2-40B4-BE49-F238E27FC236}">
                <a16:creationId xmlns:a16="http://schemas.microsoft.com/office/drawing/2014/main" id="{55CE547D-564B-CF8F-5327-E0A85F7544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4" name="Straight Connector 535">
            <a:extLst>
              <a:ext uri="{FF2B5EF4-FFF2-40B4-BE49-F238E27FC236}">
                <a16:creationId xmlns:a16="http://schemas.microsoft.com/office/drawing/2014/main" id="{E6053FBA-6B60-96E2-BBB6-AE4AAA162A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5" name="Straight Connector 537">
            <a:extLst>
              <a:ext uri="{FF2B5EF4-FFF2-40B4-BE49-F238E27FC236}">
                <a16:creationId xmlns:a16="http://schemas.microsoft.com/office/drawing/2014/main" id="{4F6A2C04-2F8E-BC17-48DF-3E1C18B90C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133350</xdr:rowOff>
    </xdr:from>
    <xdr:to>
      <xdr:col>6</xdr:col>
      <xdr:colOff>0</xdr:colOff>
      <xdr:row>33</xdr:row>
      <xdr:rowOff>57150</xdr:rowOff>
    </xdr:to>
    <xdr:grpSp>
      <xdr:nvGrpSpPr>
        <xdr:cNvPr id="416" name="Group 1008">
          <a:extLst>
            <a:ext uri="{FF2B5EF4-FFF2-40B4-BE49-F238E27FC236}">
              <a16:creationId xmlns:a16="http://schemas.microsoft.com/office/drawing/2014/main" id="{6EC8E4C2-985D-4CAE-8442-CF2372A37FE8}"/>
            </a:ext>
          </a:extLst>
        </xdr:cNvPr>
        <xdr:cNvGrpSpPr>
          <a:grpSpLocks/>
        </xdr:cNvGrpSpPr>
      </xdr:nvGrpSpPr>
      <xdr:grpSpPr bwMode="auto">
        <a:xfrm>
          <a:off x="1807806" y="6399115"/>
          <a:ext cx="0" cy="111708"/>
          <a:chOff x="5475762" y="47760700"/>
          <a:chExt cx="314325" cy="230209"/>
        </a:xfrm>
      </xdr:grpSpPr>
      <xdr:cxnSp macro="">
        <xdr:nvCxnSpPr>
          <xdr:cNvPr id="417" name="Straight Connector 416">
            <a:extLst>
              <a:ext uri="{FF2B5EF4-FFF2-40B4-BE49-F238E27FC236}">
                <a16:creationId xmlns:a16="http://schemas.microsoft.com/office/drawing/2014/main" id="{67D89E42-84A7-CEB7-0100-95F6AF9C95B3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18" name="Straight Connector 529">
            <a:extLst>
              <a:ext uri="{FF2B5EF4-FFF2-40B4-BE49-F238E27FC236}">
                <a16:creationId xmlns:a16="http://schemas.microsoft.com/office/drawing/2014/main" id="{0A38A8AE-53F5-AE77-A6B5-A8EB5657C2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9" name="Straight Connector 531">
            <a:extLst>
              <a:ext uri="{FF2B5EF4-FFF2-40B4-BE49-F238E27FC236}">
                <a16:creationId xmlns:a16="http://schemas.microsoft.com/office/drawing/2014/main" id="{ECAD21C8-7E5D-567F-771F-298868BDC98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0" name="Straight Connector 533">
            <a:extLst>
              <a:ext uri="{FF2B5EF4-FFF2-40B4-BE49-F238E27FC236}">
                <a16:creationId xmlns:a16="http://schemas.microsoft.com/office/drawing/2014/main" id="{6B2B3BF8-20EF-BD25-68DE-E31434CD1F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1" name="Straight Connector 535">
            <a:extLst>
              <a:ext uri="{FF2B5EF4-FFF2-40B4-BE49-F238E27FC236}">
                <a16:creationId xmlns:a16="http://schemas.microsoft.com/office/drawing/2014/main" id="{F10E3F1B-441C-6C05-BE19-EDA3197717B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2" name="Straight Connector 537">
            <a:extLst>
              <a:ext uri="{FF2B5EF4-FFF2-40B4-BE49-F238E27FC236}">
                <a16:creationId xmlns:a16="http://schemas.microsoft.com/office/drawing/2014/main" id="{BBF587C7-D324-A634-93AB-F6FC51F15E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23" name="Group 1008">
          <a:extLst>
            <a:ext uri="{FF2B5EF4-FFF2-40B4-BE49-F238E27FC236}">
              <a16:creationId xmlns:a16="http://schemas.microsoft.com/office/drawing/2014/main" id="{1E39B252-EECB-46CC-B108-13180162A6C5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24" name="Straight Connector 423">
            <a:extLst>
              <a:ext uri="{FF2B5EF4-FFF2-40B4-BE49-F238E27FC236}">
                <a16:creationId xmlns:a16="http://schemas.microsoft.com/office/drawing/2014/main" id="{9BE7C8A1-E026-D888-CAF7-3087436FA7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25" name="Straight Connector 529">
            <a:extLst>
              <a:ext uri="{FF2B5EF4-FFF2-40B4-BE49-F238E27FC236}">
                <a16:creationId xmlns:a16="http://schemas.microsoft.com/office/drawing/2014/main" id="{8065143F-D83E-E3EA-C2A4-AEAF515855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6" name="Straight Connector 531">
            <a:extLst>
              <a:ext uri="{FF2B5EF4-FFF2-40B4-BE49-F238E27FC236}">
                <a16:creationId xmlns:a16="http://schemas.microsoft.com/office/drawing/2014/main" id="{25A551BB-1A79-399C-E201-DAC19C9825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7" name="Straight Connector 533">
            <a:extLst>
              <a:ext uri="{FF2B5EF4-FFF2-40B4-BE49-F238E27FC236}">
                <a16:creationId xmlns:a16="http://schemas.microsoft.com/office/drawing/2014/main" id="{D4C53AFD-2A70-5343-7346-66FFDA5371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8" name="Straight Connector 535">
            <a:extLst>
              <a:ext uri="{FF2B5EF4-FFF2-40B4-BE49-F238E27FC236}">
                <a16:creationId xmlns:a16="http://schemas.microsoft.com/office/drawing/2014/main" id="{F9903FE0-90A8-2287-132E-C24B87F5DD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9" name="Straight Connector 537">
            <a:extLst>
              <a:ext uri="{FF2B5EF4-FFF2-40B4-BE49-F238E27FC236}">
                <a16:creationId xmlns:a16="http://schemas.microsoft.com/office/drawing/2014/main" id="{FD30A7E8-DB18-9F51-1F3E-CBD571B9CD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30" name="Group 1008">
          <a:extLst>
            <a:ext uri="{FF2B5EF4-FFF2-40B4-BE49-F238E27FC236}">
              <a16:creationId xmlns:a16="http://schemas.microsoft.com/office/drawing/2014/main" id="{3CF9C5C5-2C59-4A91-83A3-99A2AD526701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31" name="Straight Connector 430">
            <a:extLst>
              <a:ext uri="{FF2B5EF4-FFF2-40B4-BE49-F238E27FC236}">
                <a16:creationId xmlns:a16="http://schemas.microsoft.com/office/drawing/2014/main" id="{805394F7-B233-AC44-D9ED-D8874E14DF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32" name="Straight Connector 529">
            <a:extLst>
              <a:ext uri="{FF2B5EF4-FFF2-40B4-BE49-F238E27FC236}">
                <a16:creationId xmlns:a16="http://schemas.microsoft.com/office/drawing/2014/main" id="{933BDDAD-A980-2221-1EAF-A29F9B79F7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3" name="Straight Connector 531">
            <a:extLst>
              <a:ext uri="{FF2B5EF4-FFF2-40B4-BE49-F238E27FC236}">
                <a16:creationId xmlns:a16="http://schemas.microsoft.com/office/drawing/2014/main" id="{A05A305D-4DC4-4A82-432A-5C9633CD48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4" name="Straight Connector 533">
            <a:extLst>
              <a:ext uri="{FF2B5EF4-FFF2-40B4-BE49-F238E27FC236}">
                <a16:creationId xmlns:a16="http://schemas.microsoft.com/office/drawing/2014/main" id="{D2504BC1-9512-319A-3C76-241BB81A27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5" name="Straight Connector 535">
            <a:extLst>
              <a:ext uri="{FF2B5EF4-FFF2-40B4-BE49-F238E27FC236}">
                <a16:creationId xmlns:a16="http://schemas.microsoft.com/office/drawing/2014/main" id="{A0B57C4D-D1FE-8482-98D4-663AD60CB6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6" name="Straight Connector 537">
            <a:extLst>
              <a:ext uri="{FF2B5EF4-FFF2-40B4-BE49-F238E27FC236}">
                <a16:creationId xmlns:a16="http://schemas.microsoft.com/office/drawing/2014/main" id="{DD5CA8DA-4A6D-9A91-FE0B-94DAA2FC43F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37" name="Group 1008">
          <a:extLst>
            <a:ext uri="{FF2B5EF4-FFF2-40B4-BE49-F238E27FC236}">
              <a16:creationId xmlns:a16="http://schemas.microsoft.com/office/drawing/2014/main" id="{FA7099B4-73D9-4ABD-AD29-4C86914AE7CE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38" name="Straight Connector 437">
            <a:extLst>
              <a:ext uri="{FF2B5EF4-FFF2-40B4-BE49-F238E27FC236}">
                <a16:creationId xmlns:a16="http://schemas.microsoft.com/office/drawing/2014/main" id="{F1B32071-B3AB-2491-B946-6FDD51F48D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39" name="Straight Connector 529">
            <a:extLst>
              <a:ext uri="{FF2B5EF4-FFF2-40B4-BE49-F238E27FC236}">
                <a16:creationId xmlns:a16="http://schemas.microsoft.com/office/drawing/2014/main" id="{A01E8501-C97D-B969-109B-4402ADE4106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0" name="Straight Connector 531">
            <a:extLst>
              <a:ext uri="{FF2B5EF4-FFF2-40B4-BE49-F238E27FC236}">
                <a16:creationId xmlns:a16="http://schemas.microsoft.com/office/drawing/2014/main" id="{F3EF3112-A7B9-1A27-0A84-431BC57FDBC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1" name="Straight Connector 533">
            <a:extLst>
              <a:ext uri="{FF2B5EF4-FFF2-40B4-BE49-F238E27FC236}">
                <a16:creationId xmlns:a16="http://schemas.microsoft.com/office/drawing/2014/main" id="{C40D1B39-51C3-7B10-4048-3E68639537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2" name="Straight Connector 535">
            <a:extLst>
              <a:ext uri="{FF2B5EF4-FFF2-40B4-BE49-F238E27FC236}">
                <a16:creationId xmlns:a16="http://schemas.microsoft.com/office/drawing/2014/main" id="{2DBBCE82-963F-5234-5960-3CC4FF81F3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3" name="Straight Connector 537">
            <a:extLst>
              <a:ext uri="{FF2B5EF4-FFF2-40B4-BE49-F238E27FC236}">
                <a16:creationId xmlns:a16="http://schemas.microsoft.com/office/drawing/2014/main" id="{CAC51DCF-8E2F-9A08-F7A3-ADAEBFC0D7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44" name="Group 1008">
          <a:extLst>
            <a:ext uri="{FF2B5EF4-FFF2-40B4-BE49-F238E27FC236}">
              <a16:creationId xmlns:a16="http://schemas.microsoft.com/office/drawing/2014/main" id="{AE2613EC-4D5F-43FA-AFED-2904ABCCF695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45" name="Straight Connector 444">
            <a:extLst>
              <a:ext uri="{FF2B5EF4-FFF2-40B4-BE49-F238E27FC236}">
                <a16:creationId xmlns:a16="http://schemas.microsoft.com/office/drawing/2014/main" id="{52291A22-57A7-1F1C-3117-A98B216BA75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46" name="Straight Connector 529">
            <a:extLst>
              <a:ext uri="{FF2B5EF4-FFF2-40B4-BE49-F238E27FC236}">
                <a16:creationId xmlns:a16="http://schemas.microsoft.com/office/drawing/2014/main" id="{CA44F42A-D33E-4266-C9D6-8803B29CE96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7" name="Straight Connector 531">
            <a:extLst>
              <a:ext uri="{FF2B5EF4-FFF2-40B4-BE49-F238E27FC236}">
                <a16:creationId xmlns:a16="http://schemas.microsoft.com/office/drawing/2014/main" id="{339D5FE1-F53F-D05B-DD4D-26C0FEF49D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8" name="Straight Connector 533">
            <a:extLst>
              <a:ext uri="{FF2B5EF4-FFF2-40B4-BE49-F238E27FC236}">
                <a16:creationId xmlns:a16="http://schemas.microsoft.com/office/drawing/2014/main" id="{15CB2D0D-FC99-361A-EC32-1E263576B6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9" name="Straight Connector 535">
            <a:extLst>
              <a:ext uri="{FF2B5EF4-FFF2-40B4-BE49-F238E27FC236}">
                <a16:creationId xmlns:a16="http://schemas.microsoft.com/office/drawing/2014/main" id="{4D0F4078-EC43-6089-F644-92C1C0E9F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0" name="Straight Connector 537">
            <a:extLst>
              <a:ext uri="{FF2B5EF4-FFF2-40B4-BE49-F238E27FC236}">
                <a16:creationId xmlns:a16="http://schemas.microsoft.com/office/drawing/2014/main" id="{30AF16F1-08AB-D08F-971E-359A4CF657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51" name="Group 1008">
          <a:extLst>
            <a:ext uri="{FF2B5EF4-FFF2-40B4-BE49-F238E27FC236}">
              <a16:creationId xmlns:a16="http://schemas.microsoft.com/office/drawing/2014/main" id="{CFD352F6-D73A-465E-AFE1-4589344A4559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52" name="Straight Connector 451">
            <a:extLst>
              <a:ext uri="{FF2B5EF4-FFF2-40B4-BE49-F238E27FC236}">
                <a16:creationId xmlns:a16="http://schemas.microsoft.com/office/drawing/2014/main" id="{8A6426C9-B326-51E4-05AB-B0AF2F2DFF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53" name="Straight Connector 529">
            <a:extLst>
              <a:ext uri="{FF2B5EF4-FFF2-40B4-BE49-F238E27FC236}">
                <a16:creationId xmlns:a16="http://schemas.microsoft.com/office/drawing/2014/main" id="{AADF2348-8ACD-184B-D636-A604EB71DB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4" name="Straight Connector 531">
            <a:extLst>
              <a:ext uri="{FF2B5EF4-FFF2-40B4-BE49-F238E27FC236}">
                <a16:creationId xmlns:a16="http://schemas.microsoft.com/office/drawing/2014/main" id="{4869FB72-7478-0D8A-F55A-276621D377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5" name="Straight Connector 533">
            <a:extLst>
              <a:ext uri="{FF2B5EF4-FFF2-40B4-BE49-F238E27FC236}">
                <a16:creationId xmlns:a16="http://schemas.microsoft.com/office/drawing/2014/main" id="{E6CC6815-5717-D6E4-6763-B3A35203AE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6" name="Straight Connector 535">
            <a:extLst>
              <a:ext uri="{FF2B5EF4-FFF2-40B4-BE49-F238E27FC236}">
                <a16:creationId xmlns:a16="http://schemas.microsoft.com/office/drawing/2014/main" id="{8F359E3A-F023-767F-2D58-788401549A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7" name="Straight Connector 537">
            <a:extLst>
              <a:ext uri="{FF2B5EF4-FFF2-40B4-BE49-F238E27FC236}">
                <a16:creationId xmlns:a16="http://schemas.microsoft.com/office/drawing/2014/main" id="{5F9C16DF-7362-743E-24A3-7317ABAE69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58" name="Group 1008">
          <a:extLst>
            <a:ext uri="{FF2B5EF4-FFF2-40B4-BE49-F238E27FC236}">
              <a16:creationId xmlns:a16="http://schemas.microsoft.com/office/drawing/2014/main" id="{07CCC769-32EB-49D2-A297-FB3240CDA5AF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59" name="Straight Connector 458">
            <a:extLst>
              <a:ext uri="{FF2B5EF4-FFF2-40B4-BE49-F238E27FC236}">
                <a16:creationId xmlns:a16="http://schemas.microsoft.com/office/drawing/2014/main" id="{EC09C156-F502-4713-AF5C-4415A1C7F1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60" name="Straight Connector 529">
            <a:extLst>
              <a:ext uri="{FF2B5EF4-FFF2-40B4-BE49-F238E27FC236}">
                <a16:creationId xmlns:a16="http://schemas.microsoft.com/office/drawing/2014/main" id="{AB7E2B40-7558-16AB-2605-B570689241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1" name="Straight Connector 531">
            <a:extLst>
              <a:ext uri="{FF2B5EF4-FFF2-40B4-BE49-F238E27FC236}">
                <a16:creationId xmlns:a16="http://schemas.microsoft.com/office/drawing/2014/main" id="{F23B3F61-EEC8-B3E4-C34D-6F927A24CD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2" name="Straight Connector 533">
            <a:extLst>
              <a:ext uri="{FF2B5EF4-FFF2-40B4-BE49-F238E27FC236}">
                <a16:creationId xmlns:a16="http://schemas.microsoft.com/office/drawing/2014/main" id="{1983BF5C-F3FE-6D08-2629-5F05EB33E5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3" name="Straight Connector 535">
            <a:extLst>
              <a:ext uri="{FF2B5EF4-FFF2-40B4-BE49-F238E27FC236}">
                <a16:creationId xmlns:a16="http://schemas.microsoft.com/office/drawing/2014/main" id="{0C14CF5D-8B3F-8C9D-0293-71D95D6BF8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4" name="Straight Connector 537">
            <a:extLst>
              <a:ext uri="{FF2B5EF4-FFF2-40B4-BE49-F238E27FC236}">
                <a16:creationId xmlns:a16="http://schemas.microsoft.com/office/drawing/2014/main" id="{10DC01BC-3C04-7AD7-0949-656350E14E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65" name="Group 1008">
          <a:extLst>
            <a:ext uri="{FF2B5EF4-FFF2-40B4-BE49-F238E27FC236}">
              <a16:creationId xmlns:a16="http://schemas.microsoft.com/office/drawing/2014/main" id="{0E35AC9D-37A4-444A-BDB7-7F414F877EA9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66" name="Straight Connector 465">
            <a:extLst>
              <a:ext uri="{FF2B5EF4-FFF2-40B4-BE49-F238E27FC236}">
                <a16:creationId xmlns:a16="http://schemas.microsoft.com/office/drawing/2014/main" id="{F11392A4-96BA-08FE-4454-9DE3636F7A9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67" name="Straight Connector 529">
            <a:extLst>
              <a:ext uri="{FF2B5EF4-FFF2-40B4-BE49-F238E27FC236}">
                <a16:creationId xmlns:a16="http://schemas.microsoft.com/office/drawing/2014/main" id="{634B8B45-7560-738B-9DD6-2011D17B9E1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8" name="Straight Connector 531">
            <a:extLst>
              <a:ext uri="{FF2B5EF4-FFF2-40B4-BE49-F238E27FC236}">
                <a16:creationId xmlns:a16="http://schemas.microsoft.com/office/drawing/2014/main" id="{BA4E3773-B135-56D8-92E0-D79A9B139A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9" name="Straight Connector 533">
            <a:extLst>
              <a:ext uri="{FF2B5EF4-FFF2-40B4-BE49-F238E27FC236}">
                <a16:creationId xmlns:a16="http://schemas.microsoft.com/office/drawing/2014/main" id="{4B1E4F8D-2158-8DCE-6EA6-0ECA1E7977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0" name="Straight Connector 535">
            <a:extLst>
              <a:ext uri="{FF2B5EF4-FFF2-40B4-BE49-F238E27FC236}">
                <a16:creationId xmlns:a16="http://schemas.microsoft.com/office/drawing/2014/main" id="{BFCE63EB-764D-18AD-1E12-5C2D0445C9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1" name="Straight Connector 537">
            <a:extLst>
              <a:ext uri="{FF2B5EF4-FFF2-40B4-BE49-F238E27FC236}">
                <a16:creationId xmlns:a16="http://schemas.microsoft.com/office/drawing/2014/main" id="{8951A91F-77F9-CA75-2673-31253482DD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72" name="Group 1008">
          <a:extLst>
            <a:ext uri="{FF2B5EF4-FFF2-40B4-BE49-F238E27FC236}">
              <a16:creationId xmlns:a16="http://schemas.microsoft.com/office/drawing/2014/main" id="{14E431FD-DF0C-401D-AD73-0B0FC9274D2B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73" name="Straight Connector 472">
            <a:extLst>
              <a:ext uri="{FF2B5EF4-FFF2-40B4-BE49-F238E27FC236}">
                <a16:creationId xmlns:a16="http://schemas.microsoft.com/office/drawing/2014/main" id="{D014D019-10DC-B1D2-8C4D-74C47D4A07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74" name="Straight Connector 529">
            <a:extLst>
              <a:ext uri="{FF2B5EF4-FFF2-40B4-BE49-F238E27FC236}">
                <a16:creationId xmlns:a16="http://schemas.microsoft.com/office/drawing/2014/main" id="{BA75B6A8-3C8E-B56D-CD08-85B6EB7030F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5" name="Straight Connector 531">
            <a:extLst>
              <a:ext uri="{FF2B5EF4-FFF2-40B4-BE49-F238E27FC236}">
                <a16:creationId xmlns:a16="http://schemas.microsoft.com/office/drawing/2014/main" id="{625E2EF0-AF8C-15C2-8634-FBD1D73230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6" name="Straight Connector 533">
            <a:extLst>
              <a:ext uri="{FF2B5EF4-FFF2-40B4-BE49-F238E27FC236}">
                <a16:creationId xmlns:a16="http://schemas.microsoft.com/office/drawing/2014/main" id="{93850B99-C3A7-E403-207C-645C195A8B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7" name="Straight Connector 535">
            <a:extLst>
              <a:ext uri="{FF2B5EF4-FFF2-40B4-BE49-F238E27FC236}">
                <a16:creationId xmlns:a16="http://schemas.microsoft.com/office/drawing/2014/main" id="{65114A69-D21C-441E-0589-C1E362C75A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8" name="Straight Connector 537">
            <a:extLst>
              <a:ext uri="{FF2B5EF4-FFF2-40B4-BE49-F238E27FC236}">
                <a16:creationId xmlns:a16="http://schemas.microsoft.com/office/drawing/2014/main" id="{C319867C-B43B-ACC0-FBF8-5CBE2EBD40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79" name="Group 1008">
          <a:extLst>
            <a:ext uri="{FF2B5EF4-FFF2-40B4-BE49-F238E27FC236}">
              <a16:creationId xmlns:a16="http://schemas.microsoft.com/office/drawing/2014/main" id="{CEC14F81-E88F-47A1-9452-2925457FD83D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80" name="Straight Connector 479">
            <a:extLst>
              <a:ext uri="{FF2B5EF4-FFF2-40B4-BE49-F238E27FC236}">
                <a16:creationId xmlns:a16="http://schemas.microsoft.com/office/drawing/2014/main" id="{B1A8BA6D-5EA6-B16C-C080-F899FFCF79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1" name="Straight Connector 529">
            <a:extLst>
              <a:ext uri="{FF2B5EF4-FFF2-40B4-BE49-F238E27FC236}">
                <a16:creationId xmlns:a16="http://schemas.microsoft.com/office/drawing/2014/main" id="{D6029D01-643D-F38D-34BD-8B44F14B24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2" name="Straight Connector 531">
            <a:extLst>
              <a:ext uri="{FF2B5EF4-FFF2-40B4-BE49-F238E27FC236}">
                <a16:creationId xmlns:a16="http://schemas.microsoft.com/office/drawing/2014/main" id="{E5748B19-13C9-70A7-65CA-619828E3B0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3" name="Straight Connector 533">
            <a:extLst>
              <a:ext uri="{FF2B5EF4-FFF2-40B4-BE49-F238E27FC236}">
                <a16:creationId xmlns:a16="http://schemas.microsoft.com/office/drawing/2014/main" id="{F926BE12-47C7-B26C-D17B-957C62E6F8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4" name="Straight Connector 535">
            <a:extLst>
              <a:ext uri="{FF2B5EF4-FFF2-40B4-BE49-F238E27FC236}">
                <a16:creationId xmlns:a16="http://schemas.microsoft.com/office/drawing/2014/main" id="{A458F876-9BE3-CDEB-703A-276B70CD9E8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5" name="Straight Connector 537">
            <a:extLst>
              <a:ext uri="{FF2B5EF4-FFF2-40B4-BE49-F238E27FC236}">
                <a16:creationId xmlns:a16="http://schemas.microsoft.com/office/drawing/2014/main" id="{2C75A168-B512-7E50-B7B6-0EF1F44639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86" name="Group 1008">
          <a:extLst>
            <a:ext uri="{FF2B5EF4-FFF2-40B4-BE49-F238E27FC236}">
              <a16:creationId xmlns:a16="http://schemas.microsoft.com/office/drawing/2014/main" id="{9E48DE43-6CE8-47C3-B866-09AA15E501F7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87" name="Straight Connector 486">
            <a:extLst>
              <a:ext uri="{FF2B5EF4-FFF2-40B4-BE49-F238E27FC236}">
                <a16:creationId xmlns:a16="http://schemas.microsoft.com/office/drawing/2014/main" id="{DC445DB8-AD9E-8F57-E6C9-0277F77ECA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8" name="Straight Connector 529">
            <a:extLst>
              <a:ext uri="{FF2B5EF4-FFF2-40B4-BE49-F238E27FC236}">
                <a16:creationId xmlns:a16="http://schemas.microsoft.com/office/drawing/2014/main" id="{A7003435-8569-902F-A5CB-09BAF0A9914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9" name="Straight Connector 531">
            <a:extLst>
              <a:ext uri="{FF2B5EF4-FFF2-40B4-BE49-F238E27FC236}">
                <a16:creationId xmlns:a16="http://schemas.microsoft.com/office/drawing/2014/main" id="{71E98AC7-19E0-B75F-8EE9-827FD1A65E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0" name="Straight Connector 533">
            <a:extLst>
              <a:ext uri="{FF2B5EF4-FFF2-40B4-BE49-F238E27FC236}">
                <a16:creationId xmlns:a16="http://schemas.microsoft.com/office/drawing/2014/main" id="{969E825C-4772-8912-7B55-0B7B80D4E4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1" name="Straight Connector 535">
            <a:extLst>
              <a:ext uri="{FF2B5EF4-FFF2-40B4-BE49-F238E27FC236}">
                <a16:creationId xmlns:a16="http://schemas.microsoft.com/office/drawing/2014/main" id="{B9BDB692-DC9A-38F0-9F62-4792D12BF0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2" name="Straight Connector 537">
            <a:extLst>
              <a:ext uri="{FF2B5EF4-FFF2-40B4-BE49-F238E27FC236}">
                <a16:creationId xmlns:a16="http://schemas.microsoft.com/office/drawing/2014/main" id="{4B235D0C-7E9C-27A0-EA7C-BF54C84FE18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93" name="Group 1008">
          <a:extLst>
            <a:ext uri="{FF2B5EF4-FFF2-40B4-BE49-F238E27FC236}">
              <a16:creationId xmlns:a16="http://schemas.microsoft.com/office/drawing/2014/main" id="{96051841-797C-4366-863E-CC707BBDBD2D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94" name="Straight Connector 493">
            <a:extLst>
              <a:ext uri="{FF2B5EF4-FFF2-40B4-BE49-F238E27FC236}">
                <a16:creationId xmlns:a16="http://schemas.microsoft.com/office/drawing/2014/main" id="{4945B1FE-533E-BFE8-79DF-2700C4F9A2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95" name="Straight Connector 529">
            <a:extLst>
              <a:ext uri="{FF2B5EF4-FFF2-40B4-BE49-F238E27FC236}">
                <a16:creationId xmlns:a16="http://schemas.microsoft.com/office/drawing/2014/main" id="{366A9A8C-0DC7-B8F1-A1E3-6ACF2009AA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6" name="Straight Connector 531">
            <a:extLst>
              <a:ext uri="{FF2B5EF4-FFF2-40B4-BE49-F238E27FC236}">
                <a16:creationId xmlns:a16="http://schemas.microsoft.com/office/drawing/2014/main" id="{2AB81CFF-3184-9BCD-4C27-10E65A121E7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7" name="Straight Connector 533">
            <a:extLst>
              <a:ext uri="{FF2B5EF4-FFF2-40B4-BE49-F238E27FC236}">
                <a16:creationId xmlns:a16="http://schemas.microsoft.com/office/drawing/2014/main" id="{BEEAFDAB-8254-523C-2D63-C3BA28E806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8" name="Straight Connector 535">
            <a:extLst>
              <a:ext uri="{FF2B5EF4-FFF2-40B4-BE49-F238E27FC236}">
                <a16:creationId xmlns:a16="http://schemas.microsoft.com/office/drawing/2014/main" id="{0E9DD1BA-3EC0-56F5-6198-79C0A69FB6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9" name="Straight Connector 537">
            <a:extLst>
              <a:ext uri="{FF2B5EF4-FFF2-40B4-BE49-F238E27FC236}">
                <a16:creationId xmlns:a16="http://schemas.microsoft.com/office/drawing/2014/main" id="{97E21EF3-99E9-1C95-69E3-401415DF9C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00" name="Group 1008">
          <a:extLst>
            <a:ext uri="{FF2B5EF4-FFF2-40B4-BE49-F238E27FC236}">
              <a16:creationId xmlns:a16="http://schemas.microsoft.com/office/drawing/2014/main" id="{CA260AAA-D2F5-4F92-8937-1A4D07B5E38F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01" name="Straight Connector 500">
            <a:extLst>
              <a:ext uri="{FF2B5EF4-FFF2-40B4-BE49-F238E27FC236}">
                <a16:creationId xmlns:a16="http://schemas.microsoft.com/office/drawing/2014/main" id="{FE9206B5-E3E5-3DAF-F65E-54A2C9C522E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02" name="Straight Connector 529">
            <a:extLst>
              <a:ext uri="{FF2B5EF4-FFF2-40B4-BE49-F238E27FC236}">
                <a16:creationId xmlns:a16="http://schemas.microsoft.com/office/drawing/2014/main" id="{69C8C5A3-4573-C5B2-ECFD-C0F8AC36BF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3" name="Straight Connector 531">
            <a:extLst>
              <a:ext uri="{FF2B5EF4-FFF2-40B4-BE49-F238E27FC236}">
                <a16:creationId xmlns:a16="http://schemas.microsoft.com/office/drawing/2014/main" id="{9C6D6525-7AD0-3F77-EB01-74DF2E2ACD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4" name="Straight Connector 533">
            <a:extLst>
              <a:ext uri="{FF2B5EF4-FFF2-40B4-BE49-F238E27FC236}">
                <a16:creationId xmlns:a16="http://schemas.microsoft.com/office/drawing/2014/main" id="{0F6267BB-5BB0-1BF9-28E6-C696714082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5" name="Straight Connector 535">
            <a:extLst>
              <a:ext uri="{FF2B5EF4-FFF2-40B4-BE49-F238E27FC236}">
                <a16:creationId xmlns:a16="http://schemas.microsoft.com/office/drawing/2014/main" id="{B2A4F1A7-8F8D-E153-1D4D-EF69417243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6" name="Straight Connector 537">
            <a:extLst>
              <a:ext uri="{FF2B5EF4-FFF2-40B4-BE49-F238E27FC236}">
                <a16:creationId xmlns:a16="http://schemas.microsoft.com/office/drawing/2014/main" id="{AAC261B3-F28F-2525-F03A-8D5F5221C4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07" name="Group 1008">
          <a:extLst>
            <a:ext uri="{FF2B5EF4-FFF2-40B4-BE49-F238E27FC236}">
              <a16:creationId xmlns:a16="http://schemas.microsoft.com/office/drawing/2014/main" id="{7BE84219-86D6-40D2-BA87-2193691005F8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08" name="Straight Connector 507">
            <a:extLst>
              <a:ext uri="{FF2B5EF4-FFF2-40B4-BE49-F238E27FC236}">
                <a16:creationId xmlns:a16="http://schemas.microsoft.com/office/drawing/2014/main" id="{F17F0C20-9BB2-BAF2-5C56-0BD9DA1EEA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09" name="Straight Connector 529">
            <a:extLst>
              <a:ext uri="{FF2B5EF4-FFF2-40B4-BE49-F238E27FC236}">
                <a16:creationId xmlns:a16="http://schemas.microsoft.com/office/drawing/2014/main" id="{C2AC0A7E-B57E-DE2B-CDE9-DFF5E6D1EA6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0" name="Straight Connector 531">
            <a:extLst>
              <a:ext uri="{FF2B5EF4-FFF2-40B4-BE49-F238E27FC236}">
                <a16:creationId xmlns:a16="http://schemas.microsoft.com/office/drawing/2014/main" id="{0CF2424D-0EB9-356C-B4A3-E9DADE3D1A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1" name="Straight Connector 533">
            <a:extLst>
              <a:ext uri="{FF2B5EF4-FFF2-40B4-BE49-F238E27FC236}">
                <a16:creationId xmlns:a16="http://schemas.microsoft.com/office/drawing/2014/main" id="{41C61BA7-7A7E-807B-848D-E5457BA33B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2" name="Straight Connector 535">
            <a:extLst>
              <a:ext uri="{FF2B5EF4-FFF2-40B4-BE49-F238E27FC236}">
                <a16:creationId xmlns:a16="http://schemas.microsoft.com/office/drawing/2014/main" id="{33018DDE-81F0-A335-85BB-78F23FE9B8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3" name="Straight Connector 537">
            <a:extLst>
              <a:ext uri="{FF2B5EF4-FFF2-40B4-BE49-F238E27FC236}">
                <a16:creationId xmlns:a16="http://schemas.microsoft.com/office/drawing/2014/main" id="{099D3FFF-EE87-C9A2-D906-DE868DF2C2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14" name="Group 1008">
          <a:extLst>
            <a:ext uri="{FF2B5EF4-FFF2-40B4-BE49-F238E27FC236}">
              <a16:creationId xmlns:a16="http://schemas.microsoft.com/office/drawing/2014/main" id="{57714978-1DF7-4295-A9CA-F9BA3178D51B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15" name="Straight Connector 514">
            <a:extLst>
              <a:ext uri="{FF2B5EF4-FFF2-40B4-BE49-F238E27FC236}">
                <a16:creationId xmlns:a16="http://schemas.microsoft.com/office/drawing/2014/main" id="{E93D55C8-5F13-462E-18B8-686C95BE128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16" name="Straight Connector 529">
            <a:extLst>
              <a:ext uri="{FF2B5EF4-FFF2-40B4-BE49-F238E27FC236}">
                <a16:creationId xmlns:a16="http://schemas.microsoft.com/office/drawing/2014/main" id="{0B973AFC-84A5-198A-3590-CD2B4C03CE3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7" name="Straight Connector 531">
            <a:extLst>
              <a:ext uri="{FF2B5EF4-FFF2-40B4-BE49-F238E27FC236}">
                <a16:creationId xmlns:a16="http://schemas.microsoft.com/office/drawing/2014/main" id="{F9791722-B67D-5345-B1A5-90558CDFC13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8" name="Straight Connector 533">
            <a:extLst>
              <a:ext uri="{FF2B5EF4-FFF2-40B4-BE49-F238E27FC236}">
                <a16:creationId xmlns:a16="http://schemas.microsoft.com/office/drawing/2014/main" id="{68694A38-146F-75EB-E26E-80190CF94B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9" name="Straight Connector 535">
            <a:extLst>
              <a:ext uri="{FF2B5EF4-FFF2-40B4-BE49-F238E27FC236}">
                <a16:creationId xmlns:a16="http://schemas.microsoft.com/office/drawing/2014/main" id="{72B6D154-1308-240D-9F47-5D6A558401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0" name="Straight Connector 537">
            <a:extLst>
              <a:ext uri="{FF2B5EF4-FFF2-40B4-BE49-F238E27FC236}">
                <a16:creationId xmlns:a16="http://schemas.microsoft.com/office/drawing/2014/main" id="{C1744CAC-4164-806C-684C-B1FA020AC3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21" name="Group 1008">
          <a:extLst>
            <a:ext uri="{FF2B5EF4-FFF2-40B4-BE49-F238E27FC236}">
              <a16:creationId xmlns:a16="http://schemas.microsoft.com/office/drawing/2014/main" id="{C5FBB536-28AD-4247-99D7-4F5CF5F0A374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22" name="Straight Connector 521">
            <a:extLst>
              <a:ext uri="{FF2B5EF4-FFF2-40B4-BE49-F238E27FC236}">
                <a16:creationId xmlns:a16="http://schemas.microsoft.com/office/drawing/2014/main" id="{3135E47A-A967-CDB4-D0E2-D9754D0D3D8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23" name="Straight Connector 529">
            <a:extLst>
              <a:ext uri="{FF2B5EF4-FFF2-40B4-BE49-F238E27FC236}">
                <a16:creationId xmlns:a16="http://schemas.microsoft.com/office/drawing/2014/main" id="{99AC9669-48BC-89DA-3DB1-B9F3524A816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4" name="Straight Connector 531">
            <a:extLst>
              <a:ext uri="{FF2B5EF4-FFF2-40B4-BE49-F238E27FC236}">
                <a16:creationId xmlns:a16="http://schemas.microsoft.com/office/drawing/2014/main" id="{58195C89-01E9-112B-75CD-301EFFCBAC6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5" name="Straight Connector 533">
            <a:extLst>
              <a:ext uri="{FF2B5EF4-FFF2-40B4-BE49-F238E27FC236}">
                <a16:creationId xmlns:a16="http://schemas.microsoft.com/office/drawing/2014/main" id="{C1827E04-21F6-9376-D0D5-70B85C3287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6" name="Straight Connector 535">
            <a:extLst>
              <a:ext uri="{FF2B5EF4-FFF2-40B4-BE49-F238E27FC236}">
                <a16:creationId xmlns:a16="http://schemas.microsoft.com/office/drawing/2014/main" id="{F724E24B-3DD9-CB27-34DB-9296D467AE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7" name="Straight Connector 537">
            <a:extLst>
              <a:ext uri="{FF2B5EF4-FFF2-40B4-BE49-F238E27FC236}">
                <a16:creationId xmlns:a16="http://schemas.microsoft.com/office/drawing/2014/main" id="{717BC420-56C4-EFB1-41F8-CCC7BE93A3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28" name="Group 1008">
          <a:extLst>
            <a:ext uri="{FF2B5EF4-FFF2-40B4-BE49-F238E27FC236}">
              <a16:creationId xmlns:a16="http://schemas.microsoft.com/office/drawing/2014/main" id="{A0756262-5019-4735-AAC4-22B90C9D3A9C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29" name="Straight Connector 528">
            <a:extLst>
              <a:ext uri="{FF2B5EF4-FFF2-40B4-BE49-F238E27FC236}">
                <a16:creationId xmlns:a16="http://schemas.microsoft.com/office/drawing/2014/main" id="{AABCBBB7-B59C-0283-96CD-5AA277732E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30" name="Straight Connector 529">
            <a:extLst>
              <a:ext uri="{FF2B5EF4-FFF2-40B4-BE49-F238E27FC236}">
                <a16:creationId xmlns:a16="http://schemas.microsoft.com/office/drawing/2014/main" id="{A95B8EF0-FF46-F069-6F81-06BADBC52FA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1" name="Straight Connector 531">
            <a:extLst>
              <a:ext uri="{FF2B5EF4-FFF2-40B4-BE49-F238E27FC236}">
                <a16:creationId xmlns:a16="http://schemas.microsoft.com/office/drawing/2014/main" id="{6A3CE24B-EC73-4C55-E5D2-F3C35BC0538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2" name="Straight Connector 533">
            <a:extLst>
              <a:ext uri="{FF2B5EF4-FFF2-40B4-BE49-F238E27FC236}">
                <a16:creationId xmlns:a16="http://schemas.microsoft.com/office/drawing/2014/main" id="{289873E1-D6DA-62D8-E834-FCA0CC066A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3" name="Straight Connector 535">
            <a:extLst>
              <a:ext uri="{FF2B5EF4-FFF2-40B4-BE49-F238E27FC236}">
                <a16:creationId xmlns:a16="http://schemas.microsoft.com/office/drawing/2014/main" id="{BD389EEF-D811-D759-E569-ED411D6477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4" name="Straight Connector 537">
            <a:extLst>
              <a:ext uri="{FF2B5EF4-FFF2-40B4-BE49-F238E27FC236}">
                <a16:creationId xmlns:a16="http://schemas.microsoft.com/office/drawing/2014/main" id="{5AA0E1E4-7B93-46D9-36CC-91D508481C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35" name="Group 1008">
          <a:extLst>
            <a:ext uri="{FF2B5EF4-FFF2-40B4-BE49-F238E27FC236}">
              <a16:creationId xmlns:a16="http://schemas.microsoft.com/office/drawing/2014/main" id="{B272296D-A1B3-4EA6-B5A4-D94B7E01E3A9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36" name="Straight Connector 535">
            <a:extLst>
              <a:ext uri="{FF2B5EF4-FFF2-40B4-BE49-F238E27FC236}">
                <a16:creationId xmlns:a16="http://schemas.microsoft.com/office/drawing/2014/main" id="{556758F9-4DC2-C1F8-1E65-5B456B8859C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37" name="Straight Connector 529">
            <a:extLst>
              <a:ext uri="{FF2B5EF4-FFF2-40B4-BE49-F238E27FC236}">
                <a16:creationId xmlns:a16="http://schemas.microsoft.com/office/drawing/2014/main" id="{DC34F992-9898-6069-4BE1-DF343CD61AA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8" name="Straight Connector 531">
            <a:extLst>
              <a:ext uri="{FF2B5EF4-FFF2-40B4-BE49-F238E27FC236}">
                <a16:creationId xmlns:a16="http://schemas.microsoft.com/office/drawing/2014/main" id="{AC3FE12A-31BA-29B6-79DC-1F730E5F8C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9" name="Straight Connector 533">
            <a:extLst>
              <a:ext uri="{FF2B5EF4-FFF2-40B4-BE49-F238E27FC236}">
                <a16:creationId xmlns:a16="http://schemas.microsoft.com/office/drawing/2014/main" id="{C9A67ECF-5F6E-9092-9471-1F99F02CE9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0" name="Straight Connector 535">
            <a:extLst>
              <a:ext uri="{FF2B5EF4-FFF2-40B4-BE49-F238E27FC236}">
                <a16:creationId xmlns:a16="http://schemas.microsoft.com/office/drawing/2014/main" id="{6710046E-8AA7-0572-D39F-1CE28A320B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1" name="Straight Connector 537">
            <a:extLst>
              <a:ext uri="{FF2B5EF4-FFF2-40B4-BE49-F238E27FC236}">
                <a16:creationId xmlns:a16="http://schemas.microsoft.com/office/drawing/2014/main" id="{481BD7CE-E511-0F17-8386-1F68C4FF6B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42" name="Group 1008">
          <a:extLst>
            <a:ext uri="{FF2B5EF4-FFF2-40B4-BE49-F238E27FC236}">
              <a16:creationId xmlns:a16="http://schemas.microsoft.com/office/drawing/2014/main" id="{654083BD-AB22-4F37-8E5F-EC9C272D80FF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43" name="Straight Connector 542">
            <a:extLst>
              <a:ext uri="{FF2B5EF4-FFF2-40B4-BE49-F238E27FC236}">
                <a16:creationId xmlns:a16="http://schemas.microsoft.com/office/drawing/2014/main" id="{C1C1634D-8D21-0CF9-956F-09C07CD64C8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44" name="Straight Connector 529">
            <a:extLst>
              <a:ext uri="{FF2B5EF4-FFF2-40B4-BE49-F238E27FC236}">
                <a16:creationId xmlns:a16="http://schemas.microsoft.com/office/drawing/2014/main" id="{B7DCDAF8-D062-69F0-E85E-8BD8295E35F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5" name="Straight Connector 531">
            <a:extLst>
              <a:ext uri="{FF2B5EF4-FFF2-40B4-BE49-F238E27FC236}">
                <a16:creationId xmlns:a16="http://schemas.microsoft.com/office/drawing/2014/main" id="{59F72B08-A776-CBA5-CBC1-4DAEB1C617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6" name="Straight Connector 533">
            <a:extLst>
              <a:ext uri="{FF2B5EF4-FFF2-40B4-BE49-F238E27FC236}">
                <a16:creationId xmlns:a16="http://schemas.microsoft.com/office/drawing/2014/main" id="{D2F09BB0-160B-3681-7904-9AF13CAF85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7" name="Straight Connector 535">
            <a:extLst>
              <a:ext uri="{FF2B5EF4-FFF2-40B4-BE49-F238E27FC236}">
                <a16:creationId xmlns:a16="http://schemas.microsoft.com/office/drawing/2014/main" id="{6DB8A5B7-70D2-74D4-D822-AE6A8B6C61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8" name="Straight Connector 537">
            <a:extLst>
              <a:ext uri="{FF2B5EF4-FFF2-40B4-BE49-F238E27FC236}">
                <a16:creationId xmlns:a16="http://schemas.microsoft.com/office/drawing/2014/main" id="{344D56BC-72A4-A92A-0B08-C482C548D1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49" name="Group 1008">
          <a:extLst>
            <a:ext uri="{FF2B5EF4-FFF2-40B4-BE49-F238E27FC236}">
              <a16:creationId xmlns:a16="http://schemas.microsoft.com/office/drawing/2014/main" id="{AA82C88B-7F4B-4B78-9D30-30659A42E158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50" name="Straight Connector 549">
            <a:extLst>
              <a:ext uri="{FF2B5EF4-FFF2-40B4-BE49-F238E27FC236}">
                <a16:creationId xmlns:a16="http://schemas.microsoft.com/office/drawing/2014/main" id="{9349BD8E-B85A-6FF0-E16F-4589192F7D1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1" name="Straight Connector 529">
            <a:extLst>
              <a:ext uri="{FF2B5EF4-FFF2-40B4-BE49-F238E27FC236}">
                <a16:creationId xmlns:a16="http://schemas.microsoft.com/office/drawing/2014/main" id="{2453DA4F-EF43-92F4-4427-E9ECF2FF7D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2" name="Straight Connector 531">
            <a:extLst>
              <a:ext uri="{FF2B5EF4-FFF2-40B4-BE49-F238E27FC236}">
                <a16:creationId xmlns:a16="http://schemas.microsoft.com/office/drawing/2014/main" id="{748373CA-6C86-6467-A780-F0FDABC966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3" name="Straight Connector 533">
            <a:extLst>
              <a:ext uri="{FF2B5EF4-FFF2-40B4-BE49-F238E27FC236}">
                <a16:creationId xmlns:a16="http://schemas.microsoft.com/office/drawing/2014/main" id="{A90537A6-A4F9-2B14-86F9-7C314F9C9E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4" name="Straight Connector 535">
            <a:extLst>
              <a:ext uri="{FF2B5EF4-FFF2-40B4-BE49-F238E27FC236}">
                <a16:creationId xmlns:a16="http://schemas.microsoft.com/office/drawing/2014/main" id="{16200E29-730D-7A41-ECAD-FD4B27DACC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5" name="Straight Connector 537">
            <a:extLst>
              <a:ext uri="{FF2B5EF4-FFF2-40B4-BE49-F238E27FC236}">
                <a16:creationId xmlns:a16="http://schemas.microsoft.com/office/drawing/2014/main" id="{0B865008-3A79-EB1D-C79A-4F2C819409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56" name="Group 1008">
          <a:extLst>
            <a:ext uri="{FF2B5EF4-FFF2-40B4-BE49-F238E27FC236}">
              <a16:creationId xmlns:a16="http://schemas.microsoft.com/office/drawing/2014/main" id="{D935F270-272F-4502-82E7-A8B7532EC255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57" name="Straight Connector 556">
            <a:extLst>
              <a:ext uri="{FF2B5EF4-FFF2-40B4-BE49-F238E27FC236}">
                <a16:creationId xmlns:a16="http://schemas.microsoft.com/office/drawing/2014/main" id="{4F41F3BE-93F0-FA42-39B8-577E3116AC6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8" name="Straight Connector 529">
            <a:extLst>
              <a:ext uri="{FF2B5EF4-FFF2-40B4-BE49-F238E27FC236}">
                <a16:creationId xmlns:a16="http://schemas.microsoft.com/office/drawing/2014/main" id="{FDF1ADF8-7751-D1B3-6E89-27689F3DC5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9" name="Straight Connector 531">
            <a:extLst>
              <a:ext uri="{FF2B5EF4-FFF2-40B4-BE49-F238E27FC236}">
                <a16:creationId xmlns:a16="http://schemas.microsoft.com/office/drawing/2014/main" id="{5CA2F47B-470B-6C7F-82E8-6C738EF206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0" name="Straight Connector 533">
            <a:extLst>
              <a:ext uri="{FF2B5EF4-FFF2-40B4-BE49-F238E27FC236}">
                <a16:creationId xmlns:a16="http://schemas.microsoft.com/office/drawing/2014/main" id="{806659C1-B0A2-2B15-7FE5-E7CD03573AD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1" name="Straight Connector 535">
            <a:extLst>
              <a:ext uri="{FF2B5EF4-FFF2-40B4-BE49-F238E27FC236}">
                <a16:creationId xmlns:a16="http://schemas.microsoft.com/office/drawing/2014/main" id="{BA583FD1-24EA-AC85-4370-50A5CF8120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2" name="Straight Connector 537">
            <a:extLst>
              <a:ext uri="{FF2B5EF4-FFF2-40B4-BE49-F238E27FC236}">
                <a16:creationId xmlns:a16="http://schemas.microsoft.com/office/drawing/2014/main" id="{A9F1D0C2-F1F4-8447-B650-A1BA45605E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63" name="Group 1008">
          <a:extLst>
            <a:ext uri="{FF2B5EF4-FFF2-40B4-BE49-F238E27FC236}">
              <a16:creationId xmlns:a16="http://schemas.microsoft.com/office/drawing/2014/main" id="{6E9C1BC7-B2DB-4E34-83C6-87E706FEFD3B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64" name="Straight Connector 563">
            <a:extLst>
              <a:ext uri="{FF2B5EF4-FFF2-40B4-BE49-F238E27FC236}">
                <a16:creationId xmlns:a16="http://schemas.microsoft.com/office/drawing/2014/main" id="{C1374F39-9766-92C5-D17A-33825CEB50D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65" name="Straight Connector 529">
            <a:extLst>
              <a:ext uri="{FF2B5EF4-FFF2-40B4-BE49-F238E27FC236}">
                <a16:creationId xmlns:a16="http://schemas.microsoft.com/office/drawing/2014/main" id="{4C5F5DE8-E1FD-E897-C4DC-D593844E5E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6" name="Straight Connector 531">
            <a:extLst>
              <a:ext uri="{FF2B5EF4-FFF2-40B4-BE49-F238E27FC236}">
                <a16:creationId xmlns:a16="http://schemas.microsoft.com/office/drawing/2014/main" id="{3451E268-C4CE-5E75-377D-B094B3384EE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7" name="Straight Connector 533">
            <a:extLst>
              <a:ext uri="{FF2B5EF4-FFF2-40B4-BE49-F238E27FC236}">
                <a16:creationId xmlns:a16="http://schemas.microsoft.com/office/drawing/2014/main" id="{2CE7F579-A372-FACE-B001-585F1C53A0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8" name="Straight Connector 535">
            <a:extLst>
              <a:ext uri="{FF2B5EF4-FFF2-40B4-BE49-F238E27FC236}">
                <a16:creationId xmlns:a16="http://schemas.microsoft.com/office/drawing/2014/main" id="{FC6B7724-A962-E9B7-030C-7E9E390336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9" name="Straight Connector 537">
            <a:extLst>
              <a:ext uri="{FF2B5EF4-FFF2-40B4-BE49-F238E27FC236}">
                <a16:creationId xmlns:a16="http://schemas.microsoft.com/office/drawing/2014/main" id="{A7BC837C-5992-ABAD-AF21-B49B33B9CE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70" name="Group 1008">
          <a:extLst>
            <a:ext uri="{FF2B5EF4-FFF2-40B4-BE49-F238E27FC236}">
              <a16:creationId xmlns:a16="http://schemas.microsoft.com/office/drawing/2014/main" id="{4C0E855F-7C59-4470-A16A-D30AF970CE94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71" name="Straight Connector 570">
            <a:extLst>
              <a:ext uri="{FF2B5EF4-FFF2-40B4-BE49-F238E27FC236}">
                <a16:creationId xmlns:a16="http://schemas.microsoft.com/office/drawing/2014/main" id="{B9EF5328-6A5D-8AF1-7A6F-A0AF268127F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72" name="Straight Connector 529">
            <a:extLst>
              <a:ext uri="{FF2B5EF4-FFF2-40B4-BE49-F238E27FC236}">
                <a16:creationId xmlns:a16="http://schemas.microsoft.com/office/drawing/2014/main" id="{7778EACB-03DF-612D-3BAB-EA3AE6CB67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3" name="Straight Connector 531">
            <a:extLst>
              <a:ext uri="{FF2B5EF4-FFF2-40B4-BE49-F238E27FC236}">
                <a16:creationId xmlns:a16="http://schemas.microsoft.com/office/drawing/2014/main" id="{6BB39DA1-6F63-43A9-A10A-3C4B85ACFE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4" name="Straight Connector 533">
            <a:extLst>
              <a:ext uri="{FF2B5EF4-FFF2-40B4-BE49-F238E27FC236}">
                <a16:creationId xmlns:a16="http://schemas.microsoft.com/office/drawing/2014/main" id="{C4EDC5BA-22B5-7BC0-CCB5-113256BBC9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5" name="Straight Connector 535">
            <a:extLst>
              <a:ext uri="{FF2B5EF4-FFF2-40B4-BE49-F238E27FC236}">
                <a16:creationId xmlns:a16="http://schemas.microsoft.com/office/drawing/2014/main" id="{BD82010C-1ED7-092C-21EF-EE2646DFB4F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6" name="Straight Connector 537">
            <a:extLst>
              <a:ext uri="{FF2B5EF4-FFF2-40B4-BE49-F238E27FC236}">
                <a16:creationId xmlns:a16="http://schemas.microsoft.com/office/drawing/2014/main" id="{79AA1EEE-1A45-A5F0-F6EB-FA34D638B7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29</xdr:row>
      <xdr:rowOff>57150</xdr:rowOff>
    </xdr:from>
    <xdr:to>
      <xdr:col>17</xdr:col>
      <xdr:colOff>0</xdr:colOff>
      <xdr:row>31</xdr:row>
      <xdr:rowOff>0</xdr:rowOff>
    </xdr:to>
    <xdr:sp macro="" textlink="">
      <xdr:nvSpPr>
        <xdr:cNvPr id="577" name="AutoShape 46">
          <a:extLst>
            <a:ext uri="{FF2B5EF4-FFF2-40B4-BE49-F238E27FC236}">
              <a16:creationId xmlns:a16="http://schemas.microsoft.com/office/drawing/2014/main" id="{E13AE6FB-DA66-4004-B4F8-4A5F36601DAF}"/>
            </a:ext>
          </a:extLst>
        </xdr:cNvPr>
        <xdr:cNvSpPr>
          <a:spLocks noChangeArrowheads="1"/>
        </xdr:cNvSpPr>
      </xdr:nvSpPr>
      <xdr:spPr bwMode="auto">
        <a:xfrm>
          <a:off x="4895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29</xdr:row>
      <xdr:rowOff>57150</xdr:rowOff>
    </xdr:from>
    <xdr:to>
      <xdr:col>19</xdr:col>
      <xdr:colOff>0</xdr:colOff>
      <xdr:row>31</xdr:row>
      <xdr:rowOff>0</xdr:rowOff>
    </xdr:to>
    <xdr:sp macro="" textlink="">
      <xdr:nvSpPr>
        <xdr:cNvPr id="578" name="AutoShape 46">
          <a:extLst>
            <a:ext uri="{FF2B5EF4-FFF2-40B4-BE49-F238E27FC236}">
              <a16:creationId xmlns:a16="http://schemas.microsoft.com/office/drawing/2014/main" id="{7424FD70-497B-4E42-BBFF-D22A94ED936D}"/>
            </a:ext>
          </a:extLst>
        </xdr:cNvPr>
        <xdr:cNvSpPr>
          <a:spLocks noChangeArrowheads="1"/>
        </xdr:cNvSpPr>
      </xdr:nvSpPr>
      <xdr:spPr bwMode="auto">
        <a:xfrm>
          <a:off x="5467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29</xdr:row>
      <xdr:rowOff>57150</xdr:rowOff>
    </xdr:from>
    <xdr:to>
      <xdr:col>21</xdr:col>
      <xdr:colOff>0</xdr:colOff>
      <xdr:row>31</xdr:row>
      <xdr:rowOff>0</xdr:rowOff>
    </xdr:to>
    <xdr:sp macro="" textlink="">
      <xdr:nvSpPr>
        <xdr:cNvPr id="579" name="AutoShape 46">
          <a:extLst>
            <a:ext uri="{FF2B5EF4-FFF2-40B4-BE49-F238E27FC236}">
              <a16:creationId xmlns:a16="http://schemas.microsoft.com/office/drawing/2014/main" id="{535A664A-7FBF-4C49-923B-5F9C0D498C96}"/>
            </a:ext>
          </a:extLst>
        </xdr:cNvPr>
        <xdr:cNvSpPr>
          <a:spLocks noChangeArrowheads="1"/>
        </xdr:cNvSpPr>
      </xdr:nvSpPr>
      <xdr:spPr bwMode="auto">
        <a:xfrm>
          <a:off x="6038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29</xdr:row>
      <xdr:rowOff>38878</xdr:rowOff>
    </xdr:from>
    <xdr:to>
      <xdr:col>23</xdr:col>
      <xdr:colOff>0</xdr:colOff>
      <xdr:row>31</xdr:row>
      <xdr:rowOff>0</xdr:rowOff>
    </xdr:to>
    <xdr:sp macro="" textlink="">
      <xdr:nvSpPr>
        <xdr:cNvPr id="580" name="AutoShape 46">
          <a:extLst>
            <a:ext uri="{FF2B5EF4-FFF2-40B4-BE49-F238E27FC236}">
              <a16:creationId xmlns:a16="http://schemas.microsoft.com/office/drawing/2014/main" id="{95032B39-EA4F-41BA-917A-EE12EF37BEAD}"/>
            </a:ext>
          </a:extLst>
        </xdr:cNvPr>
        <xdr:cNvSpPr>
          <a:spLocks noChangeArrowheads="1"/>
        </xdr:cNvSpPr>
      </xdr:nvSpPr>
      <xdr:spPr bwMode="auto">
        <a:xfrm>
          <a:off x="7075714" y="5841352"/>
          <a:ext cx="340179" cy="3498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29</xdr:row>
      <xdr:rowOff>57150</xdr:rowOff>
    </xdr:from>
    <xdr:to>
      <xdr:col>25</xdr:col>
      <xdr:colOff>0</xdr:colOff>
      <xdr:row>31</xdr:row>
      <xdr:rowOff>0</xdr:rowOff>
    </xdr:to>
    <xdr:sp macro="" textlink="">
      <xdr:nvSpPr>
        <xdr:cNvPr id="581" name="AutoShape 46">
          <a:extLst>
            <a:ext uri="{FF2B5EF4-FFF2-40B4-BE49-F238E27FC236}">
              <a16:creationId xmlns:a16="http://schemas.microsoft.com/office/drawing/2014/main" id="{06743E38-BF83-4B69-9CF1-15B031A82ACD}"/>
            </a:ext>
          </a:extLst>
        </xdr:cNvPr>
        <xdr:cNvSpPr>
          <a:spLocks noChangeArrowheads="1"/>
        </xdr:cNvSpPr>
      </xdr:nvSpPr>
      <xdr:spPr bwMode="auto">
        <a:xfrm>
          <a:off x="7181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29</xdr:row>
      <xdr:rowOff>57150</xdr:rowOff>
    </xdr:from>
    <xdr:to>
      <xdr:col>27</xdr:col>
      <xdr:colOff>0</xdr:colOff>
      <xdr:row>31</xdr:row>
      <xdr:rowOff>0</xdr:rowOff>
    </xdr:to>
    <xdr:sp macro="" textlink="">
      <xdr:nvSpPr>
        <xdr:cNvPr id="582" name="AutoShape 46">
          <a:extLst>
            <a:ext uri="{FF2B5EF4-FFF2-40B4-BE49-F238E27FC236}">
              <a16:creationId xmlns:a16="http://schemas.microsoft.com/office/drawing/2014/main" id="{795930AA-F61B-429F-BFFE-BCC27E9F37F9}"/>
            </a:ext>
          </a:extLst>
        </xdr:cNvPr>
        <xdr:cNvSpPr>
          <a:spLocks noChangeArrowheads="1"/>
        </xdr:cNvSpPr>
      </xdr:nvSpPr>
      <xdr:spPr bwMode="auto">
        <a:xfrm>
          <a:off x="7753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29</xdr:row>
      <xdr:rowOff>57150</xdr:rowOff>
    </xdr:from>
    <xdr:to>
      <xdr:col>29</xdr:col>
      <xdr:colOff>0</xdr:colOff>
      <xdr:row>31</xdr:row>
      <xdr:rowOff>0</xdr:rowOff>
    </xdr:to>
    <xdr:sp macro="" textlink="">
      <xdr:nvSpPr>
        <xdr:cNvPr id="583" name="AutoShape 46">
          <a:extLst>
            <a:ext uri="{FF2B5EF4-FFF2-40B4-BE49-F238E27FC236}">
              <a16:creationId xmlns:a16="http://schemas.microsoft.com/office/drawing/2014/main" id="{3FF5D3AF-055F-4846-B408-858821E14D62}"/>
            </a:ext>
          </a:extLst>
        </xdr:cNvPr>
        <xdr:cNvSpPr>
          <a:spLocks noChangeArrowheads="1"/>
        </xdr:cNvSpPr>
      </xdr:nvSpPr>
      <xdr:spPr bwMode="auto">
        <a:xfrm>
          <a:off x="8382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29</xdr:row>
      <xdr:rowOff>57150</xdr:rowOff>
    </xdr:from>
    <xdr:to>
      <xdr:col>31</xdr:col>
      <xdr:colOff>0</xdr:colOff>
      <xdr:row>31</xdr:row>
      <xdr:rowOff>0</xdr:rowOff>
    </xdr:to>
    <xdr:sp macro="" textlink="">
      <xdr:nvSpPr>
        <xdr:cNvPr id="584" name="AutoShape 46">
          <a:extLst>
            <a:ext uri="{FF2B5EF4-FFF2-40B4-BE49-F238E27FC236}">
              <a16:creationId xmlns:a16="http://schemas.microsoft.com/office/drawing/2014/main" id="{D56CCA41-A519-4035-95FC-738FFC553613}"/>
            </a:ext>
          </a:extLst>
        </xdr:cNvPr>
        <xdr:cNvSpPr>
          <a:spLocks noChangeArrowheads="1"/>
        </xdr:cNvSpPr>
      </xdr:nvSpPr>
      <xdr:spPr bwMode="auto">
        <a:xfrm>
          <a:off x="8953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29</xdr:row>
      <xdr:rowOff>57150</xdr:rowOff>
    </xdr:from>
    <xdr:to>
      <xdr:col>33</xdr:col>
      <xdr:colOff>0</xdr:colOff>
      <xdr:row>31</xdr:row>
      <xdr:rowOff>0</xdr:rowOff>
    </xdr:to>
    <xdr:sp macro="" textlink="">
      <xdr:nvSpPr>
        <xdr:cNvPr id="585" name="AutoShape 46">
          <a:extLst>
            <a:ext uri="{FF2B5EF4-FFF2-40B4-BE49-F238E27FC236}">
              <a16:creationId xmlns:a16="http://schemas.microsoft.com/office/drawing/2014/main" id="{781F9D14-C1C9-4193-9709-58D8BC74F655}"/>
            </a:ext>
          </a:extLst>
        </xdr:cNvPr>
        <xdr:cNvSpPr>
          <a:spLocks noChangeArrowheads="1"/>
        </xdr:cNvSpPr>
      </xdr:nvSpPr>
      <xdr:spPr bwMode="auto">
        <a:xfrm>
          <a:off x="9525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29</xdr:row>
      <xdr:rowOff>57150</xdr:rowOff>
    </xdr:from>
    <xdr:to>
      <xdr:col>35</xdr:col>
      <xdr:colOff>0</xdr:colOff>
      <xdr:row>31</xdr:row>
      <xdr:rowOff>0</xdr:rowOff>
    </xdr:to>
    <xdr:sp macro="" textlink="">
      <xdr:nvSpPr>
        <xdr:cNvPr id="586" name="AutoShape 46">
          <a:extLst>
            <a:ext uri="{FF2B5EF4-FFF2-40B4-BE49-F238E27FC236}">
              <a16:creationId xmlns:a16="http://schemas.microsoft.com/office/drawing/2014/main" id="{C4903491-0D05-47D4-9CF6-31E6269544A2}"/>
            </a:ext>
          </a:extLst>
        </xdr:cNvPr>
        <xdr:cNvSpPr>
          <a:spLocks noChangeArrowheads="1"/>
        </xdr:cNvSpPr>
      </xdr:nvSpPr>
      <xdr:spPr bwMode="auto">
        <a:xfrm>
          <a:off x="10096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29</xdr:row>
      <xdr:rowOff>57150</xdr:rowOff>
    </xdr:from>
    <xdr:to>
      <xdr:col>37</xdr:col>
      <xdr:colOff>0</xdr:colOff>
      <xdr:row>31</xdr:row>
      <xdr:rowOff>0</xdr:rowOff>
    </xdr:to>
    <xdr:sp macro="" textlink="">
      <xdr:nvSpPr>
        <xdr:cNvPr id="587" name="AutoShape 46">
          <a:extLst>
            <a:ext uri="{FF2B5EF4-FFF2-40B4-BE49-F238E27FC236}">
              <a16:creationId xmlns:a16="http://schemas.microsoft.com/office/drawing/2014/main" id="{61998B2D-911A-4464-86FF-231D02676EFA}"/>
            </a:ext>
          </a:extLst>
        </xdr:cNvPr>
        <xdr:cNvSpPr>
          <a:spLocks noChangeArrowheads="1"/>
        </xdr:cNvSpPr>
      </xdr:nvSpPr>
      <xdr:spPr bwMode="auto">
        <a:xfrm>
          <a:off x="11324167" y="5761567"/>
          <a:ext cx="38100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29</xdr:row>
      <xdr:rowOff>57150</xdr:rowOff>
    </xdr:from>
    <xdr:to>
      <xdr:col>39</xdr:col>
      <xdr:colOff>0</xdr:colOff>
      <xdr:row>31</xdr:row>
      <xdr:rowOff>0</xdr:rowOff>
    </xdr:to>
    <xdr:sp macro="" textlink="">
      <xdr:nvSpPr>
        <xdr:cNvPr id="588" name="AutoShape 46">
          <a:extLst>
            <a:ext uri="{FF2B5EF4-FFF2-40B4-BE49-F238E27FC236}">
              <a16:creationId xmlns:a16="http://schemas.microsoft.com/office/drawing/2014/main" id="{5619657E-2596-4475-9C8D-904B4609030E}"/>
            </a:ext>
          </a:extLst>
        </xdr:cNvPr>
        <xdr:cNvSpPr>
          <a:spLocks noChangeArrowheads="1"/>
        </xdr:cNvSpPr>
      </xdr:nvSpPr>
      <xdr:spPr bwMode="auto">
        <a:xfrm>
          <a:off x="11239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29</xdr:row>
      <xdr:rowOff>0</xdr:rowOff>
    </xdr:from>
    <xdr:to>
      <xdr:col>40</xdr:col>
      <xdr:colOff>330459</xdr:colOff>
      <xdr:row>31</xdr:row>
      <xdr:rowOff>0</xdr:rowOff>
    </xdr:to>
    <xdr:sp macro="" textlink="">
      <xdr:nvSpPr>
        <xdr:cNvPr id="589" name="AutoShape 46">
          <a:extLst>
            <a:ext uri="{FF2B5EF4-FFF2-40B4-BE49-F238E27FC236}">
              <a16:creationId xmlns:a16="http://schemas.microsoft.com/office/drawing/2014/main" id="{449A7208-C138-44FF-8215-E7B7B05DDD51}"/>
            </a:ext>
          </a:extLst>
        </xdr:cNvPr>
        <xdr:cNvSpPr>
          <a:spLocks noChangeArrowheads="1"/>
        </xdr:cNvSpPr>
      </xdr:nvSpPr>
      <xdr:spPr bwMode="auto">
        <a:xfrm>
          <a:off x="12771276" y="5802474"/>
          <a:ext cx="330459" cy="38877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29</xdr:row>
      <xdr:rowOff>9720</xdr:rowOff>
    </xdr:from>
    <xdr:to>
      <xdr:col>43</xdr:col>
      <xdr:colOff>0</xdr:colOff>
      <xdr:row>31</xdr:row>
      <xdr:rowOff>0</xdr:rowOff>
    </xdr:to>
    <xdr:sp macro="" textlink="">
      <xdr:nvSpPr>
        <xdr:cNvPr id="590" name="AutoShape 46">
          <a:extLst>
            <a:ext uri="{FF2B5EF4-FFF2-40B4-BE49-F238E27FC236}">
              <a16:creationId xmlns:a16="http://schemas.microsoft.com/office/drawing/2014/main" id="{10114127-6F41-4170-8564-9BF473CB32B2}"/>
            </a:ext>
          </a:extLst>
        </xdr:cNvPr>
        <xdr:cNvSpPr>
          <a:spLocks noChangeArrowheads="1"/>
        </xdr:cNvSpPr>
      </xdr:nvSpPr>
      <xdr:spPr bwMode="auto">
        <a:xfrm>
          <a:off x="13393316" y="5812194"/>
          <a:ext cx="340179" cy="37905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29</xdr:row>
      <xdr:rowOff>57150</xdr:rowOff>
    </xdr:from>
    <xdr:to>
      <xdr:col>45</xdr:col>
      <xdr:colOff>0</xdr:colOff>
      <xdr:row>31</xdr:row>
      <xdr:rowOff>0</xdr:rowOff>
    </xdr:to>
    <xdr:sp macro="" textlink="">
      <xdr:nvSpPr>
        <xdr:cNvPr id="591" name="AutoShape 46">
          <a:extLst>
            <a:ext uri="{FF2B5EF4-FFF2-40B4-BE49-F238E27FC236}">
              <a16:creationId xmlns:a16="http://schemas.microsoft.com/office/drawing/2014/main" id="{51AB73E6-728A-4EED-8811-3E234590EE0A}"/>
            </a:ext>
          </a:extLst>
        </xdr:cNvPr>
        <xdr:cNvSpPr>
          <a:spLocks noChangeArrowheads="1"/>
        </xdr:cNvSpPr>
      </xdr:nvSpPr>
      <xdr:spPr bwMode="auto">
        <a:xfrm>
          <a:off x="12954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29</xdr:row>
      <xdr:rowOff>57150</xdr:rowOff>
    </xdr:from>
    <xdr:to>
      <xdr:col>11</xdr:col>
      <xdr:colOff>0</xdr:colOff>
      <xdr:row>31</xdr:row>
      <xdr:rowOff>0</xdr:rowOff>
    </xdr:to>
    <xdr:sp macro="" textlink="">
      <xdr:nvSpPr>
        <xdr:cNvPr id="592" name="AutoShape 46">
          <a:extLst>
            <a:ext uri="{FF2B5EF4-FFF2-40B4-BE49-F238E27FC236}">
              <a16:creationId xmlns:a16="http://schemas.microsoft.com/office/drawing/2014/main" id="{5129AFA6-3EB1-4B6D-8C9D-F9CFB62E621C}"/>
            </a:ext>
          </a:extLst>
        </xdr:cNvPr>
        <xdr:cNvSpPr>
          <a:spLocks noChangeArrowheads="1"/>
        </xdr:cNvSpPr>
      </xdr:nvSpPr>
      <xdr:spPr bwMode="auto">
        <a:xfrm>
          <a:off x="3181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29</xdr:row>
      <xdr:rowOff>57150</xdr:rowOff>
    </xdr:from>
    <xdr:to>
      <xdr:col>13</xdr:col>
      <xdr:colOff>0</xdr:colOff>
      <xdr:row>31</xdr:row>
      <xdr:rowOff>0</xdr:rowOff>
    </xdr:to>
    <xdr:sp macro="" textlink="">
      <xdr:nvSpPr>
        <xdr:cNvPr id="593" name="AutoShape 46">
          <a:extLst>
            <a:ext uri="{FF2B5EF4-FFF2-40B4-BE49-F238E27FC236}">
              <a16:creationId xmlns:a16="http://schemas.microsoft.com/office/drawing/2014/main" id="{733F461B-B3C8-4141-810E-F12A39659743}"/>
            </a:ext>
          </a:extLst>
        </xdr:cNvPr>
        <xdr:cNvSpPr>
          <a:spLocks noChangeArrowheads="1"/>
        </xdr:cNvSpPr>
      </xdr:nvSpPr>
      <xdr:spPr bwMode="auto">
        <a:xfrm>
          <a:off x="3752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29</xdr:row>
      <xdr:rowOff>57150</xdr:rowOff>
    </xdr:from>
    <xdr:to>
      <xdr:col>15</xdr:col>
      <xdr:colOff>0</xdr:colOff>
      <xdr:row>31</xdr:row>
      <xdr:rowOff>0</xdr:rowOff>
    </xdr:to>
    <xdr:sp macro="" textlink="">
      <xdr:nvSpPr>
        <xdr:cNvPr id="594" name="AutoShape 46">
          <a:extLst>
            <a:ext uri="{FF2B5EF4-FFF2-40B4-BE49-F238E27FC236}">
              <a16:creationId xmlns:a16="http://schemas.microsoft.com/office/drawing/2014/main" id="{9DB798BC-D51B-4F6C-A7CD-1582D8AA6BA7}"/>
            </a:ext>
          </a:extLst>
        </xdr:cNvPr>
        <xdr:cNvSpPr>
          <a:spLocks noChangeArrowheads="1"/>
        </xdr:cNvSpPr>
      </xdr:nvSpPr>
      <xdr:spPr bwMode="auto">
        <a:xfrm>
          <a:off x="4324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29</xdr:row>
      <xdr:rowOff>57150</xdr:rowOff>
    </xdr:from>
    <xdr:to>
      <xdr:col>9</xdr:col>
      <xdr:colOff>0</xdr:colOff>
      <xdr:row>31</xdr:row>
      <xdr:rowOff>0</xdr:rowOff>
    </xdr:to>
    <xdr:sp macro="" textlink="">
      <xdr:nvSpPr>
        <xdr:cNvPr id="595" name="AutoShape 46">
          <a:extLst>
            <a:ext uri="{FF2B5EF4-FFF2-40B4-BE49-F238E27FC236}">
              <a16:creationId xmlns:a16="http://schemas.microsoft.com/office/drawing/2014/main" id="{1EBF03DF-277E-4997-9598-5E2290A089AE}"/>
            </a:ext>
          </a:extLst>
        </xdr:cNvPr>
        <xdr:cNvSpPr>
          <a:spLocks noChangeArrowheads="1"/>
        </xdr:cNvSpPr>
      </xdr:nvSpPr>
      <xdr:spPr bwMode="auto">
        <a:xfrm>
          <a:off x="2409825" y="5629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29</xdr:row>
      <xdr:rowOff>57150</xdr:rowOff>
    </xdr:from>
    <xdr:to>
      <xdr:col>7</xdr:col>
      <xdr:colOff>0</xdr:colOff>
      <xdr:row>31</xdr:row>
      <xdr:rowOff>0</xdr:rowOff>
    </xdr:to>
    <xdr:sp macro="" textlink="">
      <xdr:nvSpPr>
        <xdr:cNvPr id="596" name="AutoShape 46">
          <a:extLst>
            <a:ext uri="{FF2B5EF4-FFF2-40B4-BE49-F238E27FC236}">
              <a16:creationId xmlns:a16="http://schemas.microsoft.com/office/drawing/2014/main" id="{A8769E73-65F6-4BB5-AD8A-82E86CF10BA5}"/>
            </a:ext>
          </a:extLst>
        </xdr:cNvPr>
        <xdr:cNvSpPr>
          <a:spLocks noChangeArrowheads="1"/>
        </xdr:cNvSpPr>
      </xdr:nvSpPr>
      <xdr:spPr bwMode="auto">
        <a:xfrm>
          <a:off x="1819275" y="5629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29</xdr:row>
      <xdr:rowOff>57150</xdr:rowOff>
    </xdr:from>
    <xdr:to>
      <xdr:col>5</xdr:col>
      <xdr:colOff>0</xdr:colOff>
      <xdr:row>31</xdr:row>
      <xdr:rowOff>0</xdr:rowOff>
    </xdr:to>
    <xdr:sp macro="" textlink="">
      <xdr:nvSpPr>
        <xdr:cNvPr id="597" name="AutoShape 46">
          <a:extLst>
            <a:ext uri="{FF2B5EF4-FFF2-40B4-BE49-F238E27FC236}">
              <a16:creationId xmlns:a16="http://schemas.microsoft.com/office/drawing/2014/main" id="{75C02319-6A20-437F-AB13-2E3C4460E9E2}"/>
            </a:ext>
          </a:extLst>
        </xdr:cNvPr>
        <xdr:cNvSpPr>
          <a:spLocks noChangeArrowheads="1"/>
        </xdr:cNvSpPr>
      </xdr:nvSpPr>
      <xdr:spPr bwMode="auto">
        <a:xfrm>
          <a:off x="1095375" y="5629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29</xdr:row>
      <xdr:rowOff>57150</xdr:rowOff>
    </xdr:from>
    <xdr:to>
      <xdr:col>3</xdr:col>
      <xdr:colOff>0</xdr:colOff>
      <xdr:row>31</xdr:row>
      <xdr:rowOff>0</xdr:rowOff>
    </xdr:to>
    <xdr:sp macro="" textlink="">
      <xdr:nvSpPr>
        <xdr:cNvPr id="598" name="AutoShape 46">
          <a:extLst>
            <a:ext uri="{FF2B5EF4-FFF2-40B4-BE49-F238E27FC236}">
              <a16:creationId xmlns:a16="http://schemas.microsoft.com/office/drawing/2014/main" id="{222ACE7C-BFDA-4C1C-90C8-91260C31FBEB}"/>
            </a:ext>
          </a:extLst>
        </xdr:cNvPr>
        <xdr:cNvSpPr>
          <a:spLocks noChangeArrowheads="1"/>
        </xdr:cNvSpPr>
      </xdr:nvSpPr>
      <xdr:spPr bwMode="auto">
        <a:xfrm>
          <a:off x="523875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599" name="Group 1008">
          <a:extLst>
            <a:ext uri="{FF2B5EF4-FFF2-40B4-BE49-F238E27FC236}">
              <a16:creationId xmlns:a16="http://schemas.microsoft.com/office/drawing/2014/main" id="{92008DBF-DC89-44BB-9890-8C53B30D5362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00" name="Straight Connector 599">
            <a:extLst>
              <a:ext uri="{FF2B5EF4-FFF2-40B4-BE49-F238E27FC236}">
                <a16:creationId xmlns:a16="http://schemas.microsoft.com/office/drawing/2014/main" id="{2F017888-EE61-F072-0AE1-54A51B4443B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01" name="Straight Connector 529">
            <a:extLst>
              <a:ext uri="{FF2B5EF4-FFF2-40B4-BE49-F238E27FC236}">
                <a16:creationId xmlns:a16="http://schemas.microsoft.com/office/drawing/2014/main" id="{E157E95B-CAFC-18DA-0AF2-A07E5084542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2" name="Straight Connector 531">
            <a:extLst>
              <a:ext uri="{FF2B5EF4-FFF2-40B4-BE49-F238E27FC236}">
                <a16:creationId xmlns:a16="http://schemas.microsoft.com/office/drawing/2014/main" id="{1811B8AC-3382-753D-1288-CDC9062C94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3" name="Straight Connector 533">
            <a:extLst>
              <a:ext uri="{FF2B5EF4-FFF2-40B4-BE49-F238E27FC236}">
                <a16:creationId xmlns:a16="http://schemas.microsoft.com/office/drawing/2014/main" id="{C7FC686B-22AB-AC9E-7AFB-AA66B8341A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4" name="Straight Connector 535">
            <a:extLst>
              <a:ext uri="{FF2B5EF4-FFF2-40B4-BE49-F238E27FC236}">
                <a16:creationId xmlns:a16="http://schemas.microsoft.com/office/drawing/2014/main" id="{177C99A2-FCEF-17D7-D48C-D502427E1C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5" name="Straight Connector 537">
            <a:extLst>
              <a:ext uri="{FF2B5EF4-FFF2-40B4-BE49-F238E27FC236}">
                <a16:creationId xmlns:a16="http://schemas.microsoft.com/office/drawing/2014/main" id="{F0D27967-16BB-DFB7-880E-EFEE59836B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06" name="Group 1008">
          <a:extLst>
            <a:ext uri="{FF2B5EF4-FFF2-40B4-BE49-F238E27FC236}">
              <a16:creationId xmlns:a16="http://schemas.microsoft.com/office/drawing/2014/main" id="{8E29C58B-31DE-426E-9DB5-AC6B3DDD8CCF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07" name="Straight Connector 606">
            <a:extLst>
              <a:ext uri="{FF2B5EF4-FFF2-40B4-BE49-F238E27FC236}">
                <a16:creationId xmlns:a16="http://schemas.microsoft.com/office/drawing/2014/main" id="{ED21BBC7-5A8F-68BC-1AB8-A3C85B2CECE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08" name="Straight Connector 529">
            <a:extLst>
              <a:ext uri="{FF2B5EF4-FFF2-40B4-BE49-F238E27FC236}">
                <a16:creationId xmlns:a16="http://schemas.microsoft.com/office/drawing/2014/main" id="{6D5472A6-78CA-59F0-453F-F90551810A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9" name="Straight Connector 531">
            <a:extLst>
              <a:ext uri="{FF2B5EF4-FFF2-40B4-BE49-F238E27FC236}">
                <a16:creationId xmlns:a16="http://schemas.microsoft.com/office/drawing/2014/main" id="{5E825BAE-62FE-4AD6-37E8-B7DBFFED5B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0" name="Straight Connector 533">
            <a:extLst>
              <a:ext uri="{FF2B5EF4-FFF2-40B4-BE49-F238E27FC236}">
                <a16:creationId xmlns:a16="http://schemas.microsoft.com/office/drawing/2014/main" id="{9AFA0843-C0A0-9F78-9288-9D843FAF037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1" name="Straight Connector 535">
            <a:extLst>
              <a:ext uri="{FF2B5EF4-FFF2-40B4-BE49-F238E27FC236}">
                <a16:creationId xmlns:a16="http://schemas.microsoft.com/office/drawing/2014/main" id="{E592524D-9076-46CE-3F64-4476DC4EA3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2" name="Straight Connector 537">
            <a:extLst>
              <a:ext uri="{FF2B5EF4-FFF2-40B4-BE49-F238E27FC236}">
                <a16:creationId xmlns:a16="http://schemas.microsoft.com/office/drawing/2014/main" id="{74F77D5D-ED30-99F5-2437-9504B302A6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133350</xdr:rowOff>
    </xdr:from>
    <xdr:to>
      <xdr:col>6</xdr:col>
      <xdr:colOff>0</xdr:colOff>
      <xdr:row>41</xdr:row>
      <xdr:rowOff>47625</xdr:rowOff>
    </xdr:to>
    <xdr:grpSp>
      <xdr:nvGrpSpPr>
        <xdr:cNvPr id="613" name="Group 1008">
          <a:extLst>
            <a:ext uri="{FF2B5EF4-FFF2-40B4-BE49-F238E27FC236}">
              <a16:creationId xmlns:a16="http://schemas.microsoft.com/office/drawing/2014/main" id="{BB97CB32-CF11-400C-B54A-FF212A6B3FC2}"/>
            </a:ext>
          </a:extLst>
        </xdr:cNvPr>
        <xdr:cNvGrpSpPr>
          <a:grpSpLocks/>
        </xdr:cNvGrpSpPr>
      </xdr:nvGrpSpPr>
      <xdr:grpSpPr bwMode="auto">
        <a:xfrm>
          <a:off x="1807806" y="7967177"/>
          <a:ext cx="0" cy="102183"/>
          <a:chOff x="5475762" y="47760700"/>
          <a:chExt cx="314325" cy="230209"/>
        </a:xfrm>
      </xdr:grpSpPr>
      <xdr:cxnSp macro="">
        <xdr:nvCxnSpPr>
          <xdr:cNvPr id="614" name="Straight Connector 613">
            <a:extLst>
              <a:ext uri="{FF2B5EF4-FFF2-40B4-BE49-F238E27FC236}">
                <a16:creationId xmlns:a16="http://schemas.microsoft.com/office/drawing/2014/main" id="{173B9C04-CE2F-A7D4-B227-901641CC162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15" name="Straight Connector 529">
            <a:extLst>
              <a:ext uri="{FF2B5EF4-FFF2-40B4-BE49-F238E27FC236}">
                <a16:creationId xmlns:a16="http://schemas.microsoft.com/office/drawing/2014/main" id="{4122B6D9-86A3-9469-DC8D-508BE78BDB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6" name="Straight Connector 531">
            <a:extLst>
              <a:ext uri="{FF2B5EF4-FFF2-40B4-BE49-F238E27FC236}">
                <a16:creationId xmlns:a16="http://schemas.microsoft.com/office/drawing/2014/main" id="{48FE55B8-A26D-2902-00B7-EF534B7423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7" name="Straight Connector 533">
            <a:extLst>
              <a:ext uri="{FF2B5EF4-FFF2-40B4-BE49-F238E27FC236}">
                <a16:creationId xmlns:a16="http://schemas.microsoft.com/office/drawing/2014/main" id="{33A8114E-BAC0-BD30-6EB7-B604451936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8" name="Straight Connector 535">
            <a:extLst>
              <a:ext uri="{FF2B5EF4-FFF2-40B4-BE49-F238E27FC236}">
                <a16:creationId xmlns:a16="http://schemas.microsoft.com/office/drawing/2014/main" id="{0C1AF804-66B9-48FC-E409-2E433A4796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9" name="Straight Connector 537">
            <a:extLst>
              <a:ext uri="{FF2B5EF4-FFF2-40B4-BE49-F238E27FC236}">
                <a16:creationId xmlns:a16="http://schemas.microsoft.com/office/drawing/2014/main" id="{57BAF3B8-EE47-FC7D-D396-4B2A094FF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133350</xdr:rowOff>
    </xdr:from>
    <xdr:to>
      <xdr:col>6</xdr:col>
      <xdr:colOff>0</xdr:colOff>
      <xdr:row>41</xdr:row>
      <xdr:rowOff>57150</xdr:rowOff>
    </xdr:to>
    <xdr:grpSp>
      <xdr:nvGrpSpPr>
        <xdr:cNvPr id="620" name="Group 1008">
          <a:extLst>
            <a:ext uri="{FF2B5EF4-FFF2-40B4-BE49-F238E27FC236}">
              <a16:creationId xmlns:a16="http://schemas.microsoft.com/office/drawing/2014/main" id="{01623365-3A71-4F22-965A-129E8D7ECDAB}"/>
            </a:ext>
          </a:extLst>
        </xdr:cNvPr>
        <xdr:cNvGrpSpPr>
          <a:grpSpLocks/>
        </xdr:cNvGrpSpPr>
      </xdr:nvGrpSpPr>
      <xdr:grpSpPr bwMode="auto">
        <a:xfrm>
          <a:off x="1807806" y="7967177"/>
          <a:ext cx="0" cy="111708"/>
          <a:chOff x="5475762" y="47760700"/>
          <a:chExt cx="314325" cy="230209"/>
        </a:xfrm>
      </xdr:grpSpPr>
      <xdr:cxnSp macro="">
        <xdr:nvCxnSpPr>
          <xdr:cNvPr id="621" name="Straight Connector 620">
            <a:extLst>
              <a:ext uri="{FF2B5EF4-FFF2-40B4-BE49-F238E27FC236}">
                <a16:creationId xmlns:a16="http://schemas.microsoft.com/office/drawing/2014/main" id="{1931F6D4-0590-D112-ACAD-919FA624A03F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2" name="Straight Connector 529">
            <a:extLst>
              <a:ext uri="{FF2B5EF4-FFF2-40B4-BE49-F238E27FC236}">
                <a16:creationId xmlns:a16="http://schemas.microsoft.com/office/drawing/2014/main" id="{9CA4A5A7-EA04-EEBF-DEF4-178FA1FA611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3" name="Straight Connector 531">
            <a:extLst>
              <a:ext uri="{FF2B5EF4-FFF2-40B4-BE49-F238E27FC236}">
                <a16:creationId xmlns:a16="http://schemas.microsoft.com/office/drawing/2014/main" id="{FE490D40-4585-0FB8-6C11-79279CA14E5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4" name="Straight Connector 533">
            <a:extLst>
              <a:ext uri="{FF2B5EF4-FFF2-40B4-BE49-F238E27FC236}">
                <a16:creationId xmlns:a16="http://schemas.microsoft.com/office/drawing/2014/main" id="{3165FDF4-167B-5E2F-737B-49C0029F1BC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5" name="Straight Connector 535">
            <a:extLst>
              <a:ext uri="{FF2B5EF4-FFF2-40B4-BE49-F238E27FC236}">
                <a16:creationId xmlns:a16="http://schemas.microsoft.com/office/drawing/2014/main" id="{A986B97C-79C4-AEAA-BCDA-B632D80317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6" name="Straight Connector 537">
            <a:extLst>
              <a:ext uri="{FF2B5EF4-FFF2-40B4-BE49-F238E27FC236}">
                <a16:creationId xmlns:a16="http://schemas.microsoft.com/office/drawing/2014/main" id="{7C2DA250-A86C-A6FD-7498-4DB9567E82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27" name="Group 1008">
          <a:extLst>
            <a:ext uri="{FF2B5EF4-FFF2-40B4-BE49-F238E27FC236}">
              <a16:creationId xmlns:a16="http://schemas.microsoft.com/office/drawing/2014/main" id="{C2C66EC0-8FAF-4019-AC9E-17D5BF409364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28" name="Straight Connector 627">
            <a:extLst>
              <a:ext uri="{FF2B5EF4-FFF2-40B4-BE49-F238E27FC236}">
                <a16:creationId xmlns:a16="http://schemas.microsoft.com/office/drawing/2014/main" id="{88C1E2D7-D135-213D-4AE7-DC63B675C6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9" name="Straight Connector 529">
            <a:extLst>
              <a:ext uri="{FF2B5EF4-FFF2-40B4-BE49-F238E27FC236}">
                <a16:creationId xmlns:a16="http://schemas.microsoft.com/office/drawing/2014/main" id="{CADC8494-0474-518A-59D8-7384583186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0" name="Straight Connector 531">
            <a:extLst>
              <a:ext uri="{FF2B5EF4-FFF2-40B4-BE49-F238E27FC236}">
                <a16:creationId xmlns:a16="http://schemas.microsoft.com/office/drawing/2014/main" id="{FD28E065-8382-DF9C-E0BC-4F2C87280D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1" name="Straight Connector 533">
            <a:extLst>
              <a:ext uri="{FF2B5EF4-FFF2-40B4-BE49-F238E27FC236}">
                <a16:creationId xmlns:a16="http://schemas.microsoft.com/office/drawing/2014/main" id="{0C642DA1-C607-0B15-4F8D-A825A288FE5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2" name="Straight Connector 535">
            <a:extLst>
              <a:ext uri="{FF2B5EF4-FFF2-40B4-BE49-F238E27FC236}">
                <a16:creationId xmlns:a16="http://schemas.microsoft.com/office/drawing/2014/main" id="{061A1D6C-100C-CF9C-11E0-53311F8551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3" name="Straight Connector 537">
            <a:extLst>
              <a:ext uri="{FF2B5EF4-FFF2-40B4-BE49-F238E27FC236}">
                <a16:creationId xmlns:a16="http://schemas.microsoft.com/office/drawing/2014/main" id="{987F11E9-FA97-BD4F-0C96-8AA70D06B4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34" name="Group 1008">
          <a:extLst>
            <a:ext uri="{FF2B5EF4-FFF2-40B4-BE49-F238E27FC236}">
              <a16:creationId xmlns:a16="http://schemas.microsoft.com/office/drawing/2014/main" id="{26C0EC7E-20EE-4121-9897-8FD2ADEF94DE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35" name="Straight Connector 634">
            <a:extLst>
              <a:ext uri="{FF2B5EF4-FFF2-40B4-BE49-F238E27FC236}">
                <a16:creationId xmlns:a16="http://schemas.microsoft.com/office/drawing/2014/main" id="{C5F0599E-B5A1-75BD-9667-8BCC884B3D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36" name="Straight Connector 529">
            <a:extLst>
              <a:ext uri="{FF2B5EF4-FFF2-40B4-BE49-F238E27FC236}">
                <a16:creationId xmlns:a16="http://schemas.microsoft.com/office/drawing/2014/main" id="{26583D23-1028-FA15-2221-72E1DC9608C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7" name="Straight Connector 531">
            <a:extLst>
              <a:ext uri="{FF2B5EF4-FFF2-40B4-BE49-F238E27FC236}">
                <a16:creationId xmlns:a16="http://schemas.microsoft.com/office/drawing/2014/main" id="{69522BCB-96B1-9068-0B37-293DA73FA0E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8" name="Straight Connector 533">
            <a:extLst>
              <a:ext uri="{FF2B5EF4-FFF2-40B4-BE49-F238E27FC236}">
                <a16:creationId xmlns:a16="http://schemas.microsoft.com/office/drawing/2014/main" id="{25C53627-1A0A-72A8-3040-6CC9DB61D7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9" name="Straight Connector 535">
            <a:extLst>
              <a:ext uri="{FF2B5EF4-FFF2-40B4-BE49-F238E27FC236}">
                <a16:creationId xmlns:a16="http://schemas.microsoft.com/office/drawing/2014/main" id="{A8DCDF75-5CF2-EC69-08CE-8BE5C1A114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0" name="Straight Connector 537">
            <a:extLst>
              <a:ext uri="{FF2B5EF4-FFF2-40B4-BE49-F238E27FC236}">
                <a16:creationId xmlns:a16="http://schemas.microsoft.com/office/drawing/2014/main" id="{C93C5213-6E9F-C6BC-B8AC-D3B7DC25B2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41" name="Group 1008">
          <a:extLst>
            <a:ext uri="{FF2B5EF4-FFF2-40B4-BE49-F238E27FC236}">
              <a16:creationId xmlns:a16="http://schemas.microsoft.com/office/drawing/2014/main" id="{A02B55CB-EC6B-4A80-8071-755C125B319B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42" name="Straight Connector 641">
            <a:extLst>
              <a:ext uri="{FF2B5EF4-FFF2-40B4-BE49-F238E27FC236}">
                <a16:creationId xmlns:a16="http://schemas.microsoft.com/office/drawing/2014/main" id="{0E9C5194-6879-103A-7491-48B0552104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43" name="Straight Connector 529">
            <a:extLst>
              <a:ext uri="{FF2B5EF4-FFF2-40B4-BE49-F238E27FC236}">
                <a16:creationId xmlns:a16="http://schemas.microsoft.com/office/drawing/2014/main" id="{BE911EFB-9A60-F3F9-E853-99A605FC59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4" name="Straight Connector 531">
            <a:extLst>
              <a:ext uri="{FF2B5EF4-FFF2-40B4-BE49-F238E27FC236}">
                <a16:creationId xmlns:a16="http://schemas.microsoft.com/office/drawing/2014/main" id="{3C74E71C-F40A-0024-76A0-8ABFED806D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5" name="Straight Connector 533">
            <a:extLst>
              <a:ext uri="{FF2B5EF4-FFF2-40B4-BE49-F238E27FC236}">
                <a16:creationId xmlns:a16="http://schemas.microsoft.com/office/drawing/2014/main" id="{503EDAE5-F9A7-DF9A-8770-E19B912E47D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6" name="Straight Connector 535">
            <a:extLst>
              <a:ext uri="{FF2B5EF4-FFF2-40B4-BE49-F238E27FC236}">
                <a16:creationId xmlns:a16="http://schemas.microsoft.com/office/drawing/2014/main" id="{F6550B7D-555E-49AB-A03F-20E5548C36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7" name="Straight Connector 537">
            <a:extLst>
              <a:ext uri="{FF2B5EF4-FFF2-40B4-BE49-F238E27FC236}">
                <a16:creationId xmlns:a16="http://schemas.microsoft.com/office/drawing/2014/main" id="{13471631-1B3A-6019-CE44-F972984CDB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48" name="Group 1008">
          <a:extLst>
            <a:ext uri="{FF2B5EF4-FFF2-40B4-BE49-F238E27FC236}">
              <a16:creationId xmlns:a16="http://schemas.microsoft.com/office/drawing/2014/main" id="{D09E6931-E47D-4648-90CF-2CB46CDD1491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49" name="Straight Connector 648">
            <a:extLst>
              <a:ext uri="{FF2B5EF4-FFF2-40B4-BE49-F238E27FC236}">
                <a16:creationId xmlns:a16="http://schemas.microsoft.com/office/drawing/2014/main" id="{9F1A6A78-E8A6-B1D5-05AA-B3675B598A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50" name="Straight Connector 529">
            <a:extLst>
              <a:ext uri="{FF2B5EF4-FFF2-40B4-BE49-F238E27FC236}">
                <a16:creationId xmlns:a16="http://schemas.microsoft.com/office/drawing/2014/main" id="{C22AE3AE-7393-9DE1-2F83-E12FD1CBA00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1" name="Straight Connector 531">
            <a:extLst>
              <a:ext uri="{FF2B5EF4-FFF2-40B4-BE49-F238E27FC236}">
                <a16:creationId xmlns:a16="http://schemas.microsoft.com/office/drawing/2014/main" id="{69A212BC-2EBB-279D-7A07-39E6C76220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2" name="Straight Connector 533">
            <a:extLst>
              <a:ext uri="{FF2B5EF4-FFF2-40B4-BE49-F238E27FC236}">
                <a16:creationId xmlns:a16="http://schemas.microsoft.com/office/drawing/2014/main" id="{5DF34D55-C333-6975-6648-C6C2C27EAB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3" name="Straight Connector 535">
            <a:extLst>
              <a:ext uri="{FF2B5EF4-FFF2-40B4-BE49-F238E27FC236}">
                <a16:creationId xmlns:a16="http://schemas.microsoft.com/office/drawing/2014/main" id="{E755107F-8ED2-0264-5589-7FDC4D2934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4" name="Straight Connector 537">
            <a:extLst>
              <a:ext uri="{FF2B5EF4-FFF2-40B4-BE49-F238E27FC236}">
                <a16:creationId xmlns:a16="http://schemas.microsoft.com/office/drawing/2014/main" id="{A753F957-B381-499E-CFDB-3545713233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55" name="Group 1008">
          <a:extLst>
            <a:ext uri="{FF2B5EF4-FFF2-40B4-BE49-F238E27FC236}">
              <a16:creationId xmlns:a16="http://schemas.microsoft.com/office/drawing/2014/main" id="{8874A88B-681A-41D2-A415-EE1FA886DE60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56" name="Straight Connector 655">
            <a:extLst>
              <a:ext uri="{FF2B5EF4-FFF2-40B4-BE49-F238E27FC236}">
                <a16:creationId xmlns:a16="http://schemas.microsoft.com/office/drawing/2014/main" id="{91A2144A-1E01-A39F-BBC4-3B91FACDA8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57" name="Straight Connector 529">
            <a:extLst>
              <a:ext uri="{FF2B5EF4-FFF2-40B4-BE49-F238E27FC236}">
                <a16:creationId xmlns:a16="http://schemas.microsoft.com/office/drawing/2014/main" id="{94A3E138-C8F5-B32B-38AE-C8AEB08258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8" name="Straight Connector 531">
            <a:extLst>
              <a:ext uri="{FF2B5EF4-FFF2-40B4-BE49-F238E27FC236}">
                <a16:creationId xmlns:a16="http://schemas.microsoft.com/office/drawing/2014/main" id="{8957A0D5-2EB4-6F5A-0B95-4B64A0FB9F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9" name="Straight Connector 533">
            <a:extLst>
              <a:ext uri="{FF2B5EF4-FFF2-40B4-BE49-F238E27FC236}">
                <a16:creationId xmlns:a16="http://schemas.microsoft.com/office/drawing/2014/main" id="{5CD9C0EC-50EF-D80A-0DD6-9574BD4A38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0" name="Straight Connector 535">
            <a:extLst>
              <a:ext uri="{FF2B5EF4-FFF2-40B4-BE49-F238E27FC236}">
                <a16:creationId xmlns:a16="http://schemas.microsoft.com/office/drawing/2014/main" id="{A84F9B5A-C14A-DC45-9462-BF7E340267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1" name="Straight Connector 537">
            <a:extLst>
              <a:ext uri="{FF2B5EF4-FFF2-40B4-BE49-F238E27FC236}">
                <a16:creationId xmlns:a16="http://schemas.microsoft.com/office/drawing/2014/main" id="{4FA7D32E-F74A-4BBD-7F00-BA49A2EBBE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62" name="Group 1008">
          <a:extLst>
            <a:ext uri="{FF2B5EF4-FFF2-40B4-BE49-F238E27FC236}">
              <a16:creationId xmlns:a16="http://schemas.microsoft.com/office/drawing/2014/main" id="{66936204-9DD2-48F9-BEC3-AC7B86F59A9E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63" name="Straight Connector 662">
            <a:extLst>
              <a:ext uri="{FF2B5EF4-FFF2-40B4-BE49-F238E27FC236}">
                <a16:creationId xmlns:a16="http://schemas.microsoft.com/office/drawing/2014/main" id="{ECED777E-2CD7-467F-00BD-DF9C022824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64" name="Straight Connector 529">
            <a:extLst>
              <a:ext uri="{FF2B5EF4-FFF2-40B4-BE49-F238E27FC236}">
                <a16:creationId xmlns:a16="http://schemas.microsoft.com/office/drawing/2014/main" id="{D4BD2E72-072B-A0E1-C547-D4A1D78ABD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5" name="Straight Connector 531">
            <a:extLst>
              <a:ext uri="{FF2B5EF4-FFF2-40B4-BE49-F238E27FC236}">
                <a16:creationId xmlns:a16="http://schemas.microsoft.com/office/drawing/2014/main" id="{EADF89F2-E3E5-0534-434C-BE759D70F4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6" name="Straight Connector 533">
            <a:extLst>
              <a:ext uri="{FF2B5EF4-FFF2-40B4-BE49-F238E27FC236}">
                <a16:creationId xmlns:a16="http://schemas.microsoft.com/office/drawing/2014/main" id="{2ADE3B18-CCE9-7711-D666-D293319675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7" name="Straight Connector 535">
            <a:extLst>
              <a:ext uri="{FF2B5EF4-FFF2-40B4-BE49-F238E27FC236}">
                <a16:creationId xmlns:a16="http://schemas.microsoft.com/office/drawing/2014/main" id="{180008C5-B922-D5F7-BEB7-1CD5F6E351D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8" name="Straight Connector 537">
            <a:extLst>
              <a:ext uri="{FF2B5EF4-FFF2-40B4-BE49-F238E27FC236}">
                <a16:creationId xmlns:a16="http://schemas.microsoft.com/office/drawing/2014/main" id="{69F10D32-A060-9C08-B7EC-A9E68AC3E7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69" name="Group 1008">
          <a:extLst>
            <a:ext uri="{FF2B5EF4-FFF2-40B4-BE49-F238E27FC236}">
              <a16:creationId xmlns:a16="http://schemas.microsoft.com/office/drawing/2014/main" id="{8A7814BD-F8FF-4867-95A5-4DBDDD0B0E77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70" name="Straight Connector 669">
            <a:extLst>
              <a:ext uri="{FF2B5EF4-FFF2-40B4-BE49-F238E27FC236}">
                <a16:creationId xmlns:a16="http://schemas.microsoft.com/office/drawing/2014/main" id="{E981638D-CE8C-7FF0-1C59-33318D161B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71" name="Straight Connector 529">
            <a:extLst>
              <a:ext uri="{FF2B5EF4-FFF2-40B4-BE49-F238E27FC236}">
                <a16:creationId xmlns:a16="http://schemas.microsoft.com/office/drawing/2014/main" id="{55867742-BDA6-45E5-C079-609AD8C9B0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2" name="Straight Connector 531">
            <a:extLst>
              <a:ext uri="{FF2B5EF4-FFF2-40B4-BE49-F238E27FC236}">
                <a16:creationId xmlns:a16="http://schemas.microsoft.com/office/drawing/2014/main" id="{D0F73AA5-D168-3DBA-5DFC-A4D8E23DB3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3" name="Straight Connector 533">
            <a:extLst>
              <a:ext uri="{FF2B5EF4-FFF2-40B4-BE49-F238E27FC236}">
                <a16:creationId xmlns:a16="http://schemas.microsoft.com/office/drawing/2014/main" id="{D22719F5-3BA1-EAB5-BD81-CF4ABA2920A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4" name="Straight Connector 535">
            <a:extLst>
              <a:ext uri="{FF2B5EF4-FFF2-40B4-BE49-F238E27FC236}">
                <a16:creationId xmlns:a16="http://schemas.microsoft.com/office/drawing/2014/main" id="{C1A83A68-8E35-7A3C-21AF-048BF5CFE1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5" name="Straight Connector 537">
            <a:extLst>
              <a:ext uri="{FF2B5EF4-FFF2-40B4-BE49-F238E27FC236}">
                <a16:creationId xmlns:a16="http://schemas.microsoft.com/office/drawing/2014/main" id="{84F10708-2733-393A-CE4C-0EFBB88CD2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76" name="Group 1008">
          <a:extLst>
            <a:ext uri="{FF2B5EF4-FFF2-40B4-BE49-F238E27FC236}">
              <a16:creationId xmlns:a16="http://schemas.microsoft.com/office/drawing/2014/main" id="{D5E1B955-6232-4D32-B6CE-79D81350ED6A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77" name="Straight Connector 676">
            <a:extLst>
              <a:ext uri="{FF2B5EF4-FFF2-40B4-BE49-F238E27FC236}">
                <a16:creationId xmlns:a16="http://schemas.microsoft.com/office/drawing/2014/main" id="{81928F0B-88D2-4CB2-0B7E-32C3634137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78" name="Straight Connector 529">
            <a:extLst>
              <a:ext uri="{FF2B5EF4-FFF2-40B4-BE49-F238E27FC236}">
                <a16:creationId xmlns:a16="http://schemas.microsoft.com/office/drawing/2014/main" id="{FAD738B7-1801-BBA3-1B6D-C77B2E0425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9" name="Straight Connector 531">
            <a:extLst>
              <a:ext uri="{FF2B5EF4-FFF2-40B4-BE49-F238E27FC236}">
                <a16:creationId xmlns:a16="http://schemas.microsoft.com/office/drawing/2014/main" id="{700548DA-D8AE-C1C0-EE4C-562D73E516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0" name="Straight Connector 533">
            <a:extLst>
              <a:ext uri="{FF2B5EF4-FFF2-40B4-BE49-F238E27FC236}">
                <a16:creationId xmlns:a16="http://schemas.microsoft.com/office/drawing/2014/main" id="{FB73A61C-12C6-1D90-D8EC-0492CE6019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1" name="Straight Connector 535">
            <a:extLst>
              <a:ext uri="{FF2B5EF4-FFF2-40B4-BE49-F238E27FC236}">
                <a16:creationId xmlns:a16="http://schemas.microsoft.com/office/drawing/2014/main" id="{078257E2-E7C2-AA63-6824-5E77F30AFC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2" name="Straight Connector 537">
            <a:extLst>
              <a:ext uri="{FF2B5EF4-FFF2-40B4-BE49-F238E27FC236}">
                <a16:creationId xmlns:a16="http://schemas.microsoft.com/office/drawing/2014/main" id="{7C0BA22E-FCC7-F8C7-C3DF-2C3EEC9482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83" name="Group 1008">
          <a:extLst>
            <a:ext uri="{FF2B5EF4-FFF2-40B4-BE49-F238E27FC236}">
              <a16:creationId xmlns:a16="http://schemas.microsoft.com/office/drawing/2014/main" id="{BAB9FFF3-28AA-4898-B6D2-716A873CD1CA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84" name="Straight Connector 683">
            <a:extLst>
              <a:ext uri="{FF2B5EF4-FFF2-40B4-BE49-F238E27FC236}">
                <a16:creationId xmlns:a16="http://schemas.microsoft.com/office/drawing/2014/main" id="{D75E8554-ABEC-F484-CE8F-7CBDDA39BB8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85" name="Straight Connector 529">
            <a:extLst>
              <a:ext uri="{FF2B5EF4-FFF2-40B4-BE49-F238E27FC236}">
                <a16:creationId xmlns:a16="http://schemas.microsoft.com/office/drawing/2014/main" id="{31AA4F7F-05A9-E9EA-638D-B4F3461B4BB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6" name="Straight Connector 531">
            <a:extLst>
              <a:ext uri="{FF2B5EF4-FFF2-40B4-BE49-F238E27FC236}">
                <a16:creationId xmlns:a16="http://schemas.microsoft.com/office/drawing/2014/main" id="{3BB9C184-1C24-16BD-0EAA-D55812B40F9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7" name="Straight Connector 533">
            <a:extLst>
              <a:ext uri="{FF2B5EF4-FFF2-40B4-BE49-F238E27FC236}">
                <a16:creationId xmlns:a16="http://schemas.microsoft.com/office/drawing/2014/main" id="{37B14117-21E0-44AB-D73F-54DAE866E3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8" name="Straight Connector 535">
            <a:extLst>
              <a:ext uri="{FF2B5EF4-FFF2-40B4-BE49-F238E27FC236}">
                <a16:creationId xmlns:a16="http://schemas.microsoft.com/office/drawing/2014/main" id="{5F7F5859-A1D9-EAD4-2DCB-C9333AE636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9" name="Straight Connector 537">
            <a:extLst>
              <a:ext uri="{FF2B5EF4-FFF2-40B4-BE49-F238E27FC236}">
                <a16:creationId xmlns:a16="http://schemas.microsoft.com/office/drawing/2014/main" id="{876E6166-27E2-7197-0F16-55BB5E07B3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90" name="Group 1008">
          <a:extLst>
            <a:ext uri="{FF2B5EF4-FFF2-40B4-BE49-F238E27FC236}">
              <a16:creationId xmlns:a16="http://schemas.microsoft.com/office/drawing/2014/main" id="{1DF57C78-5F3C-4B71-956B-5261629EF4CB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91" name="Straight Connector 690">
            <a:extLst>
              <a:ext uri="{FF2B5EF4-FFF2-40B4-BE49-F238E27FC236}">
                <a16:creationId xmlns:a16="http://schemas.microsoft.com/office/drawing/2014/main" id="{0692CB86-3DD6-7010-71ED-2A91123B99A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2" name="Straight Connector 529">
            <a:extLst>
              <a:ext uri="{FF2B5EF4-FFF2-40B4-BE49-F238E27FC236}">
                <a16:creationId xmlns:a16="http://schemas.microsoft.com/office/drawing/2014/main" id="{F70729E8-D40E-ED25-D9C4-D494C2F89F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3" name="Straight Connector 531">
            <a:extLst>
              <a:ext uri="{FF2B5EF4-FFF2-40B4-BE49-F238E27FC236}">
                <a16:creationId xmlns:a16="http://schemas.microsoft.com/office/drawing/2014/main" id="{1ECE6B56-596C-A06C-AE63-36237B41C6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4" name="Straight Connector 533">
            <a:extLst>
              <a:ext uri="{FF2B5EF4-FFF2-40B4-BE49-F238E27FC236}">
                <a16:creationId xmlns:a16="http://schemas.microsoft.com/office/drawing/2014/main" id="{ACC6C8AB-9681-83A9-95FF-D5F429D49E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5" name="Straight Connector 535">
            <a:extLst>
              <a:ext uri="{FF2B5EF4-FFF2-40B4-BE49-F238E27FC236}">
                <a16:creationId xmlns:a16="http://schemas.microsoft.com/office/drawing/2014/main" id="{BF6C616E-3AF7-50F3-BF28-C468488EAA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6" name="Straight Connector 537">
            <a:extLst>
              <a:ext uri="{FF2B5EF4-FFF2-40B4-BE49-F238E27FC236}">
                <a16:creationId xmlns:a16="http://schemas.microsoft.com/office/drawing/2014/main" id="{22D17E32-6555-5835-2848-02E9C1B186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97" name="Group 1008">
          <a:extLst>
            <a:ext uri="{FF2B5EF4-FFF2-40B4-BE49-F238E27FC236}">
              <a16:creationId xmlns:a16="http://schemas.microsoft.com/office/drawing/2014/main" id="{77AE0E3E-F0F2-4B78-A2CB-9FDB7A532204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98" name="Straight Connector 697">
            <a:extLst>
              <a:ext uri="{FF2B5EF4-FFF2-40B4-BE49-F238E27FC236}">
                <a16:creationId xmlns:a16="http://schemas.microsoft.com/office/drawing/2014/main" id="{B1E1499A-D0B9-23FD-C044-7DF666C22C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9" name="Straight Connector 529">
            <a:extLst>
              <a:ext uri="{FF2B5EF4-FFF2-40B4-BE49-F238E27FC236}">
                <a16:creationId xmlns:a16="http://schemas.microsoft.com/office/drawing/2014/main" id="{85035F4A-1726-E61D-624E-87C6FC9E139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0" name="Straight Connector 531">
            <a:extLst>
              <a:ext uri="{FF2B5EF4-FFF2-40B4-BE49-F238E27FC236}">
                <a16:creationId xmlns:a16="http://schemas.microsoft.com/office/drawing/2014/main" id="{4A43FC87-BD85-0E5E-739E-13F667C353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1" name="Straight Connector 533">
            <a:extLst>
              <a:ext uri="{FF2B5EF4-FFF2-40B4-BE49-F238E27FC236}">
                <a16:creationId xmlns:a16="http://schemas.microsoft.com/office/drawing/2014/main" id="{95C1FB2D-96F3-776A-18E9-438DA8D8CA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2" name="Straight Connector 535">
            <a:extLst>
              <a:ext uri="{FF2B5EF4-FFF2-40B4-BE49-F238E27FC236}">
                <a16:creationId xmlns:a16="http://schemas.microsoft.com/office/drawing/2014/main" id="{FDEAA377-D55C-054C-8405-088FBA993C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3" name="Straight Connector 537">
            <a:extLst>
              <a:ext uri="{FF2B5EF4-FFF2-40B4-BE49-F238E27FC236}">
                <a16:creationId xmlns:a16="http://schemas.microsoft.com/office/drawing/2014/main" id="{9517775A-F426-7E56-9087-9CAD9791C6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04" name="Group 1008">
          <a:extLst>
            <a:ext uri="{FF2B5EF4-FFF2-40B4-BE49-F238E27FC236}">
              <a16:creationId xmlns:a16="http://schemas.microsoft.com/office/drawing/2014/main" id="{3B9183B1-4A67-4E24-937E-8E4C1D0814A8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05" name="Straight Connector 704">
            <a:extLst>
              <a:ext uri="{FF2B5EF4-FFF2-40B4-BE49-F238E27FC236}">
                <a16:creationId xmlns:a16="http://schemas.microsoft.com/office/drawing/2014/main" id="{B0D4A099-28A8-2784-3ED8-EC9356D5DB7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06" name="Straight Connector 529">
            <a:extLst>
              <a:ext uri="{FF2B5EF4-FFF2-40B4-BE49-F238E27FC236}">
                <a16:creationId xmlns:a16="http://schemas.microsoft.com/office/drawing/2014/main" id="{F121239F-20BA-98F1-1F74-8FF2C551D1D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7" name="Straight Connector 531">
            <a:extLst>
              <a:ext uri="{FF2B5EF4-FFF2-40B4-BE49-F238E27FC236}">
                <a16:creationId xmlns:a16="http://schemas.microsoft.com/office/drawing/2014/main" id="{BEC4D5F7-2893-8E87-682C-616E0C87A0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8" name="Straight Connector 533">
            <a:extLst>
              <a:ext uri="{FF2B5EF4-FFF2-40B4-BE49-F238E27FC236}">
                <a16:creationId xmlns:a16="http://schemas.microsoft.com/office/drawing/2014/main" id="{D2BBE8B5-93ED-825E-D17B-1C2EBD84A5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9" name="Straight Connector 535">
            <a:extLst>
              <a:ext uri="{FF2B5EF4-FFF2-40B4-BE49-F238E27FC236}">
                <a16:creationId xmlns:a16="http://schemas.microsoft.com/office/drawing/2014/main" id="{779141AC-8EF3-D7BC-6A0E-24194BCC6E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0" name="Straight Connector 537">
            <a:extLst>
              <a:ext uri="{FF2B5EF4-FFF2-40B4-BE49-F238E27FC236}">
                <a16:creationId xmlns:a16="http://schemas.microsoft.com/office/drawing/2014/main" id="{FB6DD9C3-7CA4-918B-8923-2B41F2125C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11" name="Group 1008">
          <a:extLst>
            <a:ext uri="{FF2B5EF4-FFF2-40B4-BE49-F238E27FC236}">
              <a16:creationId xmlns:a16="http://schemas.microsoft.com/office/drawing/2014/main" id="{0BAA62C7-DC6F-41E3-B0D7-E268E8AB74E8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12" name="Straight Connector 711">
            <a:extLst>
              <a:ext uri="{FF2B5EF4-FFF2-40B4-BE49-F238E27FC236}">
                <a16:creationId xmlns:a16="http://schemas.microsoft.com/office/drawing/2014/main" id="{AADEA6CE-75BD-A64F-C494-C92347FA2EC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13" name="Straight Connector 529">
            <a:extLst>
              <a:ext uri="{FF2B5EF4-FFF2-40B4-BE49-F238E27FC236}">
                <a16:creationId xmlns:a16="http://schemas.microsoft.com/office/drawing/2014/main" id="{82EACEEA-7ABC-0896-2075-0F533E34B30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4" name="Straight Connector 531">
            <a:extLst>
              <a:ext uri="{FF2B5EF4-FFF2-40B4-BE49-F238E27FC236}">
                <a16:creationId xmlns:a16="http://schemas.microsoft.com/office/drawing/2014/main" id="{9AC825E6-223C-0821-3970-7EB648873D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5" name="Straight Connector 533">
            <a:extLst>
              <a:ext uri="{FF2B5EF4-FFF2-40B4-BE49-F238E27FC236}">
                <a16:creationId xmlns:a16="http://schemas.microsoft.com/office/drawing/2014/main" id="{9116F365-146C-F413-F19F-1F2EA1863A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6" name="Straight Connector 535">
            <a:extLst>
              <a:ext uri="{FF2B5EF4-FFF2-40B4-BE49-F238E27FC236}">
                <a16:creationId xmlns:a16="http://schemas.microsoft.com/office/drawing/2014/main" id="{E277D019-8776-1435-2BFB-151821D68B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7" name="Straight Connector 537">
            <a:extLst>
              <a:ext uri="{FF2B5EF4-FFF2-40B4-BE49-F238E27FC236}">
                <a16:creationId xmlns:a16="http://schemas.microsoft.com/office/drawing/2014/main" id="{EDD62894-4BD7-6D98-D62F-9F0BA2EB1B9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18" name="Group 1008">
          <a:extLst>
            <a:ext uri="{FF2B5EF4-FFF2-40B4-BE49-F238E27FC236}">
              <a16:creationId xmlns:a16="http://schemas.microsoft.com/office/drawing/2014/main" id="{7815775F-CAEB-4D30-8B51-894FC54C5480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19" name="Straight Connector 718">
            <a:extLst>
              <a:ext uri="{FF2B5EF4-FFF2-40B4-BE49-F238E27FC236}">
                <a16:creationId xmlns:a16="http://schemas.microsoft.com/office/drawing/2014/main" id="{3A41D8E5-D604-205E-4BD5-0CD57C17305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20" name="Straight Connector 529">
            <a:extLst>
              <a:ext uri="{FF2B5EF4-FFF2-40B4-BE49-F238E27FC236}">
                <a16:creationId xmlns:a16="http://schemas.microsoft.com/office/drawing/2014/main" id="{AA124941-7718-BCC8-1551-EC8A3E85BC6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1" name="Straight Connector 531">
            <a:extLst>
              <a:ext uri="{FF2B5EF4-FFF2-40B4-BE49-F238E27FC236}">
                <a16:creationId xmlns:a16="http://schemas.microsoft.com/office/drawing/2014/main" id="{F93D1903-2959-0A9A-25DE-36F1C8C59C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2" name="Straight Connector 533">
            <a:extLst>
              <a:ext uri="{FF2B5EF4-FFF2-40B4-BE49-F238E27FC236}">
                <a16:creationId xmlns:a16="http://schemas.microsoft.com/office/drawing/2014/main" id="{82D2AFB0-B19B-66F5-1683-F787F6B035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3" name="Straight Connector 535">
            <a:extLst>
              <a:ext uri="{FF2B5EF4-FFF2-40B4-BE49-F238E27FC236}">
                <a16:creationId xmlns:a16="http://schemas.microsoft.com/office/drawing/2014/main" id="{54E6488A-38D6-0C1E-2134-32C686CCA4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4" name="Straight Connector 537">
            <a:extLst>
              <a:ext uri="{FF2B5EF4-FFF2-40B4-BE49-F238E27FC236}">
                <a16:creationId xmlns:a16="http://schemas.microsoft.com/office/drawing/2014/main" id="{C72F2738-09D8-43BC-86C7-D0565C2BF0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25" name="Group 1008">
          <a:extLst>
            <a:ext uri="{FF2B5EF4-FFF2-40B4-BE49-F238E27FC236}">
              <a16:creationId xmlns:a16="http://schemas.microsoft.com/office/drawing/2014/main" id="{725FE25D-BA0B-422E-BC30-69648BE28B0C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26" name="Straight Connector 725">
            <a:extLst>
              <a:ext uri="{FF2B5EF4-FFF2-40B4-BE49-F238E27FC236}">
                <a16:creationId xmlns:a16="http://schemas.microsoft.com/office/drawing/2014/main" id="{5B876C47-9066-46B1-3812-775EB825BEF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27" name="Straight Connector 529">
            <a:extLst>
              <a:ext uri="{FF2B5EF4-FFF2-40B4-BE49-F238E27FC236}">
                <a16:creationId xmlns:a16="http://schemas.microsoft.com/office/drawing/2014/main" id="{CAFD36D7-1D25-A6B1-7588-B4F2BACFA95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8" name="Straight Connector 531">
            <a:extLst>
              <a:ext uri="{FF2B5EF4-FFF2-40B4-BE49-F238E27FC236}">
                <a16:creationId xmlns:a16="http://schemas.microsoft.com/office/drawing/2014/main" id="{1F96D6BF-621B-5900-489A-B6199415A0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9" name="Straight Connector 533">
            <a:extLst>
              <a:ext uri="{FF2B5EF4-FFF2-40B4-BE49-F238E27FC236}">
                <a16:creationId xmlns:a16="http://schemas.microsoft.com/office/drawing/2014/main" id="{0DF8AC6D-6E13-974D-6821-7B5E9D704E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0" name="Straight Connector 535">
            <a:extLst>
              <a:ext uri="{FF2B5EF4-FFF2-40B4-BE49-F238E27FC236}">
                <a16:creationId xmlns:a16="http://schemas.microsoft.com/office/drawing/2014/main" id="{25F5C84A-100A-209C-B57F-BC676BCD8F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1" name="Straight Connector 537">
            <a:extLst>
              <a:ext uri="{FF2B5EF4-FFF2-40B4-BE49-F238E27FC236}">
                <a16:creationId xmlns:a16="http://schemas.microsoft.com/office/drawing/2014/main" id="{248E3233-B1FD-0B35-FA99-9B21D8690ED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32" name="Group 1008">
          <a:extLst>
            <a:ext uri="{FF2B5EF4-FFF2-40B4-BE49-F238E27FC236}">
              <a16:creationId xmlns:a16="http://schemas.microsoft.com/office/drawing/2014/main" id="{2004A89A-D33D-4F89-9AC2-8703018339A3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33" name="Straight Connector 732">
            <a:extLst>
              <a:ext uri="{FF2B5EF4-FFF2-40B4-BE49-F238E27FC236}">
                <a16:creationId xmlns:a16="http://schemas.microsoft.com/office/drawing/2014/main" id="{EAD0630F-B00A-0A69-D1DC-7AE400D89B9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34" name="Straight Connector 529">
            <a:extLst>
              <a:ext uri="{FF2B5EF4-FFF2-40B4-BE49-F238E27FC236}">
                <a16:creationId xmlns:a16="http://schemas.microsoft.com/office/drawing/2014/main" id="{E0BF01D3-DAAC-0E24-EC0F-6D3B1EE99E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5" name="Straight Connector 531">
            <a:extLst>
              <a:ext uri="{FF2B5EF4-FFF2-40B4-BE49-F238E27FC236}">
                <a16:creationId xmlns:a16="http://schemas.microsoft.com/office/drawing/2014/main" id="{5EE1CF85-8B47-3E5B-D931-3CF7949341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6" name="Straight Connector 533">
            <a:extLst>
              <a:ext uri="{FF2B5EF4-FFF2-40B4-BE49-F238E27FC236}">
                <a16:creationId xmlns:a16="http://schemas.microsoft.com/office/drawing/2014/main" id="{762C5A68-9778-2E76-168A-5CEDEA6448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7" name="Straight Connector 535">
            <a:extLst>
              <a:ext uri="{FF2B5EF4-FFF2-40B4-BE49-F238E27FC236}">
                <a16:creationId xmlns:a16="http://schemas.microsoft.com/office/drawing/2014/main" id="{DD80CD92-1EB5-3F8E-855E-E04851EBAA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8" name="Straight Connector 537">
            <a:extLst>
              <a:ext uri="{FF2B5EF4-FFF2-40B4-BE49-F238E27FC236}">
                <a16:creationId xmlns:a16="http://schemas.microsoft.com/office/drawing/2014/main" id="{7F0F9CA1-4449-97C3-E55D-5C327DE9E4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39" name="Group 1008">
          <a:extLst>
            <a:ext uri="{FF2B5EF4-FFF2-40B4-BE49-F238E27FC236}">
              <a16:creationId xmlns:a16="http://schemas.microsoft.com/office/drawing/2014/main" id="{6FA57E29-6840-4886-9AE0-E6F2656A81F4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40" name="Straight Connector 739">
            <a:extLst>
              <a:ext uri="{FF2B5EF4-FFF2-40B4-BE49-F238E27FC236}">
                <a16:creationId xmlns:a16="http://schemas.microsoft.com/office/drawing/2014/main" id="{B2C8A259-21EA-C19D-5E13-8442407CCD2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41" name="Straight Connector 529">
            <a:extLst>
              <a:ext uri="{FF2B5EF4-FFF2-40B4-BE49-F238E27FC236}">
                <a16:creationId xmlns:a16="http://schemas.microsoft.com/office/drawing/2014/main" id="{6102AF3C-8242-9C6B-0469-A72A5B6FD8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2" name="Straight Connector 531">
            <a:extLst>
              <a:ext uri="{FF2B5EF4-FFF2-40B4-BE49-F238E27FC236}">
                <a16:creationId xmlns:a16="http://schemas.microsoft.com/office/drawing/2014/main" id="{2B40923E-59BF-93F4-E2B2-CBC04161FD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3" name="Straight Connector 533">
            <a:extLst>
              <a:ext uri="{FF2B5EF4-FFF2-40B4-BE49-F238E27FC236}">
                <a16:creationId xmlns:a16="http://schemas.microsoft.com/office/drawing/2014/main" id="{F0D72EC4-3F7A-EDA0-0DB7-024D357CDB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4" name="Straight Connector 535">
            <a:extLst>
              <a:ext uri="{FF2B5EF4-FFF2-40B4-BE49-F238E27FC236}">
                <a16:creationId xmlns:a16="http://schemas.microsoft.com/office/drawing/2014/main" id="{A17CF997-D5EB-AE32-671D-E0F8CB345A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5" name="Straight Connector 537">
            <a:extLst>
              <a:ext uri="{FF2B5EF4-FFF2-40B4-BE49-F238E27FC236}">
                <a16:creationId xmlns:a16="http://schemas.microsoft.com/office/drawing/2014/main" id="{8E8E2226-9B25-3C5F-940E-33C80398E9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46" name="Group 1008">
          <a:extLst>
            <a:ext uri="{FF2B5EF4-FFF2-40B4-BE49-F238E27FC236}">
              <a16:creationId xmlns:a16="http://schemas.microsoft.com/office/drawing/2014/main" id="{A5A37642-088F-46DF-95ED-EE437926DBB7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47" name="Straight Connector 746">
            <a:extLst>
              <a:ext uri="{FF2B5EF4-FFF2-40B4-BE49-F238E27FC236}">
                <a16:creationId xmlns:a16="http://schemas.microsoft.com/office/drawing/2014/main" id="{0D7113E7-3EF2-5038-7A5E-ED6D9612AC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48" name="Straight Connector 529">
            <a:extLst>
              <a:ext uri="{FF2B5EF4-FFF2-40B4-BE49-F238E27FC236}">
                <a16:creationId xmlns:a16="http://schemas.microsoft.com/office/drawing/2014/main" id="{4015F4E8-7CCE-83CD-B12E-C677E47816F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9" name="Straight Connector 531">
            <a:extLst>
              <a:ext uri="{FF2B5EF4-FFF2-40B4-BE49-F238E27FC236}">
                <a16:creationId xmlns:a16="http://schemas.microsoft.com/office/drawing/2014/main" id="{72963DCD-EA2B-7F1D-5D6D-273B16B1849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0" name="Straight Connector 533">
            <a:extLst>
              <a:ext uri="{FF2B5EF4-FFF2-40B4-BE49-F238E27FC236}">
                <a16:creationId xmlns:a16="http://schemas.microsoft.com/office/drawing/2014/main" id="{7AE59E3F-12C7-8D3C-D300-8C4C9A533D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1" name="Straight Connector 535">
            <a:extLst>
              <a:ext uri="{FF2B5EF4-FFF2-40B4-BE49-F238E27FC236}">
                <a16:creationId xmlns:a16="http://schemas.microsoft.com/office/drawing/2014/main" id="{D6B29E6B-B536-4626-8F33-8123F1B50E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2" name="Straight Connector 537">
            <a:extLst>
              <a:ext uri="{FF2B5EF4-FFF2-40B4-BE49-F238E27FC236}">
                <a16:creationId xmlns:a16="http://schemas.microsoft.com/office/drawing/2014/main" id="{E011787C-DA4F-C7A7-1267-F9C686C3DB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53" name="Group 1008">
          <a:extLst>
            <a:ext uri="{FF2B5EF4-FFF2-40B4-BE49-F238E27FC236}">
              <a16:creationId xmlns:a16="http://schemas.microsoft.com/office/drawing/2014/main" id="{587856C3-04E4-43E0-85F1-81AA44EE1768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54" name="Straight Connector 753">
            <a:extLst>
              <a:ext uri="{FF2B5EF4-FFF2-40B4-BE49-F238E27FC236}">
                <a16:creationId xmlns:a16="http://schemas.microsoft.com/office/drawing/2014/main" id="{3CA6049D-FEFC-2BCE-71D0-291DC733D3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55" name="Straight Connector 529">
            <a:extLst>
              <a:ext uri="{FF2B5EF4-FFF2-40B4-BE49-F238E27FC236}">
                <a16:creationId xmlns:a16="http://schemas.microsoft.com/office/drawing/2014/main" id="{015BCB91-B671-401D-D4CC-B6D518D109E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6" name="Straight Connector 531">
            <a:extLst>
              <a:ext uri="{FF2B5EF4-FFF2-40B4-BE49-F238E27FC236}">
                <a16:creationId xmlns:a16="http://schemas.microsoft.com/office/drawing/2014/main" id="{0EA38597-A0D8-DB25-806B-5FA4CFC1EF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7" name="Straight Connector 533">
            <a:extLst>
              <a:ext uri="{FF2B5EF4-FFF2-40B4-BE49-F238E27FC236}">
                <a16:creationId xmlns:a16="http://schemas.microsoft.com/office/drawing/2014/main" id="{150E6952-FBAF-7C63-FB22-13B2DAB6EB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8" name="Straight Connector 535">
            <a:extLst>
              <a:ext uri="{FF2B5EF4-FFF2-40B4-BE49-F238E27FC236}">
                <a16:creationId xmlns:a16="http://schemas.microsoft.com/office/drawing/2014/main" id="{C6855F53-D879-00EC-4F03-1790F035015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9" name="Straight Connector 537">
            <a:extLst>
              <a:ext uri="{FF2B5EF4-FFF2-40B4-BE49-F238E27FC236}">
                <a16:creationId xmlns:a16="http://schemas.microsoft.com/office/drawing/2014/main" id="{8FCFD44F-0B4A-B6CA-AB87-EC7092A8E7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60" name="Group 1008">
          <a:extLst>
            <a:ext uri="{FF2B5EF4-FFF2-40B4-BE49-F238E27FC236}">
              <a16:creationId xmlns:a16="http://schemas.microsoft.com/office/drawing/2014/main" id="{29023615-E367-4B6E-B37F-2E2D551E450F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61" name="Straight Connector 760">
            <a:extLst>
              <a:ext uri="{FF2B5EF4-FFF2-40B4-BE49-F238E27FC236}">
                <a16:creationId xmlns:a16="http://schemas.microsoft.com/office/drawing/2014/main" id="{D892DDC7-3E7F-71DF-0086-2A86C3450C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62" name="Straight Connector 529">
            <a:extLst>
              <a:ext uri="{FF2B5EF4-FFF2-40B4-BE49-F238E27FC236}">
                <a16:creationId xmlns:a16="http://schemas.microsoft.com/office/drawing/2014/main" id="{973CF2FC-18A1-C13F-99EE-017E051AB8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3" name="Straight Connector 531">
            <a:extLst>
              <a:ext uri="{FF2B5EF4-FFF2-40B4-BE49-F238E27FC236}">
                <a16:creationId xmlns:a16="http://schemas.microsoft.com/office/drawing/2014/main" id="{13B77DCA-1FB2-24FA-ADBD-F9F983B439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4" name="Straight Connector 533">
            <a:extLst>
              <a:ext uri="{FF2B5EF4-FFF2-40B4-BE49-F238E27FC236}">
                <a16:creationId xmlns:a16="http://schemas.microsoft.com/office/drawing/2014/main" id="{F19BBC53-E824-3AA4-CCA6-774E5C3B1F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5" name="Straight Connector 535">
            <a:extLst>
              <a:ext uri="{FF2B5EF4-FFF2-40B4-BE49-F238E27FC236}">
                <a16:creationId xmlns:a16="http://schemas.microsoft.com/office/drawing/2014/main" id="{E2AFB173-6E0E-78B9-0D6B-A7A2205CB9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6" name="Straight Connector 537">
            <a:extLst>
              <a:ext uri="{FF2B5EF4-FFF2-40B4-BE49-F238E27FC236}">
                <a16:creationId xmlns:a16="http://schemas.microsoft.com/office/drawing/2014/main" id="{1CC1D943-7133-5D7C-59B9-E6E8F17764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67" name="Group 1008">
          <a:extLst>
            <a:ext uri="{FF2B5EF4-FFF2-40B4-BE49-F238E27FC236}">
              <a16:creationId xmlns:a16="http://schemas.microsoft.com/office/drawing/2014/main" id="{4AD2D205-641E-4678-8B55-56FED835E909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68" name="Straight Connector 767">
            <a:extLst>
              <a:ext uri="{FF2B5EF4-FFF2-40B4-BE49-F238E27FC236}">
                <a16:creationId xmlns:a16="http://schemas.microsoft.com/office/drawing/2014/main" id="{77B371BA-1A4F-7248-692B-581E112A35F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69" name="Straight Connector 529">
            <a:extLst>
              <a:ext uri="{FF2B5EF4-FFF2-40B4-BE49-F238E27FC236}">
                <a16:creationId xmlns:a16="http://schemas.microsoft.com/office/drawing/2014/main" id="{A6C6C6E1-D456-EC3C-0058-BA32D07C2D3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0" name="Straight Connector 531">
            <a:extLst>
              <a:ext uri="{FF2B5EF4-FFF2-40B4-BE49-F238E27FC236}">
                <a16:creationId xmlns:a16="http://schemas.microsoft.com/office/drawing/2014/main" id="{B1867BCA-A82F-77FA-9F86-66376298DF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1" name="Straight Connector 533">
            <a:extLst>
              <a:ext uri="{FF2B5EF4-FFF2-40B4-BE49-F238E27FC236}">
                <a16:creationId xmlns:a16="http://schemas.microsoft.com/office/drawing/2014/main" id="{E4215DFA-3499-44B3-CA1E-A4E03744AA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2" name="Straight Connector 535">
            <a:extLst>
              <a:ext uri="{FF2B5EF4-FFF2-40B4-BE49-F238E27FC236}">
                <a16:creationId xmlns:a16="http://schemas.microsoft.com/office/drawing/2014/main" id="{ED9EE5B1-CF65-B4BB-9E46-44724BFD04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3" name="Straight Connector 537">
            <a:extLst>
              <a:ext uri="{FF2B5EF4-FFF2-40B4-BE49-F238E27FC236}">
                <a16:creationId xmlns:a16="http://schemas.microsoft.com/office/drawing/2014/main" id="{FD8AFDCD-E6F9-518F-5070-C7A226A09E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74" name="Group 1008">
          <a:extLst>
            <a:ext uri="{FF2B5EF4-FFF2-40B4-BE49-F238E27FC236}">
              <a16:creationId xmlns:a16="http://schemas.microsoft.com/office/drawing/2014/main" id="{DE99E1C5-D6CA-44AE-81EA-E1133B1DC8DD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75" name="Straight Connector 774">
            <a:extLst>
              <a:ext uri="{FF2B5EF4-FFF2-40B4-BE49-F238E27FC236}">
                <a16:creationId xmlns:a16="http://schemas.microsoft.com/office/drawing/2014/main" id="{B2F4E866-9F5D-5234-56C7-1EA05D401EC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76" name="Straight Connector 529">
            <a:extLst>
              <a:ext uri="{FF2B5EF4-FFF2-40B4-BE49-F238E27FC236}">
                <a16:creationId xmlns:a16="http://schemas.microsoft.com/office/drawing/2014/main" id="{91363547-2712-427A-CF11-321200F872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7" name="Straight Connector 531">
            <a:extLst>
              <a:ext uri="{FF2B5EF4-FFF2-40B4-BE49-F238E27FC236}">
                <a16:creationId xmlns:a16="http://schemas.microsoft.com/office/drawing/2014/main" id="{0708F534-2485-A878-D55D-3E0BAA19E89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8" name="Straight Connector 533">
            <a:extLst>
              <a:ext uri="{FF2B5EF4-FFF2-40B4-BE49-F238E27FC236}">
                <a16:creationId xmlns:a16="http://schemas.microsoft.com/office/drawing/2014/main" id="{B271964B-3ACC-F6CE-B2A8-8C920D404B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9" name="Straight Connector 535">
            <a:extLst>
              <a:ext uri="{FF2B5EF4-FFF2-40B4-BE49-F238E27FC236}">
                <a16:creationId xmlns:a16="http://schemas.microsoft.com/office/drawing/2014/main" id="{E74C9213-7231-5AA6-80A4-2DB7B7FF204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80" name="Straight Connector 537">
            <a:extLst>
              <a:ext uri="{FF2B5EF4-FFF2-40B4-BE49-F238E27FC236}">
                <a16:creationId xmlns:a16="http://schemas.microsoft.com/office/drawing/2014/main" id="{CF585C41-D662-1603-3C88-F7E160532F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37</xdr:row>
      <xdr:rowOff>57150</xdr:rowOff>
    </xdr:from>
    <xdr:to>
      <xdr:col>17</xdr:col>
      <xdr:colOff>0</xdr:colOff>
      <xdr:row>39</xdr:row>
      <xdr:rowOff>0</xdr:rowOff>
    </xdr:to>
    <xdr:sp macro="" textlink="">
      <xdr:nvSpPr>
        <xdr:cNvPr id="781" name="AutoShape 46">
          <a:extLst>
            <a:ext uri="{FF2B5EF4-FFF2-40B4-BE49-F238E27FC236}">
              <a16:creationId xmlns:a16="http://schemas.microsoft.com/office/drawing/2014/main" id="{C2156FE0-ED15-42A3-8FF7-720E4F4F7EB8}"/>
            </a:ext>
          </a:extLst>
        </xdr:cNvPr>
        <xdr:cNvSpPr>
          <a:spLocks noChangeArrowheads="1"/>
        </xdr:cNvSpPr>
      </xdr:nvSpPr>
      <xdr:spPr bwMode="auto">
        <a:xfrm>
          <a:off x="4895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37</xdr:row>
      <xdr:rowOff>57150</xdr:rowOff>
    </xdr:from>
    <xdr:to>
      <xdr:col>19</xdr:col>
      <xdr:colOff>0</xdr:colOff>
      <xdr:row>39</xdr:row>
      <xdr:rowOff>0</xdr:rowOff>
    </xdr:to>
    <xdr:sp macro="" textlink="">
      <xdr:nvSpPr>
        <xdr:cNvPr id="782" name="AutoShape 46">
          <a:extLst>
            <a:ext uri="{FF2B5EF4-FFF2-40B4-BE49-F238E27FC236}">
              <a16:creationId xmlns:a16="http://schemas.microsoft.com/office/drawing/2014/main" id="{8F0846BD-2071-4658-A122-E51728A8A1DE}"/>
            </a:ext>
          </a:extLst>
        </xdr:cNvPr>
        <xdr:cNvSpPr>
          <a:spLocks noChangeArrowheads="1"/>
        </xdr:cNvSpPr>
      </xdr:nvSpPr>
      <xdr:spPr bwMode="auto">
        <a:xfrm>
          <a:off x="5467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37</xdr:row>
      <xdr:rowOff>57150</xdr:rowOff>
    </xdr:from>
    <xdr:to>
      <xdr:col>21</xdr:col>
      <xdr:colOff>0</xdr:colOff>
      <xdr:row>39</xdr:row>
      <xdr:rowOff>0</xdr:rowOff>
    </xdr:to>
    <xdr:sp macro="" textlink="">
      <xdr:nvSpPr>
        <xdr:cNvPr id="783" name="AutoShape 46">
          <a:extLst>
            <a:ext uri="{FF2B5EF4-FFF2-40B4-BE49-F238E27FC236}">
              <a16:creationId xmlns:a16="http://schemas.microsoft.com/office/drawing/2014/main" id="{5151DB78-7CD5-4774-B54F-CEFAFDBCEF53}"/>
            </a:ext>
          </a:extLst>
        </xdr:cNvPr>
        <xdr:cNvSpPr>
          <a:spLocks noChangeArrowheads="1"/>
        </xdr:cNvSpPr>
      </xdr:nvSpPr>
      <xdr:spPr bwMode="auto">
        <a:xfrm>
          <a:off x="6038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37</xdr:row>
      <xdr:rowOff>57150</xdr:rowOff>
    </xdr:from>
    <xdr:to>
      <xdr:col>23</xdr:col>
      <xdr:colOff>0</xdr:colOff>
      <xdr:row>39</xdr:row>
      <xdr:rowOff>0</xdr:rowOff>
    </xdr:to>
    <xdr:sp macro="" textlink="">
      <xdr:nvSpPr>
        <xdr:cNvPr id="784" name="AutoShape 46">
          <a:extLst>
            <a:ext uri="{FF2B5EF4-FFF2-40B4-BE49-F238E27FC236}">
              <a16:creationId xmlns:a16="http://schemas.microsoft.com/office/drawing/2014/main" id="{9FFB1D03-CA20-4715-91D2-DABCE51C4F26}"/>
            </a:ext>
          </a:extLst>
        </xdr:cNvPr>
        <xdr:cNvSpPr>
          <a:spLocks noChangeArrowheads="1"/>
        </xdr:cNvSpPr>
      </xdr:nvSpPr>
      <xdr:spPr bwMode="auto">
        <a:xfrm>
          <a:off x="6610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37</xdr:row>
      <xdr:rowOff>57150</xdr:rowOff>
    </xdr:from>
    <xdr:to>
      <xdr:col>25</xdr:col>
      <xdr:colOff>0</xdr:colOff>
      <xdr:row>39</xdr:row>
      <xdr:rowOff>0</xdr:rowOff>
    </xdr:to>
    <xdr:sp macro="" textlink="">
      <xdr:nvSpPr>
        <xdr:cNvPr id="785" name="AutoShape 46">
          <a:extLst>
            <a:ext uri="{FF2B5EF4-FFF2-40B4-BE49-F238E27FC236}">
              <a16:creationId xmlns:a16="http://schemas.microsoft.com/office/drawing/2014/main" id="{46A038A5-49BE-4F2B-B2AC-73BD7D5EC07C}"/>
            </a:ext>
          </a:extLst>
        </xdr:cNvPr>
        <xdr:cNvSpPr>
          <a:spLocks noChangeArrowheads="1"/>
        </xdr:cNvSpPr>
      </xdr:nvSpPr>
      <xdr:spPr bwMode="auto">
        <a:xfrm>
          <a:off x="7181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37</xdr:row>
      <xdr:rowOff>57150</xdr:rowOff>
    </xdr:from>
    <xdr:to>
      <xdr:col>27</xdr:col>
      <xdr:colOff>0</xdr:colOff>
      <xdr:row>39</xdr:row>
      <xdr:rowOff>0</xdr:rowOff>
    </xdr:to>
    <xdr:sp macro="" textlink="">
      <xdr:nvSpPr>
        <xdr:cNvPr id="786" name="AutoShape 46">
          <a:extLst>
            <a:ext uri="{FF2B5EF4-FFF2-40B4-BE49-F238E27FC236}">
              <a16:creationId xmlns:a16="http://schemas.microsoft.com/office/drawing/2014/main" id="{520131C3-BF0A-4943-B02B-C4CD328B32DC}"/>
            </a:ext>
          </a:extLst>
        </xdr:cNvPr>
        <xdr:cNvSpPr>
          <a:spLocks noChangeArrowheads="1"/>
        </xdr:cNvSpPr>
      </xdr:nvSpPr>
      <xdr:spPr bwMode="auto">
        <a:xfrm>
          <a:off x="7753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37</xdr:row>
      <xdr:rowOff>57150</xdr:rowOff>
    </xdr:from>
    <xdr:to>
      <xdr:col>29</xdr:col>
      <xdr:colOff>0</xdr:colOff>
      <xdr:row>39</xdr:row>
      <xdr:rowOff>0</xdr:rowOff>
    </xdr:to>
    <xdr:sp macro="" textlink="">
      <xdr:nvSpPr>
        <xdr:cNvPr id="787" name="AutoShape 46">
          <a:extLst>
            <a:ext uri="{FF2B5EF4-FFF2-40B4-BE49-F238E27FC236}">
              <a16:creationId xmlns:a16="http://schemas.microsoft.com/office/drawing/2014/main" id="{7520B36F-A500-48B0-AEC8-E991315747BC}"/>
            </a:ext>
          </a:extLst>
        </xdr:cNvPr>
        <xdr:cNvSpPr>
          <a:spLocks noChangeArrowheads="1"/>
        </xdr:cNvSpPr>
      </xdr:nvSpPr>
      <xdr:spPr bwMode="auto">
        <a:xfrm>
          <a:off x="8382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37</xdr:row>
      <xdr:rowOff>57150</xdr:rowOff>
    </xdr:from>
    <xdr:to>
      <xdr:col>31</xdr:col>
      <xdr:colOff>0</xdr:colOff>
      <xdr:row>39</xdr:row>
      <xdr:rowOff>0</xdr:rowOff>
    </xdr:to>
    <xdr:sp macro="" textlink="">
      <xdr:nvSpPr>
        <xdr:cNvPr id="788" name="AutoShape 46">
          <a:extLst>
            <a:ext uri="{FF2B5EF4-FFF2-40B4-BE49-F238E27FC236}">
              <a16:creationId xmlns:a16="http://schemas.microsoft.com/office/drawing/2014/main" id="{C60CC316-757A-4D60-A120-ADB922236BCA}"/>
            </a:ext>
          </a:extLst>
        </xdr:cNvPr>
        <xdr:cNvSpPr>
          <a:spLocks noChangeArrowheads="1"/>
        </xdr:cNvSpPr>
      </xdr:nvSpPr>
      <xdr:spPr bwMode="auto">
        <a:xfrm>
          <a:off x="8953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37</xdr:row>
      <xdr:rowOff>57150</xdr:rowOff>
    </xdr:from>
    <xdr:to>
      <xdr:col>33</xdr:col>
      <xdr:colOff>0</xdr:colOff>
      <xdr:row>39</xdr:row>
      <xdr:rowOff>0</xdr:rowOff>
    </xdr:to>
    <xdr:sp macro="" textlink="">
      <xdr:nvSpPr>
        <xdr:cNvPr id="789" name="AutoShape 46">
          <a:extLst>
            <a:ext uri="{FF2B5EF4-FFF2-40B4-BE49-F238E27FC236}">
              <a16:creationId xmlns:a16="http://schemas.microsoft.com/office/drawing/2014/main" id="{3D31BFB0-55FF-478F-B514-D2C9CF3062D6}"/>
            </a:ext>
          </a:extLst>
        </xdr:cNvPr>
        <xdr:cNvSpPr>
          <a:spLocks noChangeArrowheads="1"/>
        </xdr:cNvSpPr>
      </xdr:nvSpPr>
      <xdr:spPr bwMode="auto">
        <a:xfrm>
          <a:off x="9525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37</xdr:row>
      <xdr:rowOff>57150</xdr:rowOff>
    </xdr:from>
    <xdr:to>
      <xdr:col>35</xdr:col>
      <xdr:colOff>0</xdr:colOff>
      <xdr:row>39</xdr:row>
      <xdr:rowOff>0</xdr:rowOff>
    </xdr:to>
    <xdr:sp macro="" textlink="">
      <xdr:nvSpPr>
        <xdr:cNvPr id="790" name="AutoShape 46">
          <a:extLst>
            <a:ext uri="{FF2B5EF4-FFF2-40B4-BE49-F238E27FC236}">
              <a16:creationId xmlns:a16="http://schemas.microsoft.com/office/drawing/2014/main" id="{D7E616F6-58BF-4031-A632-1E2D02BE4199}"/>
            </a:ext>
          </a:extLst>
        </xdr:cNvPr>
        <xdr:cNvSpPr>
          <a:spLocks noChangeArrowheads="1"/>
        </xdr:cNvSpPr>
      </xdr:nvSpPr>
      <xdr:spPr bwMode="auto">
        <a:xfrm>
          <a:off x="10096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37</xdr:row>
      <xdr:rowOff>57150</xdr:rowOff>
    </xdr:from>
    <xdr:to>
      <xdr:col>37</xdr:col>
      <xdr:colOff>0</xdr:colOff>
      <xdr:row>39</xdr:row>
      <xdr:rowOff>0</xdr:rowOff>
    </xdr:to>
    <xdr:sp macro="" textlink="">
      <xdr:nvSpPr>
        <xdr:cNvPr id="791" name="AutoShape 46">
          <a:extLst>
            <a:ext uri="{FF2B5EF4-FFF2-40B4-BE49-F238E27FC236}">
              <a16:creationId xmlns:a16="http://schemas.microsoft.com/office/drawing/2014/main" id="{D16F5B94-5C01-4EA8-B887-F63E4BF699B7}"/>
            </a:ext>
          </a:extLst>
        </xdr:cNvPr>
        <xdr:cNvSpPr>
          <a:spLocks noChangeArrowheads="1"/>
        </xdr:cNvSpPr>
      </xdr:nvSpPr>
      <xdr:spPr bwMode="auto">
        <a:xfrm>
          <a:off x="11324167" y="7349067"/>
          <a:ext cx="38100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37</xdr:row>
      <xdr:rowOff>57150</xdr:rowOff>
    </xdr:from>
    <xdr:to>
      <xdr:col>39</xdr:col>
      <xdr:colOff>0</xdr:colOff>
      <xdr:row>39</xdr:row>
      <xdr:rowOff>0</xdr:rowOff>
    </xdr:to>
    <xdr:sp macro="" textlink="">
      <xdr:nvSpPr>
        <xdr:cNvPr id="792" name="AutoShape 46">
          <a:extLst>
            <a:ext uri="{FF2B5EF4-FFF2-40B4-BE49-F238E27FC236}">
              <a16:creationId xmlns:a16="http://schemas.microsoft.com/office/drawing/2014/main" id="{075F06A9-5E5F-43FE-85A2-7608A1F7084D}"/>
            </a:ext>
          </a:extLst>
        </xdr:cNvPr>
        <xdr:cNvSpPr>
          <a:spLocks noChangeArrowheads="1"/>
        </xdr:cNvSpPr>
      </xdr:nvSpPr>
      <xdr:spPr bwMode="auto">
        <a:xfrm>
          <a:off x="11239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37</xdr:row>
      <xdr:rowOff>57150</xdr:rowOff>
    </xdr:from>
    <xdr:to>
      <xdr:col>41</xdr:col>
      <xdr:colOff>0</xdr:colOff>
      <xdr:row>39</xdr:row>
      <xdr:rowOff>0</xdr:rowOff>
    </xdr:to>
    <xdr:sp macro="" textlink="">
      <xdr:nvSpPr>
        <xdr:cNvPr id="793" name="AutoShape 46">
          <a:extLst>
            <a:ext uri="{FF2B5EF4-FFF2-40B4-BE49-F238E27FC236}">
              <a16:creationId xmlns:a16="http://schemas.microsoft.com/office/drawing/2014/main" id="{6FF4AD3F-1FC3-4AE3-956E-D0F4D2F2A22E}"/>
            </a:ext>
          </a:extLst>
        </xdr:cNvPr>
        <xdr:cNvSpPr>
          <a:spLocks noChangeArrowheads="1"/>
        </xdr:cNvSpPr>
      </xdr:nvSpPr>
      <xdr:spPr bwMode="auto">
        <a:xfrm>
          <a:off x="11811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37</xdr:row>
      <xdr:rowOff>29158</xdr:rowOff>
    </xdr:from>
    <xdr:to>
      <xdr:col>42</xdr:col>
      <xdr:colOff>320740</xdr:colOff>
      <xdr:row>39</xdr:row>
      <xdr:rowOff>0</xdr:rowOff>
    </xdr:to>
    <xdr:sp macro="" textlink="">
      <xdr:nvSpPr>
        <xdr:cNvPr id="794" name="AutoShape 46">
          <a:extLst>
            <a:ext uri="{FF2B5EF4-FFF2-40B4-BE49-F238E27FC236}">
              <a16:creationId xmlns:a16="http://schemas.microsoft.com/office/drawing/2014/main" id="{1A44A7C9-BA19-4767-AD06-3337C15D43E4}"/>
            </a:ext>
          </a:extLst>
        </xdr:cNvPr>
        <xdr:cNvSpPr>
          <a:spLocks noChangeArrowheads="1"/>
        </xdr:cNvSpPr>
      </xdr:nvSpPr>
      <xdr:spPr bwMode="auto">
        <a:xfrm>
          <a:off x="13403036" y="7445051"/>
          <a:ext cx="320740" cy="35961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37</xdr:row>
      <xdr:rowOff>57150</xdr:rowOff>
    </xdr:from>
    <xdr:to>
      <xdr:col>45</xdr:col>
      <xdr:colOff>0</xdr:colOff>
      <xdr:row>39</xdr:row>
      <xdr:rowOff>0</xdr:rowOff>
    </xdr:to>
    <xdr:sp macro="" textlink="">
      <xdr:nvSpPr>
        <xdr:cNvPr id="795" name="AutoShape 46">
          <a:extLst>
            <a:ext uri="{FF2B5EF4-FFF2-40B4-BE49-F238E27FC236}">
              <a16:creationId xmlns:a16="http://schemas.microsoft.com/office/drawing/2014/main" id="{FB262775-BE65-43C8-A44A-0A790653953E}"/>
            </a:ext>
          </a:extLst>
        </xdr:cNvPr>
        <xdr:cNvSpPr>
          <a:spLocks noChangeArrowheads="1"/>
        </xdr:cNvSpPr>
      </xdr:nvSpPr>
      <xdr:spPr bwMode="auto">
        <a:xfrm>
          <a:off x="12954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37</xdr:row>
      <xdr:rowOff>57150</xdr:rowOff>
    </xdr:from>
    <xdr:to>
      <xdr:col>11</xdr:col>
      <xdr:colOff>0</xdr:colOff>
      <xdr:row>39</xdr:row>
      <xdr:rowOff>0</xdr:rowOff>
    </xdr:to>
    <xdr:sp macro="" textlink="">
      <xdr:nvSpPr>
        <xdr:cNvPr id="796" name="AutoShape 46">
          <a:extLst>
            <a:ext uri="{FF2B5EF4-FFF2-40B4-BE49-F238E27FC236}">
              <a16:creationId xmlns:a16="http://schemas.microsoft.com/office/drawing/2014/main" id="{01C59B0C-8EAB-48B9-B73F-FD77B5E894DF}"/>
            </a:ext>
          </a:extLst>
        </xdr:cNvPr>
        <xdr:cNvSpPr>
          <a:spLocks noChangeArrowheads="1"/>
        </xdr:cNvSpPr>
      </xdr:nvSpPr>
      <xdr:spPr bwMode="auto">
        <a:xfrm>
          <a:off x="3181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37</xdr:row>
      <xdr:rowOff>57150</xdr:rowOff>
    </xdr:from>
    <xdr:to>
      <xdr:col>13</xdr:col>
      <xdr:colOff>0</xdr:colOff>
      <xdr:row>39</xdr:row>
      <xdr:rowOff>0</xdr:rowOff>
    </xdr:to>
    <xdr:sp macro="" textlink="">
      <xdr:nvSpPr>
        <xdr:cNvPr id="797" name="AutoShape 46">
          <a:extLst>
            <a:ext uri="{FF2B5EF4-FFF2-40B4-BE49-F238E27FC236}">
              <a16:creationId xmlns:a16="http://schemas.microsoft.com/office/drawing/2014/main" id="{C871C7B3-8A34-4FFA-98D8-EF05D880D3D9}"/>
            </a:ext>
          </a:extLst>
        </xdr:cNvPr>
        <xdr:cNvSpPr>
          <a:spLocks noChangeArrowheads="1"/>
        </xdr:cNvSpPr>
      </xdr:nvSpPr>
      <xdr:spPr bwMode="auto">
        <a:xfrm>
          <a:off x="3752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37</xdr:row>
      <xdr:rowOff>57150</xdr:rowOff>
    </xdr:from>
    <xdr:to>
      <xdr:col>15</xdr:col>
      <xdr:colOff>0</xdr:colOff>
      <xdr:row>39</xdr:row>
      <xdr:rowOff>0</xdr:rowOff>
    </xdr:to>
    <xdr:sp macro="" textlink="">
      <xdr:nvSpPr>
        <xdr:cNvPr id="798" name="AutoShape 46">
          <a:extLst>
            <a:ext uri="{FF2B5EF4-FFF2-40B4-BE49-F238E27FC236}">
              <a16:creationId xmlns:a16="http://schemas.microsoft.com/office/drawing/2014/main" id="{087763A4-9CFA-4F87-96BE-C8EC48F0A8FF}"/>
            </a:ext>
          </a:extLst>
        </xdr:cNvPr>
        <xdr:cNvSpPr>
          <a:spLocks noChangeArrowheads="1"/>
        </xdr:cNvSpPr>
      </xdr:nvSpPr>
      <xdr:spPr bwMode="auto">
        <a:xfrm>
          <a:off x="4324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37</xdr:row>
      <xdr:rowOff>57150</xdr:rowOff>
    </xdr:from>
    <xdr:to>
      <xdr:col>9</xdr:col>
      <xdr:colOff>0</xdr:colOff>
      <xdr:row>39</xdr:row>
      <xdr:rowOff>0</xdr:rowOff>
    </xdr:to>
    <xdr:sp macro="" textlink="">
      <xdr:nvSpPr>
        <xdr:cNvPr id="799" name="AutoShape 46">
          <a:extLst>
            <a:ext uri="{FF2B5EF4-FFF2-40B4-BE49-F238E27FC236}">
              <a16:creationId xmlns:a16="http://schemas.microsoft.com/office/drawing/2014/main" id="{90299A2E-809C-4C6B-94A1-C8C803FA6597}"/>
            </a:ext>
          </a:extLst>
        </xdr:cNvPr>
        <xdr:cNvSpPr>
          <a:spLocks noChangeArrowheads="1"/>
        </xdr:cNvSpPr>
      </xdr:nvSpPr>
      <xdr:spPr bwMode="auto">
        <a:xfrm>
          <a:off x="2409825" y="715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37</xdr:row>
      <xdr:rowOff>57150</xdr:rowOff>
    </xdr:from>
    <xdr:to>
      <xdr:col>7</xdr:col>
      <xdr:colOff>0</xdr:colOff>
      <xdr:row>39</xdr:row>
      <xdr:rowOff>0</xdr:rowOff>
    </xdr:to>
    <xdr:sp macro="" textlink="">
      <xdr:nvSpPr>
        <xdr:cNvPr id="800" name="AutoShape 46">
          <a:extLst>
            <a:ext uri="{FF2B5EF4-FFF2-40B4-BE49-F238E27FC236}">
              <a16:creationId xmlns:a16="http://schemas.microsoft.com/office/drawing/2014/main" id="{B28B80C9-4635-4076-B8D1-5FDD13CBEDB6}"/>
            </a:ext>
          </a:extLst>
        </xdr:cNvPr>
        <xdr:cNvSpPr>
          <a:spLocks noChangeArrowheads="1"/>
        </xdr:cNvSpPr>
      </xdr:nvSpPr>
      <xdr:spPr bwMode="auto">
        <a:xfrm>
          <a:off x="1819275" y="715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37</xdr:row>
      <xdr:rowOff>57150</xdr:rowOff>
    </xdr:from>
    <xdr:to>
      <xdr:col>5</xdr:col>
      <xdr:colOff>0</xdr:colOff>
      <xdr:row>39</xdr:row>
      <xdr:rowOff>0</xdr:rowOff>
    </xdr:to>
    <xdr:sp macro="" textlink="">
      <xdr:nvSpPr>
        <xdr:cNvPr id="801" name="AutoShape 46">
          <a:extLst>
            <a:ext uri="{FF2B5EF4-FFF2-40B4-BE49-F238E27FC236}">
              <a16:creationId xmlns:a16="http://schemas.microsoft.com/office/drawing/2014/main" id="{3237200E-2584-4433-BED9-04AEB22D84F7}"/>
            </a:ext>
          </a:extLst>
        </xdr:cNvPr>
        <xdr:cNvSpPr>
          <a:spLocks noChangeArrowheads="1"/>
        </xdr:cNvSpPr>
      </xdr:nvSpPr>
      <xdr:spPr bwMode="auto">
        <a:xfrm>
          <a:off x="1095375" y="715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37</xdr:row>
      <xdr:rowOff>57150</xdr:rowOff>
    </xdr:from>
    <xdr:to>
      <xdr:col>3</xdr:col>
      <xdr:colOff>0</xdr:colOff>
      <xdr:row>39</xdr:row>
      <xdr:rowOff>0</xdr:rowOff>
    </xdr:to>
    <xdr:sp macro="" textlink="">
      <xdr:nvSpPr>
        <xdr:cNvPr id="802" name="AutoShape 46">
          <a:extLst>
            <a:ext uri="{FF2B5EF4-FFF2-40B4-BE49-F238E27FC236}">
              <a16:creationId xmlns:a16="http://schemas.microsoft.com/office/drawing/2014/main" id="{1CC19BA7-7D0B-4E55-B4AF-E77EBAF68FA6}"/>
            </a:ext>
          </a:extLst>
        </xdr:cNvPr>
        <xdr:cNvSpPr>
          <a:spLocks noChangeArrowheads="1"/>
        </xdr:cNvSpPr>
      </xdr:nvSpPr>
      <xdr:spPr bwMode="auto">
        <a:xfrm>
          <a:off x="523875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03" name="Group 1008">
          <a:extLst>
            <a:ext uri="{FF2B5EF4-FFF2-40B4-BE49-F238E27FC236}">
              <a16:creationId xmlns:a16="http://schemas.microsoft.com/office/drawing/2014/main" id="{18AD5E83-6E09-42C0-A3B3-4A56271F6720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04" name="Straight Connector 803">
            <a:extLst>
              <a:ext uri="{FF2B5EF4-FFF2-40B4-BE49-F238E27FC236}">
                <a16:creationId xmlns:a16="http://schemas.microsoft.com/office/drawing/2014/main" id="{82C7EE6B-1318-E108-981D-A495F44810A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05" name="Straight Connector 529">
            <a:extLst>
              <a:ext uri="{FF2B5EF4-FFF2-40B4-BE49-F238E27FC236}">
                <a16:creationId xmlns:a16="http://schemas.microsoft.com/office/drawing/2014/main" id="{F1BC6D69-46CF-FD5C-E229-6F61BA3816B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6" name="Straight Connector 531">
            <a:extLst>
              <a:ext uri="{FF2B5EF4-FFF2-40B4-BE49-F238E27FC236}">
                <a16:creationId xmlns:a16="http://schemas.microsoft.com/office/drawing/2014/main" id="{987F06F1-E38C-9C6C-3B00-E80824D5D1F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7" name="Straight Connector 533">
            <a:extLst>
              <a:ext uri="{FF2B5EF4-FFF2-40B4-BE49-F238E27FC236}">
                <a16:creationId xmlns:a16="http://schemas.microsoft.com/office/drawing/2014/main" id="{9587943E-921F-6AB1-4204-4A2AE5494D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8" name="Straight Connector 535">
            <a:extLst>
              <a:ext uri="{FF2B5EF4-FFF2-40B4-BE49-F238E27FC236}">
                <a16:creationId xmlns:a16="http://schemas.microsoft.com/office/drawing/2014/main" id="{DA6DD8CD-C710-780F-07B0-04459CD260D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9" name="Straight Connector 537">
            <a:extLst>
              <a:ext uri="{FF2B5EF4-FFF2-40B4-BE49-F238E27FC236}">
                <a16:creationId xmlns:a16="http://schemas.microsoft.com/office/drawing/2014/main" id="{984CCC11-1AD6-A219-F459-17D0E5B3E2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10" name="Group 1008">
          <a:extLst>
            <a:ext uri="{FF2B5EF4-FFF2-40B4-BE49-F238E27FC236}">
              <a16:creationId xmlns:a16="http://schemas.microsoft.com/office/drawing/2014/main" id="{656CB9DE-A29D-4F24-A964-5DB6455A0EC4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11" name="Straight Connector 810">
            <a:extLst>
              <a:ext uri="{FF2B5EF4-FFF2-40B4-BE49-F238E27FC236}">
                <a16:creationId xmlns:a16="http://schemas.microsoft.com/office/drawing/2014/main" id="{97770B8D-7F90-9EC3-D0B8-5123BD9F3254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12" name="Straight Connector 529">
            <a:extLst>
              <a:ext uri="{FF2B5EF4-FFF2-40B4-BE49-F238E27FC236}">
                <a16:creationId xmlns:a16="http://schemas.microsoft.com/office/drawing/2014/main" id="{1E49126D-A9E4-473B-11CE-485C6458074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3" name="Straight Connector 531">
            <a:extLst>
              <a:ext uri="{FF2B5EF4-FFF2-40B4-BE49-F238E27FC236}">
                <a16:creationId xmlns:a16="http://schemas.microsoft.com/office/drawing/2014/main" id="{EC42CFA5-2F93-C291-8738-1463D1DA1D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4" name="Straight Connector 533">
            <a:extLst>
              <a:ext uri="{FF2B5EF4-FFF2-40B4-BE49-F238E27FC236}">
                <a16:creationId xmlns:a16="http://schemas.microsoft.com/office/drawing/2014/main" id="{95D2DB6C-07E3-523A-9CFD-7F6267EB6A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5" name="Straight Connector 535">
            <a:extLst>
              <a:ext uri="{FF2B5EF4-FFF2-40B4-BE49-F238E27FC236}">
                <a16:creationId xmlns:a16="http://schemas.microsoft.com/office/drawing/2014/main" id="{A8010532-8848-7E0C-AA30-4E3C549747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6" name="Straight Connector 537">
            <a:extLst>
              <a:ext uri="{FF2B5EF4-FFF2-40B4-BE49-F238E27FC236}">
                <a16:creationId xmlns:a16="http://schemas.microsoft.com/office/drawing/2014/main" id="{6B65DD0F-9D74-E037-2205-C47D944C32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133350</xdr:rowOff>
    </xdr:from>
    <xdr:to>
      <xdr:col>6</xdr:col>
      <xdr:colOff>0</xdr:colOff>
      <xdr:row>49</xdr:row>
      <xdr:rowOff>47625</xdr:rowOff>
    </xdr:to>
    <xdr:grpSp>
      <xdr:nvGrpSpPr>
        <xdr:cNvPr id="817" name="Group 1008">
          <a:extLst>
            <a:ext uri="{FF2B5EF4-FFF2-40B4-BE49-F238E27FC236}">
              <a16:creationId xmlns:a16="http://schemas.microsoft.com/office/drawing/2014/main" id="{4CA7A247-78B7-4BC8-8A61-BE6970F497D6}"/>
            </a:ext>
          </a:extLst>
        </xdr:cNvPr>
        <xdr:cNvGrpSpPr>
          <a:grpSpLocks/>
        </xdr:cNvGrpSpPr>
      </xdr:nvGrpSpPr>
      <xdr:grpSpPr bwMode="auto">
        <a:xfrm>
          <a:off x="1807806" y="9535238"/>
          <a:ext cx="0" cy="102183"/>
          <a:chOff x="5475762" y="47760700"/>
          <a:chExt cx="314325" cy="230209"/>
        </a:xfrm>
      </xdr:grpSpPr>
      <xdr:cxnSp macro="">
        <xdr:nvCxnSpPr>
          <xdr:cNvPr id="818" name="Straight Connector 817">
            <a:extLst>
              <a:ext uri="{FF2B5EF4-FFF2-40B4-BE49-F238E27FC236}">
                <a16:creationId xmlns:a16="http://schemas.microsoft.com/office/drawing/2014/main" id="{0523D2A5-B8CD-CC64-5C94-1C98115DC390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19" name="Straight Connector 529">
            <a:extLst>
              <a:ext uri="{FF2B5EF4-FFF2-40B4-BE49-F238E27FC236}">
                <a16:creationId xmlns:a16="http://schemas.microsoft.com/office/drawing/2014/main" id="{300C38AD-39D3-EC06-4A58-E63D3DC66F9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0" name="Straight Connector 531">
            <a:extLst>
              <a:ext uri="{FF2B5EF4-FFF2-40B4-BE49-F238E27FC236}">
                <a16:creationId xmlns:a16="http://schemas.microsoft.com/office/drawing/2014/main" id="{BB019547-FCFC-B0F4-466A-50617395AF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1" name="Straight Connector 533">
            <a:extLst>
              <a:ext uri="{FF2B5EF4-FFF2-40B4-BE49-F238E27FC236}">
                <a16:creationId xmlns:a16="http://schemas.microsoft.com/office/drawing/2014/main" id="{3B766193-4F8B-6D41-3901-EB0F717EC8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2" name="Straight Connector 535">
            <a:extLst>
              <a:ext uri="{FF2B5EF4-FFF2-40B4-BE49-F238E27FC236}">
                <a16:creationId xmlns:a16="http://schemas.microsoft.com/office/drawing/2014/main" id="{8BD00EC3-2701-8B17-8C46-4F52113C67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3" name="Straight Connector 537">
            <a:extLst>
              <a:ext uri="{FF2B5EF4-FFF2-40B4-BE49-F238E27FC236}">
                <a16:creationId xmlns:a16="http://schemas.microsoft.com/office/drawing/2014/main" id="{2261F13A-2CAE-6857-D0C5-7DDF23BFA4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133350</xdr:rowOff>
    </xdr:from>
    <xdr:to>
      <xdr:col>6</xdr:col>
      <xdr:colOff>0</xdr:colOff>
      <xdr:row>49</xdr:row>
      <xdr:rowOff>57150</xdr:rowOff>
    </xdr:to>
    <xdr:grpSp>
      <xdr:nvGrpSpPr>
        <xdr:cNvPr id="824" name="Group 1008">
          <a:extLst>
            <a:ext uri="{FF2B5EF4-FFF2-40B4-BE49-F238E27FC236}">
              <a16:creationId xmlns:a16="http://schemas.microsoft.com/office/drawing/2014/main" id="{CEA038D5-214A-4722-97C9-BF015EC5B517}"/>
            </a:ext>
          </a:extLst>
        </xdr:cNvPr>
        <xdr:cNvGrpSpPr>
          <a:grpSpLocks/>
        </xdr:cNvGrpSpPr>
      </xdr:nvGrpSpPr>
      <xdr:grpSpPr bwMode="auto">
        <a:xfrm>
          <a:off x="1807806" y="9535238"/>
          <a:ext cx="0" cy="111708"/>
          <a:chOff x="5475762" y="47760700"/>
          <a:chExt cx="314325" cy="230209"/>
        </a:xfrm>
      </xdr:grpSpPr>
      <xdr:cxnSp macro="">
        <xdr:nvCxnSpPr>
          <xdr:cNvPr id="825" name="Straight Connector 824">
            <a:extLst>
              <a:ext uri="{FF2B5EF4-FFF2-40B4-BE49-F238E27FC236}">
                <a16:creationId xmlns:a16="http://schemas.microsoft.com/office/drawing/2014/main" id="{C6DD7027-2F5A-1BC9-3366-92ED33F38875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26" name="Straight Connector 529">
            <a:extLst>
              <a:ext uri="{FF2B5EF4-FFF2-40B4-BE49-F238E27FC236}">
                <a16:creationId xmlns:a16="http://schemas.microsoft.com/office/drawing/2014/main" id="{6FEA1EE8-6B3D-9878-6B3D-7850E59CBB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7" name="Straight Connector 531">
            <a:extLst>
              <a:ext uri="{FF2B5EF4-FFF2-40B4-BE49-F238E27FC236}">
                <a16:creationId xmlns:a16="http://schemas.microsoft.com/office/drawing/2014/main" id="{550F87CC-5E1C-844D-435D-DE8384D239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8" name="Straight Connector 533">
            <a:extLst>
              <a:ext uri="{FF2B5EF4-FFF2-40B4-BE49-F238E27FC236}">
                <a16:creationId xmlns:a16="http://schemas.microsoft.com/office/drawing/2014/main" id="{AED4BF49-4453-2599-3830-A636F6B2B9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9" name="Straight Connector 535">
            <a:extLst>
              <a:ext uri="{FF2B5EF4-FFF2-40B4-BE49-F238E27FC236}">
                <a16:creationId xmlns:a16="http://schemas.microsoft.com/office/drawing/2014/main" id="{BA790129-4554-3437-BE32-4453C9DB1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0" name="Straight Connector 537">
            <a:extLst>
              <a:ext uri="{FF2B5EF4-FFF2-40B4-BE49-F238E27FC236}">
                <a16:creationId xmlns:a16="http://schemas.microsoft.com/office/drawing/2014/main" id="{8F043099-CA3A-4E55-FAEC-08B96BF8D6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31" name="Group 1008">
          <a:extLst>
            <a:ext uri="{FF2B5EF4-FFF2-40B4-BE49-F238E27FC236}">
              <a16:creationId xmlns:a16="http://schemas.microsoft.com/office/drawing/2014/main" id="{73E3CAFA-6642-4587-8907-3139CA03D6FD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32" name="Straight Connector 831">
            <a:extLst>
              <a:ext uri="{FF2B5EF4-FFF2-40B4-BE49-F238E27FC236}">
                <a16:creationId xmlns:a16="http://schemas.microsoft.com/office/drawing/2014/main" id="{858BB5D3-4928-BFB5-B4B1-61CD5F33BC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33" name="Straight Connector 529">
            <a:extLst>
              <a:ext uri="{FF2B5EF4-FFF2-40B4-BE49-F238E27FC236}">
                <a16:creationId xmlns:a16="http://schemas.microsoft.com/office/drawing/2014/main" id="{EBF02CCC-73F8-4978-63DF-E9EE352AE8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4" name="Straight Connector 531">
            <a:extLst>
              <a:ext uri="{FF2B5EF4-FFF2-40B4-BE49-F238E27FC236}">
                <a16:creationId xmlns:a16="http://schemas.microsoft.com/office/drawing/2014/main" id="{6680D82E-BFC0-A312-8BAA-E90D1AE0B1E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5" name="Straight Connector 533">
            <a:extLst>
              <a:ext uri="{FF2B5EF4-FFF2-40B4-BE49-F238E27FC236}">
                <a16:creationId xmlns:a16="http://schemas.microsoft.com/office/drawing/2014/main" id="{0D6F6D83-9C82-3CC2-B618-F164ED692F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6" name="Straight Connector 535">
            <a:extLst>
              <a:ext uri="{FF2B5EF4-FFF2-40B4-BE49-F238E27FC236}">
                <a16:creationId xmlns:a16="http://schemas.microsoft.com/office/drawing/2014/main" id="{D96B8136-335A-2D62-3698-DF9689BACB0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7" name="Straight Connector 537">
            <a:extLst>
              <a:ext uri="{FF2B5EF4-FFF2-40B4-BE49-F238E27FC236}">
                <a16:creationId xmlns:a16="http://schemas.microsoft.com/office/drawing/2014/main" id="{720F8480-E872-6540-8097-DA424B4C54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38" name="Group 1008">
          <a:extLst>
            <a:ext uri="{FF2B5EF4-FFF2-40B4-BE49-F238E27FC236}">
              <a16:creationId xmlns:a16="http://schemas.microsoft.com/office/drawing/2014/main" id="{FF42868F-B86B-4005-825E-37C4E8580DD2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39" name="Straight Connector 838">
            <a:extLst>
              <a:ext uri="{FF2B5EF4-FFF2-40B4-BE49-F238E27FC236}">
                <a16:creationId xmlns:a16="http://schemas.microsoft.com/office/drawing/2014/main" id="{D4A84A8C-8913-1B0F-1A22-46A254E4706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40" name="Straight Connector 529">
            <a:extLst>
              <a:ext uri="{FF2B5EF4-FFF2-40B4-BE49-F238E27FC236}">
                <a16:creationId xmlns:a16="http://schemas.microsoft.com/office/drawing/2014/main" id="{5C49053E-65E0-0F6A-87E2-7CC3EF606E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1" name="Straight Connector 531">
            <a:extLst>
              <a:ext uri="{FF2B5EF4-FFF2-40B4-BE49-F238E27FC236}">
                <a16:creationId xmlns:a16="http://schemas.microsoft.com/office/drawing/2014/main" id="{CB2DBEED-9B0E-EE51-BBB9-A949D3E1F8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2" name="Straight Connector 533">
            <a:extLst>
              <a:ext uri="{FF2B5EF4-FFF2-40B4-BE49-F238E27FC236}">
                <a16:creationId xmlns:a16="http://schemas.microsoft.com/office/drawing/2014/main" id="{67C01819-84AA-4CFF-636D-4EB6C2D816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3" name="Straight Connector 535">
            <a:extLst>
              <a:ext uri="{FF2B5EF4-FFF2-40B4-BE49-F238E27FC236}">
                <a16:creationId xmlns:a16="http://schemas.microsoft.com/office/drawing/2014/main" id="{B5877F5F-3504-ACD9-02C6-18D15A015B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4" name="Straight Connector 537">
            <a:extLst>
              <a:ext uri="{FF2B5EF4-FFF2-40B4-BE49-F238E27FC236}">
                <a16:creationId xmlns:a16="http://schemas.microsoft.com/office/drawing/2014/main" id="{119B8EE6-D608-AF32-761A-395D9D822AF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45" name="Group 1008">
          <a:extLst>
            <a:ext uri="{FF2B5EF4-FFF2-40B4-BE49-F238E27FC236}">
              <a16:creationId xmlns:a16="http://schemas.microsoft.com/office/drawing/2014/main" id="{F8E9C39B-5AB7-44F6-91F0-F021F41D7571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46" name="Straight Connector 845">
            <a:extLst>
              <a:ext uri="{FF2B5EF4-FFF2-40B4-BE49-F238E27FC236}">
                <a16:creationId xmlns:a16="http://schemas.microsoft.com/office/drawing/2014/main" id="{FAC2C226-3182-86CA-0BB9-D26F72F6B16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47" name="Straight Connector 529">
            <a:extLst>
              <a:ext uri="{FF2B5EF4-FFF2-40B4-BE49-F238E27FC236}">
                <a16:creationId xmlns:a16="http://schemas.microsoft.com/office/drawing/2014/main" id="{792133A6-A4E5-3463-AF32-203738C41D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8" name="Straight Connector 531">
            <a:extLst>
              <a:ext uri="{FF2B5EF4-FFF2-40B4-BE49-F238E27FC236}">
                <a16:creationId xmlns:a16="http://schemas.microsoft.com/office/drawing/2014/main" id="{CB00483E-368A-2566-07C4-79CB8F2995E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9" name="Straight Connector 533">
            <a:extLst>
              <a:ext uri="{FF2B5EF4-FFF2-40B4-BE49-F238E27FC236}">
                <a16:creationId xmlns:a16="http://schemas.microsoft.com/office/drawing/2014/main" id="{85218085-5969-4FEE-377B-FAC3506F2C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0" name="Straight Connector 535">
            <a:extLst>
              <a:ext uri="{FF2B5EF4-FFF2-40B4-BE49-F238E27FC236}">
                <a16:creationId xmlns:a16="http://schemas.microsoft.com/office/drawing/2014/main" id="{506622E7-2EC0-01F0-4325-608BCC03394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1" name="Straight Connector 537">
            <a:extLst>
              <a:ext uri="{FF2B5EF4-FFF2-40B4-BE49-F238E27FC236}">
                <a16:creationId xmlns:a16="http://schemas.microsoft.com/office/drawing/2014/main" id="{C51DC92F-99C2-B7FE-FA7A-63871B9489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52" name="Group 1008">
          <a:extLst>
            <a:ext uri="{FF2B5EF4-FFF2-40B4-BE49-F238E27FC236}">
              <a16:creationId xmlns:a16="http://schemas.microsoft.com/office/drawing/2014/main" id="{1F6FFF75-B483-43BB-A9DC-12218FEAAEC8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53" name="Straight Connector 852">
            <a:extLst>
              <a:ext uri="{FF2B5EF4-FFF2-40B4-BE49-F238E27FC236}">
                <a16:creationId xmlns:a16="http://schemas.microsoft.com/office/drawing/2014/main" id="{9B0F8D9A-245E-7539-86F6-E8C31F9F0BE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54" name="Straight Connector 529">
            <a:extLst>
              <a:ext uri="{FF2B5EF4-FFF2-40B4-BE49-F238E27FC236}">
                <a16:creationId xmlns:a16="http://schemas.microsoft.com/office/drawing/2014/main" id="{15DC3915-EFE3-5683-23F4-FD419E97E38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5" name="Straight Connector 531">
            <a:extLst>
              <a:ext uri="{FF2B5EF4-FFF2-40B4-BE49-F238E27FC236}">
                <a16:creationId xmlns:a16="http://schemas.microsoft.com/office/drawing/2014/main" id="{DAF0057E-B21A-6035-9B09-A49DA16E98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6" name="Straight Connector 533">
            <a:extLst>
              <a:ext uri="{FF2B5EF4-FFF2-40B4-BE49-F238E27FC236}">
                <a16:creationId xmlns:a16="http://schemas.microsoft.com/office/drawing/2014/main" id="{B8814031-51D3-093A-8DE9-2D12B3FE7E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7" name="Straight Connector 535">
            <a:extLst>
              <a:ext uri="{FF2B5EF4-FFF2-40B4-BE49-F238E27FC236}">
                <a16:creationId xmlns:a16="http://schemas.microsoft.com/office/drawing/2014/main" id="{0DAEFBFD-5EB2-22CC-22BC-E2F361CCBD5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8" name="Straight Connector 537">
            <a:extLst>
              <a:ext uri="{FF2B5EF4-FFF2-40B4-BE49-F238E27FC236}">
                <a16:creationId xmlns:a16="http://schemas.microsoft.com/office/drawing/2014/main" id="{B0420700-26C2-3375-0D0B-5065A5DCB0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59" name="Group 1008">
          <a:extLst>
            <a:ext uri="{FF2B5EF4-FFF2-40B4-BE49-F238E27FC236}">
              <a16:creationId xmlns:a16="http://schemas.microsoft.com/office/drawing/2014/main" id="{A3D57A04-7B3A-4857-9912-CD833AF533BF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60" name="Straight Connector 859">
            <a:extLst>
              <a:ext uri="{FF2B5EF4-FFF2-40B4-BE49-F238E27FC236}">
                <a16:creationId xmlns:a16="http://schemas.microsoft.com/office/drawing/2014/main" id="{91120CC7-E015-3B14-5F22-ADCA4460CA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61" name="Straight Connector 529">
            <a:extLst>
              <a:ext uri="{FF2B5EF4-FFF2-40B4-BE49-F238E27FC236}">
                <a16:creationId xmlns:a16="http://schemas.microsoft.com/office/drawing/2014/main" id="{F43BDBDB-BF81-DF8B-364D-713329AF886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2" name="Straight Connector 531">
            <a:extLst>
              <a:ext uri="{FF2B5EF4-FFF2-40B4-BE49-F238E27FC236}">
                <a16:creationId xmlns:a16="http://schemas.microsoft.com/office/drawing/2014/main" id="{8DA1A005-AC44-387E-CF36-B1CA3CE569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3" name="Straight Connector 533">
            <a:extLst>
              <a:ext uri="{FF2B5EF4-FFF2-40B4-BE49-F238E27FC236}">
                <a16:creationId xmlns:a16="http://schemas.microsoft.com/office/drawing/2014/main" id="{EE81F269-C152-B2E9-4AC7-0C2852C957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4" name="Straight Connector 535">
            <a:extLst>
              <a:ext uri="{FF2B5EF4-FFF2-40B4-BE49-F238E27FC236}">
                <a16:creationId xmlns:a16="http://schemas.microsoft.com/office/drawing/2014/main" id="{EA6447F4-6670-DF4F-533E-D037DA72CF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5" name="Straight Connector 537">
            <a:extLst>
              <a:ext uri="{FF2B5EF4-FFF2-40B4-BE49-F238E27FC236}">
                <a16:creationId xmlns:a16="http://schemas.microsoft.com/office/drawing/2014/main" id="{48FE25E2-0B57-8B19-5E05-A4267D08DC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66" name="Group 1008">
          <a:extLst>
            <a:ext uri="{FF2B5EF4-FFF2-40B4-BE49-F238E27FC236}">
              <a16:creationId xmlns:a16="http://schemas.microsoft.com/office/drawing/2014/main" id="{95A022A9-6E0C-406C-AD72-CA61AB16CD65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67" name="Straight Connector 866">
            <a:extLst>
              <a:ext uri="{FF2B5EF4-FFF2-40B4-BE49-F238E27FC236}">
                <a16:creationId xmlns:a16="http://schemas.microsoft.com/office/drawing/2014/main" id="{2A75A0DF-B47B-C0D3-5571-7AA922AC313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68" name="Straight Connector 529">
            <a:extLst>
              <a:ext uri="{FF2B5EF4-FFF2-40B4-BE49-F238E27FC236}">
                <a16:creationId xmlns:a16="http://schemas.microsoft.com/office/drawing/2014/main" id="{568137FC-9418-5A03-0BFA-5A0DB88C5A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9" name="Straight Connector 531">
            <a:extLst>
              <a:ext uri="{FF2B5EF4-FFF2-40B4-BE49-F238E27FC236}">
                <a16:creationId xmlns:a16="http://schemas.microsoft.com/office/drawing/2014/main" id="{64DB83BA-84AF-767E-97C9-956D9D96F4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0" name="Straight Connector 533">
            <a:extLst>
              <a:ext uri="{FF2B5EF4-FFF2-40B4-BE49-F238E27FC236}">
                <a16:creationId xmlns:a16="http://schemas.microsoft.com/office/drawing/2014/main" id="{5F1C33D0-444E-FE2B-A594-BC29CC820D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1" name="Straight Connector 535">
            <a:extLst>
              <a:ext uri="{FF2B5EF4-FFF2-40B4-BE49-F238E27FC236}">
                <a16:creationId xmlns:a16="http://schemas.microsoft.com/office/drawing/2014/main" id="{D3140E20-464A-7C2C-929D-BDF707A9F5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2" name="Straight Connector 537">
            <a:extLst>
              <a:ext uri="{FF2B5EF4-FFF2-40B4-BE49-F238E27FC236}">
                <a16:creationId xmlns:a16="http://schemas.microsoft.com/office/drawing/2014/main" id="{D801915C-C06D-1533-FA39-881AB2D7F1D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73" name="Group 1008">
          <a:extLst>
            <a:ext uri="{FF2B5EF4-FFF2-40B4-BE49-F238E27FC236}">
              <a16:creationId xmlns:a16="http://schemas.microsoft.com/office/drawing/2014/main" id="{23B46F42-54AB-49F7-A04A-BBD23EFA7A37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74" name="Straight Connector 873">
            <a:extLst>
              <a:ext uri="{FF2B5EF4-FFF2-40B4-BE49-F238E27FC236}">
                <a16:creationId xmlns:a16="http://schemas.microsoft.com/office/drawing/2014/main" id="{B93DC5D2-5B28-7509-1681-FCDB4D14AD2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75" name="Straight Connector 529">
            <a:extLst>
              <a:ext uri="{FF2B5EF4-FFF2-40B4-BE49-F238E27FC236}">
                <a16:creationId xmlns:a16="http://schemas.microsoft.com/office/drawing/2014/main" id="{9243406C-C017-DBF4-4F1F-0A7B14C755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6" name="Straight Connector 531">
            <a:extLst>
              <a:ext uri="{FF2B5EF4-FFF2-40B4-BE49-F238E27FC236}">
                <a16:creationId xmlns:a16="http://schemas.microsoft.com/office/drawing/2014/main" id="{096E6A3C-8DFB-4B86-955F-73F720DFCA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7" name="Straight Connector 533">
            <a:extLst>
              <a:ext uri="{FF2B5EF4-FFF2-40B4-BE49-F238E27FC236}">
                <a16:creationId xmlns:a16="http://schemas.microsoft.com/office/drawing/2014/main" id="{D1815AC4-A800-5A00-32EC-678A6B5137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8" name="Straight Connector 535">
            <a:extLst>
              <a:ext uri="{FF2B5EF4-FFF2-40B4-BE49-F238E27FC236}">
                <a16:creationId xmlns:a16="http://schemas.microsoft.com/office/drawing/2014/main" id="{03D3F562-5AC7-EBD7-EB47-0DDE456C29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9" name="Straight Connector 537">
            <a:extLst>
              <a:ext uri="{FF2B5EF4-FFF2-40B4-BE49-F238E27FC236}">
                <a16:creationId xmlns:a16="http://schemas.microsoft.com/office/drawing/2014/main" id="{E6A1A99C-93C0-3E09-B647-27B251F7AC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80" name="Group 1008">
          <a:extLst>
            <a:ext uri="{FF2B5EF4-FFF2-40B4-BE49-F238E27FC236}">
              <a16:creationId xmlns:a16="http://schemas.microsoft.com/office/drawing/2014/main" id="{FC835ED1-16F5-43EB-8697-90ED0355BCAF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81" name="Straight Connector 880">
            <a:extLst>
              <a:ext uri="{FF2B5EF4-FFF2-40B4-BE49-F238E27FC236}">
                <a16:creationId xmlns:a16="http://schemas.microsoft.com/office/drawing/2014/main" id="{4EA49F5B-5590-9419-ADF1-6DA20278C7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82" name="Straight Connector 529">
            <a:extLst>
              <a:ext uri="{FF2B5EF4-FFF2-40B4-BE49-F238E27FC236}">
                <a16:creationId xmlns:a16="http://schemas.microsoft.com/office/drawing/2014/main" id="{E950D8CC-4F41-1127-5762-C49E74E1C3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3" name="Straight Connector 531">
            <a:extLst>
              <a:ext uri="{FF2B5EF4-FFF2-40B4-BE49-F238E27FC236}">
                <a16:creationId xmlns:a16="http://schemas.microsoft.com/office/drawing/2014/main" id="{FBA93848-C3A3-C706-6A76-06D666629C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4" name="Straight Connector 533">
            <a:extLst>
              <a:ext uri="{FF2B5EF4-FFF2-40B4-BE49-F238E27FC236}">
                <a16:creationId xmlns:a16="http://schemas.microsoft.com/office/drawing/2014/main" id="{6262CE58-F799-709A-0C30-0392859B8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5" name="Straight Connector 535">
            <a:extLst>
              <a:ext uri="{FF2B5EF4-FFF2-40B4-BE49-F238E27FC236}">
                <a16:creationId xmlns:a16="http://schemas.microsoft.com/office/drawing/2014/main" id="{97CB9CD3-6870-D07A-B0A4-6C59B7BAB27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6" name="Straight Connector 537">
            <a:extLst>
              <a:ext uri="{FF2B5EF4-FFF2-40B4-BE49-F238E27FC236}">
                <a16:creationId xmlns:a16="http://schemas.microsoft.com/office/drawing/2014/main" id="{E0456269-D354-CCE6-2DF5-94A3EA4705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87" name="Group 1008">
          <a:extLst>
            <a:ext uri="{FF2B5EF4-FFF2-40B4-BE49-F238E27FC236}">
              <a16:creationId xmlns:a16="http://schemas.microsoft.com/office/drawing/2014/main" id="{7F8E8CB9-1236-48E2-B355-44AAE82CBE1C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88" name="Straight Connector 887">
            <a:extLst>
              <a:ext uri="{FF2B5EF4-FFF2-40B4-BE49-F238E27FC236}">
                <a16:creationId xmlns:a16="http://schemas.microsoft.com/office/drawing/2014/main" id="{5FEF46F2-0415-42FD-A066-1DE25E800AF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89" name="Straight Connector 529">
            <a:extLst>
              <a:ext uri="{FF2B5EF4-FFF2-40B4-BE49-F238E27FC236}">
                <a16:creationId xmlns:a16="http://schemas.microsoft.com/office/drawing/2014/main" id="{ADD519DE-2667-E01D-E51E-B84478974BE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0" name="Straight Connector 531">
            <a:extLst>
              <a:ext uri="{FF2B5EF4-FFF2-40B4-BE49-F238E27FC236}">
                <a16:creationId xmlns:a16="http://schemas.microsoft.com/office/drawing/2014/main" id="{67F6E11E-DBDF-10BB-026D-B4942BC883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1" name="Straight Connector 533">
            <a:extLst>
              <a:ext uri="{FF2B5EF4-FFF2-40B4-BE49-F238E27FC236}">
                <a16:creationId xmlns:a16="http://schemas.microsoft.com/office/drawing/2014/main" id="{CEA574F1-5AE2-91BF-5727-40339BAA2A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2" name="Straight Connector 535">
            <a:extLst>
              <a:ext uri="{FF2B5EF4-FFF2-40B4-BE49-F238E27FC236}">
                <a16:creationId xmlns:a16="http://schemas.microsoft.com/office/drawing/2014/main" id="{5C5908EF-5D15-B0F4-6DDF-51C71C757A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3" name="Straight Connector 537">
            <a:extLst>
              <a:ext uri="{FF2B5EF4-FFF2-40B4-BE49-F238E27FC236}">
                <a16:creationId xmlns:a16="http://schemas.microsoft.com/office/drawing/2014/main" id="{98575048-4D22-D9B5-432E-27DCA23A4AF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94" name="Group 1008">
          <a:extLst>
            <a:ext uri="{FF2B5EF4-FFF2-40B4-BE49-F238E27FC236}">
              <a16:creationId xmlns:a16="http://schemas.microsoft.com/office/drawing/2014/main" id="{C2EFAEB7-4C27-4A99-BEEB-D283C93A7309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95" name="Straight Connector 894">
            <a:extLst>
              <a:ext uri="{FF2B5EF4-FFF2-40B4-BE49-F238E27FC236}">
                <a16:creationId xmlns:a16="http://schemas.microsoft.com/office/drawing/2014/main" id="{9A76ED18-2E8C-3783-BBE9-BA33BB6286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96" name="Straight Connector 529">
            <a:extLst>
              <a:ext uri="{FF2B5EF4-FFF2-40B4-BE49-F238E27FC236}">
                <a16:creationId xmlns:a16="http://schemas.microsoft.com/office/drawing/2014/main" id="{88E54F6E-C042-E6E1-7503-17CFDA1B0EC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7" name="Straight Connector 531">
            <a:extLst>
              <a:ext uri="{FF2B5EF4-FFF2-40B4-BE49-F238E27FC236}">
                <a16:creationId xmlns:a16="http://schemas.microsoft.com/office/drawing/2014/main" id="{09B91463-A950-BD77-DF83-1C6BEA0382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8" name="Straight Connector 533">
            <a:extLst>
              <a:ext uri="{FF2B5EF4-FFF2-40B4-BE49-F238E27FC236}">
                <a16:creationId xmlns:a16="http://schemas.microsoft.com/office/drawing/2014/main" id="{5277C822-8678-A855-D9F7-2D362DBC41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9" name="Straight Connector 535">
            <a:extLst>
              <a:ext uri="{FF2B5EF4-FFF2-40B4-BE49-F238E27FC236}">
                <a16:creationId xmlns:a16="http://schemas.microsoft.com/office/drawing/2014/main" id="{98459E73-51E0-0E3C-4A1A-FCE067F8FD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0" name="Straight Connector 537">
            <a:extLst>
              <a:ext uri="{FF2B5EF4-FFF2-40B4-BE49-F238E27FC236}">
                <a16:creationId xmlns:a16="http://schemas.microsoft.com/office/drawing/2014/main" id="{F3C9A09B-A626-C415-A729-600446523C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01" name="Group 1008">
          <a:extLst>
            <a:ext uri="{FF2B5EF4-FFF2-40B4-BE49-F238E27FC236}">
              <a16:creationId xmlns:a16="http://schemas.microsoft.com/office/drawing/2014/main" id="{2295E89B-B2DB-4524-99FA-03F9371BC028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02" name="Straight Connector 901">
            <a:extLst>
              <a:ext uri="{FF2B5EF4-FFF2-40B4-BE49-F238E27FC236}">
                <a16:creationId xmlns:a16="http://schemas.microsoft.com/office/drawing/2014/main" id="{C2FE7C20-701E-B5CD-1790-0617ED9351C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03" name="Straight Connector 529">
            <a:extLst>
              <a:ext uri="{FF2B5EF4-FFF2-40B4-BE49-F238E27FC236}">
                <a16:creationId xmlns:a16="http://schemas.microsoft.com/office/drawing/2014/main" id="{8F4F7DFA-2AB0-0125-1E38-9D36446EF8E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4" name="Straight Connector 531">
            <a:extLst>
              <a:ext uri="{FF2B5EF4-FFF2-40B4-BE49-F238E27FC236}">
                <a16:creationId xmlns:a16="http://schemas.microsoft.com/office/drawing/2014/main" id="{0F74F923-C758-7CF6-A0BA-01A06F6FC1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5" name="Straight Connector 533">
            <a:extLst>
              <a:ext uri="{FF2B5EF4-FFF2-40B4-BE49-F238E27FC236}">
                <a16:creationId xmlns:a16="http://schemas.microsoft.com/office/drawing/2014/main" id="{5CE45162-C64E-635A-1003-777250173B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6" name="Straight Connector 535">
            <a:extLst>
              <a:ext uri="{FF2B5EF4-FFF2-40B4-BE49-F238E27FC236}">
                <a16:creationId xmlns:a16="http://schemas.microsoft.com/office/drawing/2014/main" id="{241ABBC8-CA4F-E102-0808-4CD0086C8A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7" name="Straight Connector 537">
            <a:extLst>
              <a:ext uri="{FF2B5EF4-FFF2-40B4-BE49-F238E27FC236}">
                <a16:creationId xmlns:a16="http://schemas.microsoft.com/office/drawing/2014/main" id="{CEF0977B-9B4D-31DE-CD06-187529E655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08" name="Group 1008">
          <a:extLst>
            <a:ext uri="{FF2B5EF4-FFF2-40B4-BE49-F238E27FC236}">
              <a16:creationId xmlns:a16="http://schemas.microsoft.com/office/drawing/2014/main" id="{E83C031C-DB8A-4114-BF7A-AD31C65B307A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09" name="Straight Connector 908">
            <a:extLst>
              <a:ext uri="{FF2B5EF4-FFF2-40B4-BE49-F238E27FC236}">
                <a16:creationId xmlns:a16="http://schemas.microsoft.com/office/drawing/2014/main" id="{47025F7D-D47B-0952-712B-732874F04E4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10" name="Straight Connector 529">
            <a:extLst>
              <a:ext uri="{FF2B5EF4-FFF2-40B4-BE49-F238E27FC236}">
                <a16:creationId xmlns:a16="http://schemas.microsoft.com/office/drawing/2014/main" id="{19C58CE9-2C1E-DDF7-5A68-E76DD73EC92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1" name="Straight Connector 531">
            <a:extLst>
              <a:ext uri="{FF2B5EF4-FFF2-40B4-BE49-F238E27FC236}">
                <a16:creationId xmlns:a16="http://schemas.microsoft.com/office/drawing/2014/main" id="{12EFB86F-6CD8-2A01-3B5B-6BF4090304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2" name="Straight Connector 533">
            <a:extLst>
              <a:ext uri="{FF2B5EF4-FFF2-40B4-BE49-F238E27FC236}">
                <a16:creationId xmlns:a16="http://schemas.microsoft.com/office/drawing/2014/main" id="{33558684-324F-959C-F899-8152E95226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3" name="Straight Connector 535">
            <a:extLst>
              <a:ext uri="{FF2B5EF4-FFF2-40B4-BE49-F238E27FC236}">
                <a16:creationId xmlns:a16="http://schemas.microsoft.com/office/drawing/2014/main" id="{D35D7100-DC13-8FE3-D1FD-8860F8DDE7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4" name="Straight Connector 537">
            <a:extLst>
              <a:ext uri="{FF2B5EF4-FFF2-40B4-BE49-F238E27FC236}">
                <a16:creationId xmlns:a16="http://schemas.microsoft.com/office/drawing/2014/main" id="{C8BF38FB-8CEB-C382-3BB5-70B7A45CA7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15" name="Group 1008">
          <a:extLst>
            <a:ext uri="{FF2B5EF4-FFF2-40B4-BE49-F238E27FC236}">
              <a16:creationId xmlns:a16="http://schemas.microsoft.com/office/drawing/2014/main" id="{2195226E-1FE3-429F-B68D-AA2BB7F93A70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16" name="Straight Connector 915">
            <a:extLst>
              <a:ext uri="{FF2B5EF4-FFF2-40B4-BE49-F238E27FC236}">
                <a16:creationId xmlns:a16="http://schemas.microsoft.com/office/drawing/2014/main" id="{BB0F8510-FA02-2BB5-D3A0-F2CC2E294B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17" name="Straight Connector 529">
            <a:extLst>
              <a:ext uri="{FF2B5EF4-FFF2-40B4-BE49-F238E27FC236}">
                <a16:creationId xmlns:a16="http://schemas.microsoft.com/office/drawing/2014/main" id="{DA003D83-E9DF-E380-B31A-AE70474C13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8" name="Straight Connector 531">
            <a:extLst>
              <a:ext uri="{FF2B5EF4-FFF2-40B4-BE49-F238E27FC236}">
                <a16:creationId xmlns:a16="http://schemas.microsoft.com/office/drawing/2014/main" id="{60B3F295-9BCA-2B49-9149-B39CEC62B66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9" name="Straight Connector 533">
            <a:extLst>
              <a:ext uri="{FF2B5EF4-FFF2-40B4-BE49-F238E27FC236}">
                <a16:creationId xmlns:a16="http://schemas.microsoft.com/office/drawing/2014/main" id="{03A6C0A4-3B86-9522-B936-8A6960318E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0" name="Straight Connector 535">
            <a:extLst>
              <a:ext uri="{FF2B5EF4-FFF2-40B4-BE49-F238E27FC236}">
                <a16:creationId xmlns:a16="http://schemas.microsoft.com/office/drawing/2014/main" id="{BEE0840E-3FEA-4648-A82F-F0E6FE6C0C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1" name="Straight Connector 537">
            <a:extLst>
              <a:ext uri="{FF2B5EF4-FFF2-40B4-BE49-F238E27FC236}">
                <a16:creationId xmlns:a16="http://schemas.microsoft.com/office/drawing/2014/main" id="{DCC1F22F-8771-34E7-533D-1D009742D3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22" name="Group 1008">
          <a:extLst>
            <a:ext uri="{FF2B5EF4-FFF2-40B4-BE49-F238E27FC236}">
              <a16:creationId xmlns:a16="http://schemas.microsoft.com/office/drawing/2014/main" id="{56F75AA7-328B-4107-A375-4AE8BFFC9E37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23" name="Straight Connector 922">
            <a:extLst>
              <a:ext uri="{FF2B5EF4-FFF2-40B4-BE49-F238E27FC236}">
                <a16:creationId xmlns:a16="http://schemas.microsoft.com/office/drawing/2014/main" id="{4899019A-3040-9805-C79D-BC6825B6E0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24" name="Straight Connector 529">
            <a:extLst>
              <a:ext uri="{FF2B5EF4-FFF2-40B4-BE49-F238E27FC236}">
                <a16:creationId xmlns:a16="http://schemas.microsoft.com/office/drawing/2014/main" id="{06E619DD-DE87-DA8B-BD39-7FE9B98512B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5" name="Straight Connector 531">
            <a:extLst>
              <a:ext uri="{FF2B5EF4-FFF2-40B4-BE49-F238E27FC236}">
                <a16:creationId xmlns:a16="http://schemas.microsoft.com/office/drawing/2014/main" id="{8FC86625-2E95-3BF5-C44E-57F2301C9F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6" name="Straight Connector 533">
            <a:extLst>
              <a:ext uri="{FF2B5EF4-FFF2-40B4-BE49-F238E27FC236}">
                <a16:creationId xmlns:a16="http://schemas.microsoft.com/office/drawing/2014/main" id="{1DE60129-0CEF-90C1-6B25-404A1BF394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7" name="Straight Connector 535">
            <a:extLst>
              <a:ext uri="{FF2B5EF4-FFF2-40B4-BE49-F238E27FC236}">
                <a16:creationId xmlns:a16="http://schemas.microsoft.com/office/drawing/2014/main" id="{504E5928-365F-7ACD-026B-950FAB35B1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8" name="Straight Connector 537">
            <a:extLst>
              <a:ext uri="{FF2B5EF4-FFF2-40B4-BE49-F238E27FC236}">
                <a16:creationId xmlns:a16="http://schemas.microsoft.com/office/drawing/2014/main" id="{22DA4A7B-4E17-9584-971C-F7C9573220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29" name="Group 1008">
          <a:extLst>
            <a:ext uri="{FF2B5EF4-FFF2-40B4-BE49-F238E27FC236}">
              <a16:creationId xmlns:a16="http://schemas.microsoft.com/office/drawing/2014/main" id="{6C22E4D6-8F6D-47D6-B562-83CAA580E57E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30" name="Straight Connector 929">
            <a:extLst>
              <a:ext uri="{FF2B5EF4-FFF2-40B4-BE49-F238E27FC236}">
                <a16:creationId xmlns:a16="http://schemas.microsoft.com/office/drawing/2014/main" id="{362414EC-A538-0DE2-8A24-B1C421C9563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31" name="Straight Connector 529">
            <a:extLst>
              <a:ext uri="{FF2B5EF4-FFF2-40B4-BE49-F238E27FC236}">
                <a16:creationId xmlns:a16="http://schemas.microsoft.com/office/drawing/2014/main" id="{73BE96A6-58FE-6506-FF08-DB9BFF335F7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2" name="Straight Connector 531">
            <a:extLst>
              <a:ext uri="{FF2B5EF4-FFF2-40B4-BE49-F238E27FC236}">
                <a16:creationId xmlns:a16="http://schemas.microsoft.com/office/drawing/2014/main" id="{940F990E-8682-31B3-8C3B-E1231C341E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3" name="Straight Connector 533">
            <a:extLst>
              <a:ext uri="{FF2B5EF4-FFF2-40B4-BE49-F238E27FC236}">
                <a16:creationId xmlns:a16="http://schemas.microsoft.com/office/drawing/2014/main" id="{E3B70BE2-A406-BB95-7157-5B77CF6ED5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4" name="Straight Connector 535">
            <a:extLst>
              <a:ext uri="{FF2B5EF4-FFF2-40B4-BE49-F238E27FC236}">
                <a16:creationId xmlns:a16="http://schemas.microsoft.com/office/drawing/2014/main" id="{D894B22C-CB78-373F-0ACE-B42598AB9BD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5" name="Straight Connector 537">
            <a:extLst>
              <a:ext uri="{FF2B5EF4-FFF2-40B4-BE49-F238E27FC236}">
                <a16:creationId xmlns:a16="http://schemas.microsoft.com/office/drawing/2014/main" id="{9A1D2FD7-F1E2-3FD1-9A06-DA1039EA83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36" name="Group 1008">
          <a:extLst>
            <a:ext uri="{FF2B5EF4-FFF2-40B4-BE49-F238E27FC236}">
              <a16:creationId xmlns:a16="http://schemas.microsoft.com/office/drawing/2014/main" id="{9730D4C8-7B0C-424D-8F32-BF4DFB58B506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37" name="Straight Connector 936">
            <a:extLst>
              <a:ext uri="{FF2B5EF4-FFF2-40B4-BE49-F238E27FC236}">
                <a16:creationId xmlns:a16="http://schemas.microsoft.com/office/drawing/2014/main" id="{7BF380BF-B228-0D2F-F7CF-B4C205A2058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38" name="Straight Connector 529">
            <a:extLst>
              <a:ext uri="{FF2B5EF4-FFF2-40B4-BE49-F238E27FC236}">
                <a16:creationId xmlns:a16="http://schemas.microsoft.com/office/drawing/2014/main" id="{27320469-384F-1C83-96C0-E7DF10D28D4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9" name="Straight Connector 531">
            <a:extLst>
              <a:ext uri="{FF2B5EF4-FFF2-40B4-BE49-F238E27FC236}">
                <a16:creationId xmlns:a16="http://schemas.microsoft.com/office/drawing/2014/main" id="{6B4C88DD-961C-A0BF-F8A1-B396C48640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0" name="Straight Connector 533">
            <a:extLst>
              <a:ext uri="{FF2B5EF4-FFF2-40B4-BE49-F238E27FC236}">
                <a16:creationId xmlns:a16="http://schemas.microsoft.com/office/drawing/2014/main" id="{FF6FEF21-9E60-CCE3-89AB-7F96B6A6FA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1" name="Straight Connector 535">
            <a:extLst>
              <a:ext uri="{FF2B5EF4-FFF2-40B4-BE49-F238E27FC236}">
                <a16:creationId xmlns:a16="http://schemas.microsoft.com/office/drawing/2014/main" id="{AFC3A73D-C2F1-D22C-61D3-4752AF7DCD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2" name="Straight Connector 537">
            <a:extLst>
              <a:ext uri="{FF2B5EF4-FFF2-40B4-BE49-F238E27FC236}">
                <a16:creationId xmlns:a16="http://schemas.microsoft.com/office/drawing/2014/main" id="{B8E1440F-9160-5301-EA88-7AD0C0FA38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43" name="Group 1008">
          <a:extLst>
            <a:ext uri="{FF2B5EF4-FFF2-40B4-BE49-F238E27FC236}">
              <a16:creationId xmlns:a16="http://schemas.microsoft.com/office/drawing/2014/main" id="{8D801F03-CFB1-4237-95CC-6EFC7C2E782C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44" name="Straight Connector 943">
            <a:extLst>
              <a:ext uri="{FF2B5EF4-FFF2-40B4-BE49-F238E27FC236}">
                <a16:creationId xmlns:a16="http://schemas.microsoft.com/office/drawing/2014/main" id="{9287FB98-31ED-D88E-0F6D-40A3BA334A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45" name="Straight Connector 529">
            <a:extLst>
              <a:ext uri="{FF2B5EF4-FFF2-40B4-BE49-F238E27FC236}">
                <a16:creationId xmlns:a16="http://schemas.microsoft.com/office/drawing/2014/main" id="{1F056516-8154-19A1-467E-78A9CFBDB53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6" name="Straight Connector 531">
            <a:extLst>
              <a:ext uri="{FF2B5EF4-FFF2-40B4-BE49-F238E27FC236}">
                <a16:creationId xmlns:a16="http://schemas.microsoft.com/office/drawing/2014/main" id="{81F6581B-063C-7300-CE89-59D4E06FD0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7" name="Straight Connector 533">
            <a:extLst>
              <a:ext uri="{FF2B5EF4-FFF2-40B4-BE49-F238E27FC236}">
                <a16:creationId xmlns:a16="http://schemas.microsoft.com/office/drawing/2014/main" id="{8E404740-EB6E-5392-8960-75FADBC002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8" name="Straight Connector 535">
            <a:extLst>
              <a:ext uri="{FF2B5EF4-FFF2-40B4-BE49-F238E27FC236}">
                <a16:creationId xmlns:a16="http://schemas.microsoft.com/office/drawing/2014/main" id="{7ECCFA2B-AAE4-1548-C41E-5E6CCC0C72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9" name="Straight Connector 537">
            <a:extLst>
              <a:ext uri="{FF2B5EF4-FFF2-40B4-BE49-F238E27FC236}">
                <a16:creationId xmlns:a16="http://schemas.microsoft.com/office/drawing/2014/main" id="{8066808F-9D57-DD9D-E324-C660797BE8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50" name="Group 1008">
          <a:extLst>
            <a:ext uri="{FF2B5EF4-FFF2-40B4-BE49-F238E27FC236}">
              <a16:creationId xmlns:a16="http://schemas.microsoft.com/office/drawing/2014/main" id="{C675A9D0-1CAD-4535-B692-C11C9D54C675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51" name="Straight Connector 950">
            <a:extLst>
              <a:ext uri="{FF2B5EF4-FFF2-40B4-BE49-F238E27FC236}">
                <a16:creationId xmlns:a16="http://schemas.microsoft.com/office/drawing/2014/main" id="{D3648614-D9DF-362A-738B-0E4DBCC274B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52" name="Straight Connector 529">
            <a:extLst>
              <a:ext uri="{FF2B5EF4-FFF2-40B4-BE49-F238E27FC236}">
                <a16:creationId xmlns:a16="http://schemas.microsoft.com/office/drawing/2014/main" id="{E3A83233-13BA-5BC8-F0B6-420312099C5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3" name="Straight Connector 531">
            <a:extLst>
              <a:ext uri="{FF2B5EF4-FFF2-40B4-BE49-F238E27FC236}">
                <a16:creationId xmlns:a16="http://schemas.microsoft.com/office/drawing/2014/main" id="{4BB5FA66-784D-AE69-2D3D-D164C3BDFC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4" name="Straight Connector 533">
            <a:extLst>
              <a:ext uri="{FF2B5EF4-FFF2-40B4-BE49-F238E27FC236}">
                <a16:creationId xmlns:a16="http://schemas.microsoft.com/office/drawing/2014/main" id="{089C34A8-9F99-B952-81EF-07DBDDDED27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5" name="Straight Connector 535">
            <a:extLst>
              <a:ext uri="{FF2B5EF4-FFF2-40B4-BE49-F238E27FC236}">
                <a16:creationId xmlns:a16="http://schemas.microsoft.com/office/drawing/2014/main" id="{BB9895C7-BF17-CBE4-8168-D8F82406DB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6" name="Straight Connector 537">
            <a:extLst>
              <a:ext uri="{FF2B5EF4-FFF2-40B4-BE49-F238E27FC236}">
                <a16:creationId xmlns:a16="http://schemas.microsoft.com/office/drawing/2014/main" id="{CA1278E0-F27B-7669-8D5D-1125AA3BDD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57" name="Group 1008">
          <a:extLst>
            <a:ext uri="{FF2B5EF4-FFF2-40B4-BE49-F238E27FC236}">
              <a16:creationId xmlns:a16="http://schemas.microsoft.com/office/drawing/2014/main" id="{6BCC6E4F-58EA-432B-9409-DBDFAE3FB75D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58" name="Straight Connector 957">
            <a:extLst>
              <a:ext uri="{FF2B5EF4-FFF2-40B4-BE49-F238E27FC236}">
                <a16:creationId xmlns:a16="http://schemas.microsoft.com/office/drawing/2014/main" id="{280ECA36-8E38-F815-EE91-03080C4F43B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59" name="Straight Connector 529">
            <a:extLst>
              <a:ext uri="{FF2B5EF4-FFF2-40B4-BE49-F238E27FC236}">
                <a16:creationId xmlns:a16="http://schemas.microsoft.com/office/drawing/2014/main" id="{C32B1044-8AA1-3C11-82D0-80281DA806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0" name="Straight Connector 531">
            <a:extLst>
              <a:ext uri="{FF2B5EF4-FFF2-40B4-BE49-F238E27FC236}">
                <a16:creationId xmlns:a16="http://schemas.microsoft.com/office/drawing/2014/main" id="{8CA18B4F-62E2-DA89-F8D7-736D979D8F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1" name="Straight Connector 533">
            <a:extLst>
              <a:ext uri="{FF2B5EF4-FFF2-40B4-BE49-F238E27FC236}">
                <a16:creationId xmlns:a16="http://schemas.microsoft.com/office/drawing/2014/main" id="{5A4D9182-BE4D-8DC1-A15F-EBD49810EC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2" name="Straight Connector 535">
            <a:extLst>
              <a:ext uri="{FF2B5EF4-FFF2-40B4-BE49-F238E27FC236}">
                <a16:creationId xmlns:a16="http://schemas.microsoft.com/office/drawing/2014/main" id="{2A837816-2193-3104-3CFF-F29899C87A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3" name="Straight Connector 537">
            <a:extLst>
              <a:ext uri="{FF2B5EF4-FFF2-40B4-BE49-F238E27FC236}">
                <a16:creationId xmlns:a16="http://schemas.microsoft.com/office/drawing/2014/main" id="{54A80672-63FB-6FA9-B400-01E04B3B66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64" name="Group 1008">
          <a:extLst>
            <a:ext uri="{FF2B5EF4-FFF2-40B4-BE49-F238E27FC236}">
              <a16:creationId xmlns:a16="http://schemas.microsoft.com/office/drawing/2014/main" id="{CE9BE5E3-E4AD-4247-A099-2908A34CB713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65" name="Straight Connector 964">
            <a:extLst>
              <a:ext uri="{FF2B5EF4-FFF2-40B4-BE49-F238E27FC236}">
                <a16:creationId xmlns:a16="http://schemas.microsoft.com/office/drawing/2014/main" id="{FC02D34F-2C90-3B12-499A-5D30C447063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66" name="Straight Connector 529">
            <a:extLst>
              <a:ext uri="{FF2B5EF4-FFF2-40B4-BE49-F238E27FC236}">
                <a16:creationId xmlns:a16="http://schemas.microsoft.com/office/drawing/2014/main" id="{02BC77D0-CCD6-3727-8BB5-F0BB0C8BBD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7" name="Straight Connector 531">
            <a:extLst>
              <a:ext uri="{FF2B5EF4-FFF2-40B4-BE49-F238E27FC236}">
                <a16:creationId xmlns:a16="http://schemas.microsoft.com/office/drawing/2014/main" id="{02526D79-44E6-1FA2-C382-0796C176492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8" name="Straight Connector 533">
            <a:extLst>
              <a:ext uri="{FF2B5EF4-FFF2-40B4-BE49-F238E27FC236}">
                <a16:creationId xmlns:a16="http://schemas.microsoft.com/office/drawing/2014/main" id="{17357B4C-F3F6-5F54-D8AF-73D6B89D06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9" name="Straight Connector 535">
            <a:extLst>
              <a:ext uri="{FF2B5EF4-FFF2-40B4-BE49-F238E27FC236}">
                <a16:creationId xmlns:a16="http://schemas.microsoft.com/office/drawing/2014/main" id="{7B7DF294-B312-B1D0-18B1-8952311BEC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0" name="Straight Connector 537">
            <a:extLst>
              <a:ext uri="{FF2B5EF4-FFF2-40B4-BE49-F238E27FC236}">
                <a16:creationId xmlns:a16="http://schemas.microsoft.com/office/drawing/2014/main" id="{022B3A62-A531-3A57-3D25-9C963AA4F6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71" name="Group 1008">
          <a:extLst>
            <a:ext uri="{FF2B5EF4-FFF2-40B4-BE49-F238E27FC236}">
              <a16:creationId xmlns:a16="http://schemas.microsoft.com/office/drawing/2014/main" id="{E388F642-B355-4CF3-80BB-7D5BF1C38850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72" name="Straight Connector 971">
            <a:extLst>
              <a:ext uri="{FF2B5EF4-FFF2-40B4-BE49-F238E27FC236}">
                <a16:creationId xmlns:a16="http://schemas.microsoft.com/office/drawing/2014/main" id="{47836BF4-0852-A5AB-27D9-B8F5EE9FA4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73" name="Straight Connector 529">
            <a:extLst>
              <a:ext uri="{FF2B5EF4-FFF2-40B4-BE49-F238E27FC236}">
                <a16:creationId xmlns:a16="http://schemas.microsoft.com/office/drawing/2014/main" id="{12605F8B-B90C-67D7-1D70-6928D38BF4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4" name="Straight Connector 531">
            <a:extLst>
              <a:ext uri="{FF2B5EF4-FFF2-40B4-BE49-F238E27FC236}">
                <a16:creationId xmlns:a16="http://schemas.microsoft.com/office/drawing/2014/main" id="{E0E4F809-D324-80D4-6C6C-0DA6EC9739A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5" name="Straight Connector 533">
            <a:extLst>
              <a:ext uri="{FF2B5EF4-FFF2-40B4-BE49-F238E27FC236}">
                <a16:creationId xmlns:a16="http://schemas.microsoft.com/office/drawing/2014/main" id="{569F7700-330F-F4BC-583A-FBBE3C2EC69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6" name="Straight Connector 535">
            <a:extLst>
              <a:ext uri="{FF2B5EF4-FFF2-40B4-BE49-F238E27FC236}">
                <a16:creationId xmlns:a16="http://schemas.microsoft.com/office/drawing/2014/main" id="{FB365D81-74DC-30E4-8ADB-B637963B10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7" name="Straight Connector 537">
            <a:extLst>
              <a:ext uri="{FF2B5EF4-FFF2-40B4-BE49-F238E27FC236}">
                <a16:creationId xmlns:a16="http://schemas.microsoft.com/office/drawing/2014/main" id="{8B97B6F6-62B1-D14A-B7B0-8A258F9F9D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78" name="Group 1008">
          <a:extLst>
            <a:ext uri="{FF2B5EF4-FFF2-40B4-BE49-F238E27FC236}">
              <a16:creationId xmlns:a16="http://schemas.microsoft.com/office/drawing/2014/main" id="{142155E8-3798-49F9-A3F7-5B45D3852E1E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79" name="Straight Connector 978">
            <a:extLst>
              <a:ext uri="{FF2B5EF4-FFF2-40B4-BE49-F238E27FC236}">
                <a16:creationId xmlns:a16="http://schemas.microsoft.com/office/drawing/2014/main" id="{20C3DBBA-1EF5-1E59-0DD0-6B6CBBE6159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80" name="Straight Connector 529">
            <a:extLst>
              <a:ext uri="{FF2B5EF4-FFF2-40B4-BE49-F238E27FC236}">
                <a16:creationId xmlns:a16="http://schemas.microsoft.com/office/drawing/2014/main" id="{60171F9A-618D-AC23-8D4E-95F1136761C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1" name="Straight Connector 531">
            <a:extLst>
              <a:ext uri="{FF2B5EF4-FFF2-40B4-BE49-F238E27FC236}">
                <a16:creationId xmlns:a16="http://schemas.microsoft.com/office/drawing/2014/main" id="{06D1AC06-38D2-6C1E-6582-1E227A760D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2" name="Straight Connector 533">
            <a:extLst>
              <a:ext uri="{FF2B5EF4-FFF2-40B4-BE49-F238E27FC236}">
                <a16:creationId xmlns:a16="http://schemas.microsoft.com/office/drawing/2014/main" id="{3B193EC3-FB42-7D1B-3399-C1D6A4A53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3" name="Straight Connector 535">
            <a:extLst>
              <a:ext uri="{FF2B5EF4-FFF2-40B4-BE49-F238E27FC236}">
                <a16:creationId xmlns:a16="http://schemas.microsoft.com/office/drawing/2014/main" id="{50981BE0-7F4D-35F6-9665-D9D66D1845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4" name="Straight Connector 537">
            <a:extLst>
              <a:ext uri="{FF2B5EF4-FFF2-40B4-BE49-F238E27FC236}">
                <a16:creationId xmlns:a16="http://schemas.microsoft.com/office/drawing/2014/main" id="{FE333EF4-6F02-757E-0A31-2351F91C77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45</xdr:row>
      <xdr:rowOff>57150</xdr:rowOff>
    </xdr:from>
    <xdr:to>
      <xdr:col>17</xdr:col>
      <xdr:colOff>0</xdr:colOff>
      <xdr:row>47</xdr:row>
      <xdr:rowOff>0</xdr:rowOff>
    </xdr:to>
    <xdr:sp macro="" textlink="">
      <xdr:nvSpPr>
        <xdr:cNvPr id="985" name="AutoShape 46">
          <a:extLst>
            <a:ext uri="{FF2B5EF4-FFF2-40B4-BE49-F238E27FC236}">
              <a16:creationId xmlns:a16="http://schemas.microsoft.com/office/drawing/2014/main" id="{DF623198-6439-4E9F-B91D-BED0E97BFE03}"/>
            </a:ext>
          </a:extLst>
        </xdr:cNvPr>
        <xdr:cNvSpPr>
          <a:spLocks noChangeArrowheads="1"/>
        </xdr:cNvSpPr>
      </xdr:nvSpPr>
      <xdr:spPr bwMode="auto">
        <a:xfrm>
          <a:off x="4895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45</xdr:row>
      <xdr:rowOff>57150</xdr:rowOff>
    </xdr:from>
    <xdr:to>
      <xdr:col>19</xdr:col>
      <xdr:colOff>0</xdr:colOff>
      <xdr:row>47</xdr:row>
      <xdr:rowOff>0</xdr:rowOff>
    </xdr:to>
    <xdr:sp macro="" textlink="">
      <xdr:nvSpPr>
        <xdr:cNvPr id="986" name="AutoShape 46">
          <a:extLst>
            <a:ext uri="{FF2B5EF4-FFF2-40B4-BE49-F238E27FC236}">
              <a16:creationId xmlns:a16="http://schemas.microsoft.com/office/drawing/2014/main" id="{2C864D95-302B-41DC-B096-968D8A32E928}"/>
            </a:ext>
          </a:extLst>
        </xdr:cNvPr>
        <xdr:cNvSpPr>
          <a:spLocks noChangeArrowheads="1"/>
        </xdr:cNvSpPr>
      </xdr:nvSpPr>
      <xdr:spPr bwMode="auto">
        <a:xfrm>
          <a:off x="5467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45</xdr:row>
      <xdr:rowOff>57150</xdr:rowOff>
    </xdr:from>
    <xdr:to>
      <xdr:col>21</xdr:col>
      <xdr:colOff>0</xdr:colOff>
      <xdr:row>47</xdr:row>
      <xdr:rowOff>0</xdr:rowOff>
    </xdr:to>
    <xdr:sp macro="" textlink="">
      <xdr:nvSpPr>
        <xdr:cNvPr id="987" name="AutoShape 46">
          <a:extLst>
            <a:ext uri="{FF2B5EF4-FFF2-40B4-BE49-F238E27FC236}">
              <a16:creationId xmlns:a16="http://schemas.microsoft.com/office/drawing/2014/main" id="{2B86ADC5-1D4B-4D19-A787-061A264088AA}"/>
            </a:ext>
          </a:extLst>
        </xdr:cNvPr>
        <xdr:cNvSpPr>
          <a:spLocks noChangeArrowheads="1"/>
        </xdr:cNvSpPr>
      </xdr:nvSpPr>
      <xdr:spPr bwMode="auto">
        <a:xfrm>
          <a:off x="6038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45</xdr:row>
      <xdr:rowOff>57150</xdr:rowOff>
    </xdr:from>
    <xdr:to>
      <xdr:col>23</xdr:col>
      <xdr:colOff>0</xdr:colOff>
      <xdr:row>47</xdr:row>
      <xdr:rowOff>0</xdr:rowOff>
    </xdr:to>
    <xdr:sp macro="" textlink="">
      <xdr:nvSpPr>
        <xdr:cNvPr id="988" name="AutoShape 46">
          <a:extLst>
            <a:ext uri="{FF2B5EF4-FFF2-40B4-BE49-F238E27FC236}">
              <a16:creationId xmlns:a16="http://schemas.microsoft.com/office/drawing/2014/main" id="{39847D02-1858-4998-BC07-E21327B2E86C}"/>
            </a:ext>
          </a:extLst>
        </xdr:cNvPr>
        <xdr:cNvSpPr>
          <a:spLocks noChangeArrowheads="1"/>
        </xdr:cNvSpPr>
      </xdr:nvSpPr>
      <xdr:spPr bwMode="auto">
        <a:xfrm>
          <a:off x="6939643" y="9086461"/>
          <a:ext cx="340178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45</xdr:row>
      <xdr:rowOff>60379</xdr:rowOff>
    </xdr:from>
    <xdr:to>
      <xdr:col>25</xdr:col>
      <xdr:colOff>0</xdr:colOff>
      <xdr:row>47</xdr:row>
      <xdr:rowOff>3229</xdr:rowOff>
    </xdr:to>
    <xdr:sp macro="" textlink="">
      <xdr:nvSpPr>
        <xdr:cNvPr id="989" name="AutoShape 46">
          <a:extLst>
            <a:ext uri="{FF2B5EF4-FFF2-40B4-BE49-F238E27FC236}">
              <a16:creationId xmlns:a16="http://schemas.microsoft.com/office/drawing/2014/main" id="{B1CACB3E-D6AB-44FB-8945-F5DABA7BB884}"/>
            </a:ext>
          </a:extLst>
        </xdr:cNvPr>
        <xdr:cNvSpPr>
          <a:spLocks noChangeArrowheads="1"/>
        </xdr:cNvSpPr>
      </xdr:nvSpPr>
      <xdr:spPr bwMode="auto">
        <a:xfrm>
          <a:off x="7546731" y="8884088"/>
          <a:ext cx="345412" cy="31966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45</xdr:row>
      <xdr:rowOff>57150</xdr:rowOff>
    </xdr:from>
    <xdr:to>
      <xdr:col>27</xdr:col>
      <xdr:colOff>0</xdr:colOff>
      <xdr:row>47</xdr:row>
      <xdr:rowOff>0</xdr:rowOff>
    </xdr:to>
    <xdr:sp macro="" textlink="">
      <xdr:nvSpPr>
        <xdr:cNvPr id="990" name="AutoShape 46">
          <a:extLst>
            <a:ext uri="{FF2B5EF4-FFF2-40B4-BE49-F238E27FC236}">
              <a16:creationId xmlns:a16="http://schemas.microsoft.com/office/drawing/2014/main" id="{F3B66149-2429-413D-8077-2C879C9F2B86}"/>
            </a:ext>
          </a:extLst>
        </xdr:cNvPr>
        <xdr:cNvSpPr>
          <a:spLocks noChangeArrowheads="1"/>
        </xdr:cNvSpPr>
      </xdr:nvSpPr>
      <xdr:spPr bwMode="auto">
        <a:xfrm>
          <a:off x="7753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45</xdr:row>
      <xdr:rowOff>57150</xdr:rowOff>
    </xdr:from>
    <xdr:to>
      <xdr:col>29</xdr:col>
      <xdr:colOff>0</xdr:colOff>
      <xdr:row>47</xdr:row>
      <xdr:rowOff>0</xdr:rowOff>
    </xdr:to>
    <xdr:sp macro="" textlink="">
      <xdr:nvSpPr>
        <xdr:cNvPr id="991" name="AutoShape 46">
          <a:extLst>
            <a:ext uri="{FF2B5EF4-FFF2-40B4-BE49-F238E27FC236}">
              <a16:creationId xmlns:a16="http://schemas.microsoft.com/office/drawing/2014/main" id="{CCA9C04A-6B14-46E8-A03D-8B871638E887}"/>
            </a:ext>
          </a:extLst>
        </xdr:cNvPr>
        <xdr:cNvSpPr>
          <a:spLocks noChangeArrowheads="1"/>
        </xdr:cNvSpPr>
      </xdr:nvSpPr>
      <xdr:spPr bwMode="auto">
        <a:xfrm>
          <a:off x="8382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45</xdr:row>
      <xdr:rowOff>57150</xdr:rowOff>
    </xdr:from>
    <xdr:to>
      <xdr:col>31</xdr:col>
      <xdr:colOff>0</xdr:colOff>
      <xdr:row>47</xdr:row>
      <xdr:rowOff>0</xdr:rowOff>
    </xdr:to>
    <xdr:sp macro="" textlink="">
      <xdr:nvSpPr>
        <xdr:cNvPr id="992" name="AutoShape 46">
          <a:extLst>
            <a:ext uri="{FF2B5EF4-FFF2-40B4-BE49-F238E27FC236}">
              <a16:creationId xmlns:a16="http://schemas.microsoft.com/office/drawing/2014/main" id="{705480C3-D0D2-4953-BF21-333317C3E693}"/>
            </a:ext>
          </a:extLst>
        </xdr:cNvPr>
        <xdr:cNvSpPr>
          <a:spLocks noChangeArrowheads="1"/>
        </xdr:cNvSpPr>
      </xdr:nvSpPr>
      <xdr:spPr bwMode="auto">
        <a:xfrm>
          <a:off x="8953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45</xdr:row>
      <xdr:rowOff>19440</xdr:rowOff>
    </xdr:from>
    <xdr:to>
      <xdr:col>32</xdr:col>
      <xdr:colOff>356378</xdr:colOff>
      <xdr:row>47</xdr:row>
      <xdr:rowOff>1</xdr:rowOff>
    </xdr:to>
    <xdr:sp macro="" textlink="">
      <xdr:nvSpPr>
        <xdr:cNvPr id="993" name="AutoShape 46">
          <a:extLst>
            <a:ext uri="{FF2B5EF4-FFF2-40B4-BE49-F238E27FC236}">
              <a16:creationId xmlns:a16="http://schemas.microsoft.com/office/drawing/2014/main" id="{3010EBFA-7F20-4F86-AB9C-0BB9F8CA0CF1}"/>
            </a:ext>
          </a:extLst>
        </xdr:cNvPr>
        <xdr:cNvSpPr>
          <a:spLocks noChangeArrowheads="1"/>
        </xdr:cNvSpPr>
      </xdr:nvSpPr>
      <xdr:spPr bwMode="auto">
        <a:xfrm>
          <a:off x="10723724" y="8792807"/>
          <a:ext cx="356378" cy="35637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45</xdr:row>
      <xdr:rowOff>57150</xdr:rowOff>
    </xdr:from>
    <xdr:to>
      <xdr:col>35</xdr:col>
      <xdr:colOff>0</xdr:colOff>
      <xdr:row>47</xdr:row>
      <xdr:rowOff>0</xdr:rowOff>
    </xdr:to>
    <xdr:sp macro="" textlink="">
      <xdr:nvSpPr>
        <xdr:cNvPr id="994" name="AutoShape 46">
          <a:extLst>
            <a:ext uri="{FF2B5EF4-FFF2-40B4-BE49-F238E27FC236}">
              <a16:creationId xmlns:a16="http://schemas.microsoft.com/office/drawing/2014/main" id="{EFB7074A-6989-4E6E-9758-F80F202BC1E7}"/>
            </a:ext>
          </a:extLst>
        </xdr:cNvPr>
        <xdr:cNvSpPr>
          <a:spLocks noChangeArrowheads="1"/>
        </xdr:cNvSpPr>
      </xdr:nvSpPr>
      <xdr:spPr bwMode="auto">
        <a:xfrm>
          <a:off x="10096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45</xdr:row>
      <xdr:rowOff>57150</xdr:rowOff>
    </xdr:from>
    <xdr:to>
      <xdr:col>37</xdr:col>
      <xdr:colOff>0</xdr:colOff>
      <xdr:row>47</xdr:row>
      <xdr:rowOff>0</xdr:rowOff>
    </xdr:to>
    <xdr:sp macro="" textlink="">
      <xdr:nvSpPr>
        <xdr:cNvPr id="995" name="AutoShape 46">
          <a:extLst>
            <a:ext uri="{FF2B5EF4-FFF2-40B4-BE49-F238E27FC236}">
              <a16:creationId xmlns:a16="http://schemas.microsoft.com/office/drawing/2014/main" id="{E8E7910B-5F44-4BB1-8A5D-DEC75F60334C}"/>
            </a:ext>
          </a:extLst>
        </xdr:cNvPr>
        <xdr:cNvSpPr>
          <a:spLocks noChangeArrowheads="1"/>
        </xdr:cNvSpPr>
      </xdr:nvSpPr>
      <xdr:spPr bwMode="auto">
        <a:xfrm>
          <a:off x="10668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45</xdr:row>
      <xdr:rowOff>57150</xdr:rowOff>
    </xdr:from>
    <xdr:to>
      <xdr:col>39</xdr:col>
      <xdr:colOff>0</xdr:colOff>
      <xdr:row>47</xdr:row>
      <xdr:rowOff>0</xdr:rowOff>
    </xdr:to>
    <xdr:sp macro="" textlink="">
      <xdr:nvSpPr>
        <xdr:cNvPr id="996" name="AutoShape 46">
          <a:extLst>
            <a:ext uri="{FF2B5EF4-FFF2-40B4-BE49-F238E27FC236}">
              <a16:creationId xmlns:a16="http://schemas.microsoft.com/office/drawing/2014/main" id="{AEF3DB84-B7E4-4903-A28E-7946A7062B7A}"/>
            </a:ext>
          </a:extLst>
        </xdr:cNvPr>
        <xdr:cNvSpPr>
          <a:spLocks noChangeArrowheads="1"/>
        </xdr:cNvSpPr>
      </xdr:nvSpPr>
      <xdr:spPr bwMode="auto">
        <a:xfrm>
          <a:off x="11239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45</xdr:row>
      <xdr:rowOff>57150</xdr:rowOff>
    </xdr:from>
    <xdr:to>
      <xdr:col>41</xdr:col>
      <xdr:colOff>0</xdr:colOff>
      <xdr:row>47</xdr:row>
      <xdr:rowOff>0</xdr:rowOff>
    </xdr:to>
    <xdr:sp macro="" textlink="">
      <xdr:nvSpPr>
        <xdr:cNvPr id="997" name="AutoShape 46">
          <a:extLst>
            <a:ext uri="{FF2B5EF4-FFF2-40B4-BE49-F238E27FC236}">
              <a16:creationId xmlns:a16="http://schemas.microsoft.com/office/drawing/2014/main" id="{B63FE2EF-3AFF-4A16-977A-D8E8485F4B96}"/>
            </a:ext>
          </a:extLst>
        </xdr:cNvPr>
        <xdr:cNvSpPr>
          <a:spLocks noChangeArrowheads="1"/>
        </xdr:cNvSpPr>
      </xdr:nvSpPr>
      <xdr:spPr bwMode="auto">
        <a:xfrm>
          <a:off x="11811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45</xdr:row>
      <xdr:rowOff>57150</xdr:rowOff>
    </xdr:from>
    <xdr:to>
      <xdr:col>43</xdr:col>
      <xdr:colOff>0</xdr:colOff>
      <xdr:row>47</xdr:row>
      <xdr:rowOff>0</xdr:rowOff>
    </xdr:to>
    <xdr:sp macro="" textlink="">
      <xdr:nvSpPr>
        <xdr:cNvPr id="998" name="AutoShape 46">
          <a:extLst>
            <a:ext uri="{FF2B5EF4-FFF2-40B4-BE49-F238E27FC236}">
              <a16:creationId xmlns:a16="http://schemas.microsoft.com/office/drawing/2014/main" id="{20F7E992-FA3B-4505-ABF7-F96035A4CC42}"/>
            </a:ext>
          </a:extLst>
        </xdr:cNvPr>
        <xdr:cNvSpPr>
          <a:spLocks noChangeArrowheads="1"/>
        </xdr:cNvSpPr>
      </xdr:nvSpPr>
      <xdr:spPr bwMode="auto">
        <a:xfrm>
          <a:off x="12382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45</xdr:row>
      <xdr:rowOff>57150</xdr:rowOff>
    </xdr:from>
    <xdr:to>
      <xdr:col>45</xdr:col>
      <xdr:colOff>0</xdr:colOff>
      <xdr:row>47</xdr:row>
      <xdr:rowOff>0</xdr:rowOff>
    </xdr:to>
    <xdr:sp macro="" textlink="">
      <xdr:nvSpPr>
        <xdr:cNvPr id="999" name="AutoShape 46">
          <a:extLst>
            <a:ext uri="{FF2B5EF4-FFF2-40B4-BE49-F238E27FC236}">
              <a16:creationId xmlns:a16="http://schemas.microsoft.com/office/drawing/2014/main" id="{C9A3C502-F3AC-49BC-85A0-142E255A5732}"/>
            </a:ext>
          </a:extLst>
        </xdr:cNvPr>
        <xdr:cNvSpPr>
          <a:spLocks noChangeArrowheads="1"/>
        </xdr:cNvSpPr>
      </xdr:nvSpPr>
      <xdr:spPr bwMode="auto">
        <a:xfrm>
          <a:off x="12954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45</xdr:row>
      <xdr:rowOff>57150</xdr:rowOff>
    </xdr:from>
    <xdr:to>
      <xdr:col>11</xdr:col>
      <xdr:colOff>0</xdr:colOff>
      <xdr:row>47</xdr:row>
      <xdr:rowOff>0</xdr:rowOff>
    </xdr:to>
    <xdr:sp macro="" textlink="">
      <xdr:nvSpPr>
        <xdr:cNvPr id="1000" name="AutoShape 46">
          <a:extLst>
            <a:ext uri="{FF2B5EF4-FFF2-40B4-BE49-F238E27FC236}">
              <a16:creationId xmlns:a16="http://schemas.microsoft.com/office/drawing/2014/main" id="{11585560-5CCD-499D-8B64-614D8456DD5E}"/>
            </a:ext>
          </a:extLst>
        </xdr:cNvPr>
        <xdr:cNvSpPr>
          <a:spLocks noChangeArrowheads="1"/>
        </xdr:cNvSpPr>
      </xdr:nvSpPr>
      <xdr:spPr bwMode="auto">
        <a:xfrm>
          <a:off x="3181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45</xdr:row>
      <xdr:rowOff>57150</xdr:rowOff>
    </xdr:from>
    <xdr:to>
      <xdr:col>13</xdr:col>
      <xdr:colOff>0</xdr:colOff>
      <xdr:row>47</xdr:row>
      <xdr:rowOff>0</xdr:rowOff>
    </xdr:to>
    <xdr:sp macro="" textlink="">
      <xdr:nvSpPr>
        <xdr:cNvPr id="1001" name="AutoShape 46">
          <a:extLst>
            <a:ext uri="{FF2B5EF4-FFF2-40B4-BE49-F238E27FC236}">
              <a16:creationId xmlns:a16="http://schemas.microsoft.com/office/drawing/2014/main" id="{7E45042D-0F11-4BA2-8ECE-F078CC3868BD}"/>
            </a:ext>
          </a:extLst>
        </xdr:cNvPr>
        <xdr:cNvSpPr>
          <a:spLocks noChangeArrowheads="1"/>
        </xdr:cNvSpPr>
      </xdr:nvSpPr>
      <xdr:spPr bwMode="auto">
        <a:xfrm>
          <a:off x="3752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45</xdr:row>
      <xdr:rowOff>57150</xdr:rowOff>
    </xdr:from>
    <xdr:to>
      <xdr:col>15</xdr:col>
      <xdr:colOff>0</xdr:colOff>
      <xdr:row>47</xdr:row>
      <xdr:rowOff>0</xdr:rowOff>
    </xdr:to>
    <xdr:sp macro="" textlink="">
      <xdr:nvSpPr>
        <xdr:cNvPr id="1002" name="AutoShape 46">
          <a:extLst>
            <a:ext uri="{FF2B5EF4-FFF2-40B4-BE49-F238E27FC236}">
              <a16:creationId xmlns:a16="http://schemas.microsoft.com/office/drawing/2014/main" id="{BCD2B7C1-B1EB-4A79-B590-4F9DD63E10BF}"/>
            </a:ext>
          </a:extLst>
        </xdr:cNvPr>
        <xdr:cNvSpPr>
          <a:spLocks noChangeArrowheads="1"/>
        </xdr:cNvSpPr>
      </xdr:nvSpPr>
      <xdr:spPr bwMode="auto">
        <a:xfrm>
          <a:off x="4324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45</xdr:row>
      <xdr:rowOff>57150</xdr:rowOff>
    </xdr:from>
    <xdr:to>
      <xdr:col>9</xdr:col>
      <xdr:colOff>0</xdr:colOff>
      <xdr:row>47</xdr:row>
      <xdr:rowOff>0</xdr:rowOff>
    </xdr:to>
    <xdr:sp macro="" textlink="">
      <xdr:nvSpPr>
        <xdr:cNvPr id="1003" name="AutoShape 46">
          <a:extLst>
            <a:ext uri="{FF2B5EF4-FFF2-40B4-BE49-F238E27FC236}">
              <a16:creationId xmlns:a16="http://schemas.microsoft.com/office/drawing/2014/main" id="{37E55EEE-8B80-46AC-BB7F-9B7064E1E38B}"/>
            </a:ext>
          </a:extLst>
        </xdr:cNvPr>
        <xdr:cNvSpPr>
          <a:spLocks noChangeArrowheads="1"/>
        </xdr:cNvSpPr>
      </xdr:nvSpPr>
      <xdr:spPr bwMode="auto">
        <a:xfrm>
          <a:off x="2409825" y="8677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45</xdr:row>
      <xdr:rowOff>57150</xdr:rowOff>
    </xdr:from>
    <xdr:to>
      <xdr:col>7</xdr:col>
      <xdr:colOff>0</xdr:colOff>
      <xdr:row>47</xdr:row>
      <xdr:rowOff>0</xdr:rowOff>
    </xdr:to>
    <xdr:sp macro="" textlink="">
      <xdr:nvSpPr>
        <xdr:cNvPr id="1004" name="AutoShape 46">
          <a:extLst>
            <a:ext uri="{FF2B5EF4-FFF2-40B4-BE49-F238E27FC236}">
              <a16:creationId xmlns:a16="http://schemas.microsoft.com/office/drawing/2014/main" id="{CDB6D351-440B-44A8-B11E-A08D1A9901B4}"/>
            </a:ext>
          </a:extLst>
        </xdr:cNvPr>
        <xdr:cNvSpPr>
          <a:spLocks noChangeArrowheads="1"/>
        </xdr:cNvSpPr>
      </xdr:nvSpPr>
      <xdr:spPr bwMode="auto">
        <a:xfrm>
          <a:off x="1819275" y="8677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45</xdr:row>
      <xdr:rowOff>57150</xdr:rowOff>
    </xdr:from>
    <xdr:to>
      <xdr:col>5</xdr:col>
      <xdr:colOff>0</xdr:colOff>
      <xdr:row>47</xdr:row>
      <xdr:rowOff>0</xdr:rowOff>
    </xdr:to>
    <xdr:sp macro="" textlink="">
      <xdr:nvSpPr>
        <xdr:cNvPr id="1005" name="AutoShape 46">
          <a:extLst>
            <a:ext uri="{FF2B5EF4-FFF2-40B4-BE49-F238E27FC236}">
              <a16:creationId xmlns:a16="http://schemas.microsoft.com/office/drawing/2014/main" id="{5F5AE1A9-57ED-4E91-8811-568E6EFFFF75}"/>
            </a:ext>
          </a:extLst>
        </xdr:cNvPr>
        <xdr:cNvSpPr>
          <a:spLocks noChangeArrowheads="1"/>
        </xdr:cNvSpPr>
      </xdr:nvSpPr>
      <xdr:spPr bwMode="auto">
        <a:xfrm>
          <a:off x="1095375" y="8677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45</xdr:row>
      <xdr:rowOff>57150</xdr:rowOff>
    </xdr:from>
    <xdr:to>
      <xdr:col>3</xdr:col>
      <xdr:colOff>0</xdr:colOff>
      <xdr:row>47</xdr:row>
      <xdr:rowOff>0</xdr:rowOff>
    </xdr:to>
    <xdr:sp macro="" textlink="">
      <xdr:nvSpPr>
        <xdr:cNvPr id="1006" name="AutoShape 46">
          <a:extLst>
            <a:ext uri="{FF2B5EF4-FFF2-40B4-BE49-F238E27FC236}">
              <a16:creationId xmlns:a16="http://schemas.microsoft.com/office/drawing/2014/main" id="{20692894-6E51-44E6-8D6B-4CD89E133D2C}"/>
            </a:ext>
          </a:extLst>
        </xdr:cNvPr>
        <xdr:cNvSpPr>
          <a:spLocks noChangeArrowheads="1"/>
        </xdr:cNvSpPr>
      </xdr:nvSpPr>
      <xdr:spPr bwMode="auto">
        <a:xfrm>
          <a:off x="523875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07" name="Group 1008">
          <a:extLst>
            <a:ext uri="{FF2B5EF4-FFF2-40B4-BE49-F238E27FC236}">
              <a16:creationId xmlns:a16="http://schemas.microsoft.com/office/drawing/2014/main" id="{D3D970E4-97B0-4C5E-9B4C-F4058078A037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08" name="Straight Connector 1007">
            <a:extLst>
              <a:ext uri="{FF2B5EF4-FFF2-40B4-BE49-F238E27FC236}">
                <a16:creationId xmlns:a16="http://schemas.microsoft.com/office/drawing/2014/main" id="{FE116180-EA11-8112-3AF0-3E73FE51F5B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09" name="Straight Connector 529">
            <a:extLst>
              <a:ext uri="{FF2B5EF4-FFF2-40B4-BE49-F238E27FC236}">
                <a16:creationId xmlns:a16="http://schemas.microsoft.com/office/drawing/2014/main" id="{B8B7A6A8-56B9-10FD-E72C-8F2100E727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0" name="Straight Connector 531">
            <a:extLst>
              <a:ext uri="{FF2B5EF4-FFF2-40B4-BE49-F238E27FC236}">
                <a16:creationId xmlns:a16="http://schemas.microsoft.com/office/drawing/2014/main" id="{17ADC862-E8F8-ECE2-31F3-6A583ECFCA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1" name="Straight Connector 533">
            <a:extLst>
              <a:ext uri="{FF2B5EF4-FFF2-40B4-BE49-F238E27FC236}">
                <a16:creationId xmlns:a16="http://schemas.microsoft.com/office/drawing/2014/main" id="{7DFFB97F-A183-E742-87BD-07D384F704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2" name="Straight Connector 535">
            <a:extLst>
              <a:ext uri="{FF2B5EF4-FFF2-40B4-BE49-F238E27FC236}">
                <a16:creationId xmlns:a16="http://schemas.microsoft.com/office/drawing/2014/main" id="{B9C0BD06-019A-65DF-4340-9C01B629F8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3" name="Straight Connector 537">
            <a:extLst>
              <a:ext uri="{FF2B5EF4-FFF2-40B4-BE49-F238E27FC236}">
                <a16:creationId xmlns:a16="http://schemas.microsoft.com/office/drawing/2014/main" id="{4F8A8F9F-913B-54FE-7ED4-03913D81F9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14" name="Group 1008">
          <a:extLst>
            <a:ext uri="{FF2B5EF4-FFF2-40B4-BE49-F238E27FC236}">
              <a16:creationId xmlns:a16="http://schemas.microsoft.com/office/drawing/2014/main" id="{6D0DD37C-F844-40DF-B2DF-2CED54491AB8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15" name="Straight Connector 1014">
            <a:extLst>
              <a:ext uri="{FF2B5EF4-FFF2-40B4-BE49-F238E27FC236}">
                <a16:creationId xmlns:a16="http://schemas.microsoft.com/office/drawing/2014/main" id="{E165A32D-D04F-9BE2-714C-66936A7B717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16" name="Straight Connector 529">
            <a:extLst>
              <a:ext uri="{FF2B5EF4-FFF2-40B4-BE49-F238E27FC236}">
                <a16:creationId xmlns:a16="http://schemas.microsoft.com/office/drawing/2014/main" id="{DB789B69-9191-AED1-A6CA-A4333BEF80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7" name="Straight Connector 531">
            <a:extLst>
              <a:ext uri="{FF2B5EF4-FFF2-40B4-BE49-F238E27FC236}">
                <a16:creationId xmlns:a16="http://schemas.microsoft.com/office/drawing/2014/main" id="{518A783E-4B2A-631E-93EF-24E5FAB078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8" name="Straight Connector 533">
            <a:extLst>
              <a:ext uri="{FF2B5EF4-FFF2-40B4-BE49-F238E27FC236}">
                <a16:creationId xmlns:a16="http://schemas.microsoft.com/office/drawing/2014/main" id="{333E81CD-0948-18B2-DE61-0839A66A62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9" name="Straight Connector 535">
            <a:extLst>
              <a:ext uri="{FF2B5EF4-FFF2-40B4-BE49-F238E27FC236}">
                <a16:creationId xmlns:a16="http://schemas.microsoft.com/office/drawing/2014/main" id="{DE8A3EF5-9C10-4C06-D15F-7B1B136593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0" name="Straight Connector 537">
            <a:extLst>
              <a:ext uri="{FF2B5EF4-FFF2-40B4-BE49-F238E27FC236}">
                <a16:creationId xmlns:a16="http://schemas.microsoft.com/office/drawing/2014/main" id="{FE113F39-3D8A-26B9-FAB6-2AB60974391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133350</xdr:rowOff>
    </xdr:from>
    <xdr:to>
      <xdr:col>6</xdr:col>
      <xdr:colOff>0</xdr:colOff>
      <xdr:row>57</xdr:row>
      <xdr:rowOff>47625</xdr:rowOff>
    </xdr:to>
    <xdr:grpSp>
      <xdr:nvGrpSpPr>
        <xdr:cNvPr id="1021" name="Group 1008">
          <a:extLst>
            <a:ext uri="{FF2B5EF4-FFF2-40B4-BE49-F238E27FC236}">
              <a16:creationId xmlns:a16="http://schemas.microsoft.com/office/drawing/2014/main" id="{9CD69584-AD2E-4A66-AABE-CD1EB0405C71}"/>
            </a:ext>
          </a:extLst>
        </xdr:cNvPr>
        <xdr:cNvGrpSpPr>
          <a:grpSpLocks/>
        </xdr:cNvGrpSpPr>
      </xdr:nvGrpSpPr>
      <xdr:grpSpPr bwMode="auto">
        <a:xfrm>
          <a:off x="1807806" y="11181054"/>
          <a:ext cx="0" cy="102183"/>
          <a:chOff x="5475762" y="47760700"/>
          <a:chExt cx="314325" cy="230209"/>
        </a:xfrm>
      </xdr:grpSpPr>
      <xdr:cxnSp macro="">
        <xdr:nvCxnSpPr>
          <xdr:cNvPr id="1022" name="Straight Connector 1021">
            <a:extLst>
              <a:ext uri="{FF2B5EF4-FFF2-40B4-BE49-F238E27FC236}">
                <a16:creationId xmlns:a16="http://schemas.microsoft.com/office/drawing/2014/main" id="{AE86A5B7-016A-1FBE-7E3B-6443B4D99AFC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23" name="Straight Connector 529">
            <a:extLst>
              <a:ext uri="{FF2B5EF4-FFF2-40B4-BE49-F238E27FC236}">
                <a16:creationId xmlns:a16="http://schemas.microsoft.com/office/drawing/2014/main" id="{C3B52702-C7A8-4D34-6389-D21ADC0BBA0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4" name="Straight Connector 531">
            <a:extLst>
              <a:ext uri="{FF2B5EF4-FFF2-40B4-BE49-F238E27FC236}">
                <a16:creationId xmlns:a16="http://schemas.microsoft.com/office/drawing/2014/main" id="{0A145CD4-FEEC-DD5C-237C-E07F903798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5" name="Straight Connector 533">
            <a:extLst>
              <a:ext uri="{FF2B5EF4-FFF2-40B4-BE49-F238E27FC236}">
                <a16:creationId xmlns:a16="http://schemas.microsoft.com/office/drawing/2014/main" id="{6B89B8D0-7601-8C19-3442-1AD4A1CE26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6" name="Straight Connector 535">
            <a:extLst>
              <a:ext uri="{FF2B5EF4-FFF2-40B4-BE49-F238E27FC236}">
                <a16:creationId xmlns:a16="http://schemas.microsoft.com/office/drawing/2014/main" id="{52AECB53-1A80-9E6B-7320-39F592672B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7" name="Straight Connector 537">
            <a:extLst>
              <a:ext uri="{FF2B5EF4-FFF2-40B4-BE49-F238E27FC236}">
                <a16:creationId xmlns:a16="http://schemas.microsoft.com/office/drawing/2014/main" id="{966DC554-1A51-898D-FEB7-2AAACC625A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133350</xdr:rowOff>
    </xdr:from>
    <xdr:to>
      <xdr:col>6</xdr:col>
      <xdr:colOff>0</xdr:colOff>
      <xdr:row>57</xdr:row>
      <xdr:rowOff>57150</xdr:rowOff>
    </xdr:to>
    <xdr:grpSp>
      <xdr:nvGrpSpPr>
        <xdr:cNvPr id="1028" name="Group 1008">
          <a:extLst>
            <a:ext uri="{FF2B5EF4-FFF2-40B4-BE49-F238E27FC236}">
              <a16:creationId xmlns:a16="http://schemas.microsoft.com/office/drawing/2014/main" id="{074F60F7-62EA-4642-9362-7D9935E3CE36}"/>
            </a:ext>
          </a:extLst>
        </xdr:cNvPr>
        <xdr:cNvGrpSpPr>
          <a:grpSpLocks/>
        </xdr:cNvGrpSpPr>
      </xdr:nvGrpSpPr>
      <xdr:grpSpPr bwMode="auto">
        <a:xfrm>
          <a:off x="1807806" y="11181054"/>
          <a:ext cx="0" cy="111708"/>
          <a:chOff x="5475762" y="47760700"/>
          <a:chExt cx="314325" cy="230209"/>
        </a:xfrm>
      </xdr:grpSpPr>
      <xdr:cxnSp macro="">
        <xdr:nvCxnSpPr>
          <xdr:cNvPr id="1029" name="Straight Connector 1028">
            <a:extLst>
              <a:ext uri="{FF2B5EF4-FFF2-40B4-BE49-F238E27FC236}">
                <a16:creationId xmlns:a16="http://schemas.microsoft.com/office/drawing/2014/main" id="{BC10CC79-C949-E721-2A18-AF754BBD94DC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30" name="Straight Connector 529">
            <a:extLst>
              <a:ext uri="{FF2B5EF4-FFF2-40B4-BE49-F238E27FC236}">
                <a16:creationId xmlns:a16="http://schemas.microsoft.com/office/drawing/2014/main" id="{CD9BFA7C-B23D-AF5B-3C5E-DF75A2A6CFD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1" name="Straight Connector 531">
            <a:extLst>
              <a:ext uri="{FF2B5EF4-FFF2-40B4-BE49-F238E27FC236}">
                <a16:creationId xmlns:a16="http://schemas.microsoft.com/office/drawing/2014/main" id="{18CB4146-F92F-3767-ABD5-0228DEB331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2" name="Straight Connector 533">
            <a:extLst>
              <a:ext uri="{FF2B5EF4-FFF2-40B4-BE49-F238E27FC236}">
                <a16:creationId xmlns:a16="http://schemas.microsoft.com/office/drawing/2014/main" id="{547C59A8-2D47-6353-06DC-921F1DD0FA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3" name="Straight Connector 535">
            <a:extLst>
              <a:ext uri="{FF2B5EF4-FFF2-40B4-BE49-F238E27FC236}">
                <a16:creationId xmlns:a16="http://schemas.microsoft.com/office/drawing/2014/main" id="{4857055E-A49D-FEC0-B6BF-37F062BBA6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4" name="Straight Connector 537">
            <a:extLst>
              <a:ext uri="{FF2B5EF4-FFF2-40B4-BE49-F238E27FC236}">
                <a16:creationId xmlns:a16="http://schemas.microsoft.com/office/drawing/2014/main" id="{96567299-A862-E10C-C78A-44226D8EC6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35" name="Group 1008">
          <a:extLst>
            <a:ext uri="{FF2B5EF4-FFF2-40B4-BE49-F238E27FC236}">
              <a16:creationId xmlns:a16="http://schemas.microsoft.com/office/drawing/2014/main" id="{4309CBE5-CA03-4345-95E1-213C7C230474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36" name="Straight Connector 1035">
            <a:extLst>
              <a:ext uri="{FF2B5EF4-FFF2-40B4-BE49-F238E27FC236}">
                <a16:creationId xmlns:a16="http://schemas.microsoft.com/office/drawing/2014/main" id="{28D59DE7-2442-9F89-82D6-B7469EB155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37" name="Straight Connector 529">
            <a:extLst>
              <a:ext uri="{FF2B5EF4-FFF2-40B4-BE49-F238E27FC236}">
                <a16:creationId xmlns:a16="http://schemas.microsoft.com/office/drawing/2014/main" id="{6D02150C-3E28-D679-9A72-E90C6C34C2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8" name="Straight Connector 531">
            <a:extLst>
              <a:ext uri="{FF2B5EF4-FFF2-40B4-BE49-F238E27FC236}">
                <a16:creationId xmlns:a16="http://schemas.microsoft.com/office/drawing/2014/main" id="{825E0559-A174-B20E-DE65-FFDB13991A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9" name="Straight Connector 533">
            <a:extLst>
              <a:ext uri="{FF2B5EF4-FFF2-40B4-BE49-F238E27FC236}">
                <a16:creationId xmlns:a16="http://schemas.microsoft.com/office/drawing/2014/main" id="{42A1D9E4-C6D9-EC66-0C25-0FA43290FE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0" name="Straight Connector 535">
            <a:extLst>
              <a:ext uri="{FF2B5EF4-FFF2-40B4-BE49-F238E27FC236}">
                <a16:creationId xmlns:a16="http://schemas.microsoft.com/office/drawing/2014/main" id="{8790EAF0-C853-BFD2-6A1D-D7A895CDD3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1" name="Straight Connector 537">
            <a:extLst>
              <a:ext uri="{FF2B5EF4-FFF2-40B4-BE49-F238E27FC236}">
                <a16:creationId xmlns:a16="http://schemas.microsoft.com/office/drawing/2014/main" id="{97DE3795-BEA0-D35C-D0A1-92FA4EF4BB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42" name="Group 1008">
          <a:extLst>
            <a:ext uri="{FF2B5EF4-FFF2-40B4-BE49-F238E27FC236}">
              <a16:creationId xmlns:a16="http://schemas.microsoft.com/office/drawing/2014/main" id="{5FC30B7D-6F99-403B-BB78-11253EB2F27D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43" name="Straight Connector 1042">
            <a:extLst>
              <a:ext uri="{FF2B5EF4-FFF2-40B4-BE49-F238E27FC236}">
                <a16:creationId xmlns:a16="http://schemas.microsoft.com/office/drawing/2014/main" id="{1E901F29-1C4D-B217-C47F-46D08921FC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44" name="Straight Connector 529">
            <a:extLst>
              <a:ext uri="{FF2B5EF4-FFF2-40B4-BE49-F238E27FC236}">
                <a16:creationId xmlns:a16="http://schemas.microsoft.com/office/drawing/2014/main" id="{21F1714F-487B-81C8-516E-CDFA289BA8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5" name="Straight Connector 531">
            <a:extLst>
              <a:ext uri="{FF2B5EF4-FFF2-40B4-BE49-F238E27FC236}">
                <a16:creationId xmlns:a16="http://schemas.microsoft.com/office/drawing/2014/main" id="{069B18F6-A873-2942-7B95-6580035259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6" name="Straight Connector 533">
            <a:extLst>
              <a:ext uri="{FF2B5EF4-FFF2-40B4-BE49-F238E27FC236}">
                <a16:creationId xmlns:a16="http://schemas.microsoft.com/office/drawing/2014/main" id="{37133DCD-AC38-4637-E00B-5D296F24FA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7" name="Straight Connector 535">
            <a:extLst>
              <a:ext uri="{FF2B5EF4-FFF2-40B4-BE49-F238E27FC236}">
                <a16:creationId xmlns:a16="http://schemas.microsoft.com/office/drawing/2014/main" id="{54396F51-B813-D50A-029A-5E1D095E45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8" name="Straight Connector 537">
            <a:extLst>
              <a:ext uri="{FF2B5EF4-FFF2-40B4-BE49-F238E27FC236}">
                <a16:creationId xmlns:a16="http://schemas.microsoft.com/office/drawing/2014/main" id="{E254B928-8D64-774D-2343-20F34B69E4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49" name="Group 1008">
          <a:extLst>
            <a:ext uri="{FF2B5EF4-FFF2-40B4-BE49-F238E27FC236}">
              <a16:creationId xmlns:a16="http://schemas.microsoft.com/office/drawing/2014/main" id="{D7F52C4B-60E4-43AD-9A86-11D07D0D070B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50" name="Straight Connector 1049">
            <a:extLst>
              <a:ext uri="{FF2B5EF4-FFF2-40B4-BE49-F238E27FC236}">
                <a16:creationId xmlns:a16="http://schemas.microsoft.com/office/drawing/2014/main" id="{BD68A287-820F-1794-66BF-2B70C6200B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51" name="Straight Connector 529">
            <a:extLst>
              <a:ext uri="{FF2B5EF4-FFF2-40B4-BE49-F238E27FC236}">
                <a16:creationId xmlns:a16="http://schemas.microsoft.com/office/drawing/2014/main" id="{FA40C39A-190B-8EC2-6FAF-30C78768FE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2" name="Straight Connector 531">
            <a:extLst>
              <a:ext uri="{FF2B5EF4-FFF2-40B4-BE49-F238E27FC236}">
                <a16:creationId xmlns:a16="http://schemas.microsoft.com/office/drawing/2014/main" id="{BA19DF13-793F-1DE6-0EAB-12F23CAC75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3" name="Straight Connector 533">
            <a:extLst>
              <a:ext uri="{FF2B5EF4-FFF2-40B4-BE49-F238E27FC236}">
                <a16:creationId xmlns:a16="http://schemas.microsoft.com/office/drawing/2014/main" id="{083B83CC-FC71-8578-63B0-1776C923F4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4" name="Straight Connector 535">
            <a:extLst>
              <a:ext uri="{FF2B5EF4-FFF2-40B4-BE49-F238E27FC236}">
                <a16:creationId xmlns:a16="http://schemas.microsoft.com/office/drawing/2014/main" id="{7E7B4311-98BF-BE00-2E9B-73981347F2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5" name="Straight Connector 537">
            <a:extLst>
              <a:ext uri="{FF2B5EF4-FFF2-40B4-BE49-F238E27FC236}">
                <a16:creationId xmlns:a16="http://schemas.microsoft.com/office/drawing/2014/main" id="{F6B89947-5B2A-F831-65F2-183ADBB4C0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56" name="Group 1008">
          <a:extLst>
            <a:ext uri="{FF2B5EF4-FFF2-40B4-BE49-F238E27FC236}">
              <a16:creationId xmlns:a16="http://schemas.microsoft.com/office/drawing/2014/main" id="{4E2FD238-9992-4D17-8C57-467B04ED0630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57" name="Straight Connector 1056">
            <a:extLst>
              <a:ext uri="{FF2B5EF4-FFF2-40B4-BE49-F238E27FC236}">
                <a16:creationId xmlns:a16="http://schemas.microsoft.com/office/drawing/2014/main" id="{D78D4C75-9221-4C91-25E4-80ADF1C6C0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58" name="Straight Connector 529">
            <a:extLst>
              <a:ext uri="{FF2B5EF4-FFF2-40B4-BE49-F238E27FC236}">
                <a16:creationId xmlns:a16="http://schemas.microsoft.com/office/drawing/2014/main" id="{FCD14E3A-F8BA-20C1-1173-208CDB9251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9" name="Straight Connector 531">
            <a:extLst>
              <a:ext uri="{FF2B5EF4-FFF2-40B4-BE49-F238E27FC236}">
                <a16:creationId xmlns:a16="http://schemas.microsoft.com/office/drawing/2014/main" id="{BB8755AD-A779-FD9E-445B-E6AA1D8481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0" name="Straight Connector 533">
            <a:extLst>
              <a:ext uri="{FF2B5EF4-FFF2-40B4-BE49-F238E27FC236}">
                <a16:creationId xmlns:a16="http://schemas.microsoft.com/office/drawing/2014/main" id="{EE986416-0CA3-4240-26CE-F066DAFBA9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1" name="Straight Connector 535">
            <a:extLst>
              <a:ext uri="{FF2B5EF4-FFF2-40B4-BE49-F238E27FC236}">
                <a16:creationId xmlns:a16="http://schemas.microsoft.com/office/drawing/2014/main" id="{361B5143-FBC0-16E3-5663-964BE30D32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2" name="Straight Connector 537">
            <a:extLst>
              <a:ext uri="{FF2B5EF4-FFF2-40B4-BE49-F238E27FC236}">
                <a16:creationId xmlns:a16="http://schemas.microsoft.com/office/drawing/2014/main" id="{330BF720-8CCA-74C8-6F8A-99556793E7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63" name="Group 1008">
          <a:extLst>
            <a:ext uri="{FF2B5EF4-FFF2-40B4-BE49-F238E27FC236}">
              <a16:creationId xmlns:a16="http://schemas.microsoft.com/office/drawing/2014/main" id="{87409160-E628-4E6F-A904-4E1D5B9998D1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64" name="Straight Connector 1063">
            <a:extLst>
              <a:ext uri="{FF2B5EF4-FFF2-40B4-BE49-F238E27FC236}">
                <a16:creationId xmlns:a16="http://schemas.microsoft.com/office/drawing/2014/main" id="{193DAC02-90FE-7A75-9653-47FDB262A76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65" name="Straight Connector 529">
            <a:extLst>
              <a:ext uri="{FF2B5EF4-FFF2-40B4-BE49-F238E27FC236}">
                <a16:creationId xmlns:a16="http://schemas.microsoft.com/office/drawing/2014/main" id="{F03322AE-5190-B6EC-0E16-8D216009BA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6" name="Straight Connector 531">
            <a:extLst>
              <a:ext uri="{FF2B5EF4-FFF2-40B4-BE49-F238E27FC236}">
                <a16:creationId xmlns:a16="http://schemas.microsoft.com/office/drawing/2014/main" id="{FD7B8B61-CAD6-E31F-67FB-F3F16277DD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7" name="Straight Connector 533">
            <a:extLst>
              <a:ext uri="{FF2B5EF4-FFF2-40B4-BE49-F238E27FC236}">
                <a16:creationId xmlns:a16="http://schemas.microsoft.com/office/drawing/2014/main" id="{61C6CA1F-2C66-EB05-9F79-3884D8A9B3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8" name="Straight Connector 535">
            <a:extLst>
              <a:ext uri="{FF2B5EF4-FFF2-40B4-BE49-F238E27FC236}">
                <a16:creationId xmlns:a16="http://schemas.microsoft.com/office/drawing/2014/main" id="{4E1518AA-11A6-6FA9-84C8-FC305C7162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9" name="Straight Connector 537">
            <a:extLst>
              <a:ext uri="{FF2B5EF4-FFF2-40B4-BE49-F238E27FC236}">
                <a16:creationId xmlns:a16="http://schemas.microsoft.com/office/drawing/2014/main" id="{C68495B3-6A07-7531-A822-DDE602F04CC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70" name="Group 1008">
          <a:extLst>
            <a:ext uri="{FF2B5EF4-FFF2-40B4-BE49-F238E27FC236}">
              <a16:creationId xmlns:a16="http://schemas.microsoft.com/office/drawing/2014/main" id="{2D2C5D22-2005-4FC4-A0FE-705E0A95829D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71" name="Straight Connector 1070">
            <a:extLst>
              <a:ext uri="{FF2B5EF4-FFF2-40B4-BE49-F238E27FC236}">
                <a16:creationId xmlns:a16="http://schemas.microsoft.com/office/drawing/2014/main" id="{0CF436CE-4C4A-B800-864B-8429EB40CF7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72" name="Straight Connector 529">
            <a:extLst>
              <a:ext uri="{FF2B5EF4-FFF2-40B4-BE49-F238E27FC236}">
                <a16:creationId xmlns:a16="http://schemas.microsoft.com/office/drawing/2014/main" id="{014339A1-7DE6-6A29-1D59-19DC342FCD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3" name="Straight Connector 531">
            <a:extLst>
              <a:ext uri="{FF2B5EF4-FFF2-40B4-BE49-F238E27FC236}">
                <a16:creationId xmlns:a16="http://schemas.microsoft.com/office/drawing/2014/main" id="{BDC757BE-0B61-45FA-2BB2-6A5D454803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4" name="Straight Connector 533">
            <a:extLst>
              <a:ext uri="{FF2B5EF4-FFF2-40B4-BE49-F238E27FC236}">
                <a16:creationId xmlns:a16="http://schemas.microsoft.com/office/drawing/2014/main" id="{246049E6-F066-D803-F655-D6BD29C64C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5" name="Straight Connector 535">
            <a:extLst>
              <a:ext uri="{FF2B5EF4-FFF2-40B4-BE49-F238E27FC236}">
                <a16:creationId xmlns:a16="http://schemas.microsoft.com/office/drawing/2014/main" id="{B51E9CB4-C054-6F18-02A3-A2FC87C245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6" name="Straight Connector 537">
            <a:extLst>
              <a:ext uri="{FF2B5EF4-FFF2-40B4-BE49-F238E27FC236}">
                <a16:creationId xmlns:a16="http://schemas.microsoft.com/office/drawing/2014/main" id="{31A2EE9D-99A4-CBE9-9C43-C404E00ED8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77" name="Group 1008">
          <a:extLst>
            <a:ext uri="{FF2B5EF4-FFF2-40B4-BE49-F238E27FC236}">
              <a16:creationId xmlns:a16="http://schemas.microsoft.com/office/drawing/2014/main" id="{C1EF3E78-4E0D-48CD-9EE9-FA1BA5FCA27C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78" name="Straight Connector 1077">
            <a:extLst>
              <a:ext uri="{FF2B5EF4-FFF2-40B4-BE49-F238E27FC236}">
                <a16:creationId xmlns:a16="http://schemas.microsoft.com/office/drawing/2014/main" id="{158CD503-81EB-BB31-5FCF-56D749389C3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79" name="Straight Connector 529">
            <a:extLst>
              <a:ext uri="{FF2B5EF4-FFF2-40B4-BE49-F238E27FC236}">
                <a16:creationId xmlns:a16="http://schemas.microsoft.com/office/drawing/2014/main" id="{05116493-EAEA-AB8D-0707-425B278A8F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0" name="Straight Connector 531">
            <a:extLst>
              <a:ext uri="{FF2B5EF4-FFF2-40B4-BE49-F238E27FC236}">
                <a16:creationId xmlns:a16="http://schemas.microsoft.com/office/drawing/2014/main" id="{5450FEC4-2EE0-F138-1A65-7FECE7802E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1" name="Straight Connector 533">
            <a:extLst>
              <a:ext uri="{FF2B5EF4-FFF2-40B4-BE49-F238E27FC236}">
                <a16:creationId xmlns:a16="http://schemas.microsoft.com/office/drawing/2014/main" id="{5168E2D9-669B-C0EE-D7EF-FEB314E651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2" name="Straight Connector 535">
            <a:extLst>
              <a:ext uri="{FF2B5EF4-FFF2-40B4-BE49-F238E27FC236}">
                <a16:creationId xmlns:a16="http://schemas.microsoft.com/office/drawing/2014/main" id="{CF4A2ABA-FB86-77DF-535D-4E7B63C2B7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3" name="Straight Connector 537">
            <a:extLst>
              <a:ext uri="{FF2B5EF4-FFF2-40B4-BE49-F238E27FC236}">
                <a16:creationId xmlns:a16="http://schemas.microsoft.com/office/drawing/2014/main" id="{5AD4C9F4-3F4F-AD23-30D1-2B93C80794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84" name="Group 1008">
          <a:extLst>
            <a:ext uri="{FF2B5EF4-FFF2-40B4-BE49-F238E27FC236}">
              <a16:creationId xmlns:a16="http://schemas.microsoft.com/office/drawing/2014/main" id="{CACAE110-E5F4-46E3-8B76-917178FA7654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85" name="Straight Connector 1084">
            <a:extLst>
              <a:ext uri="{FF2B5EF4-FFF2-40B4-BE49-F238E27FC236}">
                <a16:creationId xmlns:a16="http://schemas.microsoft.com/office/drawing/2014/main" id="{A93B0070-8A57-C318-BB26-74182417BD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86" name="Straight Connector 529">
            <a:extLst>
              <a:ext uri="{FF2B5EF4-FFF2-40B4-BE49-F238E27FC236}">
                <a16:creationId xmlns:a16="http://schemas.microsoft.com/office/drawing/2014/main" id="{FC540FA7-B63A-F833-1688-9BAC03990B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7" name="Straight Connector 531">
            <a:extLst>
              <a:ext uri="{FF2B5EF4-FFF2-40B4-BE49-F238E27FC236}">
                <a16:creationId xmlns:a16="http://schemas.microsoft.com/office/drawing/2014/main" id="{3A81C4E7-9808-774D-0C17-5751398F71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8" name="Straight Connector 533">
            <a:extLst>
              <a:ext uri="{FF2B5EF4-FFF2-40B4-BE49-F238E27FC236}">
                <a16:creationId xmlns:a16="http://schemas.microsoft.com/office/drawing/2014/main" id="{8B89C57B-9BCD-9421-FFDD-D2152382EE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9" name="Straight Connector 535">
            <a:extLst>
              <a:ext uri="{FF2B5EF4-FFF2-40B4-BE49-F238E27FC236}">
                <a16:creationId xmlns:a16="http://schemas.microsoft.com/office/drawing/2014/main" id="{F4CBC645-1926-D1C3-B584-141283991A9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0" name="Straight Connector 537">
            <a:extLst>
              <a:ext uri="{FF2B5EF4-FFF2-40B4-BE49-F238E27FC236}">
                <a16:creationId xmlns:a16="http://schemas.microsoft.com/office/drawing/2014/main" id="{8EFD788F-03F6-5DD1-F819-FE61871A81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91" name="Group 1008">
          <a:extLst>
            <a:ext uri="{FF2B5EF4-FFF2-40B4-BE49-F238E27FC236}">
              <a16:creationId xmlns:a16="http://schemas.microsoft.com/office/drawing/2014/main" id="{676434EB-FA95-4973-8AA0-9DC0CFAD1604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92" name="Straight Connector 1091">
            <a:extLst>
              <a:ext uri="{FF2B5EF4-FFF2-40B4-BE49-F238E27FC236}">
                <a16:creationId xmlns:a16="http://schemas.microsoft.com/office/drawing/2014/main" id="{8F59A6C7-C3F8-CDF7-9DC1-67BB21945FD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93" name="Straight Connector 529">
            <a:extLst>
              <a:ext uri="{FF2B5EF4-FFF2-40B4-BE49-F238E27FC236}">
                <a16:creationId xmlns:a16="http://schemas.microsoft.com/office/drawing/2014/main" id="{F761AD39-E2B9-0829-C82E-9ABB02AEAD8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4" name="Straight Connector 531">
            <a:extLst>
              <a:ext uri="{FF2B5EF4-FFF2-40B4-BE49-F238E27FC236}">
                <a16:creationId xmlns:a16="http://schemas.microsoft.com/office/drawing/2014/main" id="{BAC870A3-7220-D490-19B1-E6B59B010A6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5" name="Straight Connector 533">
            <a:extLst>
              <a:ext uri="{FF2B5EF4-FFF2-40B4-BE49-F238E27FC236}">
                <a16:creationId xmlns:a16="http://schemas.microsoft.com/office/drawing/2014/main" id="{D1FEE376-553A-2EFE-75AB-CEC86EED1B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6" name="Straight Connector 535">
            <a:extLst>
              <a:ext uri="{FF2B5EF4-FFF2-40B4-BE49-F238E27FC236}">
                <a16:creationId xmlns:a16="http://schemas.microsoft.com/office/drawing/2014/main" id="{C99864CB-96D8-BF65-9804-A773CE0AF8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7" name="Straight Connector 537">
            <a:extLst>
              <a:ext uri="{FF2B5EF4-FFF2-40B4-BE49-F238E27FC236}">
                <a16:creationId xmlns:a16="http://schemas.microsoft.com/office/drawing/2014/main" id="{E4F56EBE-04C4-9EE5-CAAF-D8C2DD7EC8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98" name="Group 1008">
          <a:extLst>
            <a:ext uri="{FF2B5EF4-FFF2-40B4-BE49-F238E27FC236}">
              <a16:creationId xmlns:a16="http://schemas.microsoft.com/office/drawing/2014/main" id="{629C0BB9-95A4-48E8-8DF4-8AE83F599C96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99" name="Straight Connector 1098">
            <a:extLst>
              <a:ext uri="{FF2B5EF4-FFF2-40B4-BE49-F238E27FC236}">
                <a16:creationId xmlns:a16="http://schemas.microsoft.com/office/drawing/2014/main" id="{12F89214-BB34-8126-CCAA-1FC26A2DA76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0" name="Straight Connector 529">
            <a:extLst>
              <a:ext uri="{FF2B5EF4-FFF2-40B4-BE49-F238E27FC236}">
                <a16:creationId xmlns:a16="http://schemas.microsoft.com/office/drawing/2014/main" id="{5036FA4E-5742-CC7A-1B8C-0D4083DAB06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1" name="Straight Connector 531">
            <a:extLst>
              <a:ext uri="{FF2B5EF4-FFF2-40B4-BE49-F238E27FC236}">
                <a16:creationId xmlns:a16="http://schemas.microsoft.com/office/drawing/2014/main" id="{CE270307-9E9E-27D3-9F6E-9D0F4E0F56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2" name="Straight Connector 533">
            <a:extLst>
              <a:ext uri="{FF2B5EF4-FFF2-40B4-BE49-F238E27FC236}">
                <a16:creationId xmlns:a16="http://schemas.microsoft.com/office/drawing/2014/main" id="{45A9D5D1-F444-AD28-528E-F97D4FBBA3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3" name="Straight Connector 535">
            <a:extLst>
              <a:ext uri="{FF2B5EF4-FFF2-40B4-BE49-F238E27FC236}">
                <a16:creationId xmlns:a16="http://schemas.microsoft.com/office/drawing/2014/main" id="{ADC4596D-E03C-DFED-F7DF-3CC558DC94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4" name="Straight Connector 537">
            <a:extLst>
              <a:ext uri="{FF2B5EF4-FFF2-40B4-BE49-F238E27FC236}">
                <a16:creationId xmlns:a16="http://schemas.microsoft.com/office/drawing/2014/main" id="{AD421901-37F6-BEEB-D4C6-BA8746A9E8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05" name="Group 1008">
          <a:extLst>
            <a:ext uri="{FF2B5EF4-FFF2-40B4-BE49-F238E27FC236}">
              <a16:creationId xmlns:a16="http://schemas.microsoft.com/office/drawing/2014/main" id="{59E98543-A749-45B4-81AD-86F5624540F6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06" name="Straight Connector 1105">
            <a:extLst>
              <a:ext uri="{FF2B5EF4-FFF2-40B4-BE49-F238E27FC236}">
                <a16:creationId xmlns:a16="http://schemas.microsoft.com/office/drawing/2014/main" id="{BA711E73-B7E9-7B92-E0C0-A6870786D9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7" name="Straight Connector 529">
            <a:extLst>
              <a:ext uri="{FF2B5EF4-FFF2-40B4-BE49-F238E27FC236}">
                <a16:creationId xmlns:a16="http://schemas.microsoft.com/office/drawing/2014/main" id="{6E8793CE-4059-BBCE-7F38-5B2C994F3CC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8" name="Straight Connector 531">
            <a:extLst>
              <a:ext uri="{FF2B5EF4-FFF2-40B4-BE49-F238E27FC236}">
                <a16:creationId xmlns:a16="http://schemas.microsoft.com/office/drawing/2014/main" id="{F0585CF0-FB92-1579-0C1A-009028E85A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9" name="Straight Connector 533">
            <a:extLst>
              <a:ext uri="{FF2B5EF4-FFF2-40B4-BE49-F238E27FC236}">
                <a16:creationId xmlns:a16="http://schemas.microsoft.com/office/drawing/2014/main" id="{04A173B3-A928-4671-41B1-89A8C28FBF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0" name="Straight Connector 535">
            <a:extLst>
              <a:ext uri="{FF2B5EF4-FFF2-40B4-BE49-F238E27FC236}">
                <a16:creationId xmlns:a16="http://schemas.microsoft.com/office/drawing/2014/main" id="{6F96F3AB-05BB-21F1-5221-0404B3786E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1" name="Straight Connector 537">
            <a:extLst>
              <a:ext uri="{FF2B5EF4-FFF2-40B4-BE49-F238E27FC236}">
                <a16:creationId xmlns:a16="http://schemas.microsoft.com/office/drawing/2014/main" id="{324A6611-22C6-3866-0588-826F220756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12" name="Group 1008">
          <a:extLst>
            <a:ext uri="{FF2B5EF4-FFF2-40B4-BE49-F238E27FC236}">
              <a16:creationId xmlns:a16="http://schemas.microsoft.com/office/drawing/2014/main" id="{FD14E8F6-C4E6-4B16-87B1-9F4C6BEC1BB2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13" name="Straight Connector 1112">
            <a:extLst>
              <a:ext uri="{FF2B5EF4-FFF2-40B4-BE49-F238E27FC236}">
                <a16:creationId xmlns:a16="http://schemas.microsoft.com/office/drawing/2014/main" id="{7C5F211E-1EE2-6E03-36D1-D67DDB62AFF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14" name="Straight Connector 529">
            <a:extLst>
              <a:ext uri="{FF2B5EF4-FFF2-40B4-BE49-F238E27FC236}">
                <a16:creationId xmlns:a16="http://schemas.microsoft.com/office/drawing/2014/main" id="{21CF3323-5F17-BD3A-CE8B-F81657F611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5" name="Straight Connector 531">
            <a:extLst>
              <a:ext uri="{FF2B5EF4-FFF2-40B4-BE49-F238E27FC236}">
                <a16:creationId xmlns:a16="http://schemas.microsoft.com/office/drawing/2014/main" id="{4DB76B54-B09B-D4C1-9F85-EE9628F40FC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6" name="Straight Connector 533">
            <a:extLst>
              <a:ext uri="{FF2B5EF4-FFF2-40B4-BE49-F238E27FC236}">
                <a16:creationId xmlns:a16="http://schemas.microsoft.com/office/drawing/2014/main" id="{239C02D7-A2EC-375B-0BD9-B5B8797CED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7" name="Straight Connector 535">
            <a:extLst>
              <a:ext uri="{FF2B5EF4-FFF2-40B4-BE49-F238E27FC236}">
                <a16:creationId xmlns:a16="http://schemas.microsoft.com/office/drawing/2014/main" id="{F0B01289-E01E-46C0-C837-AAF143CA64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8" name="Straight Connector 537">
            <a:extLst>
              <a:ext uri="{FF2B5EF4-FFF2-40B4-BE49-F238E27FC236}">
                <a16:creationId xmlns:a16="http://schemas.microsoft.com/office/drawing/2014/main" id="{C96E9356-2FEB-701F-BB71-6B5E7EAD2C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19" name="Group 1008">
          <a:extLst>
            <a:ext uri="{FF2B5EF4-FFF2-40B4-BE49-F238E27FC236}">
              <a16:creationId xmlns:a16="http://schemas.microsoft.com/office/drawing/2014/main" id="{DF221531-CA41-4E6C-BC0B-C349871372C2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20" name="Straight Connector 1119">
            <a:extLst>
              <a:ext uri="{FF2B5EF4-FFF2-40B4-BE49-F238E27FC236}">
                <a16:creationId xmlns:a16="http://schemas.microsoft.com/office/drawing/2014/main" id="{29874D81-D273-C854-8C41-8E753E939C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21" name="Straight Connector 529">
            <a:extLst>
              <a:ext uri="{FF2B5EF4-FFF2-40B4-BE49-F238E27FC236}">
                <a16:creationId xmlns:a16="http://schemas.microsoft.com/office/drawing/2014/main" id="{0EA8D5C1-95FE-7D42-A087-4288DAC8BDB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2" name="Straight Connector 531">
            <a:extLst>
              <a:ext uri="{FF2B5EF4-FFF2-40B4-BE49-F238E27FC236}">
                <a16:creationId xmlns:a16="http://schemas.microsoft.com/office/drawing/2014/main" id="{CE3F0A59-8520-3D4F-BBED-3277A92800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3" name="Straight Connector 533">
            <a:extLst>
              <a:ext uri="{FF2B5EF4-FFF2-40B4-BE49-F238E27FC236}">
                <a16:creationId xmlns:a16="http://schemas.microsoft.com/office/drawing/2014/main" id="{EA411F36-E106-4C0F-93EA-440356344C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4" name="Straight Connector 535">
            <a:extLst>
              <a:ext uri="{FF2B5EF4-FFF2-40B4-BE49-F238E27FC236}">
                <a16:creationId xmlns:a16="http://schemas.microsoft.com/office/drawing/2014/main" id="{A7E70638-F210-A474-6A20-0543B4BCCA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5" name="Straight Connector 537">
            <a:extLst>
              <a:ext uri="{FF2B5EF4-FFF2-40B4-BE49-F238E27FC236}">
                <a16:creationId xmlns:a16="http://schemas.microsoft.com/office/drawing/2014/main" id="{F3A4415C-90E0-9786-6E43-DECA30E940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26" name="Group 1008">
          <a:extLst>
            <a:ext uri="{FF2B5EF4-FFF2-40B4-BE49-F238E27FC236}">
              <a16:creationId xmlns:a16="http://schemas.microsoft.com/office/drawing/2014/main" id="{9990AE50-24A7-4A2E-8056-0A03A3B197E0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27" name="Straight Connector 1126">
            <a:extLst>
              <a:ext uri="{FF2B5EF4-FFF2-40B4-BE49-F238E27FC236}">
                <a16:creationId xmlns:a16="http://schemas.microsoft.com/office/drawing/2014/main" id="{632FC32E-97D7-52B8-E6FF-9BDAC0E004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28" name="Straight Connector 529">
            <a:extLst>
              <a:ext uri="{FF2B5EF4-FFF2-40B4-BE49-F238E27FC236}">
                <a16:creationId xmlns:a16="http://schemas.microsoft.com/office/drawing/2014/main" id="{537EBD88-25E4-130F-784C-114B0FB6515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9" name="Straight Connector 531">
            <a:extLst>
              <a:ext uri="{FF2B5EF4-FFF2-40B4-BE49-F238E27FC236}">
                <a16:creationId xmlns:a16="http://schemas.microsoft.com/office/drawing/2014/main" id="{4E584B25-449D-38DB-2C8D-F9B4D30FED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0" name="Straight Connector 533">
            <a:extLst>
              <a:ext uri="{FF2B5EF4-FFF2-40B4-BE49-F238E27FC236}">
                <a16:creationId xmlns:a16="http://schemas.microsoft.com/office/drawing/2014/main" id="{0B33C503-8FFC-5F5F-3973-C78027C3C5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1" name="Straight Connector 535">
            <a:extLst>
              <a:ext uri="{FF2B5EF4-FFF2-40B4-BE49-F238E27FC236}">
                <a16:creationId xmlns:a16="http://schemas.microsoft.com/office/drawing/2014/main" id="{C8F0DCB3-E0E9-787A-D100-9D5FDD6BD9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2" name="Straight Connector 537">
            <a:extLst>
              <a:ext uri="{FF2B5EF4-FFF2-40B4-BE49-F238E27FC236}">
                <a16:creationId xmlns:a16="http://schemas.microsoft.com/office/drawing/2014/main" id="{376584FC-DC53-0959-81A1-FB1F4FE8CCC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33" name="Group 1008">
          <a:extLst>
            <a:ext uri="{FF2B5EF4-FFF2-40B4-BE49-F238E27FC236}">
              <a16:creationId xmlns:a16="http://schemas.microsoft.com/office/drawing/2014/main" id="{00238303-0C4E-4826-BD3D-9433E53FAB05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34" name="Straight Connector 1133">
            <a:extLst>
              <a:ext uri="{FF2B5EF4-FFF2-40B4-BE49-F238E27FC236}">
                <a16:creationId xmlns:a16="http://schemas.microsoft.com/office/drawing/2014/main" id="{D3C58E29-3760-F102-877A-BB08F8A99B5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35" name="Straight Connector 529">
            <a:extLst>
              <a:ext uri="{FF2B5EF4-FFF2-40B4-BE49-F238E27FC236}">
                <a16:creationId xmlns:a16="http://schemas.microsoft.com/office/drawing/2014/main" id="{5985A67B-4E82-8776-3A4E-07BD2869CD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6" name="Straight Connector 531">
            <a:extLst>
              <a:ext uri="{FF2B5EF4-FFF2-40B4-BE49-F238E27FC236}">
                <a16:creationId xmlns:a16="http://schemas.microsoft.com/office/drawing/2014/main" id="{C93ABDE9-F596-2233-684B-4FDE6AEFEE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7" name="Straight Connector 533">
            <a:extLst>
              <a:ext uri="{FF2B5EF4-FFF2-40B4-BE49-F238E27FC236}">
                <a16:creationId xmlns:a16="http://schemas.microsoft.com/office/drawing/2014/main" id="{C1D550AF-EE4C-0C14-B59C-BCBFAA8089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8" name="Straight Connector 535">
            <a:extLst>
              <a:ext uri="{FF2B5EF4-FFF2-40B4-BE49-F238E27FC236}">
                <a16:creationId xmlns:a16="http://schemas.microsoft.com/office/drawing/2014/main" id="{4A316063-6E08-72EA-130F-F396FFF3F1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9" name="Straight Connector 537">
            <a:extLst>
              <a:ext uri="{FF2B5EF4-FFF2-40B4-BE49-F238E27FC236}">
                <a16:creationId xmlns:a16="http://schemas.microsoft.com/office/drawing/2014/main" id="{24EA894F-A5E2-3ED1-5305-1F23A5292E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40" name="Group 1008">
          <a:extLst>
            <a:ext uri="{FF2B5EF4-FFF2-40B4-BE49-F238E27FC236}">
              <a16:creationId xmlns:a16="http://schemas.microsoft.com/office/drawing/2014/main" id="{8A1892B4-0CD1-4C5A-A28E-7EDFBE5389B3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41" name="Straight Connector 1140">
            <a:extLst>
              <a:ext uri="{FF2B5EF4-FFF2-40B4-BE49-F238E27FC236}">
                <a16:creationId xmlns:a16="http://schemas.microsoft.com/office/drawing/2014/main" id="{B4919D7A-39D2-6568-2BF2-68B4C5D186B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42" name="Straight Connector 529">
            <a:extLst>
              <a:ext uri="{FF2B5EF4-FFF2-40B4-BE49-F238E27FC236}">
                <a16:creationId xmlns:a16="http://schemas.microsoft.com/office/drawing/2014/main" id="{D05A8715-89EC-894D-9569-1D3F36403A0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3" name="Straight Connector 531">
            <a:extLst>
              <a:ext uri="{FF2B5EF4-FFF2-40B4-BE49-F238E27FC236}">
                <a16:creationId xmlns:a16="http://schemas.microsoft.com/office/drawing/2014/main" id="{6C1DCB5C-65EB-7E54-25F9-AAA6F55C14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4" name="Straight Connector 533">
            <a:extLst>
              <a:ext uri="{FF2B5EF4-FFF2-40B4-BE49-F238E27FC236}">
                <a16:creationId xmlns:a16="http://schemas.microsoft.com/office/drawing/2014/main" id="{B637629B-6246-9D2E-0AE6-D4C17BD770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5" name="Straight Connector 535">
            <a:extLst>
              <a:ext uri="{FF2B5EF4-FFF2-40B4-BE49-F238E27FC236}">
                <a16:creationId xmlns:a16="http://schemas.microsoft.com/office/drawing/2014/main" id="{8C6E3874-2962-2DFC-9F66-180FC06513E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6" name="Straight Connector 537">
            <a:extLst>
              <a:ext uri="{FF2B5EF4-FFF2-40B4-BE49-F238E27FC236}">
                <a16:creationId xmlns:a16="http://schemas.microsoft.com/office/drawing/2014/main" id="{51DC9DE1-E9A0-A81E-F693-4A71E656E0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47" name="Group 1008">
          <a:extLst>
            <a:ext uri="{FF2B5EF4-FFF2-40B4-BE49-F238E27FC236}">
              <a16:creationId xmlns:a16="http://schemas.microsoft.com/office/drawing/2014/main" id="{945682AC-30E5-4BC8-8D5A-09119FBC8869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48" name="Straight Connector 1147">
            <a:extLst>
              <a:ext uri="{FF2B5EF4-FFF2-40B4-BE49-F238E27FC236}">
                <a16:creationId xmlns:a16="http://schemas.microsoft.com/office/drawing/2014/main" id="{F4ABFED7-163C-37C7-8B77-F9B1569A10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49" name="Straight Connector 529">
            <a:extLst>
              <a:ext uri="{FF2B5EF4-FFF2-40B4-BE49-F238E27FC236}">
                <a16:creationId xmlns:a16="http://schemas.microsoft.com/office/drawing/2014/main" id="{F0DB7512-FB05-6690-3B88-8963254EF2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0" name="Straight Connector 531">
            <a:extLst>
              <a:ext uri="{FF2B5EF4-FFF2-40B4-BE49-F238E27FC236}">
                <a16:creationId xmlns:a16="http://schemas.microsoft.com/office/drawing/2014/main" id="{E3C2D74F-B26A-1450-C3FA-0E2D98ABB39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1" name="Straight Connector 533">
            <a:extLst>
              <a:ext uri="{FF2B5EF4-FFF2-40B4-BE49-F238E27FC236}">
                <a16:creationId xmlns:a16="http://schemas.microsoft.com/office/drawing/2014/main" id="{45E69A8B-5070-0A9C-CB2B-02CAB921B1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2" name="Straight Connector 535">
            <a:extLst>
              <a:ext uri="{FF2B5EF4-FFF2-40B4-BE49-F238E27FC236}">
                <a16:creationId xmlns:a16="http://schemas.microsoft.com/office/drawing/2014/main" id="{886036ED-1D7B-B116-3402-991218AF73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3" name="Straight Connector 537">
            <a:extLst>
              <a:ext uri="{FF2B5EF4-FFF2-40B4-BE49-F238E27FC236}">
                <a16:creationId xmlns:a16="http://schemas.microsoft.com/office/drawing/2014/main" id="{81DF06AF-6A22-AD9F-6D33-4A3A6DDD8A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54" name="Group 1008">
          <a:extLst>
            <a:ext uri="{FF2B5EF4-FFF2-40B4-BE49-F238E27FC236}">
              <a16:creationId xmlns:a16="http://schemas.microsoft.com/office/drawing/2014/main" id="{59A5F84F-8010-475A-94F4-4EAA82AC438D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55" name="Straight Connector 1154">
            <a:extLst>
              <a:ext uri="{FF2B5EF4-FFF2-40B4-BE49-F238E27FC236}">
                <a16:creationId xmlns:a16="http://schemas.microsoft.com/office/drawing/2014/main" id="{7F13CC66-9FD4-F97F-E986-9E4C8997E44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56" name="Straight Connector 529">
            <a:extLst>
              <a:ext uri="{FF2B5EF4-FFF2-40B4-BE49-F238E27FC236}">
                <a16:creationId xmlns:a16="http://schemas.microsoft.com/office/drawing/2014/main" id="{6C1D927C-E87D-DE82-FBBE-725A4398835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7" name="Straight Connector 531">
            <a:extLst>
              <a:ext uri="{FF2B5EF4-FFF2-40B4-BE49-F238E27FC236}">
                <a16:creationId xmlns:a16="http://schemas.microsoft.com/office/drawing/2014/main" id="{1F8B95F7-F782-0D8D-A3C6-B200FD5370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8" name="Straight Connector 533">
            <a:extLst>
              <a:ext uri="{FF2B5EF4-FFF2-40B4-BE49-F238E27FC236}">
                <a16:creationId xmlns:a16="http://schemas.microsoft.com/office/drawing/2014/main" id="{818DE05C-B434-88A2-8BD4-F0BFC09169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9" name="Straight Connector 535">
            <a:extLst>
              <a:ext uri="{FF2B5EF4-FFF2-40B4-BE49-F238E27FC236}">
                <a16:creationId xmlns:a16="http://schemas.microsoft.com/office/drawing/2014/main" id="{B9AF21A3-C262-9CCF-F228-61676BBE5C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0" name="Straight Connector 537">
            <a:extLst>
              <a:ext uri="{FF2B5EF4-FFF2-40B4-BE49-F238E27FC236}">
                <a16:creationId xmlns:a16="http://schemas.microsoft.com/office/drawing/2014/main" id="{6DDE977A-4E78-4BB1-9EFC-792D9CCE11F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61" name="Group 1008">
          <a:extLst>
            <a:ext uri="{FF2B5EF4-FFF2-40B4-BE49-F238E27FC236}">
              <a16:creationId xmlns:a16="http://schemas.microsoft.com/office/drawing/2014/main" id="{0EA03C05-3BD4-4F77-B41D-5F46FEB8D3E0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62" name="Straight Connector 1161">
            <a:extLst>
              <a:ext uri="{FF2B5EF4-FFF2-40B4-BE49-F238E27FC236}">
                <a16:creationId xmlns:a16="http://schemas.microsoft.com/office/drawing/2014/main" id="{CC99F769-490D-087E-E915-261896289A2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63" name="Straight Connector 529">
            <a:extLst>
              <a:ext uri="{FF2B5EF4-FFF2-40B4-BE49-F238E27FC236}">
                <a16:creationId xmlns:a16="http://schemas.microsoft.com/office/drawing/2014/main" id="{1A8C5819-1878-CA53-AB37-E38F9170DE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4" name="Straight Connector 531">
            <a:extLst>
              <a:ext uri="{FF2B5EF4-FFF2-40B4-BE49-F238E27FC236}">
                <a16:creationId xmlns:a16="http://schemas.microsoft.com/office/drawing/2014/main" id="{6B0A002C-3DA4-49F5-D880-2CBDF83B18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5" name="Straight Connector 533">
            <a:extLst>
              <a:ext uri="{FF2B5EF4-FFF2-40B4-BE49-F238E27FC236}">
                <a16:creationId xmlns:a16="http://schemas.microsoft.com/office/drawing/2014/main" id="{1538AFA1-62AD-CAAE-B47E-0EFEC94122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6" name="Straight Connector 535">
            <a:extLst>
              <a:ext uri="{FF2B5EF4-FFF2-40B4-BE49-F238E27FC236}">
                <a16:creationId xmlns:a16="http://schemas.microsoft.com/office/drawing/2014/main" id="{A1ABD1C8-1DB4-7C27-83C8-26F48607954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7" name="Straight Connector 537">
            <a:extLst>
              <a:ext uri="{FF2B5EF4-FFF2-40B4-BE49-F238E27FC236}">
                <a16:creationId xmlns:a16="http://schemas.microsoft.com/office/drawing/2014/main" id="{0236DB2B-C905-08DB-B7CA-8603906196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68" name="Group 1008">
          <a:extLst>
            <a:ext uri="{FF2B5EF4-FFF2-40B4-BE49-F238E27FC236}">
              <a16:creationId xmlns:a16="http://schemas.microsoft.com/office/drawing/2014/main" id="{226D08E5-4D66-4363-B931-34F0D805CBFB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69" name="Straight Connector 1168">
            <a:extLst>
              <a:ext uri="{FF2B5EF4-FFF2-40B4-BE49-F238E27FC236}">
                <a16:creationId xmlns:a16="http://schemas.microsoft.com/office/drawing/2014/main" id="{D7D0A190-DD72-CD3F-2BB1-54D6E0A4D78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0" name="Straight Connector 529">
            <a:extLst>
              <a:ext uri="{FF2B5EF4-FFF2-40B4-BE49-F238E27FC236}">
                <a16:creationId xmlns:a16="http://schemas.microsoft.com/office/drawing/2014/main" id="{CA3A45CE-5EDE-630C-A699-4A9D3493B9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1" name="Straight Connector 531">
            <a:extLst>
              <a:ext uri="{FF2B5EF4-FFF2-40B4-BE49-F238E27FC236}">
                <a16:creationId xmlns:a16="http://schemas.microsoft.com/office/drawing/2014/main" id="{E19C1FC4-05C1-FD70-9CD2-FCFBD06761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2" name="Straight Connector 533">
            <a:extLst>
              <a:ext uri="{FF2B5EF4-FFF2-40B4-BE49-F238E27FC236}">
                <a16:creationId xmlns:a16="http://schemas.microsoft.com/office/drawing/2014/main" id="{A8AF163A-7CE8-1E59-BF05-87CF47CE59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3" name="Straight Connector 535">
            <a:extLst>
              <a:ext uri="{FF2B5EF4-FFF2-40B4-BE49-F238E27FC236}">
                <a16:creationId xmlns:a16="http://schemas.microsoft.com/office/drawing/2014/main" id="{BCDCB6EA-7187-041C-8999-5DD0679E5B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4" name="Straight Connector 537">
            <a:extLst>
              <a:ext uri="{FF2B5EF4-FFF2-40B4-BE49-F238E27FC236}">
                <a16:creationId xmlns:a16="http://schemas.microsoft.com/office/drawing/2014/main" id="{D45C1422-4AB9-2190-16D6-6A5EC52908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75" name="Group 1008">
          <a:extLst>
            <a:ext uri="{FF2B5EF4-FFF2-40B4-BE49-F238E27FC236}">
              <a16:creationId xmlns:a16="http://schemas.microsoft.com/office/drawing/2014/main" id="{976088DA-C5D6-4D37-9F42-EFD5155A8223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76" name="Straight Connector 1175">
            <a:extLst>
              <a:ext uri="{FF2B5EF4-FFF2-40B4-BE49-F238E27FC236}">
                <a16:creationId xmlns:a16="http://schemas.microsoft.com/office/drawing/2014/main" id="{7C6903BA-4569-873C-C57E-BD69274058D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7" name="Straight Connector 529">
            <a:extLst>
              <a:ext uri="{FF2B5EF4-FFF2-40B4-BE49-F238E27FC236}">
                <a16:creationId xmlns:a16="http://schemas.microsoft.com/office/drawing/2014/main" id="{DCBF83C9-97BA-B4D6-8858-E76CB78558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8" name="Straight Connector 531">
            <a:extLst>
              <a:ext uri="{FF2B5EF4-FFF2-40B4-BE49-F238E27FC236}">
                <a16:creationId xmlns:a16="http://schemas.microsoft.com/office/drawing/2014/main" id="{00A707D2-2AD9-CBBF-D62E-7E2A49EF18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9" name="Straight Connector 533">
            <a:extLst>
              <a:ext uri="{FF2B5EF4-FFF2-40B4-BE49-F238E27FC236}">
                <a16:creationId xmlns:a16="http://schemas.microsoft.com/office/drawing/2014/main" id="{A947F624-1D76-0EAB-DDA2-FE9A869C73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0" name="Straight Connector 535">
            <a:extLst>
              <a:ext uri="{FF2B5EF4-FFF2-40B4-BE49-F238E27FC236}">
                <a16:creationId xmlns:a16="http://schemas.microsoft.com/office/drawing/2014/main" id="{DD29EEA8-23B5-6C3B-DCEC-AC4AF070C3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1" name="Straight Connector 537">
            <a:extLst>
              <a:ext uri="{FF2B5EF4-FFF2-40B4-BE49-F238E27FC236}">
                <a16:creationId xmlns:a16="http://schemas.microsoft.com/office/drawing/2014/main" id="{3CC4FD3A-870D-35D9-BEB6-DD8DA67D85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82" name="Group 1008">
          <a:extLst>
            <a:ext uri="{FF2B5EF4-FFF2-40B4-BE49-F238E27FC236}">
              <a16:creationId xmlns:a16="http://schemas.microsoft.com/office/drawing/2014/main" id="{5AB02122-1691-4F98-99A5-CB65CC4D458A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83" name="Straight Connector 1182">
            <a:extLst>
              <a:ext uri="{FF2B5EF4-FFF2-40B4-BE49-F238E27FC236}">
                <a16:creationId xmlns:a16="http://schemas.microsoft.com/office/drawing/2014/main" id="{E7308A84-813A-8B2A-1468-DDF0BD90943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84" name="Straight Connector 529">
            <a:extLst>
              <a:ext uri="{FF2B5EF4-FFF2-40B4-BE49-F238E27FC236}">
                <a16:creationId xmlns:a16="http://schemas.microsoft.com/office/drawing/2014/main" id="{8FA592D9-07A5-8421-3140-B6CD6CABA7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5" name="Straight Connector 531">
            <a:extLst>
              <a:ext uri="{FF2B5EF4-FFF2-40B4-BE49-F238E27FC236}">
                <a16:creationId xmlns:a16="http://schemas.microsoft.com/office/drawing/2014/main" id="{8C3EFBFD-F09D-0EFD-92DE-83AFF0ECBC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6" name="Straight Connector 533">
            <a:extLst>
              <a:ext uri="{FF2B5EF4-FFF2-40B4-BE49-F238E27FC236}">
                <a16:creationId xmlns:a16="http://schemas.microsoft.com/office/drawing/2014/main" id="{50CBE20E-B675-171F-4E98-E9B7743382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7" name="Straight Connector 535">
            <a:extLst>
              <a:ext uri="{FF2B5EF4-FFF2-40B4-BE49-F238E27FC236}">
                <a16:creationId xmlns:a16="http://schemas.microsoft.com/office/drawing/2014/main" id="{6D19F627-A7FB-3BC4-EF8E-84311BFC79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8" name="Straight Connector 537">
            <a:extLst>
              <a:ext uri="{FF2B5EF4-FFF2-40B4-BE49-F238E27FC236}">
                <a16:creationId xmlns:a16="http://schemas.microsoft.com/office/drawing/2014/main" id="{2F431346-5936-37F9-D62A-285095E5FC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53</xdr:row>
      <xdr:rowOff>57150</xdr:rowOff>
    </xdr:from>
    <xdr:to>
      <xdr:col>17</xdr:col>
      <xdr:colOff>0</xdr:colOff>
      <xdr:row>55</xdr:row>
      <xdr:rowOff>0</xdr:rowOff>
    </xdr:to>
    <xdr:sp macro="" textlink="">
      <xdr:nvSpPr>
        <xdr:cNvPr id="1189" name="AutoShape 46">
          <a:extLst>
            <a:ext uri="{FF2B5EF4-FFF2-40B4-BE49-F238E27FC236}">
              <a16:creationId xmlns:a16="http://schemas.microsoft.com/office/drawing/2014/main" id="{F723849B-5262-481E-B7C7-88607A6F81D7}"/>
            </a:ext>
          </a:extLst>
        </xdr:cNvPr>
        <xdr:cNvSpPr>
          <a:spLocks noChangeArrowheads="1"/>
        </xdr:cNvSpPr>
      </xdr:nvSpPr>
      <xdr:spPr bwMode="auto">
        <a:xfrm>
          <a:off x="48958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53</xdr:row>
      <xdr:rowOff>57150</xdr:rowOff>
    </xdr:from>
    <xdr:to>
      <xdr:col>19</xdr:col>
      <xdr:colOff>0</xdr:colOff>
      <xdr:row>55</xdr:row>
      <xdr:rowOff>0</xdr:rowOff>
    </xdr:to>
    <xdr:sp macro="" textlink="">
      <xdr:nvSpPr>
        <xdr:cNvPr id="1190" name="AutoShape 46">
          <a:extLst>
            <a:ext uri="{FF2B5EF4-FFF2-40B4-BE49-F238E27FC236}">
              <a16:creationId xmlns:a16="http://schemas.microsoft.com/office/drawing/2014/main" id="{12022C38-6906-4453-9BC2-B00502373C8D}"/>
            </a:ext>
          </a:extLst>
        </xdr:cNvPr>
        <xdr:cNvSpPr>
          <a:spLocks noChangeArrowheads="1"/>
        </xdr:cNvSpPr>
      </xdr:nvSpPr>
      <xdr:spPr bwMode="auto">
        <a:xfrm>
          <a:off x="5467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6615</xdr:colOff>
      <xdr:row>53</xdr:row>
      <xdr:rowOff>52916</xdr:rowOff>
    </xdr:from>
    <xdr:to>
      <xdr:col>21</xdr:col>
      <xdr:colOff>6351</xdr:colOff>
      <xdr:row>55</xdr:row>
      <xdr:rowOff>0</xdr:rowOff>
    </xdr:to>
    <xdr:sp macro="" textlink="">
      <xdr:nvSpPr>
        <xdr:cNvPr id="1191" name="AutoShape 46">
          <a:extLst>
            <a:ext uri="{FF2B5EF4-FFF2-40B4-BE49-F238E27FC236}">
              <a16:creationId xmlns:a16="http://schemas.microsoft.com/office/drawing/2014/main" id="{D8FFDA74-C8EE-4D74-BE30-06D29E39AD02}"/>
            </a:ext>
          </a:extLst>
        </xdr:cNvPr>
        <xdr:cNvSpPr>
          <a:spLocks noChangeArrowheads="1"/>
        </xdr:cNvSpPr>
      </xdr:nvSpPr>
      <xdr:spPr bwMode="auto">
        <a:xfrm>
          <a:off x="6687344" y="10642864"/>
          <a:ext cx="363538" cy="33073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1</xdr:colOff>
      <xdr:row>53</xdr:row>
      <xdr:rowOff>48598</xdr:rowOff>
    </xdr:from>
    <xdr:to>
      <xdr:col>23</xdr:col>
      <xdr:colOff>9720</xdr:colOff>
      <xdr:row>55</xdr:row>
      <xdr:rowOff>523</xdr:rowOff>
    </xdr:to>
    <xdr:sp macro="" textlink="">
      <xdr:nvSpPr>
        <xdr:cNvPr id="1192" name="AutoShape 46">
          <a:extLst>
            <a:ext uri="{FF2B5EF4-FFF2-40B4-BE49-F238E27FC236}">
              <a16:creationId xmlns:a16="http://schemas.microsoft.com/office/drawing/2014/main" id="{06D128F0-E6AB-4CCE-B638-C68CDCFD6F4D}"/>
            </a:ext>
          </a:extLst>
        </xdr:cNvPr>
        <xdr:cNvSpPr>
          <a:spLocks noChangeArrowheads="1"/>
        </xdr:cNvSpPr>
      </xdr:nvSpPr>
      <xdr:spPr bwMode="auto">
        <a:xfrm>
          <a:off x="7024689" y="10561116"/>
          <a:ext cx="352899" cy="330124"/>
        </a:xfrm>
        <a:prstGeom prst="triangle">
          <a:avLst>
            <a:gd name="adj" fmla="val 47873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53</xdr:row>
      <xdr:rowOff>57150</xdr:rowOff>
    </xdr:from>
    <xdr:to>
      <xdr:col>25</xdr:col>
      <xdr:colOff>0</xdr:colOff>
      <xdr:row>55</xdr:row>
      <xdr:rowOff>0</xdr:rowOff>
    </xdr:to>
    <xdr:sp macro="" textlink="">
      <xdr:nvSpPr>
        <xdr:cNvPr id="1193" name="AutoShape 46">
          <a:extLst>
            <a:ext uri="{FF2B5EF4-FFF2-40B4-BE49-F238E27FC236}">
              <a16:creationId xmlns:a16="http://schemas.microsoft.com/office/drawing/2014/main" id="{BC797F8B-E26D-4139-9E1C-E5DEDDC96131}"/>
            </a:ext>
          </a:extLst>
        </xdr:cNvPr>
        <xdr:cNvSpPr>
          <a:spLocks noChangeArrowheads="1"/>
        </xdr:cNvSpPr>
      </xdr:nvSpPr>
      <xdr:spPr bwMode="auto">
        <a:xfrm>
          <a:off x="71818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53</xdr:row>
      <xdr:rowOff>57150</xdr:rowOff>
    </xdr:from>
    <xdr:to>
      <xdr:col>27</xdr:col>
      <xdr:colOff>0</xdr:colOff>
      <xdr:row>55</xdr:row>
      <xdr:rowOff>0</xdr:rowOff>
    </xdr:to>
    <xdr:sp macro="" textlink="">
      <xdr:nvSpPr>
        <xdr:cNvPr id="1194" name="AutoShape 46">
          <a:extLst>
            <a:ext uri="{FF2B5EF4-FFF2-40B4-BE49-F238E27FC236}">
              <a16:creationId xmlns:a16="http://schemas.microsoft.com/office/drawing/2014/main" id="{088783F3-E50B-4865-9617-2AA8C99DA850}"/>
            </a:ext>
          </a:extLst>
        </xdr:cNvPr>
        <xdr:cNvSpPr>
          <a:spLocks noChangeArrowheads="1"/>
        </xdr:cNvSpPr>
      </xdr:nvSpPr>
      <xdr:spPr bwMode="auto">
        <a:xfrm>
          <a:off x="7753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53</xdr:row>
      <xdr:rowOff>57150</xdr:rowOff>
    </xdr:from>
    <xdr:to>
      <xdr:col>29</xdr:col>
      <xdr:colOff>0</xdr:colOff>
      <xdr:row>55</xdr:row>
      <xdr:rowOff>0</xdr:rowOff>
    </xdr:to>
    <xdr:sp macro="" textlink="">
      <xdr:nvSpPr>
        <xdr:cNvPr id="1195" name="AutoShape 46">
          <a:extLst>
            <a:ext uri="{FF2B5EF4-FFF2-40B4-BE49-F238E27FC236}">
              <a16:creationId xmlns:a16="http://schemas.microsoft.com/office/drawing/2014/main" id="{0A475188-F3BC-44F3-BBFF-39A06BD06499}"/>
            </a:ext>
          </a:extLst>
        </xdr:cNvPr>
        <xdr:cNvSpPr>
          <a:spLocks noChangeArrowheads="1"/>
        </xdr:cNvSpPr>
      </xdr:nvSpPr>
      <xdr:spPr bwMode="auto">
        <a:xfrm>
          <a:off x="8382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53</xdr:row>
      <xdr:rowOff>57150</xdr:rowOff>
    </xdr:from>
    <xdr:to>
      <xdr:col>31</xdr:col>
      <xdr:colOff>0</xdr:colOff>
      <xdr:row>55</xdr:row>
      <xdr:rowOff>0</xdr:rowOff>
    </xdr:to>
    <xdr:sp macro="" textlink="">
      <xdr:nvSpPr>
        <xdr:cNvPr id="1196" name="AutoShape 46">
          <a:extLst>
            <a:ext uri="{FF2B5EF4-FFF2-40B4-BE49-F238E27FC236}">
              <a16:creationId xmlns:a16="http://schemas.microsoft.com/office/drawing/2014/main" id="{64BDC38C-AB19-4A05-A11A-E364376512AC}"/>
            </a:ext>
          </a:extLst>
        </xdr:cNvPr>
        <xdr:cNvSpPr>
          <a:spLocks noChangeArrowheads="1"/>
        </xdr:cNvSpPr>
      </xdr:nvSpPr>
      <xdr:spPr bwMode="auto">
        <a:xfrm>
          <a:off x="8953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53</xdr:row>
      <xdr:rowOff>57151</xdr:rowOff>
    </xdr:from>
    <xdr:to>
      <xdr:col>33</xdr:col>
      <xdr:colOff>0</xdr:colOff>
      <xdr:row>55</xdr:row>
      <xdr:rowOff>1</xdr:rowOff>
    </xdr:to>
    <xdr:sp macro="" textlink="">
      <xdr:nvSpPr>
        <xdr:cNvPr id="1197" name="AutoShape 46">
          <a:extLst>
            <a:ext uri="{FF2B5EF4-FFF2-40B4-BE49-F238E27FC236}">
              <a16:creationId xmlns:a16="http://schemas.microsoft.com/office/drawing/2014/main" id="{B47F7D6F-A6F1-41F4-924D-43F3F602A9F9}"/>
            </a:ext>
          </a:extLst>
        </xdr:cNvPr>
        <xdr:cNvSpPr>
          <a:spLocks noChangeArrowheads="1"/>
        </xdr:cNvSpPr>
      </xdr:nvSpPr>
      <xdr:spPr bwMode="auto">
        <a:xfrm>
          <a:off x="10108163" y="10767916"/>
          <a:ext cx="340179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53</xdr:row>
      <xdr:rowOff>57150</xdr:rowOff>
    </xdr:from>
    <xdr:to>
      <xdr:col>35</xdr:col>
      <xdr:colOff>0</xdr:colOff>
      <xdr:row>55</xdr:row>
      <xdr:rowOff>0</xdr:rowOff>
    </xdr:to>
    <xdr:sp macro="" textlink="">
      <xdr:nvSpPr>
        <xdr:cNvPr id="1198" name="AutoShape 46">
          <a:extLst>
            <a:ext uri="{FF2B5EF4-FFF2-40B4-BE49-F238E27FC236}">
              <a16:creationId xmlns:a16="http://schemas.microsoft.com/office/drawing/2014/main" id="{75100050-BE52-4442-BDD5-C51EBA899454}"/>
            </a:ext>
          </a:extLst>
        </xdr:cNvPr>
        <xdr:cNvSpPr>
          <a:spLocks noChangeArrowheads="1"/>
        </xdr:cNvSpPr>
      </xdr:nvSpPr>
      <xdr:spPr bwMode="auto">
        <a:xfrm>
          <a:off x="10096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53</xdr:row>
      <xdr:rowOff>57150</xdr:rowOff>
    </xdr:from>
    <xdr:to>
      <xdr:col>37</xdr:col>
      <xdr:colOff>0</xdr:colOff>
      <xdr:row>55</xdr:row>
      <xdr:rowOff>0</xdr:rowOff>
    </xdr:to>
    <xdr:sp macro="" textlink="">
      <xdr:nvSpPr>
        <xdr:cNvPr id="1199" name="AutoShape 46">
          <a:extLst>
            <a:ext uri="{FF2B5EF4-FFF2-40B4-BE49-F238E27FC236}">
              <a16:creationId xmlns:a16="http://schemas.microsoft.com/office/drawing/2014/main" id="{619615EB-D41A-42A4-8736-D1A92CF593D4}"/>
            </a:ext>
          </a:extLst>
        </xdr:cNvPr>
        <xdr:cNvSpPr>
          <a:spLocks noChangeArrowheads="1"/>
        </xdr:cNvSpPr>
      </xdr:nvSpPr>
      <xdr:spPr bwMode="auto">
        <a:xfrm>
          <a:off x="10668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53</xdr:row>
      <xdr:rowOff>57150</xdr:rowOff>
    </xdr:from>
    <xdr:to>
      <xdr:col>39</xdr:col>
      <xdr:colOff>0</xdr:colOff>
      <xdr:row>55</xdr:row>
      <xdr:rowOff>0</xdr:rowOff>
    </xdr:to>
    <xdr:sp macro="" textlink="">
      <xdr:nvSpPr>
        <xdr:cNvPr id="1200" name="AutoShape 46">
          <a:extLst>
            <a:ext uri="{FF2B5EF4-FFF2-40B4-BE49-F238E27FC236}">
              <a16:creationId xmlns:a16="http://schemas.microsoft.com/office/drawing/2014/main" id="{C07667C2-BFBD-4A19-804F-D9F93FAEC991}"/>
            </a:ext>
          </a:extLst>
        </xdr:cNvPr>
        <xdr:cNvSpPr>
          <a:spLocks noChangeArrowheads="1"/>
        </xdr:cNvSpPr>
      </xdr:nvSpPr>
      <xdr:spPr bwMode="auto">
        <a:xfrm>
          <a:off x="11239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53</xdr:row>
      <xdr:rowOff>57150</xdr:rowOff>
    </xdr:from>
    <xdr:to>
      <xdr:col>41</xdr:col>
      <xdr:colOff>0</xdr:colOff>
      <xdr:row>55</xdr:row>
      <xdr:rowOff>0</xdr:rowOff>
    </xdr:to>
    <xdr:sp macro="" textlink="">
      <xdr:nvSpPr>
        <xdr:cNvPr id="1201" name="AutoShape 46">
          <a:extLst>
            <a:ext uri="{FF2B5EF4-FFF2-40B4-BE49-F238E27FC236}">
              <a16:creationId xmlns:a16="http://schemas.microsoft.com/office/drawing/2014/main" id="{13E6D659-8AF3-4259-B334-C0D21CEFE992}"/>
            </a:ext>
          </a:extLst>
        </xdr:cNvPr>
        <xdr:cNvSpPr>
          <a:spLocks noChangeArrowheads="1"/>
        </xdr:cNvSpPr>
      </xdr:nvSpPr>
      <xdr:spPr bwMode="auto">
        <a:xfrm>
          <a:off x="11811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53</xdr:row>
      <xdr:rowOff>57150</xdr:rowOff>
    </xdr:from>
    <xdr:to>
      <xdr:col>43</xdr:col>
      <xdr:colOff>0</xdr:colOff>
      <xdr:row>55</xdr:row>
      <xdr:rowOff>0</xdr:rowOff>
    </xdr:to>
    <xdr:sp macro="" textlink="">
      <xdr:nvSpPr>
        <xdr:cNvPr id="1202" name="AutoShape 46">
          <a:extLst>
            <a:ext uri="{FF2B5EF4-FFF2-40B4-BE49-F238E27FC236}">
              <a16:creationId xmlns:a16="http://schemas.microsoft.com/office/drawing/2014/main" id="{3F778D70-4836-4581-A3AA-AA6A4AF8B097}"/>
            </a:ext>
          </a:extLst>
        </xdr:cNvPr>
        <xdr:cNvSpPr>
          <a:spLocks noChangeArrowheads="1"/>
        </xdr:cNvSpPr>
      </xdr:nvSpPr>
      <xdr:spPr bwMode="auto">
        <a:xfrm>
          <a:off x="12382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53</xdr:row>
      <xdr:rowOff>57150</xdr:rowOff>
    </xdr:from>
    <xdr:to>
      <xdr:col>45</xdr:col>
      <xdr:colOff>0</xdr:colOff>
      <xdr:row>55</xdr:row>
      <xdr:rowOff>0</xdr:rowOff>
    </xdr:to>
    <xdr:sp macro="" textlink="">
      <xdr:nvSpPr>
        <xdr:cNvPr id="1203" name="AutoShape 46">
          <a:extLst>
            <a:ext uri="{FF2B5EF4-FFF2-40B4-BE49-F238E27FC236}">
              <a16:creationId xmlns:a16="http://schemas.microsoft.com/office/drawing/2014/main" id="{648B5C5A-CC97-474D-89B9-7DA398E9BC93}"/>
            </a:ext>
          </a:extLst>
        </xdr:cNvPr>
        <xdr:cNvSpPr>
          <a:spLocks noChangeArrowheads="1"/>
        </xdr:cNvSpPr>
      </xdr:nvSpPr>
      <xdr:spPr bwMode="auto">
        <a:xfrm>
          <a:off x="12954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53</xdr:row>
      <xdr:rowOff>57150</xdr:rowOff>
    </xdr:from>
    <xdr:to>
      <xdr:col>11</xdr:col>
      <xdr:colOff>0</xdr:colOff>
      <xdr:row>55</xdr:row>
      <xdr:rowOff>0</xdr:rowOff>
    </xdr:to>
    <xdr:sp macro="" textlink="">
      <xdr:nvSpPr>
        <xdr:cNvPr id="1204" name="AutoShape 46">
          <a:extLst>
            <a:ext uri="{FF2B5EF4-FFF2-40B4-BE49-F238E27FC236}">
              <a16:creationId xmlns:a16="http://schemas.microsoft.com/office/drawing/2014/main" id="{9B44CF67-3FD4-4B3D-B396-44B256876EA3}"/>
            </a:ext>
          </a:extLst>
        </xdr:cNvPr>
        <xdr:cNvSpPr>
          <a:spLocks noChangeArrowheads="1"/>
        </xdr:cNvSpPr>
      </xdr:nvSpPr>
      <xdr:spPr bwMode="auto">
        <a:xfrm>
          <a:off x="3181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53</xdr:row>
      <xdr:rowOff>57150</xdr:rowOff>
    </xdr:from>
    <xdr:to>
      <xdr:col>13</xdr:col>
      <xdr:colOff>0</xdr:colOff>
      <xdr:row>55</xdr:row>
      <xdr:rowOff>0</xdr:rowOff>
    </xdr:to>
    <xdr:sp macro="" textlink="">
      <xdr:nvSpPr>
        <xdr:cNvPr id="1205" name="AutoShape 46">
          <a:extLst>
            <a:ext uri="{FF2B5EF4-FFF2-40B4-BE49-F238E27FC236}">
              <a16:creationId xmlns:a16="http://schemas.microsoft.com/office/drawing/2014/main" id="{749FDFE9-03AD-4BC7-82E8-64D85D52E66A}"/>
            </a:ext>
          </a:extLst>
        </xdr:cNvPr>
        <xdr:cNvSpPr>
          <a:spLocks noChangeArrowheads="1"/>
        </xdr:cNvSpPr>
      </xdr:nvSpPr>
      <xdr:spPr bwMode="auto">
        <a:xfrm>
          <a:off x="37528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53</xdr:row>
      <xdr:rowOff>57150</xdr:rowOff>
    </xdr:from>
    <xdr:to>
      <xdr:col>15</xdr:col>
      <xdr:colOff>0</xdr:colOff>
      <xdr:row>55</xdr:row>
      <xdr:rowOff>0</xdr:rowOff>
    </xdr:to>
    <xdr:sp macro="" textlink="">
      <xdr:nvSpPr>
        <xdr:cNvPr id="1206" name="AutoShape 46">
          <a:extLst>
            <a:ext uri="{FF2B5EF4-FFF2-40B4-BE49-F238E27FC236}">
              <a16:creationId xmlns:a16="http://schemas.microsoft.com/office/drawing/2014/main" id="{E97312F3-1BA3-4588-8B66-4CCB8398E70B}"/>
            </a:ext>
          </a:extLst>
        </xdr:cNvPr>
        <xdr:cNvSpPr>
          <a:spLocks noChangeArrowheads="1"/>
        </xdr:cNvSpPr>
      </xdr:nvSpPr>
      <xdr:spPr bwMode="auto">
        <a:xfrm>
          <a:off x="4324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53</xdr:row>
      <xdr:rowOff>57150</xdr:rowOff>
    </xdr:from>
    <xdr:to>
      <xdr:col>9</xdr:col>
      <xdr:colOff>0</xdr:colOff>
      <xdr:row>55</xdr:row>
      <xdr:rowOff>0</xdr:rowOff>
    </xdr:to>
    <xdr:sp macro="" textlink="">
      <xdr:nvSpPr>
        <xdr:cNvPr id="1207" name="AutoShape 46">
          <a:extLst>
            <a:ext uri="{FF2B5EF4-FFF2-40B4-BE49-F238E27FC236}">
              <a16:creationId xmlns:a16="http://schemas.microsoft.com/office/drawing/2014/main" id="{39690C07-95A9-452E-B550-5FE5F5AC0DCC}"/>
            </a:ext>
          </a:extLst>
        </xdr:cNvPr>
        <xdr:cNvSpPr>
          <a:spLocks noChangeArrowheads="1"/>
        </xdr:cNvSpPr>
      </xdr:nvSpPr>
      <xdr:spPr bwMode="auto">
        <a:xfrm>
          <a:off x="2409825" y="10201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53</xdr:row>
      <xdr:rowOff>57150</xdr:rowOff>
    </xdr:from>
    <xdr:to>
      <xdr:col>7</xdr:col>
      <xdr:colOff>0</xdr:colOff>
      <xdr:row>55</xdr:row>
      <xdr:rowOff>0</xdr:rowOff>
    </xdr:to>
    <xdr:sp macro="" textlink="">
      <xdr:nvSpPr>
        <xdr:cNvPr id="1208" name="AutoShape 46">
          <a:extLst>
            <a:ext uri="{FF2B5EF4-FFF2-40B4-BE49-F238E27FC236}">
              <a16:creationId xmlns:a16="http://schemas.microsoft.com/office/drawing/2014/main" id="{C2511FCC-C0FC-4BEB-B34A-AFF711A09894}"/>
            </a:ext>
          </a:extLst>
        </xdr:cNvPr>
        <xdr:cNvSpPr>
          <a:spLocks noChangeArrowheads="1"/>
        </xdr:cNvSpPr>
      </xdr:nvSpPr>
      <xdr:spPr bwMode="auto">
        <a:xfrm>
          <a:off x="1819275" y="10201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53</xdr:row>
      <xdr:rowOff>57150</xdr:rowOff>
    </xdr:from>
    <xdr:to>
      <xdr:col>5</xdr:col>
      <xdr:colOff>0</xdr:colOff>
      <xdr:row>55</xdr:row>
      <xdr:rowOff>0</xdr:rowOff>
    </xdr:to>
    <xdr:sp macro="" textlink="">
      <xdr:nvSpPr>
        <xdr:cNvPr id="1209" name="AutoShape 46">
          <a:extLst>
            <a:ext uri="{FF2B5EF4-FFF2-40B4-BE49-F238E27FC236}">
              <a16:creationId xmlns:a16="http://schemas.microsoft.com/office/drawing/2014/main" id="{2FF0DE4C-1198-4376-B7CC-4AC4D853D75E}"/>
            </a:ext>
          </a:extLst>
        </xdr:cNvPr>
        <xdr:cNvSpPr>
          <a:spLocks noChangeArrowheads="1"/>
        </xdr:cNvSpPr>
      </xdr:nvSpPr>
      <xdr:spPr bwMode="auto">
        <a:xfrm>
          <a:off x="1095375" y="10201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53</xdr:row>
      <xdr:rowOff>57150</xdr:rowOff>
    </xdr:from>
    <xdr:to>
      <xdr:col>3</xdr:col>
      <xdr:colOff>0</xdr:colOff>
      <xdr:row>55</xdr:row>
      <xdr:rowOff>0</xdr:rowOff>
    </xdr:to>
    <xdr:sp macro="" textlink="">
      <xdr:nvSpPr>
        <xdr:cNvPr id="1210" name="AutoShape 46">
          <a:extLst>
            <a:ext uri="{FF2B5EF4-FFF2-40B4-BE49-F238E27FC236}">
              <a16:creationId xmlns:a16="http://schemas.microsoft.com/office/drawing/2014/main" id="{9B403B9A-DA7F-4A9E-819E-B1DA00619649}"/>
            </a:ext>
          </a:extLst>
        </xdr:cNvPr>
        <xdr:cNvSpPr>
          <a:spLocks noChangeArrowheads="1"/>
        </xdr:cNvSpPr>
      </xdr:nvSpPr>
      <xdr:spPr bwMode="auto">
        <a:xfrm>
          <a:off x="523875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11" name="Group 1008">
          <a:extLst>
            <a:ext uri="{FF2B5EF4-FFF2-40B4-BE49-F238E27FC236}">
              <a16:creationId xmlns:a16="http://schemas.microsoft.com/office/drawing/2014/main" id="{F681E9A5-6FC7-4A10-8BA3-148B3205AFEE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12" name="Straight Connector 1211">
            <a:extLst>
              <a:ext uri="{FF2B5EF4-FFF2-40B4-BE49-F238E27FC236}">
                <a16:creationId xmlns:a16="http://schemas.microsoft.com/office/drawing/2014/main" id="{653D5BFD-FEA0-608A-54A4-A7FA6C9843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13" name="Straight Connector 529">
            <a:extLst>
              <a:ext uri="{FF2B5EF4-FFF2-40B4-BE49-F238E27FC236}">
                <a16:creationId xmlns:a16="http://schemas.microsoft.com/office/drawing/2014/main" id="{D378F60B-34A5-163E-5983-FB5D5E51A7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4" name="Straight Connector 531">
            <a:extLst>
              <a:ext uri="{FF2B5EF4-FFF2-40B4-BE49-F238E27FC236}">
                <a16:creationId xmlns:a16="http://schemas.microsoft.com/office/drawing/2014/main" id="{9795835D-A4F2-DA92-F493-D4D6CF1DF8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5" name="Straight Connector 533">
            <a:extLst>
              <a:ext uri="{FF2B5EF4-FFF2-40B4-BE49-F238E27FC236}">
                <a16:creationId xmlns:a16="http://schemas.microsoft.com/office/drawing/2014/main" id="{0C2979CD-7634-74BA-A29B-7B9E1854DE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6" name="Straight Connector 535">
            <a:extLst>
              <a:ext uri="{FF2B5EF4-FFF2-40B4-BE49-F238E27FC236}">
                <a16:creationId xmlns:a16="http://schemas.microsoft.com/office/drawing/2014/main" id="{5980BA51-1DCA-2EE2-7ABF-1D5B6CF490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7" name="Straight Connector 537">
            <a:extLst>
              <a:ext uri="{FF2B5EF4-FFF2-40B4-BE49-F238E27FC236}">
                <a16:creationId xmlns:a16="http://schemas.microsoft.com/office/drawing/2014/main" id="{79FCA874-35E2-2727-B14B-32516960CE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18" name="Group 1008">
          <a:extLst>
            <a:ext uri="{FF2B5EF4-FFF2-40B4-BE49-F238E27FC236}">
              <a16:creationId xmlns:a16="http://schemas.microsoft.com/office/drawing/2014/main" id="{C1AFF199-DEC1-4B4B-B5DB-C3F12C7897B0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19" name="Straight Connector 1218">
            <a:extLst>
              <a:ext uri="{FF2B5EF4-FFF2-40B4-BE49-F238E27FC236}">
                <a16:creationId xmlns:a16="http://schemas.microsoft.com/office/drawing/2014/main" id="{50FA1496-D83E-369C-4DC8-757E54A13475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20" name="Straight Connector 529">
            <a:extLst>
              <a:ext uri="{FF2B5EF4-FFF2-40B4-BE49-F238E27FC236}">
                <a16:creationId xmlns:a16="http://schemas.microsoft.com/office/drawing/2014/main" id="{E219E5C4-CDE6-DC48-5BC4-284FF2FAB7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1" name="Straight Connector 531">
            <a:extLst>
              <a:ext uri="{FF2B5EF4-FFF2-40B4-BE49-F238E27FC236}">
                <a16:creationId xmlns:a16="http://schemas.microsoft.com/office/drawing/2014/main" id="{2DE3BF56-7610-3DB8-DCD0-742A52EEE3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2" name="Straight Connector 533">
            <a:extLst>
              <a:ext uri="{FF2B5EF4-FFF2-40B4-BE49-F238E27FC236}">
                <a16:creationId xmlns:a16="http://schemas.microsoft.com/office/drawing/2014/main" id="{5D84FD7F-3027-63AF-BE13-605ADF1DC5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3" name="Straight Connector 535">
            <a:extLst>
              <a:ext uri="{FF2B5EF4-FFF2-40B4-BE49-F238E27FC236}">
                <a16:creationId xmlns:a16="http://schemas.microsoft.com/office/drawing/2014/main" id="{1DCC9554-31ED-D39F-5F7B-4697AA8564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4" name="Straight Connector 537">
            <a:extLst>
              <a:ext uri="{FF2B5EF4-FFF2-40B4-BE49-F238E27FC236}">
                <a16:creationId xmlns:a16="http://schemas.microsoft.com/office/drawing/2014/main" id="{E1A265B8-2CA6-59F0-A3C0-42B19F9CAA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133350</xdr:rowOff>
    </xdr:from>
    <xdr:to>
      <xdr:col>6</xdr:col>
      <xdr:colOff>0</xdr:colOff>
      <xdr:row>65</xdr:row>
      <xdr:rowOff>47625</xdr:rowOff>
    </xdr:to>
    <xdr:grpSp>
      <xdr:nvGrpSpPr>
        <xdr:cNvPr id="1225" name="Group 1008">
          <a:extLst>
            <a:ext uri="{FF2B5EF4-FFF2-40B4-BE49-F238E27FC236}">
              <a16:creationId xmlns:a16="http://schemas.microsoft.com/office/drawing/2014/main" id="{D738754F-1040-44D0-835F-999E6FE3B359}"/>
            </a:ext>
          </a:extLst>
        </xdr:cNvPr>
        <xdr:cNvGrpSpPr>
          <a:grpSpLocks/>
        </xdr:cNvGrpSpPr>
      </xdr:nvGrpSpPr>
      <xdr:grpSpPr bwMode="auto">
        <a:xfrm>
          <a:off x="1807806" y="12749115"/>
          <a:ext cx="0" cy="102183"/>
          <a:chOff x="5475762" y="47760700"/>
          <a:chExt cx="314325" cy="230209"/>
        </a:xfrm>
      </xdr:grpSpPr>
      <xdr:cxnSp macro="">
        <xdr:nvCxnSpPr>
          <xdr:cNvPr id="1226" name="Straight Connector 1225">
            <a:extLst>
              <a:ext uri="{FF2B5EF4-FFF2-40B4-BE49-F238E27FC236}">
                <a16:creationId xmlns:a16="http://schemas.microsoft.com/office/drawing/2014/main" id="{8EECEEF6-78B9-9B28-DDCD-D5BD0C737B63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27" name="Straight Connector 529">
            <a:extLst>
              <a:ext uri="{FF2B5EF4-FFF2-40B4-BE49-F238E27FC236}">
                <a16:creationId xmlns:a16="http://schemas.microsoft.com/office/drawing/2014/main" id="{2DEA4DB7-FD92-F161-D644-2C94A7B3C1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8" name="Straight Connector 531">
            <a:extLst>
              <a:ext uri="{FF2B5EF4-FFF2-40B4-BE49-F238E27FC236}">
                <a16:creationId xmlns:a16="http://schemas.microsoft.com/office/drawing/2014/main" id="{08C292FE-89BD-D3EF-6DE6-21BD553885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9" name="Straight Connector 533">
            <a:extLst>
              <a:ext uri="{FF2B5EF4-FFF2-40B4-BE49-F238E27FC236}">
                <a16:creationId xmlns:a16="http://schemas.microsoft.com/office/drawing/2014/main" id="{B41228F2-593E-39A6-6F92-D9E9AFA051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0" name="Straight Connector 535">
            <a:extLst>
              <a:ext uri="{FF2B5EF4-FFF2-40B4-BE49-F238E27FC236}">
                <a16:creationId xmlns:a16="http://schemas.microsoft.com/office/drawing/2014/main" id="{60E50646-182C-C153-FDC5-5FCD29FD30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1" name="Straight Connector 537">
            <a:extLst>
              <a:ext uri="{FF2B5EF4-FFF2-40B4-BE49-F238E27FC236}">
                <a16:creationId xmlns:a16="http://schemas.microsoft.com/office/drawing/2014/main" id="{0E1516F3-C842-78C6-8B72-9E9775C3DFF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133350</xdr:rowOff>
    </xdr:from>
    <xdr:to>
      <xdr:col>6</xdr:col>
      <xdr:colOff>0</xdr:colOff>
      <xdr:row>65</xdr:row>
      <xdr:rowOff>57150</xdr:rowOff>
    </xdr:to>
    <xdr:grpSp>
      <xdr:nvGrpSpPr>
        <xdr:cNvPr id="1232" name="Group 1008">
          <a:extLst>
            <a:ext uri="{FF2B5EF4-FFF2-40B4-BE49-F238E27FC236}">
              <a16:creationId xmlns:a16="http://schemas.microsoft.com/office/drawing/2014/main" id="{3A1ECC4F-CF7B-4D7D-839B-99D76399870F}"/>
            </a:ext>
          </a:extLst>
        </xdr:cNvPr>
        <xdr:cNvGrpSpPr>
          <a:grpSpLocks/>
        </xdr:cNvGrpSpPr>
      </xdr:nvGrpSpPr>
      <xdr:grpSpPr bwMode="auto">
        <a:xfrm>
          <a:off x="1807806" y="12749115"/>
          <a:ext cx="0" cy="111708"/>
          <a:chOff x="5475762" y="47760700"/>
          <a:chExt cx="314325" cy="230209"/>
        </a:xfrm>
      </xdr:grpSpPr>
      <xdr:cxnSp macro="">
        <xdr:nvCxnSpPr>
          <xdr:cNvPr id="1233" name="Straight Connector 1232">
            <a:extLst>
              <a:ext uri="{FF2B5EF4-FFF2-40B4-BE49-F238E27FC236}">
                <a16:creationId xmlns:a16="http://schemas.microsoft.com/office/drawing/2014/main" id="{46D32149-C9BB-274B-A673-127897E9CFE0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34" name="Straight Connector 529">
            <a:extLst>
              <a:ext uri="{FF2B5EF4-FFF2-40B4-BE49-F238E27FC236}">
                <a16:creationId xmlns:a16="http://schemas.microsoft.com/office/drawing/2014/main" id="{6E44459C-A1C2-3B03-EF6F-52DD9B53901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5" name="Straight Connector 531">
            <a:extLst>
              <a:ext uri="{FF2B5EF4-FFF2-40B4-BE49-F238E27FC236}">
                <a16:creationId xmlns:a16="http://schemas.microsoft.com/office/drawing/2014/main" id="{C782D393-B1B8-CCDA-2A52-C1D10EBBBB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6" name="Straight Connector 533">
            <a:extLst>
              <a:ext uri="{FF2B5EF4-FFF2-40B4-BE49-F238E27FC236}">
                <a16:creationId xmlns:a16="http://schemas.microsoft.com/office/drawing/2014/main" id="{EB11CE01-778D-B5CC-7E9C-D6EE001A7F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7" name="Straight Connector 535">
            <a:extLst>
              <a:ext uri="{FF2B5EF4-FFF2-40B4-BE49-F238E27FC236}">
                <a16:creationId xmlns:a16="http://schemas.microsoft.com/office/drawing/2014/main" id="{117A2242-A724-61AF-BB50-72CC8FA2C4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8" name="Straight Connector 537">
            <a:extLst>
              <a:ext uri="{FF2B5EF4-FFF2-40B4-BE49-F238E27FC236}">
                <a16:creationId xmlns:a16="http://schemas.microsoft.com/office/drawing/2014/main" id="{5AF1516B-5D45-0D06-AAB9-8FFB5E93E6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39" name="Group 1008">
          <a:extLst>
            <a:ext uri="{FF2B5EF4-FFF2-40B4-BE49-F238E27FC236}">
              <a16:creationId xmlns:a16="http://schemas.microsoft.com/office/drawing/2014/main" id="{49DA5F0D-BAD9-4C3D-979C-CF76E5FF4516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40" name="Straight Connector 1239">
            <a:extLst>
              <a:ext uri="{FF2B5EF4-FFF2-40B4-BE49-F238E27FC236}">
                <a16:creationId xmlns:a16="http://schemas.microsoft.com/office/drawing/2014/main" id="{0AB32013-9C7B-2F3B-8C70-B48A9D6DC8E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1" name="Straight Connector 529">
            <a:extLst>
              <a:ext uri="{FF2B5EF4-FFF2-40B4-BE49-F238E27FC236}">
                <a16:creationId xmlns:a16="http://schemas.microsoft.com/office/drawing/2014/main" id="{28D6DBBD-65E3-4239-0534-70E38D70B03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2" name="Straight Connector 531">
            <a:extLst>
              <a:ext uri="{FF2B5EF4-FFF2-40B4-BE49-F238E27FC236}">
                <a16:creationId xmlns:a16="http://schemas.microsoft.com/office/drawing/2014/main" id="{7F46681F-D88D-0146-FD77-4195B965B7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3" name="Straight Connector 533">
            <a:extLst>
              <a:ext uri="{FF2B5EF4-FFF2-40B4-BE49-F238E27FC236}">
                <a16:creationId xmlns:a16="http://schemas.microsoft.com/office/drawing/2014/main" id="{BCA7C5AB-E8FF-28B6-DDBF-4B924E8B54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4" name="Straight Connector 535">
            <a:extLst>
              <a:ext uri="{FF2B5EF4-FFF2-40B4-BE49-F238E27FC236}">
                <a16:creationId xmlns:a16="http://schemas.microsoft.com/office/drawing/2014/main" id="{300BAAF0-125E-83DA-C33D-7632295601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5" name="Straight Connector 537">
            <a:extLst>
              <a:ext uri="{FF2B5EF4-FFF2-40B4-BE49-F238E27FC236}">
                <a16:creationId xmlns:a16="http://schemas.microsoft.com/office/drawing/2014/main" id="{5DAACB86-B4B9-95F6-E98D-9C5D29A336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46" name="Group 1008">
          <a:extLst>
            <a:ext uri="{FF2B5EF4-FFF2-40B4-BE49-F238E27FC236}">
              <a16:creationId xmlns:a16="http://schemas.microsoft.com/office/drawing/2014/main" id="{87CFCB15-044E-4AA2-AD3F-C0C787147FB7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47" name="Straight Connector 1246">
            <a:extLst>
              <a:ext uri="{FF2B5EF4-FFF2-40B4-BE49-F238E27FC236}">
                <a16:creationId xmlns:a16="http://schemas.microsoft.com/office/drawing/2014/main" id="{9FA6BC29-1B7C-2521-630D-CA51E0B6201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8" name="Straight Connector 529">
            <a:extLst>
              <a:ext uri="{FF2B5EF4-FFF2-40B4-BE49-F238E27FC236}">
                <a16:creationId xmlns:a16="http://schemas.microsoft.com/office/drawing/2014/main" id="{EC2B8772-8600-A12F-243C-498D216DFCA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9" name="Straight Connector 531">
            <a:extLst>
              <a:ext uri="{FF2B5EF4-FFF2-40B4-BE49-F238E27FC236}">
                <a16:creationId xmlns:a16="http://schemas.microsoft.com/office/drawing/2014/main" id="{4ECF830E-C34C-8F24-FF6B-134AE0A1EC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0" name="Straight Connector 533">
            <a:extLst>
              <a:ext uri="{FF2B5EF4-FFF2-40B4-BE49-F238E27FC236}">
                <a16:creationId xmlns:a16="http://schemas.microsoft.com/office/drawing/2014/main" id="{530A39C7-C43F-6B71-C1DF-DD9A8B4ADE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1" name="Straight Connector 535">
            <a:extLst>
              <a:ext uri="{FF2B5EF4-FFF2-40B4-BE49-F238E27FC236}">
                <a16:creationId xmlns:a16="http://schemas.microsoft.com/office/drawing/2014/main" id="{D2EDB65F-6D1F-D653-121B-E568BDE5A3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2" name="Straight Connector 537">
            <a:extLst>
              <a:ext uri="{FF2B5EF4-FFF2-40B4-BE49-F238E27FC236}">
                <a16:creationId xmlns:a16="http://schemas.microsoft.com/office/drawing/2014/main" id="{FA093D76-FEC1-1C0A-9630-6E6E388ADC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53" name="Group 1008">
          <a:extLst>
            <a:ext uri="{FF2B5EF4-FFF2-40B4-BE49-F238E27FC236}">
              <a16:creationId xmlns:a16="http://schemas.microsoft.com/office/drawing/2014/main" id="{7EFEBB86-AF1F-417E-845B-6F0AAB9718FE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54" name="Straight Connector 1253">
            <a:extLst>
              <a:ext uri="{FF2B5EF4-FFF2-40B4-BE49-F238E27FC236}">
                <a16:creationId xmlns:a16="http://schemas.microsoft.com/office/drawing/2014/main" id="{770A3654-31E5-C72D-DFEF-A7594A8D309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55" name="Straight Connector 529">
            <a:extLst>
              <a:ext uri="{FF2B5EF4-FFF2-40B4-BE49-F238E27FC236}">
                <a16:creationId xmlns:a16="http://schemas.microsoft.com/office/drawing/2014/main" id="{B4FCA904-F237-6157-F9E9-DC965C1BB2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6" name="Straight Connector 531">
            <a:extLst>
              <a:ext uri="{FF2B5EF4-FFF2-40B4-BE49-F238E27FC236}">
                <a16:creationId xmlns:a16="http://schemas.microsoft.com/office/drawing/2014/main" id="{E4DD58CD-51E3-EAF1-6C95-92DC71482B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7" name="Straight Connector 533">
            <a:extLst>
              <a:ext uri="{FF2B5EF4-FFF2-40B4-BE49-F238E27FC236}">
                <a16:creationId xmlns:a16="http://schemas.microsoft.com/office/drawing/2014/main" id="{55B0BE42-B308-10DA-EFFF-33169639A7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8" name="Straight Connector 535">
            <a:extLst>
              <a:ext uri="{FF2B5EF4-FFF2-40B4-BE49-F238E27FC236}">
                <a16:creationId xmlns:a16="http://schemas.microsoft.com/office/drawing/2014/main" id="{A43714D3-489A-0C44-B4D2-C772B885BE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9" name="Straight Connector 537">
            <a:extLst>
              <a:ext uri="{FF2B5EF4-FFF2-40B4-BE49-F238E27FC236}">
                <a16:creationId xmlns:a16="http://schemas.microsoft.com/office/drawing/2014/main" id="{6FBB2CFB-CACE-0325-51BD-2D4A2CA59C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60" name="Group 1008">
          <a:extLst>
            <a:ext uri="{FF2B5EF4-FFF2-40B4-BE49-F238E27FC236}">
              <a16:creationId xmlns:a16="http://schemas.microsoft.com/office/drawing/2014/main" id="{516E8483-25D3-4902-A528-7F9E95815B0B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61" name="Straight Connector 1260">
            <a:extLst>
              <a:ext uri="{FF2B5EF4-FFF2-40B4-BE49-F238E27FC236}">
                <a16:creationId xmlns:a16="http://schemas.microsoft.com/office/drawing/2014/main" id="{ADA8727B-56D9-3461-8A7B-5A014E1318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62" name="Straight Connector 529">
            <a:extLst>
              <a:ext uri="{FF2B5EF4-FFF2-40B4-BE49-F238E27FC236}">
                <a16:creationId xmlns:a16="http://schemas.microsoft.com/office/drawing/2014/main" id="{E1C96474-DE72-059C-A719-BB794AB195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3" name="Straight Connector 531">
            <a:extLst>
              <a:ext uri="{FF2B5EF4-FFF2-40B4-BE49-F238E27FC236}">
                <a16:creationId xmlns:a16="http://schemas.microsoft.com/office/drawing/2014/main" id="{C9178096-4A44-6965-65E6-D10203DFE0F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4" name="Straight Connector 533">
            <a:extLst>
              <a:ext uri="{FF2B5EF4-FFF2-40B4-BE49-F238E27FC236}">
                <a16:creationId xmlns:a16="http://schemas.microsoft.com/office/drawing/2014/main" id="{04DB706B-4D5B-B24A-F572-0F7DBE629A5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5" name="Straight Connector 535">
            <a:extLst>
              <a:ext uri="{FF2B5EF4-FFF2-40B4-BE49-F238E27FC236}">
                <a16:creationId xmlns:a16="http://schemas.microsoft.com/office/drawing/2014/main" id="{44CFFCB5-FAF4-8303-D8C5-CB1634F742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6" name="Straight Connector 537">
            <a:extLst>
              <a:ext uri="{FF2B5EF4-FFF2-40B4-BE49-F238E27FC236}">
                <a16:creationId xmlns:a16="http://schemas.microsoft.com/office/drawing/2014/main" id="{1CCFCF09-525B-18A7-13F6-BD34B47ACF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67" name="Group 1008">
          <a:extLst>
            <a:ext uri="{FF2B5EF4-FFF2-40B4-BE49-F238E27FC236}">
              <a16:creationId xmlns:a16="http://schemas.microsoft.com/office/drawing/2014/main" id="{A75A5564-209F-40AF-91BD-98DBD24C5665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68" name="Straight Connector 1267">
            <a:extLst>
              <a:ext uri="{FF2B5EF4-FFF2-40B4-BE49-F238E27FC236}">
                <a16:creationId xmlns:a16="http://schemas.microsoft.com/office/drawing/2014/main" id="{10D08E70-A6F4-B441-0151-A98A7DEC18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69" name="Straight Connector 529">
            <a:extLst>
              <a:ext uri="{FF2B5EF4-FFF2-40B4-BE49-F238E27FC236}">
                <a16:creationId xmlns:a16="http://schemas.microsoft.com/office/drawing/2014/main" id="{C463098F-9FEF-6DFE-350B-E5D59C5069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0" name="Straight Connector 531">
            <a:extLst>
              <a:ext uri="{FF2B5EF4-FFF2-40B4-BE49-F238E27FC236}">
                <a16:creationId xmlns:a16="http://schemas.microsoft.com/office/drawing/2014/main" id="{DEAEA818-C40A-E741-6B30-CE5C9AEE71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1" name="Straight Connector 533">
            <a:extLst>
              <a:ext uri="{FF2B5EF4-FFF2-40B4-BE49-F238E27FC236}">
                <a16:creationId xmlns:a16="http://schemas.microsoft.com/office/drawing/2014/main" id="{F666787F-C9D9-46C4-DD1D-25D3B75625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2" name="Straight Connector 535">
            <a:extLst>
              <a:ext uri="{FF2B5EF4-FFF2-40B4-BE49-F238E27FC236}">
                <a16:creationId xmlns:a16="http://schemas.microsoft.com/office/drawing/2014/main" id="{C3E0913D-FD76-274B-CA4A-51BD2984F7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3" name="Straight Connector 537">
            <a:extLst>
              <a:ext uri="{FF2B5EF4-FFF2-40B4-BE49-F238E27FC236}">
                <a16:creationId xmlns:a16="http://schemas.microsoft.com/office/drawing/2014/main" id="{4A46D7F1-5D6A-AD2E-0236-C82D05A5A5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74" name="Group 1008">
          <a:extLst>
            <a:ext uri="{FF2B5EF4-FFF2-40B4-BE49-F238E27FC236}">
              <a16:creationId xmlns:a16="http://schemas.microsoft.com/office/drawing/2014/main" id="{FD66AE83-305A-45DD-8022-45334A377628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75" name="Straight Connector 1274">
            <a:extLst>
              <a:ext uri="{FF2B5EF4-FFF2-40B4-BE49-F238E27FC236}">
                <a16:creationId xmlns:a16="http://schemas.microsoft.com/office/drawing/2014/main" id="{9F18ADA4-B2C1-81FE-4452-F7269FCAC26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76" name="Straight Connector 529">
            <a:extLst>
              <a:ext uri="{FF2B5EF4-FFF2-40B4-BE49-F238E27FC236}">
                <a16:creationId xmlns:a16="http://schemas.microsoft.com/office/drawing/2014/main" id="{8C061E46-546D-E7E2-B181-C9B1A84D841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7" name="Straight Connector 531">
            <a:extLst>
              <a:ext uri="{FF2B5EF4-FFF2-40B4-BE49-F238E27FC236}">
                <a16:creationId xmlns:a16="http://schemas.microsoft.com/office/drawing/2014/main" id="{122E70A8-B0BA-1F6F-38E2-7CD6A4FEBB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8" name="Straight Connector 533">
            <a:extLst>
              <a:ext uri="{FF2B5EF4-FFF2-40B4-BE49-F238E27FC236}">
                <a16:creationId xmlns:a16="http://schemas.microsoft.com/office/drawing/2014/main" id="{2BC4CE42-CAF6-EB64-DA18-E2C192529D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9" name="Straight Connector 535">
            <a:extLst>
              <a:ext uri="{FF2B5EF4-FFF2-40B4-BE49-F238E27FC236}">
                <a16:creationId xmlns:a16="http://schemas.microsoft.com/office/drawing/2014/main" id="{E3414EF9-2EA2-8749-AF7E-2149A1C833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0" name="Straight Connector 537">
            <a:extLst>
              <a:ext uri="{FF2B5EF4-FFF2-40B4-BE49-F238E27FC236}">
                <a16:creationId xmlns:a16="http://schemas.microsoft.com/office/drawing/2014/main" id="{E4E059DA-4A8F-A01F-EB95-C6560FA4CA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81" name="Group 1008">
          <a:extLst>
            <a:ext uri="{FF2B5EF4-FFF2-40B4-BE49-F238E27FC236}">
              <a16:creationId xmlns:a16="http://schemas.microsoft.com/office/drawing/2014/main" id="{BAACAA43-0600-4FFB-B317-1917AE9BD604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82" name="Straight Connector 1281">
            <a:extLst>
              <a:ext uri="{FF2B5EF4-FFF2-40B4-BE49-F238E27FC236}">
                <a16:creationId xmlns:a16="http://schemas.microsoft.com/office/drawing/2014/main" id="{C4B8B5C8-2FE3-7ACC-FD1E-96CDD049F51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83" name="Straight Connector 529">
            <a:extLst>
              <a:ext uri="{FF2B5EF4-FFF2-40B4-BE49-F238E27FC236}">
                <a16:creationId xmlns:a16="http://schemas.microsoft.com/office/drawing/2014/main" id="{142105A1-FDFF-8AAB-1D68-30A971BDAC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4" name="Straight Connector 531">
            <a:extLst>
              <a:ext uri="{FF2B5EF4-FFF2-40B4-BE49-F238E27FC236}">
                <a16:creationId xmlns:a16="http://schemas.microsoft.com/office/drawing/2014/main" id="{2A7C8D55-10C9-1F85-096E-C615D219AA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5" name="Straight Connector 533">
            <a:extLst>
              <a:ext uri="{FF2B5EF4-FFF2-40B4-BE49-F238E27FC236}">
                <a16:creationId xmlns:a16="http://schemas.microsoft.com/office/drawing/2014/main" id="{D99A263E-AA94-5049-A0ED-B8E854A18D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6" name="Straight Connector 535">
            <a:extLst>
              <a:ext uri="{FF2B5EF4-FFF2-40B4-BE49-F238E27FC236}">
                <a16:creationId xmlns:a16="http://schemas.microsoft.com/office/drawing/2014/main" id="{D00C4343-3FE7-CBB1-80F9-1E146146C4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7" name="Straight Connector 537">
            <a:extLst>
              <a:ext uri="{FF2B5EF4-FFF2-40B4-BE49-F238E27FC236}">
                <a16:creationId xmlns:a16="http://schemas.microsoft.com/office/drawing/2014/main" id="{9E42FCB8-CF83-373E-6058-251D9027D1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88" name="Group 1008">
          <a:extLst>
            <a:ext uri="{FF2B5EF4-FFF2-40B4-BE49-F238E27FC236}">
              <a16:creationId xmlns:a16="http://schemas.microsoft.com/office/drawing/2014/main" id="{A460B462-054D-4E16-B00A-563BE3D1262C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89" name="Straight Connector 1288">
            <a:extLst>
              <a:ext uri="{FF2B5EF4-FFF2-40B4-BE49-F238E27FC236}">
                <a16:creationId xmlns:a16="http://schemas.microsoft.com/office/drawing/2014/main" id="{C4BE89CB-0367-7CCB-C735-0D6A22A086C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90" name="Straight Connector 529">
            <a:extLst>
              <a:ext uri="{FF2B5EF4-FFF2-40B4-BE49-F238E27FC236}">
                <a16:creationId xmlns:a16="http://schemas.microsoft.com/office/drawing/2014/main" id="{C8FCC712-BE62-CC23-3DA8-281E499860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1" name="Straight Connector 531">
            <a:extLst>
              <a:ext uri="{FF2B5EF4-FFF2-40B4-BE49-F238E27FC236}">
                <a16:creationId xmlns:a16="http://schemas.microsoft.com/office/drawing/2014/main" id="{16523F2C-EF8B-F8A3-D05F-AB2531BA82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2" name="Straight Connector 533">
            <a:extLst>
              <a:ext uri="{FF2B5EF4-FFF2-40B4-BE49-F238E27FC236}">
                <a16:creationId xmlns:a16="http://schemas.microsoft.com/office/drawing/2014/main" id="{B186DAB7-5B63-3359-8F67-FF39FD50A9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3" name="Straight Connector 535">
            <a:extLst>
              <a:ext uri="{FF2B5EF4-FFF2-40B4-BE49-F238E27FC236}">
                <a16:creationId xmlns:a16="http://schemas.microsoft.com/office/drawing/2014/main" id="{E4C21F40-2D81-C985-255D-96550D75912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4" name="Straight Connector 537">
            <a:extLst>
              <a:ext uri="{FF2B5EF4-FFF2-40B4-BE49-F238E27FC236}">
                <a16:creationId xmlns:a16="http://schemas.microsoft.com/office/drawing/2014/main" id="{00B0574E-842B-FB35-373A-915DC3F8A8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95" name="Group 1008">
          <a:extLst>
            <a:ext uri="{FF2B5EF4-FFF2-40B4-BE49-F238E27FC236}">
              <a16:creationId xmlns:a16="http://schemas.microsoft.com/office/drawing/2014/main" id="{4C543866-D6B3-421E-A184-A80B7873B447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96" name="Straight Connector 1295">
            <a:extLst>
              <a:ext uri="{FF2B5EF4-FFF2-40B4-BE49-F238E27FC236}">
                <a16:creationId xmlns:a16="http://schemas.microsoft.com/office/drawing/2014/main" id="{E3C26F08-6659-E791-B6C9-3298FD45D0C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97" name="Straight Connector 529">
            <a:extLst>
              <a:ext uri="{FF2B5EF4-FFF2-40B4-BE49-F238E27FC236}">
                <a16:creationId xmlns:a16="http://schemas.microsoft.com/office/drawing/2014/main" id="{28345AF5-33FE-95C1-15D8-42AF12FAA0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8" name="Straight Connector 531">
            <a:extLst>
              <a:ext uri="{FF2B5EF4-FFF2-40B4-BE49-F238E27FC236}">
                <a16:creationId xmlns:a16="http://schemas.microsoft.com/office/drawing/2014/main" id="{02C54D9C-121D-26C3-DACE-9607E67E53B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9" name="Straight Connector 533">
            <a:extLst>
              <a:ext uri="{FF2B5EF4-FFF2-40B4-BE49-F238E27FC236}">
                <a16:creationId xmlns:a16="http://schemas.microsoft.com/office/drawing/2014/main" id="{1CEA9C42-4B29-6144-702F-9CD967C964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0" name="Straight Connector 535">
            <a:extLst>
              <a:ext uri="{FF2B5EF4-FFF2-40B4-BE49-F238E27FC236}">
                <a16:creationId xmlns:a16="http://schemas.microsoft.com/office/drawing/2014/main" id="{4809D3F4-687E-4461-FCE7-3F8DF997A9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1" name="Straight Connector 537">
            <a:extLst>
              <a:ext uri="{FF2B5EF4-FFF2-40B4-BE49-F238E27FC236}">
                <a16:creationId xmlns:a16="http://schemas.microsoft.com/office/drawing/2014/main" id="{5254C973-76E3-0301-6606-7D3A0229C0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02" name="Group 1008">
          <a:extLst>
            <a:ext uri="{FF2B5EF4-FFF2-40B4-BE49-F238E27FC236}">
              <a16:creationId xmlns:a16="http://schemas.microsoft.com/office/drawing/2014/main" id="{11778A30-5205-43CF-BAC5-F9F5FBC2B459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03" name="Straight Connector 1302">
            <a:extLst>
              <a:ext uri="{FF2B5EF4-FFF2-40B4-BE49-F238E27FC236}">
                <a16:creationId xmlns:a16="http://schemas.microsoft.com/office/drawing/2014/main" id="{1548809F-03A1-D658-D3CC-A0C630B2EB1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04" name="Straight Connector 529">
            <a:extLst>
              <a:ext uri="{FF2B5EF4-FFF2-40B4-BE49-F238E27FC236}">
                <a16:creationId xmlns:a16="http://schemas.microsoft.com/office/drawing/2014/main" id="{1D0E6512-8C25-063E-B552-2D9D3AE592A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5" name="Straight Connector 531">
            <a:extLst>
              <a:ext uri="{FF2B5EF4-FFF2-40B4-BE49-F238E27FC236}">
                <a16:creationId xmlns:a16="http://schemas.microsoft.com/office/drawing/2014/main" id="{8DF6DB1D-C40A-9DCF-CDC7-1E18232629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6" name="Straight Connector 533">
            <a:extLst>
              <a:ext uri="{FF2B5EF4-FFF2-40B4-BE49-F238E27FC236}">
                <a16:creationId xmlns:a16="http://schemas.microsoft.com/office/drawing/2014/main" id="{F7E0C81E-0A95-94D5-856B-11AB7A0BAB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7" name="Straight Connector 535">
            <a:extLst>
              <a:ext uri="{FF2B5EF4-FFF2-40B4-BE49-F238E27FC236}">
                <a16:creationId xmlns:a16="http://schemas.microsoft.com/office/drawing/2014/main" id="{9D88E8E1-46F1-1829-3A73-147A0DDABE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8" name="Straight Connector 537">
            <a:extLst>
              <a:ext uri="{FF2B5EF4-FFF2-40B4-BE49-F238E27FC236}">
                <a16:creationId xmlns:a16="http://schemas.microsoft.com/office/drawing/2014/main" id="{067B3DC5-9500-6C9D-6BA0-4E9EC07E15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09" name="Group 1008">
          <a:extLst>
            <a:ext uri="{FF2B5EF4-FFF2-40B4-BE49-F238E27FC236}">
              <a16:creationId xmlns:a16="http://schemas.microsoft.com/office/drawing/2014/main" id="{625C6350-1337-401A-A548-35B89B7D85F9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10" name="Straight Connector 1309">
            <a:extLst>
              <a:ext uri="{FF2B5EF4-FFF2-40B4-BE49-F238E27FC236}">
                <a16:creationId xmlns:a16="http://schemas.microsoft.com/office/drawing/2014/main" id="{25479810-FF8E-D17D-87BD-AECBF04CE0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1" name="Straight Connector 529">
            <a:extLst>
              <a:ext uri="{FF2B5EF4-FFF2-40B4-BE49-F238E27FC236}">
                <a16:creationId xmlns:a16="http://schemas.microsoft.com/office/drawing/2014/main" id="{91CE91B7-648E-408F-3A27-E9820045AE8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2" name="Straight Connector 531">
            <a:extLst>
              <a:ext uri="{FF2B5EF4-FFF2-40B4-BE49-F238E27FC236}">
                <a16:creationId xmlns:a16="http://schemas.microsoft.com/office/drawing/2014/main" id="{179ED34F-7CA5-CE02-1CF3-13602FE91CC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3" name="Straight Connector 533">
            <a:extLst>
              <a:ext uri="{FF2B5EF4-FFF2-40B4-BE49-F238E27FC236}">
                <a16:creationId xmlns:a16="http://schemas.microsoft.com/office/drawing/2014/main" id="{3CA2DD20-D1ED-5BC1-7AAE-C89A0FF098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4" name="Straight Connector 535">
            <a:extLst>
              <a:ext uri="{FF2B5EF4-FFF2-40B4-BE49-F238E27FC236}">
                <a16:creationId xmlns:a16="http://schemas.microsoft.com/office/drawing/2014/main" id="{CC550164-B296-C405-FCF3-13D7F8ECB5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5" name="Straight Connector 537">
            <a:extLst>
              <a:ext uri="{FF2B5EF4-FFF2-40B4-BE49-F238E27FC236}">
                <a16:creationId xmlns:a16="http://schemas.microsoft.com/office/drawing/2014/main" id="{9E656F3E-0AF0-55A0-6F0F-E06F1CA322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16" name="Group 1008">
          <a:extLst>
            <a:ext uri="{FF2B5EF4-FFF2-40B4-BE49-F238E27FC236}">
              <a16:creationId xmlns:a16="http://schemas.microsoft.com/office/drawing/2014/main" id="{A739F189-FA8A-4E59-B4B8-5A2834CEDD4D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17" name="Straight Connector 1316">
            <a:extLst>
              <a:ext uri="{FF2B5EF4-FFF2-40B4-BE49-F238E27FC236}">
                <a16:creationId xmlns:a16="http://schemas.microsoft.com/office/drawing/2014/main" id="{13E7A601-01CA-5ECF-3DB0-B975AF7108B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8" name="Straight Connector 529">
            <a:extLst>
              <a:ext uri="{FF2B5EF4-FFF2-40B4-BE49-F238E27FC236}">
                <a16:creationId xmlns:a16="http://schemas.microsoft.com/office/drawing/2014/main" id="{5695A87B-5F4A-6F02-53C1-345A4CA5078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9" name="Straight Connector 531">
            <a:extLst>
              <a:ext uri="{FF2B5EF4-FFF2-40B4-BE49-F238E27FC236}">
                <a16:creationId xmlns:a16="http://schemas.microsoft.com/office/drawing/2014/main" id="{C0A572E1-02D9-CC79-260F-2A8615131A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0" name="Straight Connector 533">
            <a:extLst>
              <a:ext uri="{FF2B5EF4-FFF2-40B4-BE49-F238E27FC236}">
                <a16:creationId xmlns:a16="http://schemas.microsoft.com/office/drawing/2014/main" id="{35B2FF43-6122-05CA-1116-89B56C65A8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1" name="Straight Connector 535">
            <a:extLst>
              <a:ext uri="{FF2B5EF4-FFF2-40B4-BE49-F238E27FC236}">
                <a16:creationId xmlns:a16="http://schemas.microsoft.com/office/drawing/2014/main" id="{C0DD512B-DB13-CAE7-F753-0E9A90FACC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2" name="Straight Connector 537">
            <a:extLst>
              <a:ext uri="{FF2B5EF4-FFF2-40B4-BE49-F238E27FC236}">
                <a16:creationId xmlns:a16="http://schemas.microsoft.com/office/drawing/2014/main" id="{55D1DCAD-42D5-C0C6-963B-8846F8967B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23" name="Group 1008">
          <a:extLst>
            <a:ext uri="{FF2B5EF4-FFF2-40B4-BE49-F238E27FC236}">
              <a16:creationId xmlns:a16="http://schemas.microsoft.com/office/drawing/2014/main" id="{2167ED52-60FC-4058-8269-0B3CC8C1DFA3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24" name="Straight Connector 1323">
            <a:extLst>
              <a:ext uri="{FF2B5EF4-FFF2-40B4-BE49-F238E27FC236}">
                <a16:creationId xmlns:a16="http://schemas.microsoft.com/office/drawing/2014/main" id="{E764AF08-D86E-B966-6431-BF4155C1A4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25" name="Straight Connector 529">
            <a:extLst>
              <a:ext uri="{FF2B5EF4-FFF2-40B4-BE49-F238E27FC236}">
                <a16:creationId xmlns:a16="http://schemas.microsoft.com/office/drawing/2014/main" id="{50425ADC-71AF-8F01-5162-6C060843FE2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6" name="Straight Connector 531">
            <a:extLst>
              <a:ext uri="{FF2B5EF4-FFF2-40B4-BE49-F238E27FC236}">
                <a16:creationId xmlns:a16="http://schemas.microsoft.com/office/drawing/2014/main" id="{1CD5DE92-2517-8BBA-6B1D-EDD454451C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7" name="Straight Connector 533">
            <a:extLst>
              <a:ext uri="{FF2B5EF4-FFF2-40B4-BE49-F238E27FC236}">
                <a16:creationId xmlns:a16="http://schemas.microsoft.com/office/drawing/2014/main" id="{C57796C4-C305-09AD-DA77-CD583C5695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8" name="Straight Connector 535">
            <a:extLst>
              <a:ext uri="{FF2B5EF4-FFF2-40B4-BE49-F238E27FC236}">
                <a16:creationId xmlns:a16="http://schemas.microsoft.com/office/drawing/2014/main" id="{4A3D37E4-2E51-2E1C-C88F-6B029EB43D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9" name="Straight Connector 537">
            <a:extLst>
              <a:ext uri="{FF2B5EF4-FFF2-40B4-BE49-F238E27FC236}">
                <a16:creationId xmlns:a16="http://schemas.microsoft.com/office/drawing/2014/main" id="{40328F39-FB79-05F5-4F13-0544EF90F8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30" name="Group 1008">
          <a:extLst>
            <a:ext uri="{FF2B5EF4-FFF2-40B4-BE49-F238E27FC236}">
              <a16:creationId xmlns:a16="http://schemas.microsoft.com/office/drawing/2014/main" id="{C687E7B7-4996-4343-B3D4-CDF53CAA23E6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31" name="Straight Connector 1330">
            <a:extLst>
              <a:ext uri="{FF2B5EF4-FFF2-40B4-BE49-F238E27FC236}">
                <a16:creationId xmlns:a16="http://schemas.microsoft.com/office/drawing/2014/main" id="{F2596B0E-86FA-5BC7-022E-C9843064E3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32" name="Straight Connector 529">
            <a:extLst>
              <a:ext uri="{FF2B5EF4-FFF2-40B4-BE49-F238E27FC236}">
                <a16:creationId xmlns:a16="http://schemas.microsoft.com/office/drawing/2014/main" id="{C5ECFDE9-AB8D-EF1E-162B-9A975453D62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3" name="Straight Connector 531">
            <a:extLst>
              <a:ext uri="{FF2B5EF4-FFF2-40B4-BE49-F238E27FC236}">
                <a16:creationId xmlns:a16="http://schemas.microsoft.com/office/drawing/2014/main" id="{8E1CEE5D-CD60-6AE5-6C8D-405E86E416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4" name="Straight Connector 533">
            <a:extLst>
              <a:ext uri="{FF2B5EF4-FFF2-40B4-BE49-F238E27FC236}">
                <a16:creationId xmlns:a16="http://schemas.microsoft.com/office/drawing/2014/main" id="{560E2AE7-B987-2295-3FBB-D21A3DF232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5" name="Straight Connector 535">
            <a:extLst>
              <a:ext uri="{FF2B5EF4-FFF2-40B4-BE49-F238E27FC236}">
                <a16:creationId xmlns:a16="http://schemas.microsoft.com/office/drawing/2014/main" id="{08FADB48-0A24-CF55-332D-B83AAD1320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6" name="Straight Connector 537">
            <a:extLst>
              <a:ext uri="{FF2B5EF4-FFF2-40B4-BE49-F238E27FC236}">
                <a16:creationId xmlns:a16="http://schemas.microsoft.com/office/drawing/2014/main" id="{CDCFDB1D-F88D-3B0A-A0AF-9D6EF15C26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37" name="Group 1008">
          <a:extLst>
            <a:ext uri="{FF2B5EF4-FFF2-40B4-BE49-F238E27FC236}">
              <a16:creationId xmlns:a16="http://schemas.microsoft.com/office/drawing/2014/main" id="{1F2F4D3D-D4EE-4D0C-BB4F-7AD20D46A83D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38" name="Straight Connector 1337">
            <a:extLst>
              <a:ext uri="{FF2B5EF4-FFF2-40B4-BE49-F238E27FC236}">
                <a16:creationId xmlns:a16="http://schemas.microsoft.com/office/drawing/2014/main" id="{B860633D-B61C-B1FB-4BFC-40F943E581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39" name="Straight Connector 529">
            <a:extLst>
              <a:ext uri="{FF2B5EF4-FFF2-40B4-BE49-F238E27FC236}">
                <a16:creationId xmlns:a16="http://schemas.microsoft.com/office/drawing/2014/main" id="{68A0AA17-5688-EBE0-9E87-B68EFB255B5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0" name="Straight Connector 531">
            <a:extLst>
              <a:ext uri="{FF2B5EF4-FFF2-40B4-BE49-F238E27FC236}">
                <a16:creationId xmlns:a16="http://schemas.microsoft.com/office/drawing/2014/main" id="{5750796A-37D4-1C07-1649-034348A24D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1" name="Straight Connector 533">
            <a:extLst>
              <a:ext uri="{FF2B5EF4-FFF2-40B4-BE49-F238E27FC236}">
                <a16:creationId xmlns:a16="http://schemas.microsoft.com/office/drawing/2014/main" id="{F7068C6D-CF0B-9318-771C-AE32F9FF38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2" name="Straight Connector 535">
            <a:extLst>
              <a:ext uri="{FF2B5EF4-FFF2-40B4-BE49-F238E27FC236}">
                <a16:creationId xmlns:a16="http://schemas.microsoft.com/office/drawing/2014/main" id="{EF1AF4BA-DAF3-33E2-702E-F54C412CEF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3" name="Straight Connector 537">
            <a:extLst>
              <a:ext uri="{FF2B5EF4-FFF2-40B4-BE49-F238E27FC236}">
                <a16:creationId xmlns:a16="http://schemas.microsoft.com/office/drawing/2014/main" id="{A0F7F3CB-3399-EB49-C46B-1DB9E62926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44" name="Group 1008">
          <a:extLst>
            <a:ext uri="{FF2B5EF4-FFF2-40B4-BE49-F238E27FC236}">
              <a16:creationId xmlns:a16="http://schemas.microsoft.com/office/drawing/2014/main" id="{E0F4CE4C-34B0-4B84-8906-B2E8A7F64E4D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45" name="Straight Connector 1344">
            <a:extLst>
              <a:ext uri="{FF2B5EF4-FFF2-40B4-BE49-F238E27FC236}">
                <a16:creationId xmlns:a16="http://schemas.microsoft.com/office/drawing/2014/main" id="{9DF77D74-7E7D-14C2-0E4D-F41BDEB1707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46" name="Straight Connector 529">
            <a:extLst>
              <a:ext uri="{FF2B5EF4-FFF2-40B4-BE49-F238E27FC236}">
                <a16:creationId xmlns:a16="http://schemas.microsoft.com/office/drawing/2014/main" id="{AC783681-DA3F-0AE8-77E1-D6AAA4678A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7" name="Straight Connector 531">
            <a:extLst>
              <a:ext uri="{FF2B5EF4-FFF2-40B4-BE49-F238E27FC236}">
                <a16:creationId xmlns:a16="http://schemas.microsoft.com/office/drawing/2014/main" id="{024A03C6-EA14-E180-5122-FB503D0920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8" name="Straight Connector 533">
            <a:extLst>
              <a:ext uri="{FF2B5EF4-FFF2-40B4-BE49-F238E27FC236}">
                <a16:creationId xmlns:a16="http://schemas.microsoft.com/office/drawing/2014/main" id="{9BEFBEE1-2F92-2B9C-80EA-D5D3A88D49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9" name="Straight Connector 535">
            <a:extLst>
              <a:ext uri="{FF2B5EF4-FFF2-40B4-BE49-F238E27FC236}">
                <a16:creationId xmlns:a16="http://schemas.microsoft.com/office/drawing/2014/main" id="{6112F9C1-F183-9EB1-AA11-61818DDADBA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0" name="Straight Connector 537">
            <a:extLst>
              <a:ext uri="{FF2B5EF4-FFF2-40B4-BE49-F238E27FC236}">
                <a16:creationId xmlns:a16="http://schemas.microsoft.com/office/drawing/2014/main" id="{03CAA309-5DCB-2D19-D916-828B23AD31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51" name="Group 1008">
          <a:extLst>
            <a:ext uri="{FF2B5EF4-FFF2-40B4-BE49-F238E27FC236}">
              <a16:creationId xmlns:a16="http://schemas.microsoft.com/office/drawing/2014/main" id="{7C6D5427-0CA3-4154-8D45-6FBE176931C7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52" name="Straight Connector 1351">
            <a:extLst>
              <a:ext uri="{FF2B5EF4-FFF2-40B4-BE49-F238E27FC236}">
                <a16:creationId xmlns:a16="http://schemas.microsoft.com/office/drawing/2014/main" id="{142CE9A4-6326-E8AB-29EE-665E8ABD877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53" name="Straight Connector 529">
            <a:extLst>
              <a:ext uri="{FF2B5EF4-FFF2-40B4-BE49-F238E27FC236}">
                <a16:creationId xmlns:a16="http://schemas.microsoft.com/office/drawing/2014/main" id="{91BC45C6-C2F0-ED02-9E1B-215B3FA94CC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4" name="Straight Connector 531">
            <a:extLst>
              <a:ext uri="{FF2B5EF4-FFF2-40B4-BE49-F238E27FC236}">
                <a16:creationId xmlns:a16="http://schemas.microsoft.com/office/drawing/2014/main" id="{9AF63C1A-F4C0-2856-6551-C073DAF374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5" name="Straight Connector 533">
            <a:extLst>
              <a:ext uri="{FF2B5EF4-FFF2-40B4-BE49-F238E27FC236}">
                <a16:creationId xmlns:a16="http://schemas.microsoft.com/office/drawing/2014/main" id="{67D6FA34-6B0E-08A7-2D21-0CEA5CE23F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6" name="Straight Connector 535">
            <a:extLst>
              <a:ext uri="{FF2B5EF4-FFF2-40B4-BE49-F238E27FC236}">
                <a16:creationId xmlns:a16="http://schemas.microsoft.com/office/drawing/2014/main" id="{09187826-AFD3-E231-7D86-C8B8C318AF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7" name="Straight Connector 537">
            <a:extLst>
              <a:ext uri="{FF2B5EF4-FFF2-40B4-BE49-F238E27FC236}">
                <a16:creationId xmlns:a16="http://schemas.microsoft.com/office/drawing/2014/main" id="{7163429D-7157-4022-A848-AB00A89F31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58" name="Group 1008">
          <a:extLst>
            <a:ext uri="{FF2B5EF4-FFF2-40B4-BE49-F238E27FC236}">
              <a16:creationId xmlns:a16="http://schemas.microsoft.com/office/drawing/2014/main" id="{F5B6C259-8E5C-499A-97E8-4BC3A299D6CF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59" name="Straight Connector 1358">
            <a:extLst>
              <a:ext uri="{FF2B5EF4-FFF2-40B4-BE49-F238E27FC236}">
                <a16:creationId xmlns:a16="http://schemas.microsoft.com/office/drawing/2014/main" id="{5A01472C-24E7-3100-D969-574B1D6F3AB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60" name="Straight Connector 529">
            <a:extLst>
              <a:ext uri="{FF2B5EF4-FFF2-40B4-BE49-F238E27FC236}">
                <a16:creationId xmlns:a16="http://schemas.microsoft.com/office/drawing/2014/main" id="{B59D40C6-8D52-04D6-5906-A094812A70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1" name="Straight Connector 531">
            <a:extLst>
              <a:ext uri="{FF2B5EF4-FFF2-40B4-BE49-F238E27FC236}">
                <a16:creationId xmlns:a16="http://schemas.microsoft.com/office/drawing/2014/main" id="{FE3D731E-C8E5-103D-6D0E-1A5F16F5DE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2" name="Straight Connector 533">
            <a:extLst>
              <a:ext uri="{FF2B5EF4-FFF2-40B4-BE49-F238E27FC236}">
                <a16:creationId xmlns:a16="http://schemas.microsoft.com/office/drawing/2014/main" id="{88508142-88D1-84BF-7800-4F156E04B0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3" name="Straight Connector 535">
            <a:extLst>
              <a:ext uri="{FF2B5EF4-FFF2-40B4-BE49-F238E27FC236}">
                <a16:creationId xmlns:a16="http://schemas.microsoft.com/office/drawing/2014/main" id="{E5C30D8D-46B1-ECAB-C76C-C7D3358D7A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4" name="Straight Connector 537">
            <a:extLst>
              <a:ext uri="{FF2B5EF4-FFF2-40B4-BE49-F238E27FC236}">
                <a16:creationId xmlns:a16="http://schemas.microsoft.com/office/drawing/2014/main" id="{E116B3D9-9455-D455-77BC-146A9FDD1B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65" name="Group 1008">
          <a:extLst>
            <a:ext uri="{FF2B5EF4-FFF2-40B4-BE49-F238E27FC236}">
              <a16:creationId xmlns:a16="http://schemas.microsoft.com/office/drawing/2014/main" id="{EC20F2D3-F0E3-4895-964E-E5B02FE8513C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66" name="Straight Connector 1365">
            <a:extLst>
              <a:ext uri="{FF2B5EF4-FFF2-40B4-BE49-F238E27FC236}">
                <a16:creationId xmlns:a16="http://schemas.microsoft.com/office/drawing/2014/main" id="{01C45313-A440-41D1-CC7F-BED157676EE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67" name="Straight Connector 529">
            <a:extLst>
              <a:ext uri="{FF2B5EF4-FFF2-40B4-BE49-F238E27FC236}">
                <a16:creationId xmlns:a16="http://schemas.microsoft.com/office/drawing/2014/main" id="{05B37EAE-34BA-11E3-4209-49C8C55D42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8" name="Straight Connector 531">
            <a:extLst>
              <a:ext uri="{FF2B5EF4-FFF2-40B4-BE49-F238E27FC236}">
                <a16:creationId xmlns:a16="http://schemas.microsoft.com/office/drawing/2014/main" id="{A31F539F-BF87-9D41-D7BB-A757C48046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9" name="Straight Connector 533">
            <a:extLst>
              <a:ext uri="{FF2B5EF4-FFF2-40B4-BE49-F238E27FC236}">
                <a16:creationId xmlns:a16="http://schemas.microsoft.com/office/drawing/2014/main" id="{B4E74522-5635-6B66-3AE9-DDE78142E9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0" name="Straight Connector 535">
            <a:extLst>
              <a:ext uri="{FF2B5EF4-FFF2-40B4-BE49-F238E27FC236}">
                <a16:creationId xmlns:a16="http://schemas.microsoft.com/office/drawing/2014/main" id="{33D49BAF-51B0-CF6C-340D-ECDD8F8BEB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1" name="Straight Connector 537">
            <a:extLst>
              <a:ext uri="{FF2B5EF4-FFF2-40B4-BE49-F238E27FC236}">
                <a16:creationId xmlns:a16="http://schemas.microsoft.com/office/drawing/2014/main" id="{04E4B07F-57EB-2D38-DCCE-070ED97C87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72" name="Group 1008">
          <a:extLst>
            <a:ext uri="{FF2B5EF4-FFF2-40B4-BE49-F238E27FC236}">
              <a16:creationId xmlns:a16="http://schemas.microsoft.com/office/drawing/2014/main" id="{D3888959-5B01-4995-82C2-4D8BAD5D645C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73" name="Straight Connector 1372">
            <a:extLst>
              <a:ext uri="{FF2B5EF4-FFF2-40B4-BE49-F238E27FC236}">
                <a16:creationId xmlns:a16="http://schemas.microsoft.com/office/drawing/2014/main" id="{C4A50EAF-090E-8A79-EB01-58A1577692A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74" name="Straight Connector 529">
            <a:extLst>
              <a:ext uri="{FF2B5EF4-FFF2-40B4-BE49-F238E27FC236}">
                <a16:creationId xmlns:a16="http://schemas.microsoft.com/office/drawing/2014/main" id="{1C58501B-42EE-5041-BD00-6EA5738E49A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5" name="Straight Connector 531">
            <a:extLst>
              <a:ext uri="{FF2B5EF4-FFF2-40B4-BE49-F238E27FC236}">
                <a16:creationId xmlns:a16="http://schemas.microsoft.com/office/drawing/2014/main" id="{2C5550D5-1518-24A8-6F55-5001A4EA0B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6" name="Straight Connector 533">
            <a:extLst>
              <a:ext uri="{FF2B5EF4-FFF2-40B4-BE49-F238E27FC236}">
                <a16:creationId xmlns:a16="http://schemas.microsoft.com/office/drawing/2014/main" id="{93C471D9-F868-6F0F-E3FA-BC4F2B0E7A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7" name="Straight Connector 535">
            <a:extLst>
              <a:ext uri="{FF2B5EF4-FFF2-40B4-BE49-F238E27FC236}">
                <a16:creationId xmlns:a16="http://schemas.microsoft.com/office/drawing/2014/main" id="{7E67CE14-9F8D-FEAA-19E9-2341370C63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8" name="Straight Connector 537">
            <a:extLst>
              <a:ext uri="{FF2B5EF4-FFF2-40B4-BE49-F238E27FC236}">
                <a16:creationId xmlns:a16="http://schemas.microsoft.com/office/drawing/2014/main" id="{082A33FA-9A11-E920-4A31-991CA1F112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79" name="Group 1008">
          <a:extLst>
            <a:ext uri="{FF2B5EF4-FFF2-40B4-BE49-F238E27FC236}">
              <a16:creationId xmlns:a16="http://schemas.microsoft.com/office/drawing/2014/main" id="{9484D7D1-2981-41DE-958C-4807296CA33B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80" name="Straight Connector 1379">
            <a:extLst>
              <a:ext uri="{FF2B5EF4-FFF2-40B4-BE49-F238E27FC236}">
                <a16:creationId xmlns:a16="http://schemas.microsoft.com/office/drawing/2014/main" id="{C0FDD67A-E45C-498E-2383-E6B5DBBE34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1" name="Straight Connector 529">
            <a:extLst>
              <a:ext uri="{FF2B5EF4-FFF2-40B4-BE49-F238E27FC236}">
                <a16:creationId xmlns:a16="http://schemas.microsoft.com/office/drawing/2014/main" id="{3D2E5CA7-982A-6DDC-E959-4AA8F7E4C9B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2" name="Straight Connector 531">
            <a:extLst>
              <a:ext uri="{FF2B5EF4-FFF2-40B4-BE49-F238E27FC236}">
                <a16:creationId xmlns:a16="http://schemas.microsoft.com/office/drawing/2014/main" id="{0B9ED7B1-012A-D362-AC71-C6A9121E42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3" name="Straight Connector 533">
            <a:extLst>
              <a:ext uri="{FF2B5EF4-FFF2-40B4-BE49-F238E27FC236}">
                <a16:creationId xmlns:a16="http://schemas.microsoft.com/office/drawing/2014/main" id="{32F94026-60E6-A4A0-E701-B27F212C5C6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4" name="Straight Connector 535">
            <a:extLst>
              <a:ext uri="{FF2B5EF4-FFF2-40B4-BE49-F238E27FC236}">
                <a16:creationId xmlns:a16="http://schemas.microsoft.com/office/drawing/2014/main" id="{8B6E4C66-46FF-7E57-2A8F-CA22311B17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5" name="Straight Connector 537">
            <a:extLst>
              <a:ext uri="{FF2B5EF4-FFF2-40B4-BE49-F238E27FC236}">
                <a16:creationId xmlns:a16="http://schemas.microsoft.com/office/drawing/2014/main" id="{D31483D7-C09C-2D1C-D4B6-58C80FF58E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86" name="Group 1008">
          <a:extLst>
            <a:ext uri="{FF2B5EF4-FFF2-40B4-BE49-F238E27FC236}">
              <a16:creationId xmlns:a16="http://schemas.microsoft.com/office/drawing/2014/main" id="{9D106DB7-91B5-485A-A4A7-EBCA07829163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87" name="Straight Connector 1386">
            <a:extLst>
              <a:ext uri="{FF2B5EF4-FFF2-40B4-BE49-F238E27FC236}">
                <a16:creationId xmlns:a16="http://schemas.microsoft.com/office/drawing/2014/main" id="{445F2EC1-08F0-5D37-72F8-AD529E8212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8" name="Straight Connector 529">
            <a:extLst>
              <a:ext uri="{FF2B5EF4-FFF2-40B4-BE49-F238E27FC236}">
                <a16:creationId xmlns:a16="http://schemas.microsoft.com/office/drawing/2014/main" id="{424E8FDD-337E-1D64-BB9D-07150CE2775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9" name="Straight Connector 531">
            <a:extLst>
              <a:ext uri="{FF2B5EF4-FFF2-40B4-BE49-F238E27FC236}">
                <a16:creationId xmlns:a16="http://schemas.microsoft.com/office/drawing/2014/main" id="{DADDE4E9-5C8B-7FB9-9E84-730CB62DF54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0" name="Straight Connector 533">
            <a:extLst>
              <a:ext uri="{FF2B5EF4-FFF2-40B4-BE49-F238E27FC236}">
                <a16:creationId xmlns:a16="http://schemas.microsoft.com/office/drawing/2014/main" id="{CA4CAB66-5819-F1C0-E953-5904FAFAD96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1" name="Straight Connector 535">
            <a:extLst>
              <a:ext uri="{FF2B5EF4-FFF2-40B4-BE49-F238E27FC236}">
                <a16:creationId xmlns:a16="http://schemas.microsoft.com/office/drawing/2014/main" id="{4709A724-0FC1-0A00-CC5A-75D7BA92C4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2" name="Straight Connector 537">
            <a:extLst>
              <a:ext uri="{FF2B5EF4-FFF2-40B4-BE49-F238E27FC236}">
                <a16:creationId xmlns:a16="http://schemas.microsoft.com/office/drawing/2014/main" id="{00DC3883-FCD7-B596-206F-7436DDB97B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61</xdr:row>
      <xdr:rowOff>57150</xdr:rowOff>
    </xdr:from>
    <xdr:to>
      <xdr:col>17</xdr:col>
      <xdr:colOff>0</xdr:colOff>
      <xdr:row>63</xdr:row>
      <xdr:rowOff>0</xdr:rowOff>
    </xdr:to>
    <xdr:sp macro="" textlink="">
      <xdr:nvSpPr>
        <xdr:cNvPr id="1393" name="AutoShape 46">
          <a:extLst>
            <a:ext uri="{FF2B5EF4-FFF2-40B4-BE49-F238E27FC236}">
              <a16:creationId xmlns:a16="http://schemas.microsoft.com/office/drawing/2014/main" id="{8FD3FC8F-6BD8-4FF1-84B6-CF61A2128B09}"/>
            </a:ext>
          </a:extLst>
        </xdr:cNvPr>
        <xdr:cNvSpPr>
          <a:spLocks noChangeArrowheads="1"/>
        </xdr:cNvSpPr>
      </xdr:nvSpPr>
      <xdr:spPr bwMode="auto">
        <a:xfrm>
          <a:off x="4895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61</xdr:row>
      <xdr:rowOff>57150</xdr:rowOff>
    </xdr:from>
    <xdr:to>
      <xdr:col>19</xdr:col>
      <xdr:colOff>0</xdr:colOff>
      <xdr:row>63</xdr:row>
      <xdr:rowOff>0</xdr:rowOff>
    </xdr:to>
    <xdr:sp macro="" textlink="">
      <xdr:nvSpPr>
        <xdr:cNvPr id="1394" name="AutoShape 46">
          <a:extLst>
            <a:ext uri="{FF2B5EF4-FFF2-40B4-BE49-F238E27FC236}">
              <a16:creationId xmlns:a16="http://schemas.microsoft.com/office/drawing/2014/main" id="{EAA37FC2-A2AF-4623-A1E3-4B6A8BFCA38D}"/>
            </a:ext>
          </a:extLst>
        </xdr:cNvPr>
        <xdr:cNvSpPr>
          <a:spLocks noChangeArrowheads="1"/>
        </xdr:cNvSpPr>
      </xdr:nvSpPr>
      <xdr:spPr bwMode="auto">
        <a:xfrm>
          <a:off x="5467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61</xdr:row>
      <xdr:rowOff>57150</xdr:rowOff>
    </xdr:from>
    <xdr:to>
      <xdr:col>21</xdr:col>
      <xdr:colOff>0</xdr:colOff>
      <xdr:row>63</xdr:row>
      <xdr:rowOff>0</xdr:rowOff>
    </xdr:to>
    <xdr:sp macro="" textlink="">
      <xdr:nvSpPr>
        <xdr:cNvPr id="1395" name="AutoShape 46">
          <a:extLst>
            <a:ext uri="{FF2B5EF4-FFF2-40B4-BE49-F238E27FC236}">
              <a16:creationId xmlns:a16="http://schemas.microsoft.com/office/drawing/2014/main" id="{15B1B75F-0423-4842-8508-170B7EF2B8C0}"/>
            </a:ext>
          </a:extLst>
        </xdr:cNvPr>
        <xdr:cNvSpPr>
          <a:spLocks noChangeArrowheads="1"/>
        </xdr:cNvSpPr>
      </xdr:nvSpPr>
      <xdr:spPr bwMode="auto">
        <a:xfrm>
          <a:off x="6038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61</xdr:row>
      <xdr:rowOff>57150</xdr:rowOff>
    </xdr:from>
    <xdr:to>
      <xdr:col>23</xdr:col>
      <xdr:colOff>0</xdr:colOff>
      <xdr:row>63</xdr:row>
      <xdr:rowOff>0</xdr:rowOff>
    </xdr:to>
    <xdr:sp macro="" textlink="">
      <xdr:nvSpPr>
        <xdr:cNvPr id="1396" name="AutoShape 46">
          <a:extLst>
            <a:ext uri="{FF2B5EF4-FFF2-40B4-BE49-F238E27FC236}">
              <a16:creationId xmlns:a16="http://schemas.microsoft.com/office/drawing/2014/main" id="{6D662CC4-ED76-4B12-A4D4-D6458DFC4787}"/>
            </a:ext>
          </a:extLst>
        </xdr:cNvPr>
        <xdr:cNvSpPr>
          <a:spLocks noChangeArrowheads="1"/>
        </xdr:cNvSpPr>
      </xdr:nvSpPr>
      <xdr:spPr bwMode="auto">
        <a:xfrm>
          <a:off x="6610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61</xdr:row>
      <xdr:rowOff>57150</xdr:rowOff>
    </xdr:from>
    <xdr:to>
      <xdr:col>25</xdr:col>
      <xdr:colOff>0</xdr:colOff>
      <xdr:row>63</xdr:row>
      <xdr:rowOff>0</xdr:rowOff>
    </xdr:to>
    <xdr:sp macro="" textlink="">
      <xdr:nvSpPr>
        <xdr:cNvPr id="1397" name="AutoShape 46">
          <a:extLst>
            <a:ext uri="{FF2B5EF4-FFF2-40B4-BE49-F238E27FC236}">
              <a16:creationId xmlns:a16="http://schemas.microsoft.com/office/drawing/2014/main" id="{539165CE-6BF3-45FC-A4C7-33F538A4E31B}"/>
            </a:ext>
          </a:extLst>
        </xdr:cNvPr>
        <xdr:cNvSpPr>
          <a:spLocks noChangeArrowheads="1"/>
        </xdr:cNvSpPr>
      </xdr:nvSpPr>
      <xdr:spPr bwMode="auto">
        <a:xfrm>
          <a:off x="7697755" y="12381334"/>
          <a:ext cx="340179" cy="33162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61</xdr:row>
      <xdr:rowOff>57150</xdr:rowOff>
    </xdr:from>
    <xdr:to>
      <xdr:col>27</xdr:col>
      <xdr:colOff>0</xdr:colOff>
      <xdr:row>63</xdr:row>
      <xdr:rowOff>0</xdr:rowOff>
    </xdr:to>
    <xdr:sp macro="" textlink="">
      <xdr:nvSpPr>
        <xdr:cNvPr id="1398" name="AutoShape 46">
          <a:extLst>
            <a:ext uri="{FF2B5EF4-FFF2-40B4-BE49-F238E27FC236}">
              <a16:creationId xmlns:a16="http://schemas.microsoft.com/office/drawing/2014/main" id="{F6EE8536-092A-4AA1-8982-F02CEAF91EC3}"/>
            </a:ext>
          </a:extLst>
        </xdr:cNvPr>
        <xdr:cNvSpPr>
          <a:spLocks noChangeArrowheads="1"/>
        </xdr:cNvSpPr>
      </xdr:nvSpPr>
      <xdr:spPr bwMode="auto">
        <a:xfrm>
          <a:off x="7753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61</xdr:row>
      <xdr:rowOff>57150</xdr:rowOff>
    </xdr:from>
    <xdr:to>
      <xdr:col>29</xdr:col>
      <xdr:colOff>0</xdr:colOff>
      <xdr:row>63</xdr:row>
      <xdr:rowOff>0</xdr:rowOff>
    </xdr:to>
    <xdr:sp macro="" textlink="">
      <xdr:nvSpPr>
        <xdr:cNvPr id="1399" name="AutoShape 46">
          <a:extLst>
            <a:ext uri="{FF2B5EF4-FFF2-40B4-BE49-F238E27FC236}">
              <a16:creationId xmlns:a16="http://schemas.microsoft.com/office/drawing/2014/main" id="{45018510-455F-4CAF-B4A9-0F14F9CA4607}"/>
            </a:ext>
          </a:extLst>
        </xdr:cNvPr>
        <xdr:cNvSpPr>
          <a:spLocks noChangeArrowheads="1"/>
        </xdr:cNvSpPr>
      </xdr:nvSpPr>
      <xdr:spPr bwMode="auto">
        <a:xfrm>
          <a:off x="8382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61</xdr:row>
      <xdr:rowOff>57150</xdr:rowOff>
    </xdr:from>
    <xdr:to>
      <xdr:col>31</xdr:col>
      <xdr:colOff>0</xdr:colOff>
      <xdr:row>63</xdr:row>
      <xdr:rowOff>0</xdr:rowOff>
    </xdr:to>
    <xdr:sp macro="" textlink="">
      <xdr:nvSpPr>
        <xdr:cNvPr id="1400" name="AutoShape 46">
          <a:extLst>
            <a:ext uri="{FF2B5EF4-FFF2-40B4-BE49-F238E27FC236}">
              <a16:creationId xmlns:a16="http://schemas.microsoft.com/office/drawing/2014/main" id="{349DB828-73E0-411E-AD50-9F477D8D7836}"/>
            </a:ext>
          </a:extLst>
        </xdr:cNvPr>
        <xdr:cNvSpPr>
          <a:spLocks noChangeArrowheads="1"/>
        </xdr:cNvSpPr>
      </xdr:nvSpPr>
      <xdr:spPr bwMode="auto">
        <a:xfrm>
          <a:off x="8953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61</xdr:row>
      <xdr:rowOff>57150</xdr:rowOff>
    </xdr:from>
    <xdr:to>
      <xdr:col>33</xdr:col>
      <xdr:colOff>0</xdr:colOff>
      <xdr:row>63</xdr:row>
      <xdr:rowOff>0</xdr:rowOff>
    </xdr:to>
    <xdr:sp macro="" textlink="">
      <xdr:nvSpPr>
        <xdr:cNvPr id="1401" name="AutoShape 46">
          <a:extLst>
            <a:ext uri="{FF2B5EF4-FFF2-40B4-BE49-F238E27FC236}">
              <a16:creationId xmlns:a16="http://schemas.microsoft.com/office/drawing/2014/main" id="{18276280-D9B9-4035-BD91-03B0269F41CF}"/>
            </a:ext>
          </a:extLst>
        </xdr:cNvPr>
        <xdr:cNvSpPr>
          <a:spLocks noChangeArrowheads="1"/>
        </xdr:cNvSpPr>
      </xdr:nvSpPr>
      <xdr:spPr bwMode="auto">
        <a:xfrm>
          <a:off x="9525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61</xdr:row>
      <xdr:rowOff>57150</xdr:rowOff>
    </xdr:from>
    <xdr:to>
      <xdr:col>35</xdr:col>
      <xdr:colOff>0</xdr:colOff>
      <xdr:row>63</xdr:row>
      <xdr:rowOff>0</xdr:rowOff>
    </xdr:to>
    <xdr:sp macro="" textlink="">
      <xdr:nvSpPr>
        <xdr:cNvPr id="1402" name="AutoShape 46">
          <a:extLst>
            <a:ext uri="{FF2B5EF4-FFF2-40B4-BE49-F238E27FC236}">
              <a16:creationId xmlns:a16="http://schemas.microsoft.com/office/drawing/2014/main" id="{0F86A0AC-FC5E-4738-AC62-41DCCB07780A}"/>
            </a:ext>
          </a:extLst>
        </xdr:cNvPr>
        <xdr:cNvSpPr>
          <a:spLocks noChangeArrowheads="1"/>
        </xdr:cNvSpPr>
      </xdr:nvSpPr>
      <xdr:spPr bwMode="auto">
        <a:xfrm>
          <a:off x="10096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61</xdr:row>
      <xdr:rowOff>57150</xdr:rowOff>
    </xdr:from>
    <xdr:to>
      <xdr:col>37</xdr:col>
      <xdr:colOff>0</xdr:colOff>
      <xdr:row>63</xdr:row>
      <xdr:rowOff>0</xdr:rowOff>
    </xdr:to>
    <xdr:sp macro="" textlink="">
      <xdr:nvSpPr>
        <xdr:cNvPr id="1403" name="AutoShape 46">
          <a:extLst>
            <a:ext uri="{FF2B5EF4-FFF2-40B4-BE49-F238E27FC236}">
              <a16:creationId xmlns:a16="http://schemas.microsoft.com/office/drawing/2014/main" id="{434BBF12-0D3D-4A73-846B-8F654A436DE1}"/>
            </a:ext>
          </a:extLst>
        </xdr:cNvPr>
        <xdr:cNvSpPr>
          <a:spLocks noChangeArrowheads="1"/>
        </xdr:cNvSpPr>
      </xdr:nvSpPr>
      <xdr:spPr bwMode="auto">
        <a:xfrm>
          <a:off x="10668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61</xdr:row>
      <xdr:rowOff>57150</xdr:rowOff>
    </xdr:from>
    <xdr:to>
      <xdr:col>39</xdr:col>
      <xdr:colOff>0</xdr:colOff>
      <xdr:row>63</xdr:row>
      <xdr:rowOff>0</xdr:rowOff>
    </xdr:to>
    <xdr:sp macro="" textlink="">
      <xdr:nvSpPr>
        <xdr:cNvPr id="1404" name="AutoShape 46">
          <a:extLst>
            <a:ext uri="{FF2B5EF4-FFF2-40B4-BE49-F238E27FC236}">
              <a16:creationId xmlns:a16="http://schemas.microsoft.com/office/drawing/2014/main" id="{EAACD5DC-519B-400B-957A-4EEEEC2CEC8E}"/>
            </a:ext>
          </a:extLst>
        </xdr:cNvPr>
        <xdr:cNvSpPr>
          <a:spLocks noChangeArrowheads="1"/>
        </xdr:cNvSpPr>
      </xdr:nvSpPr>
      <xdr:spPr bwMode="auto">
        <a:xfrm>
          <a:off x="11239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61</xdr:row>
      <xdr:rowOff>57150</xdr:rowOff>
    </xdr:from>
    <xdr:to>
      <xdr:col>41</xdr:col>
      <xdr:colOff>0</xdr:colOff>
      <xdr:row>63</xdr:row>
      <xdr:rowOff>0</xdr:rowOff>
    </xdr:to>
    <xdr:sp macro="" textlink="">
      <xdr:nvSpPr>
        <xdr:cNvPr id="1405" name="AutoShape 46">
          <a:extLst>
            <a:ext uri="{FF2B5EF4-FFF2-40B4-BE49-F238E27FC236}">
              <a16:creationId xmlns:a16="http://schemas.microsoft.com/office/drawing/2014/main" id="{EFE29400-8FB7-46F9-A364-8D8F6388F28C}"/>
            </a:ext>
          </a:extLst>
        </xdr:cNvPr>
        <xdr:cNvSpPr>
          <a:spLocks noChangeArrowheads="1"/>
        </xdr:cNvSpPr>
      </xdr:nvSpPr>
      <xdr:spPr bwMode="auto">
        <a:xfrm>
          <a:off x="11811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61</xdr:row>
      <xdr:rowOff>57150</xdr:rowOff>
    </xdr:from>
    <xdr:to>
      <xdr:col>43</xdr:col>
      <xdr:colOff>0</xdr:colOff>
      <xdr:row>63</xdr:row>
      <xdr:rowOff>0</xdr:rowOff>
    </xdr:to>
    <xdr:sp macro="" textlink="">
      <xdr:nvSpPr>
        <xdr:cNvPr id="1406" name="AutoShape 46">
          <a:extLst>
            <a:ext uri="{FF2B5EF4-FFF2-40B4-BE49-F238E27FC236}">
              <a16:creationId xmlns:a16="http://schemas.microsoft.com/office/drawing/2014/main" id="{307D41BE-918F-46D8-8E49-64EF557178ED}"/>
            </a:ext>
          </a:extLst>
        </xdr:cNvPr>
        <xdr:cNvSpPr>
          <a:spLocks noChangeArrowheads="1"/>
        </xdr:cNvSpPr>
      </xdr:nvSpPr>
      <xdr:spPr bwMode="auto">
        <a:xfrm>
          <a:off x="12382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61</xdr:row>
      <xdr:rowOff>57150</xdr:rowOff>
    </xdr:from>
    <xdr:to>
      <xdr:col>45</xdr:col>
      <xdr:colOff>0</xdr:colOff>
      <xdr:row>63</xdr:row>
      <xdr:rowOff>0</xdr:rowOff>
    </xdr:to>
    <xdr:sp macro="" textlink="">
      <xdr:nvSpPr>
        <xdr:cNvPr id="1407" name="AutoShape 46">
          <a:extLst>
            <a:ext uri="{FF2B5EF4-FFF2-40B4-BE49-F238E27FC236}">
              <a16:creationId xmlns:a16="http://schemas.microsoft.com/office/drawing/2014/main" id="{EFC3E67C-6BFB-40D2-8E61-7D2F078AE053}"/>
            </a:ext>
          </a:extLst>
        </xdr:cNvPr>
        <xdr:cNvSpPr>
          <a:spLocks noChangeArrowheads="1"/>
        </xdr:cNvSpPr>
      </xdr:nvSpPr>
      <xdr:spPr bwMode="auto">
        <a:xfrm>
          <a:off x="12954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61</xdr:row>
      <xdr:rowOff>57150</xdr:rowOff>
    </xdr:from>
    <xdr:to>
      <xdr:col>11</xdr:col>
      <xdr:colOff>0</xdr:colOff>
      <xdr:row>63</xdr:row>
      <xdr:rowOff>0</xdr:rowOff>
    </xdr:to>
    <xdr:sp macro="" textlink="">
      <xdr:nvSpPr>
        <xdr:cNvPr id="1408" name="AutoShape 46">
          <a:extLst>
            <a:ext uri="{FF2B5EF4-FFF2-40B4-BE49-F238E27FC236}">
              <a16:creationId xmlns:a16="http://schemas.microsoft.com/office/drawing/2014/main" id="{E71C7555-F6CB-4E46-B859-37105312A579}"/>
            </a:ext>
          </a:extLst>
        </xdr:cNvPr>
        <xdr:cNvSpPr>
          <a:spLocks noChangeArrowheads="1"/>
        </xdr:cNvSpPr>
      </xdr:nvSpPr>
      <xdr:spPr bwMode="auto">
        <a:xfrm>
          <a:off x="3181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61</xdr:row>
      <xdr:rowOff>57150</xdr:rowOff>
    </xdr:from>
    <xdr:to>
      <xdr:col>13</xdr:col>
      <xdr:colOff>0</xdr:colOff>
      <xdr:row>63</xdr:row>
      <xdr:rowOff>0</xdr:rowOff>
    </xdr:to>
    <xdr:sp macro="" textlink="">
      <xdr:nvSpPr>
        <xdr:cNvPr id="1409" name="AutoShape 46">
          <a:extLst>
            <a:ext uri="{FF2B5EF4-FFF2-40B4-BE49-F238E27FC236}">
              <a16:creationId xmlns:a16="http://schemas.microsoft.com/office/drawing/2014/main" id="{0067D980-D5EE-4E3C-B9B9-33E7295AB059}"/>
            </a:ext>
          </a:extLst>
        </xdr:cNvPr>
        <xdr:cNvSpPr>
          <a:spLocks noChangeArrowheads="1"/>
        </xdr:cNvSpPr>
      </xdr:nvSpPr>
      <xdr:spPr bwMode="auto">
        <a:xfrm>
          <a:off x="3752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61</xdr:row>
      <xdr:rowOff>57150</xdr:rowOff>
    </xdr:from>
    <xdr:to>
      <xdr:col>15</xdr:col>
      <xdr:colOff>0</xdr:colOff>
      <xdr:row>63</xdr:row>
      <xdr:rowOff>0</xdr:rowOff>
    </xdr:to>
    <xdr:sp macro="" textlink="">
      <xdr:nvSpPr>
        <xdr:cNvPr id="1410" name="AutoShape 46">
          <a:extLst>
            <a:ext uri="{FF2B5EF4-FFF2-40B4-BE49-F238E27FC236}">
              <a16:creationId xmlns:a16="http://schemas.microsoft.com/office/drawing/2014/main" id="{75B8C3C7-31BD-40E2-9D56-6D519FED35C7}"/>
            </a:ext>
          </a:extLst>
        </xdr:cNvPr>
        <xdr:cNvSpPr>
          <a:spLocks noChangeArrowheads="1"/>
        </xdr:cNvSpPr>
      </xdr:nvSpPr>
      <xdr:spPr bwMode="auto">
        <a:xfrm>
          <a:off x="4324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61</xdr:row>
      <xdr:rowOff>57150</xdr:rowOff>
    </xdr:from>
    <xdr:to>
      <xdr:col>9</xdr:col>
      <xdr:colOff>0</xdr:colOff>
      <xdr:row>63</xdr:row>
      <xdr:rowOff>0</xdr:rowOff>
    </xdr:to>
    <xdr:sp macro="" textlink="">
      <xdr:nvSpPr>
        <xdr:cNvPr id="1411" name="AutoShape 46">
          <a:extLst>
            <a:ext uri="{FF2B5EF4-FFF2-40B4-BE49-F238E27FC236}">
              <a16:creationId xmlns:a16="http://schemas.microsoft.com/office/drawing/2014/main" id="{FCCF43A7-D3BB-4449-809F-C3F3A57FD1F1}"/>
            </a:ext>
          </a:extLst>
        </xdr:cNvPr>
        <xdr:cNvSpPr>
          <a:spLocks noChangeArrowheads="1"/>
        </xdr:cNvSpPr>
      </xdr:nvSpPr>
      <xdr:spPr bwMode="auto">
        <a:xfrm>
          <a:off x="2409825" y="1172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61</xdr:row>
      <xdr:rowOff>57150</xdr:rowOff>
    </xdr:from>
    <xdr:to>
      <xdr:col>7</xdr:col>
      <xdr:colOff>0</xdr:colOff>
      <xdr:row>63</xdr:row>
      <xdr:rowOff>0</xdr:rowOff>
    </xdr:to>
    <xdr:sp macro="" textlink="">
      <xdr:nvSpPr>
        <xdr:cNvPr id="1412" name="AutoShape 46">
          <a:extLst>
            <a:ext uri="{FF2B5EF4-FFF2-40B4-BE49-F238E27FC236}">
              <a16:creationId xmlns:a16="http://schemas.microsoft.com/office/drawing/2014/main" id="{1581929C-53A5-45F8-823A-F2F2590F4C38}"/>
            </a:ext>
          </a:extLst>
        </xdr:cNvPr>
        <xdr:cNvSpPr>
          <a:spLocks noChangeArrowheads="1"/>
        </xdr:cNvSpPr>
      </xdr:nvSpPr>
      <xdr:spPr bwMode="auto">
        <a:xfrm>
          <a:off x="1819275" y="1172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61</xdr:row>
      <xdr:rowOff>57150</xdr:rowOff>
    </xdr:from>
    <xdr:to>
      <xdr:col>5</xdr:col>
      <xdr:colOff>0</xdr:colOff>
      <xdr:row>63</xdr:row>
      <xdr:rowOff>0</xdr:rowOff>
    </xdr:to>
    <xdr:sp macro="" textlink="">
      <xdr:nvSpPr>
        <xdr:cNvPr id="1413" name="AutoShape 46">
          <a:extLst>
            <a:ext uri="{FF2B5EF4-FFF2-40B4-BE49-F238E27FC236}">
              <a16:creationId xmlns:a16="http://schemas.microsoft.com/office/drawing/2014/main" id="{A0FFB648-A88F-4346-B76A-89269FD92E31}"/>
            </a:ext>
          </a:extLst>
        </xdr:cNvPr>
        <xdr:cNvSpPr>
          <a:spLocks noChangeArrowheads="1"/>
        </xdr:cNvSpPr>
      </xdr:nvSpPr>
      <xdr:spPr bwMode="auto">
        <a:xfrm>
          <a:off x="1095375" y="11725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61</xdr:row>
      <xdr:rowOff>57150</xdr:rowOff>
    </xdr:from>
    <xdr:to>
      <xdr:col>3</xdr:col>
      <xdr:colOff>0</xdr:colOff>
      <xdr:row>63</xdr:row>
      <xdr:rowOff>0</xdr:rowOff>
    </xdr:to>
    <xdr:sp macro="" textlink="">
      <xdr:nvSpPr>
        <xdr:cNvPr id="1414" name="AutoShape 46">
          <a:extLst>
            <a:ext uri="{FF2B5EF4-FFF2-40B4-BE49-F238E27FC236}">
              <a16:creationId xmlns:a16="http://schemas.microsoft.com/office/drawing/2014/main" id="{3D15D594-9A6F-43DB-BCC8-E8148F31DDA7}"/>
            </a:ext>
          </a:extLst>
        </xdr:cNvPr>
        <xdr:cNvSpPr>
          <a:spLocks noChangeArrowheads="1"/>
        </xdr:cNvSpPr>
      </xdr:nvSpPr>
      <xdr:spPr bwMode="auto">
        <a:xfrm>
          <a:off x="523875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15" name="Group 1008">
          <a:extLst>
            <a:ext uri="{FF2B5EF4-FFF2-40B4-BE49-F238E27FC236}">
              <a16:creationId xmlns:a16="http://schemas.microsoft.com/office/drawing/2014/main" id="{766C9191-D642-40B3-9E31-9B57777F2224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16" name="Straight Connector 1415">
            <a:extLst>
              <a:ext uri="{FF2B5EF4-FFF2-40B4-BE49-F238E27FC236}">
                <a16:creationId xmlns:a16="http://schemas.microsoft.com/office/drawing/2014/main" id="{D073F1FC-FEB0-D71C-EAAC-AB457194840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17" name="Straight Connector 529">
            <a:extLst>
              <a:ext uri="{FF2B5EF4-FFF2-40B4-BE49-F238E27FC236}">
                <a16:creationId xmlns:a16="http://schemas.microsoft.com/office/drawing/2014/main" id="{A52E6485-751D-B5BF-8577-F3AFEC3CC19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8" name="Straight Connector 531">
            <a:extLst>
              <a:ext uri="{FF2B5EF4-FFF2-40B4-BE49-F238E27FC236}">
                <a16:creationId xmlns:a16="http://schemas.microsoft.com/office/drawing/2014/main" id="{E85B3027-354E-B325-5CE6-FCB6BD3C603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9" name="Straight Connector 533">
            <a:extLst>
              <a:ext uri="{FF2B5EF4-FFF2-40B4-BE49-F238E27FC236}">
                <a16:creationId xmlns:a16="http://schemas.microsoft.com/office/drawing/2014/main" id="{EBF9AD06-2FEA-4701-9DB6-47FCA7C1A9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0" name="Straight Connector 535">
            <a:extLst>
              <a:ext uri="{FF2B5EF4-FFF2-40B4-BE49-F238E27FC236}">
                <a16:creationId xmlns:a16="http://schemas.microsoft.com/office/drawing/2014/main" id="{0D15720B-4FD1-660F-DFE9-A522596E1C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1" name="Straight Connector 537">
            <a:extLst>
              <a:ext uri="{FF2B5EF4-FFF2-40B4-BE49-F238E27FC236}">
                <a16:creationId xmlns:a16="http://schemas.microsoft.com/office/drawing/2014/main" id="{8FC7DE73-05C1-DECA-09D6-A0F715915B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22" name="Group 1008">
          <a:extLst>
            <a:ext uri="{FF2B5EF4-FFF2-40B4-BE49-F238E27FC236}">
              <a16:creationId xmlns:a16="http://schemas.microsoft.com/office/drawing/2014/main" id="{CFA7FA8D-7A66-4BE2-A608-546FC850AD3B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23" name="Straight Connector 1422">
            <a:extLst>
              <a:ext uri="{FF2B5EF4-FFF2-40B4-BE49-F238E27FC236}">
                <a16:creationId xmlns:a16="http://schemas.microsoft.com/office/drawing/2014/main" id="{D760F662-017E-FCB6-4A26-D58DF41E7C89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24" name="Straight Connector 529">
            <a:extLst>
              <a:ext uri="{FF2B5EF4-FFF2-40B4-BE49-F238E27FC236}">
                <a16:creationId xmlns:a16="http://schemas.microsoft.com/office/drawing/2014/main" id="{B7789F51-6AE2-5351-B6E2-98A1437EA2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5" name="Straight Connector 531">
            <a:extLst>
              <a:ext uri="{FF2B5EF4-FFF2-40B4-BE49-F238E27FC236}">
                <a16:creationId xmlns:a16="http://schemas.microsoft.com/office/drawing/2014/main" id="{8CC8379E-3C98-B1B7-BBA0-8AAA9FFF75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6" name="Straight Connector 533">
            <a:extLst>
              <a:ext uri="{FF2B5EF4-FFF2-40B4-BE49-F238E27FC236}">
                <a16:creationId xmlns:a16="http://schemas.microsoft.com/office/drawing/2014/main" id="{B47B658E-F78A-E67E-9B51-D5F360419C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7" name="Straight Connector 535">
            <a:extLst>
              <a:ext uri="{FF2B5EF4-FFF2-40B4-BE49-F238E27FC236}">
                <a16:creationId xmlns:a16="http://schemas.microsoft.com/office/drawing/2014/main" id="{31F40302-C88B-80D5-AA64-8AC99941AC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8" name="Straight Connector 537">
            <a:extLst>
              <a:ext uri="{FF2B5EF4-FFF2-40B4-BE49-F238E27FC236}">
                <a16:creationId xmlns:a16="http://schemas.microsoft.com/office/drawing/2014/main" id="{1F845099-EF47-59B2-6773-1B4EF3F5EB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133350</xdr:rowOff>
    </xdr:from>
    <xdr:to>
      <xdr:col>6</xdr:col>
      <xdr:colOff>0</xdr:colOff>
      <xdr:row>73</xdr:row>
      <xdr:rowOff>47625</xdr:rowOff>
    </xdr:to>
    <xdr:grpSp>
      <xdr:nvGrpSpPr>
        <xdr:cNvPr id="1429" name="Group 1008">
          <a:extLst>
            <a:ext uri="{FF2B5EF4-FFF2-40B4-BE49-F238E27FC236}">
              <a16:creationId xmlns:a16="http://schemas.microsoft.com/office/drawing/2014/main" id="{AA783CE4-74E0-47D1-95E8-CCFBBE72D2BA}"/>
            </a:ext>
          </a:extLst>
        </xdr:cNvPr>
        <xdr:cNvGrpSpPr>
          <a:grpSpLocks/>
        </xdr:cNvGrpSpPr>
      </xdr:nvGrpSpPr>
      <xdr:grpSpPr bwMode="auto">
        <a:xfrm>
          <a:off x="1807806" y="14317177"/>
          <a:ext cx="0" cy="102183"/>
          <a:chOff x="5475762" y="47760700"/>
          <a:chExt cx="314325" cy="230209"/>
        </a:xfrm>
      </xdr:grpSpPr>
      <xdr:cxnSp macro="">
        <xdr:nvCxnSpPr>
          <xdr:cNvPr id="1430" name="Straight Connector 1429">
            <a:extLst>
              <a:ext uri="{FF2B5EF4-FFF2-40B4-BE49-F238E27FC236}">
                <a16:creationId xmlns:a16="http://schemas.microsoft.com/office/drawing/2014/main" id="{241C2E31-B7F9-1D0D-AB3A-71735B059656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31" name="Straight Connector 529">
            <a:extLst>
              <a:ext uri="{FF2B5EF4-FFF2-40B4-BE49-F238E27FC236}">
                <a16:creationId xmlns:a16="http://schemas.microsoft.com/office/drawing/2014/main" id="{A58DB5DC-C607-BB2D-BA9F-0DCE77D62F4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2" name="Straight Connector 531">
            <a:extLst>
              <a:ext uri="{FF2B5EF4-FFF2-40B4-BE49-F238E27FC236}">
                <a16:creationId xmlns:a16="http://schemas.microsoft.com/office/drawing/2014/main" id="{7D621591-4E1B-9513-A7FD-03F42B692F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3" name="Straight Connector 533">
            <a:extLst>
              <a:ext uri="{FF2B5EF4-FFF2-40B4-BE49-F238E27FC236}">
                <a16:creationId xmlns:a16="http://schemas.microsoft.com/office/drawing/2014/main" id="{1D203285-25CF-7E6E-9355-AD8600F30BB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4" name="Straight Connector 535">
            <a:extLst>
              <a:ext uri="{FF2B5EF4-FFF2-40B4-BE49-F238E27FC236}">
                <a16:creationId xmlns:a16="http://schemas.microsoft.com/office/drawing/2014/main" id="{FEAACC1E-305E-A25B-321F-9E6321BD12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5" name="Straight Connector 537">
            <a:extLst>
              <a:ext uri="{FF2B5EF4-FFF2-40B4-BE49-F238E27FC236}">
                <a16:creationId xmlns:a16="http://schemas.microsoft.com/office/drawing/2014/main" id="{5CE0D304-16FF-492E-79D8-A045CF7B754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133350</xdr:rowOff>
    </xdr:from>
    <xdr:to>
      <xdr:col>6</xdr:col>
      <xdr:colOff>0</xdr:colOff>
      <xdr:row>73</xdr:row>
      <xdr:rowOff>57150</xdr:rowOff>
    </xdr:to>
    <xdr:grpSp>
      <xdr:nvGrpSpPr>
        <xdr:cNvPr id="1436" name="Group 1008">
          <a:extLst>
            <a:ext uri="{FF2B5EF4-FFF2-40B4-BE49-F238E27FC236}">
              <a16:creationId xmlns:a16="http://schemas.microsoft.com/office/drawing/2014/main" id="{B25D46D0-A02A-46C6-B9B1-FA821CC1EB07}"/>
            </a:ext>
          </a:extLst>
        </xdr:cNvPr>
        <xdr:cNvGrpSpPr>
          <a:grpSpLocks/>
        </xdr:cNvGrpSpPr>
      </xdr:nvGrpSpPr>
      <xdr:grpSpPr bwMode="auto">
        <a:xfrm>
          <a:off x="1807806" y="14317177"/>
          <a:ext cx="0" cy="111708"/>
          <a:chOff x="5475762" y="47760700"/>
          <a:chExt cx="314325" cy="230209"/>
        </a:xfrm>
      </xdr:grpSpPr>
      <xdr:cxnSp macro="">
        <xdr:nvCxnSpPr>
          <xdr:cNvPr id="1437" name="Straight Connector 1436">
            <a:extLst>
              <a:ext uri="{FF2B5EF4-FFF2-40B4-BE49-F238E27FC236}">
                <a16:creationId xmlns:a16="http://schemas.microsoft.com/office/drawing/2014/main" id="{E3345CFC-0083-C676-FE4E-3686853A138A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38" name="Straight Connector 529">
            <a:extLst>
              <a:ext uri="{FF2B5EF4-FFF2-40B4-BE49-F238E27FC236}">
                <a16:creationId xmlns:a16="http://schemas.microsoft.com/office/drawing/2014/main" id="{D2F1E192-E528-B7C4-73DB-D455FD9D63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9" name="Straight Connector 531">
            <a:extLst>
              <a:ext uri="{FF2B5EF4-FFF2-40B4-BE49-F238E27FC236}">
                <a16:creationId xmlns:a16="http://schemas.microsoft.com/office/drawing/2014/main" id="{5B523820-6FF5-AA99-D6F6-65A3BD8F7E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0" name="Straight Connector 533">
            <a:extLst>
              <a:ext uri="{FF2B5EF4-FFF2-40B4-BE49-F238E27FC236}">
                <a16:creationId xmlns:a16="http://schemas.microsoft.com/office/drawing/2014/main" id="{EE213CE3-742B-8201-E189-1BF1953935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1" name="Straight Connector 535">
            <a:extLst>
              <a:ext uri="{FF2B5EF4-FFF2-40B4-BE49-F238E27FC236}">
                <a16:creationId xmlns:a16="http://schemas.microsoft.com/office/drawing/2014/main" id="{46BE2E05-B719-8CC8-45B2-16F9F319DA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2" name="Straight Connector 537">
            <a:extLst>
              <a:ext uri="{FF2B5EF4-FFF2-40B4-BE49-F238E27FC236}">
                <a16:creationId xmlns:a16="http://schemas.microsoft.com/office/drawing/2014/main" id="{F9BB9DFB-03D3-27CE-D4D2-5306DFD968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43" name="Group 1008">
          <a:extLst>
            <a:ext uri="{FF2B5EF4-FFF2-40B4-BE49-F238E27FC236}">
              <a16:creationId xmlns:a16="http://schemas.microsoft.com/office/drawing/2014/main" id="{8FF10C68-6FEF-45A1-8F2E-BEEA459D9E74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44" name="Straight Connector 1443">
            <a:extLst>
              <a:ext uri="{FF2B5EF4-FFF2-40B4-BE49-F238E27FC236}">
                <a16:creationId xmlns:a16="http://schemas.microsoft.com/office/drawing/2014/main" id="{CB8008DF-A551-6AAB-1517-CCEAE14CD2F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45" name="Straight Connector 529">
            <a:extLst>
              <a:ext uri="{FF2B5EF4-FFF2-40B4-BE49-F238E27FC236}">
                <a16:creationId xmlns:a16="http://schemas.microsoft.com/office/drawing/2014/main" id="{66FA7E9B-91BC-9570-6B4A-D920631A569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6" name="Straight Connector 531">
            <a:extLst>
              <a:ext uri="{FF2B5EF4-FFF2-40B4-BE49-F238E27FC236}">
                <a16:creationId xmlns:a16="http://schemas.microsoft.com/office/drawing/2014/main" id="{BA63EFAE-3F9E-418B-8528-A2615D2BD5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7" name="Straight Connector 533">
            <a:extLst>
              <a:ext uri="{FF2B5EF4-FFF2-40B4-BE49-F238E27FC236}">
                <a16:creationId xmlns:a16="http://schemas.microsoft.com/office/drawing/2014/main" id="{0F0BE847-1445-412C-B6ED-6774839E79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8" name="Straight Connector 535">
            <a:extLst>
              <a:ext uri="{FF2B5EF4-FFF2-40B4-BE49-F238E27FC236}">
                <a16:creationId xmlns:a16="http://schemas.microsoft.com/office/drawing/2014/main" id="{24497823-9B6D-AA75-6E10-89718989B9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9" name="Straight Connector 537">
            <a:extLst>
              <a:ext uri="{FF2B5EF4-FFF2-40B4-BE49-F238E27FC236}">
                <a16:creationId xmlns:a16="http://schemas.microsoft.com/office/drawing/2014/main" id="{ED2A64C5-4879-617A-5D89-E5BE6817BD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50" name="Group 1008">
          <a:extLst>
            <a:ext uri="{FF2B5EF4-FFF2-40B4-BE49-F238E27FC236}">
              <a16:creationId xmlns:a16="http://schemas.microsoft.com/office/drawing/2014/main" id="{81223494-9A73-4789-8043-38BEFAF0373D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51" name="Straight Connector 1450">
            <a:extLst>
              <a:ext uri="{FF2B5EF4-FFF2-40B4-BE49-F238E27FC236}">
                <a16:creationId xmlns:a16="http://schemas.microsoft.com/office/drawing/2014/main" id="{DD1FD04E-79E7-109B-0137-8DC6D5E59A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2" name="Straight Connector 529">
            <a:extLst>
              <a:ext uri="{FF2B5EF4-FFF2-40B4-BE49-F238E27FC236}">
                <a16:creationId xmlns:a16="http://schemas.microsoft.com/office/drawing/2014/main" id="{B10FCA9E-1799-65AC-CB3E-F9980A8140B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3" name="Straight Connector 531">
            <a:extLst>
              <a:ext uri="{FF2B5EF4-FFF2-40B4-BE49-F238E27FC236}">
                <a16:creationId xmlns:a16="http://schemas.microsoft.com/office/drawing/2014/main" id="{CE843AA0-5B3E-41D6-3380-F589D87A13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4" name="Straight Connector 533">
            <a:extLst>
              <a:ext uri="{FF2B5EF4-FFF2-40B4-BE49-F238E27FC236}">
                <a16:creationId xmlns:a16="http://schemas.microsoft.com/office/drawing/2014/main" id="{6F848D54-7265-9161-152A-A65DAB2D25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5" name="Straight Connector 535">
            <a:extLst>
              <a:ext uri="{FF2B5EF4-FFF2-40B4-BE49-F238E27FC236}">
                <a16:creationId xmlns:a16="http://schemas.microsoft.com/office/drawing/2014/main" id="{BA7D4F56-607B-41C4-9BF9-25F03E2610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6" name="Straight Connector 537">
            <a:extLst>
              <a:ext uri="{FF2B5EF4-FFF2-40B4-BE49-F238E27FC236}">
                <a16:creationId xmlns:a16="http://schemas.microsoft.com/office/drawing/2014/main" id="{5C877D45-6268-DC56-1B7A-26B2A8D553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57" name="Group 1008">
          <a:extLst>
            <a:ext uri="{FF2B5EF4-FFF2-40B4-BE49-F238E27FC236}">
              <a16:creationId xmlns:a16="http://schemas.microsoft.com/office/drawing/2014/main" id="{D6F95D16-BC96-4398-821A-4228CD198D55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58" name="Straight Connector 1457">
            <a:extLst>
              <a:ext uri="{FF2B5EF4-FFF2-40B4-BE49-F238E27FC236}">
                <a16:creationId xmlns:a16="http://schemas.microsoft.com/office/drawing/2014/main" id="{A807DA4A-ACE6-1CD5-7E81-3603D8E098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9" name="Straight Connector 529">
            <a:extLst>
              <a:ext uri="{FF2B5EF4-FFF2-40B4-BE49-F238E27FC236}">
                <a16:creationId xmlns:a16="http://schemas.microsoft.com/office/drawing/2014/main" id="{BB5CB81B-B8BD-680D-39E2-2D30C466C87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0" name="Straight Connector 531">
            <a:extLst>
              <a:ext uri="{FF2B5EF4-FFF2-40B4-BE49-F238E27FC236}">
                <a16:creationId xmlns:a16="http://schemas.microsoft.com/office/drawing/2014/main" id="{6D6CE7A6-ACD5-CB10-2381-F262F8EF52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1" name="Straight Connector 533">
            <a:extLst>
              <a:ext uri="{FF2B5EF4-FFF2-40B4-BE49-F238E27FC236}">
                <a16:creationId xmlns:a16="http://schemas.microsoft.com/office/drawing/2014/main" id="{5D990873-51B9-16D9-699D-E62660D00C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2" name="Straight Connector 535">
            <a:extLst>
              <a:ext uri="{FF2B5EF4-FFF2-40B4-BE49-F238E27FC236}">
                <a16:creationId xmlns:a16="http://schemas.microsoft.com/office/drawing/2014/main" id="{B359BEA7-E8E7-69E4-8831-41EEC19780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3" name="Straight Connector 537">
            <a:extLst>
              <a:ext uri="{FF2B5EF4-FFF2-40B4-BE49-F238E27FC236}">
                <a16:creationId xmlns:a16="http://schemas.microsoft.com/office/drawing/2014/main" id="{187FA52A-CB9A-2758-8C6D-7D90304432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64" name="Group 1008">
          <a:extLst>
            <a:ext uri="{FF2B5EF4-FFF2-40B4-BE49-F238E27FC236}">
              <a16:creationId xmlns:a16="http://schemas.microsoft.com/office/drawing/2014/main" id="{6FCE3CCA-A207-411F-B312-8475B5A689A3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65" name="Straight Connector 1464">
            <a:extLst>
              <a:ext uri="{FF2B5EF4-FFF2-40B4-BE49-F238E27FC236}">
                <a16:creationId xmlns:a16="http://schemas.microsoft.com/office/drawing/2014/main" id="{828F1A04-4C84-AD90-5346-6B2E932428F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66" name="Straight Connector 529">
            <a:extLst>
              <a:ext uri="{FF2B5EF4-FFF2-40B4-BE49-F238E27FC236}">
                <a16:creationId xmlns:a16="http://schemas.microsoft.com/office/drawing/2014/main" id="{C53DA44B-B31E-988C-66B4-CD2B9784BA0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7" name="Straight Connector 531">
            <a:extLst>
              <a:ext uri="{FF2B5EF4-FFF2-40B4-BE49-F238E27FC236}">
                <a16:creationId xmlns:a16="http://schemas.microsoft.com/office/drawing/2014/main" id="{2000810B-0661-0FBB-56DC-F1AD186972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8" name="Straight Connector 533">
            <a:extLst>
              <a:ext uri="{FF2B5EF4-FFF2-40B4-BE49-F238E27FC236}">
                <a16:creationId xmlns:a16="http://schemas.microsoft.com/office/drawing/2014/main" id="{352192CA-65BE-D3E0-3796-FDE4403727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9" name="Straight Connector 535">
            <a:extLst>
              <a:ext uri="{FF2B5EF4-FFF2-40B4-BE49-F238E27FC236}">
                <a16:creationId xmlns:a16="http://schemas.microsoft.com/office/drawing/2014/main" id="{3DC8D165-E897-900A-2A02-AA003397D1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0" name="Straight Connector 537">
            <a:extLst>
              <a:ext uri="{FF2B5EF4-FFF2-40B4-BE49-F238E27FC236}">
                <a16:creationId xmlns:a16="http://schemas.microsoft.com/office/drawing/2014/main" id="{BF9EFFC5-6548-C85A-0E45-333E529919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71" name="Group 1008">
          <a:extLst>
            <a:ext uri="{FF2B5EF4-FFF2-40B4-BE49-F238E27FC236}">
              <a16:creationId xmlns:a16="http://schemas.microsoft.com/office/drawing/2014/main" id="{EF085E14-77F0-4567-A74C-C46149B0519F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72" name="Straight Connector 1471">
            <a:extLst>
              <a:ext uri="{FF2B5EF4-FFF2-40B4-BE49-F238E27FC236}">
                <a16:creationId xmlns:a16="http://schemas.microsoft.com/office/drawing/2014/main" id="{693B7F42-9DD9-F828-2C5B-31058D652F9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73" name="Straight Connector 529">
            <a:extLst>
              <a:ext uri="{FF2B5EF4-FFF2-40B4-BE49-F238E27FC236}">
                <a16:creationId xmlns:a16="http://schemas.microsoft.com/office/drawing/2014/main" id="{5F717595-D42E-D808-7F09-16A372DF17C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4" name="Straight Connector 531">
            <a:extLst>
              <a:ext uri="{FF2B5EF4-FFF2-40B4-BE49-F238E27FC236}">
                <a16:creationId xmlns:a16="http://schemas.microsoft.com/office/drawing/2014/main" id="{6A396C3B-B995-00C2-ACBA-D896AE16DD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5" name="Straight Connector 533">
            <a:extLst>
              <a:ext uri="{FF2B5EF4-FFF2-40B4-BE49-F238E27FC236}">
                <a16:creationId xmlns:a16="http://schemas.microsoft.com/office/drawing/2014/main" id="{E0F0E32C-5B63-DFFD-DA4A-D777B5B2DA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6" name="Straight Connector 535">
            <a:extLst>
              <a:ext uri="{FF2B5EF4-FFF2-40B4-BE49-F238E27FC236}">
                <a16:creationId xmlns:a16="http://schemas.microsoft.com/office/drawing/2014/main" id="{B6216BA8-425C-7BBD-E4F8-6C52F8F24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7" name="Straight Connector 537">
            <a:extLst>
              <a:ext uri="{FF2B5EF4-FFF2-40B4-BE49-F238E27FC236}">
                <a16:creationId xmlns:a16="http://schemas.microsoft.com/office/drawing/2014/main" id="{F32DC774-63F8-0536-FAC6-8AA27E9AF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78" name="Group 1008">
          <a:extLst>
            <a:ext uri="{FF2B5EF4-FFF2-40B4-BE49-F238E27FC236}">
              <a16:creationId xmlns:a16="http://schemas.microsoft.com/office/drawing/2014/main" id="{53C23717-9C35-4D9F-B708-9C0229E29B27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79" name="Straight Connector 1478">
            <a:extLst>
              <a:ext uri="{FF2B5EF4-FFF2-40B4-BE49-F238E27FC236}">
                <a16:creationId xmlns:a16="http://schemas.microsoft.com/office/drawing/2014/main" id="{963DA06A-EB37-B15B-25F7-27A15647B3E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80" name="Straight Connector 529">
            <a:extLst>
              <a:ext uri="{FF2B5EF4-FFF2-40B4-BE49-F238E27FC236}">
                <a16:creationId xmlns:a16="http://schemas.microsoft.com/office/drawing/2014/main" id="{8AADA340-EAD3-A24F-997D-E21A118E4D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1" name="Straight Connector 531">
            <a:extLst>
              <a:ext uri="{FF2B5EF4-FFF2-40B4-BE49-F238E27FC236}">
                <a16:creationId xmlns:a16="http://schemas.microsoft.com/office/drawing/2014/main" id="{854E01D2-2FA6-4FF4-7986-581AB12931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2" name="Straight Connector 533">
            <a:extLst>
              <a:ext uri="{FF2B5EF4-FFF2-40B4-BE49-F238E27FC236}">
                <a16:creationId xmlns:a16="http://schemas.microsoft.com/office/drawing/2014/main" id="{E4D3DA7D-2128-0A08-1BAC-D1550A93F7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3" name="Straight Connector 535">
            <a:extLst>
              <a:ext uri="{FF2B5EF4-FFF2-40B4-BE49-F238E27FC236}">
                <a16:creationId xmlns:a16="http://schemas.microsoft.com/office/drawing/2014/main" id="{94178DFF-EC46-6EC1-7584-8EBA2E0E82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4" name="Straight Connector 537">
            <a:extLst>
              <a:ext uri="{FF2B5EF4-FFF2-40B4-BE49-F238E27FC236}">
                <a16:creationId xmlns:a16="http://schemas.microsoft.com/office/drawing/2014/main" id="{85BEE3A6-0481-FA9A-9916-2EC7A762EA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85" name="Group 1008">
          <a:extLst>
            <a:ext uri="{FF2B5EF4-FFF2-40B4-BE49-F238E27FC236}">
              <a16:creationId xmlns:a16="http://schemas.microsoft.com/office/drawing/2014/main" id="{114119B4-0D2D-4549-9DD9-6A16FB16A970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86" name="Straight Connector 1485">
            <a:extLst>
              <a:ext uri="{FF2B5EF4-FFF2-40B4-BE49-F238E27FC236}">
                <a16:creationId xmlns:a16="http://schemas.microsoft.com/office/drawing/2014/main" id="{41E70CA0-AA13-5910-FE2A-A0F67785274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87" name="Straight Connector 529">
            <a:extLst>
              <a:ext uri="{FF2B5EF4-FFF2-40B4-BE49-F238E27FC236}">
                <a16:creationId xmlns:a16="http://schemas.microsoft.com/office/drawing/2014/main" id="{E23E365E-01B1-6FF9-E775-EF567060AF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8" name="Straight Connector 531">
            <a:extLst>
              <a:ext uri="{FF2B5EF4-FFF2-40B4-BE49-F238E27FC236}">
                <a16:creationId xmlns:a16="http://schemas.microsoft.com/office/drawing/2014/main" id="{605BA57C-F75D-F222-173A-93C26C37DB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9" name="Straight Connector 533">
            <a:extLst>
              <a:ext uri="{FF2B5EF4-FFF2-40B4-BE49-F238E27FC236}">
                <a16:creationId xmlns:a16="http://schemas.microsoft.com/office/drawing/2014/main" id="{2F628D0D-A23E-DE92-8B4E-90AF124F77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0" name="Straight Connector 535">
            <a:extLst>
              <a:ext uri="{FF2B5EF4-FFF2-40B4-BE49-F238E27FC236}">
                <a16:creationId xmlns:a16="http://schemas.microsoft.com/office/drawing/2014/main" id="{3A2B72E0-4700-2E9A-210B-30CF1D3296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1" name="Straight Connector 537">
            <a:extLst>
              <a:ext uri="{FF2B5EF4-FFF2-40B4-BE49-F238E27FC236}">
                <a16:creationId xmlns:a16="http://schemas.microsoft.com/office/drawing/2014/main" id="{D8CF3386-2439-702F-F2E5-4EDC225141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92" name="Group 1008">
          <a:extLst>
            <a:ext uri="{FF2B5EF4-FFF2-40B4-BE49-F238E27FC236}">
              <a16:creationId xmlns:a16="http://schemas.microsoft.com/office/drawing/2014/main" id="{AFEC6586-6911-42AB-B7A6-F512CB826748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93" name="Straight Connector 1492">
            <a:extLst>
              <a:ext uri="{FF2B5EF4-FFF2-40B4-BE49-F238E27FC236}">
                <a16:creationId xmlns:a16="http://schemas.microsoft.com/office/drawing/2014/main" id="{EE340273-BFBD-28B3-AEC7-DFB58319DEA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94" name="Straight Connector 529">
            <a:extLst>
              <a:ext uri="{FF2B5EF4-FFF2-40B4-BE49-F238E27FC236}">
                <a16:creationId xmlns:a16="http://schemas.microsoft.com/office/drawing/2014/main" id="{9C654EDA-51B8-78D9-C89E-F61725C1FD6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5" name="Straight Connector 531">
            <a:extLst>
              <a:ext uri="{FF2B5EF4-FFF2-40B4-BE49-F238E27FC236}">
                <a16:creationId xmlns:a16="http://schemas.microsoft.com/office/drawing/2014/main" id="{4AE605EC-7359-4170-66B0-777AC39DB2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6" name="Straight Connector 533">
            <a:extLst>
              <a:ext uri="{FF2B5EF4-FFF2-40B4-BE49-F238E27FC236}">
                <a16:creationId xmlns:a16="http://schemas.microsoft.com/office/drawing/2014/main" id="{789D9DBB-F5B9-E14E-3174-1866B63BF7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7" name="Straight Connector 535">
            <a:extLst>
              <a:ext uri="{FF2B5EF4-FFF2-40B4-BE49-F238E27FC236}">
                <a16:creationId xmlns:a16="http://schemas.microsoft.com/office/drawing/2014/main" id="{3999EC2E-F80C-FC6B-6F21-301F75845F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8" name="Straight Connector 537">
            <a:extLst>
              <a:ext uri="{FF2B5EF4-FFF2-40B4-BE49-F238E27FC236}">
                <a16:creationId xmlns:a16="http://schemas.microsoft.com/office/drawing/2014/main" id="{B14D3C4F-2A5D-DA80-634E-78B88319F78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99" name="Group 1008">
          <a:extLst>
            <a:ext uri="{FF2B5EF4-FFF2-40B4-BE49-F238E27FC236}">
              <a16:creationId xmlns:a16="http://schemas.microsoft.com/office/drawing/2014/main" id="{D91928FD-927A-48C8-ACE2-167BDB92B073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00" name="Straight Connector 1499">
            <a:extLst>
              <a:ext uri="{FF2B5EF4-FFF2-40B4-BE49-F238E27FC236}">
                <a16:creationId xmlns:a16="http://schemas.microsoft.com/office/drawing/2014/main" id="{8D2BF1E0-B777-0850-F02A-E1E4DD55D41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01" name="Straight Connector 529">
            <a:extLst>
              <a:ext uri="{FF2B5EF4-FFF2-40B4-BE49-F238E27FC236}">
                <a16:creationId xmlns:a16="http://schemas.microsoft.com/office/drawing/2014/main" id="{9818CA4C-D3FE-6577-D5C5-0DAD6EBE434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2" name="Straight Connector 531">
            <a:extLst>
              <a:ext uri="{FF2B5EF4-FFF2-40B4-BE49-F238E27FC236}">
                <a16:creationId xmlns:a16="http://schemas.microsoft.com/office/drawing/2014/main" id="{7B1336AF-24EF-EEFC-959A-8900D0695C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3" name="Straight Connector 533">
            <a:extLst>
              <a:ext uri="{FF2B5EF4-FFF2-40B4-BE49-F238E27FC236}">
                <a16:creationId xmlns:a16="http://schemas.microsoft.com/office/drawing/2014/main" id="{505F7F16-FE8C-6199-6C89-BAC88FBC8B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4" name="Straight Connector 535">
            <a:extLst>
              <a:ext uri="{FF2B5EF4-FFF2-40B4-BE49-F238E27FC236}">
                <a16:creationId xmlns:a16="http://schemas.microsoft.com/office/drawing/2014/main" id="{AEB9F7AA-F36D-06D8-2D1C-D635A3F49D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5" name="Straight Connector 537">
            <a:extLst>
              <a:ext uri="{FF2B5EF4-FFF2-40B4-BE49-F238E27FC236}">
                <a16:creationId xmlns:a16="http://schemas.microsoft.com/office/drawing/2014/main" id="{22FAB172-6AF2-0905-012A-4D7258AFA3A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06" name="Group 1008">
          <a:extLst>
            <a:ext uri="{FF2B5EF4-FFF2-40B4-BE49-F238E27FC236}">
              <a16:creationId xmlns:a16="http://schemas.microsoft.com/office/drawing/2014/main" id="{E26E6C6C-856F-4BDD-99B8-AAE41B92F2D4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07" name="Straight Connector 1506">
            <a:extLst>
              <a:ext uri="{FF2B5EF4-FFF2-40B4-BE49-F238E27FC236}">
                <a16:creationId xmlns:a16="http://schemas.microsoft.com/office/drawing/2014/main" id="{0227BEC0-075C-6519-35B8-564085288D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08" name="Straight Connector 529">
            <a:extLst>
              <a:ext uri="{FF2B5EF4-FFF2-40B4-BE49-F238E27FC236}">
                <a16:creationId xmlns:a16="http://schemas.microsoft.com/office/drawing/2014/main" id="{4F24DDEF-3DBB-B587-2F1E-637F24351DE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9" name="Straight Connector 531">
            <a:extLst>
              <a:ext uri="{FF2B5EF4-FFF2-40B4-BE49-F238E27FC236}">
                <a16:creationId xmlns:a16="http://schemas.microsoft.com/office/drawing/2014/main" id="{05E129EF-CE90-B01A-62DD-468BC40A0F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0" name="Straight Connector 533">
            <a:extLst>
              <a:ext uri="{FF2B5EF4-FFF2-40B4-BE49-F238E27FC236}">
                <a16:creationId xmlns:a16="http://schemas.microsoft.com/office/drawing/2014/main" id="{1ADDD07D-1867-15D4-C3B9-4D2252E76D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1" name="Straight Connector 535">
            <a:extLst>
              <a:ext uri="{FF2B5EF4-FFF2-40B4-BE49-F238E27FC236}">
                <a16:creationId xmlns:a16="http://schemas.microsoft.com/office/drawing/2014/main" id="{78F6DC38-3691-24F0-009A-D0147AC0316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2" name="Straight Connector 537">
            <a:extLst>
              <a:ext uri="{FF2B5EF4-FFF2-40B4-BE49-F238E27FC236}">
                <a16:creationId xmlns:a16="http://schemas.microsoft.com/office/drawing/2014/main" id="{F72AFCB4-113C-99F6-CEB7-E43335F945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13" name="Group 1008">
          <a:extLst>
            <a:ext uri="{FF2B5EF4-FFF2-40B4-BE49-F238E27FC236}">
              <a16:creationId xmlns:a16="http://schemas.microsoft.com/office/drawing/2014/main" id="{F36ABCC7-E7EE-4EAD-9C78-7F3821B608D9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14" name="Straight Connector 1513">
            <a:extLst>
              <a:ext uri="{FF2B5EF4-FFF2-40B4-BE49-F238E27FC236}">
                <a16:creationId xmlns:a16="http://schemas.microsoft.com/office/drawing/2014/main" id="{935562DE-616C-5818-753D-C90001E3097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15" name="Straight Connector 529">
            <a:extLst>
              <a:ext uri="{FF2B5EF4-FFF2-40B4-BE49-F238E27FC236}">
                <a16:creationId xmlns:a16="http://schemas.microsoft.com/office/drawing/2014/main" id="{2B5C1293-D773-4B8A-CCA7-7832FC1E76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6" name="Straight Connector 531">
            <a:extLst>
              <a:ext uri="{FF2B5EF4-FFF2-40B4-BE49-F238E27FC236}">
                <a16:creationId xmlns:a16="http://schemas.microsoft.com/office/drawing/2014/main" id="{D1D2C622-FC25-16A2-4FC1-98752D2DF7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7" name="Straight Connector 533">
            <a:extLst>
              <a:ext uri="{FF2B5EF4-FFF2-40B4-BE49-F238E27FC236}">
                <a16:creationId xmlns:a16="http://schemas.microsoft.com/office/drawing/2014/main" id="{91DA6E61-06BF-08C7-D216-CA84F0DE97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8" name="Straight Connector 535">
            <a:extLst>
              <a:ext uri="{FF2B5EF4-FFF2-40B4-BE49-F238E27FC236}">
                <a16:creationId xmlns:a16="http://schemas.microsoft.com/office/drawing/2014/main" id="{963A7427-6057-4867-CADA-F9AC9E2171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9" name="Straight Connector 537">
            <a:extLst>
              <a:ext uri="{FF2B5EF4-FFF2-40B4-BE49-F238E27FC236}">
                <a16:creationId xmlns:a16="http://schemas.microsoft.com/office/drawing/2014/main" id="{EFF1774C-33B6-592B-3FF6-6BBD5D507F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20" name="Group 1008">
          <a:extLst>
            <a:ext uri="{FF2B5EF4-FFF2-40B4-BE49-F238E27FC236}">
              <a16:creationId xmlns:a16="http://schemas.microsoft.com/office/drawing/2014/main" id="{4F78AA29-14D9-4A6E-9310-6FB8F8FE4AE0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21" name="Straight Connector 1520">
            <a:extLst>
              <a:ext uri="{FF2B5EF4-FFF2-40B4-BE49-F238E27FC236}">
                <a16:creationId xmlns:a16="http://schemas.microsoft.com/office/drawing/2014/main" id="{CBFFE2F8-1DC5-F23A-6664-E00613DEAA6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2" name="Straight Connector 529">
            <a:extLst>
              <a:ext uri="{FF2B5EF4-FFF2-40B4-BE49-F238E27FC236}">
                <a16:creationId xmlns:a16="http://schemas.microsoft.com/office/drawing/2014/main" id="{A0F724BB-C534-25A6-F72A-FE4B65F0BD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3" name="Straight Connector 531">
            <a:extLst>
              <a:ext uri="{FF2B5EF4-FFF2-40B4-BE49-F238E27FC236}">
                <a16:creationId xmlns:a16="http://schemas.microsoft.com/office/drawing/2014/main" id="{292D48D6-7B82-CB3C-00B8-A34AC2BC74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4" name="Straight Connector 533">
            <a:extLst>
              <a:ext uri="{FF2B5EF4-FFF2-40B4-BE49-F238E27FC236}">
                <a16:creationId xmlns:a16="http://schemas.microsoft.com/office/drawing/2014/main" id="{98A9C8AA-301A-B3FC-1354-A32F23B7F5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5" name="Straight Connector 535">
            <a:extLst>
              <a:ext uri="{FF2B5EF4-FFF2-40B4-BE49-F238E27FC236}">
                <a16:creationId xmlns:a16="http://schemas.microsoft.com/office/drawing/2014/main" id="{13AD042F-884E-F6CE-CB2D-F1B6641501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6" name="Straight Connector 537">
            <a:extLst>
              <a:ext uri="{FF2B5EF4-FFF2-40B4-BE49-F238E27FC236}">
                <a16:creationId xmlns:a16="http://schemas.microsoft.com/office/drawing/2014/main" id="{BE0914F2-F652-489F-1D50-177DABA831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27" name="Group 1008">
          <a:extLst>
            <a:ext uri="{FF2B5EF4-FFF2-40B4-BE49-F238E27FC236}">
              <a16:creationId xmlns:a16="http://schemas.microsoft.com/office/drawing/2014/main" id="{9985A8E6-AFB9-49E1-875B-0976BA1E8AD6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28" name="Straight Connector 1527">
            <a:extLst>
              <a:ext uri="{FF2B5EF4-FFF2-40B4-BE49-F238E27FC236}">
                <a16:creationId xmlns:a16="http://schemas.microsoft.com/office/drawing/2014/main" id="{B9363353-4752-4123-AE4C-F3DE6B92F5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9" name="Straight Connector 529">
            <a:extLst>
              <a:ext uri="{FF2B5EF4-FFF2-40B4-BE49-F238E27FC236}">
                <a16:creationId xmlns:a16="http://schemas.microsoft.com/office/drawing/2014/main" id="{0CCA3112-1B0C-00F5-A342-CBDB950269A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0" name="Straight Connector 531">
            <a:extLst>
              <a:ext uri="{FF2B5EF4-FFF2-40B4-BE49-F238E27FC236}">
                <a16:creationId xmlns:a16="http://schemas.microsoft.com/office/drawing/2014/main" id="{AE3AA8DE-35A7-D6B9-C44E-FB17214DDC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1" name="Straight Connector 533">
            <a:extLst>
              <a:ext uri="{FF2B5EF4-FFF2-40B4-BE49-F238E27FC236}">
                <a16:creationId xmlns:a16="http://schemas.microsoft.com/office/drawing/2014/main" id="{0975D2C7-5771-8587-838A-9B9DFC944F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2" name="Straight Connector 535">
            <a:extLst>
              <a:ext uri="{FF2B5EF4-FFF2-40B4-BE49-F238E27FC236}">
                <a16:creationId xmlns:a16="http://schemas.microsoft.com/office/drawing/2014/main" id="{538D8221-9458-F148-7286-C9367BA623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3" name="Straight Connector 537">
            <a:extLst>
              <a:ext uri="{FF2B5EF4-FFF2-40B4-BE49-F238E27FC236}">
                <a16:creationId xmlns:a16="http://schemas.microsoft.com/office/drawing/2014/main" id="{827D50B3-BB99-FB9F-3004-FD9A5A975C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34" name="Group 1008">
          <a:extLst>
            <a:ext uri="{FF2B5EF4-FFF2-40B4-BE49-F238E27FC236}">
              <a16:creationId xmlns:a16="http://schemas.microsoft.com/office/drawing/2014/main" id="{411390B9-86EF-41BC-9650-284D87BA45D0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35" name="Straight Connector 1534">
            <a:extLst>
              <a:ext uri="{FF2B5EF4-FFF2-40B4-BE49-F238E27FC236}">
                <a16:creationId xmlns:a16="http://schemas.microsoft.com/office/drawing/2014/main" id="{5D2778EB-0C56-F5C1-E2DE-29707ECCF1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36" name="Straight Connector 529">
            <a:extLst>
              <a:ext uri="{FF2B5EF4-FFF2-40B4-BE49-F238E27FC236}">
                <a16:creationId xmlns:a16="http://schemas.microsoft.com/office/drawing/2014/main" id="{92132890-E43C-2C1E-F50B-75F6AF600C2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7" name="Straight Connector 531">
            <a:extLst>
              <a:ext uri="{FF2B5EF4-FFF2-40B4-BE49-F238E27FC236}">
                <a16:creationId xmlns:a16="http://schemas.microsoft.com/office/drawing/2014/main" id="{DE776558-9875-E8B2-81FC-1256061125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8" name="Straight Connector 533">
            <a:extLst>
              <a:ext uri="{FF2B5EF4-FFF2-40B4-BE49-F238E27FC236}">
                <a16:creationId xmlns:a16="http://schemas.microsoft.com/office/drawing/2014/main" id="{817D86B4-03D5-702D-2B5C-C489458436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9" name="Straight Connector 535">
            <a:extLst>
              <a:ext uri="{FF2B5EF4-FFF2-40B4-BE49-F238E27FC236}">
                <a16:creationId xmlns:a16="http://schemas.microsoft.com/office/drawing/2014/main" id="{7FA9D812-A183-A4E2-60BF-98D4186F47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0" name="Straight Connector 537">
            <a:extLst>
              <a:ext uri="{FF2B5EF4-FFF2-40B4-BE49-F238E27FC236}">
                <a16:creationId xmlns:a16="http://schemas.microsoft.com/office/drawing/2014/main" id="{357363F1-9455-7466-CFB8-D06B777598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41" name="Group 1008">
          <a:extLst>
            <a:ext uri="{FF2B5EF4-FFF2-40B4-BE49-F238E27FC236}">
              <a16:creationId xmlns:a16="http://schemas.microsoft.com/office/drawing/2014/main" id="{44ECCB04-FC38-40CD-9821-4E41DAC7B09C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42" name="Straight Connector 1541">
            <a:extLst>
              <a:ext uri="{FF2B5EF4-FFF2-40B4-BE49-F238E27FC236}">
                <a16:creationId xmlns:a16="http://schemas.microsoft.com/office/drawing/2014/main" id="{58D95692-4953-3E2A-7B38-5772D7B5A95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43" name="Straight Connector 529">
            <a:extLst>
              <a:ext uri="{FF2B5EF4-FFF2-40B4-BE49-F238E27FC236}">
                <a16:creationId xmlns:a16="http://schemas.microsoft.com/office/drawing/2014/main" id="{49D98827-22EF-78E1-6B06-257195BD1A3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4" name="Straight Connector 531">
            <a:extLst>
              <a:ext uri="{FF2B5EF4-FFF2-40B4-BE49-F238E27FC236}">
                <a16:creationId xmlns:a16="http://schemas.microsoft.com/office/drawing/2014/main" id="{8D22F611-DFAE-E788-FC37-5044A3E4AC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5" name="Straight Connector 533">
            <a:extLst>
              <a:ext uri="{FF2B5EF4-FFF2-40B4-BE49-F238E27FC236}">
                <a16:creationId xmlns:a16="http://schemas.microsoft.com/office/drawing/2014/main" id="{A76B4446-BF36-87BD-4960-251DAF3782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6" name="Straight Connector 535">
            <a:extLst>
              <a:ext uri="{FF2B5EF4-FFF2-40B4-BE49-F238E27FC236}">
                <a16:creationId xmlns:a16="http://schemas.microsoft.com/office/drawing/2014/main" id="{5552BC9D-E0DC-5A39-63E0-10B1646E7D8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7" name="Straight Connector 537">
            <a:extLst>
              <a:ext uri="{FF2B5EF4-FFF2-40B4-BE49-F238E27FC236}">
                <a16:creationId xmlns:a16="http://schemas.microsoft.com/office/drawing/2014/main" id="{5EFA97D6-BEDD-CB00-42B1-849DD69E63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48" name="Group 1008">
          <a:extLst>
            <a:ext uri="{FF2B5EF4-FFF2-40B4-BE49-F238E27FC236}">
              <a16:creationId xmlns:a16="http://schemas.microsoft.com/office/drawing/2014/main" id="{B57D1899-21E7-48F7-9992-FDA1F2AE4D48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49" name="Straight Connector 1548">
            <a:extLst>
              <a:ext uri="{FF2B5EF4-FFF2-40B4-BE49-F238E27FC236}">
                <a16:creationId xmlns:a16="http://schemas.microsoft.com/office/drawing/2014/main" id="{D7610C35-8EA5-58D3-60C7-ECEA3061195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50" name="Straight Connector 529">
            <a:extLst>
              <a:ext uri="{FF2B5EF4-FFF2-40B4-BE49-F238E27FC236}">
                <a16:creationId xmlns:a16="http://schemas.microsoft.com/office/drawing/2014/main" id="{4975C50E-D9E6-D685-F491-E9C3C092DC6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1" name="Straight Connector 531">
            <a:extLst>
              <a:ext uri="{FF2B5EF4-FFF2-40B4-BE49-F238E27FC236}">
                <a16:creationId xmlns:a16="http://schemas.microsoft.com/office/drawing/2014/main" id="{C762948F-7D42-363E-5CC0-9BCC0D1D17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2" name="Straight Connector 533">
            <a:extLst>
              <a:ext uri="{FF2B5EF4-FFF2-40B4-BE49-F238E27FC236}">
                <a16:creationId xmlns:a16="http://schemas.microsoft.com/office/drawing/2014/main" id="{51230EE9-1F51-A24E-0F79-DCE6606B7B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3" name="Straight Connector 535">
            <a:extLst>
              <a:ext uri="{FF2B5EF4-FFF2-40B4-BE49-F238E27FC236}">
                <a16:creationId xmlns:a16="http://schemas.microsoft.com/office/drawing/2014/main" id="{98251B76-8DEE-EA61-00E9-96E9D9D85D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4" name="Straight Connector 537">
            <a:extLst>
              <a:ext uri="{FF2B5EF4-FFF2-40B4-BE49-F238E27FC236}">
                <a16:creationId xmlns:a16="http://schemas.microsoft.com/office/drawing/2014/main" id="{F977077D-45B5-04BE-1628-02014ECA074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55" name="Group 1008">
          <a:extLst>
            <a:ext uri="{FF2B5EF4-FFF2-40B4-BE49-F238E27FC236}">
              <a16:creationId xmlns:a16="http://schemas.microsoft.com/office/drawing/2014/main" id="{CC7C0191-640B-4E78-82E6-D6230213E487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56" name="Straight Connector 1555">
            <a:extLst>
              <a:ext uri="{FF2B5EF4-FFF2-40B4-BE49-F238E27FC236}">
                <a16:creationId xmlns:a16="http://schemas.microsoft.com/office/drawing/2014/main" id="{AE95DA33-801E-65E5-1B90-741AD51EA6E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57" name="Straight Connector 529">
            <a:extLst>
              <a:ext uri="{FF2B5EF4-FFF2-40B4-BE49-F238E27FC236}">
                <a16:creationId xmlns:a16="http://schemas.microsoft.com/office/drawing/2014/main" id="{08550AB0-037A-140B-9354-EC4FBEAA9A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8" name="Straight Connector 531">
            <a:extLst>
              <a:ext uri="{FF2B5EF4-FFF2-40B4-BE49-F238E27FC236}">
                <a16:creationId xmlns:a16="http://schemas.microsoft.com/office/drawing/2014/main" id="{6C7835D0-2D77-6FA5-CDB2-5A4EEDFE872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9" name="Straight Connector 533">
            <a:extLst>
              <a:ext uri="{FF2B5EF4-FFF2-40B4-BE49-F238E27FC236}">
                <a16:creationId xmlns:a16="http://schemas.microsoft.com/office/drawing/2014/main" id="{FD02E355-E4F8-7917-FC08-C823AD3DC3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0" name="Straight Connector 535">
            <a:extLst>
              <a:ext uri="{FF2B5EF4-FFF2-40B4-BE49-F238E27FC236}">
                <a16:creationId xmlns:a16="http://schemas.microsoft.com/office/drawing/2014/main" id="{DC4167E9-5B93-472E-3F01-2765DCE096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1" name="Straight Connector 537">
            <a:extLst>
              <a:ext uri="{FF2B5EF4-FFF2-40B4-BE49-F238E27FC236}">
                <a16:creationId xmlns:a16="http://schemas.microsoft.com/office/drawing/2014/main" id="{D50BCFB6-335E-3637-2833-D7146F0C37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62" name="Group 1008">
          <a:extLst>
            <a:ext uri="{FF2B5EF4-FFF2-40B4-BE49-F238E27FC236}">
              <a16:creationId xmlns:a16="http://schemas.microsoft.com/office/drawing/2014/main" id="{291150F8-D3FD-4774-AAF3-79DF168CCD74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63" name="Straight Connector 1562">
            <a:extLst>
              <a:ext uri="{FF2B5EF4-FFF2-40B4-BE49-F238E27FC236}">
                <a16:creationId xmlns:a16="http://schemas.microsoft.com/office/drawing/2014/main" id="{23A24527-AB34-C0CC-42C2-4F2075412CA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64" name="Straight Connector 529">
            <a:extLst>
              <a:ext uri="{FF2B5EF4-FFF2-40B4-BE49-F238E27FC236}">
                <a16:creationId xmlns:a16="http://schemas.microsoft.com/office/drawing/2014/main" id="{4274CC48-A4F3-0150-6727-334F99346E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5" name="Straight Connector 531">
            <a:extLst>
              <a:ext uri="{FF2B5EF4-FFF2-40B4-BE49-F238E27FC236}">
                <a16:creationId xmlns:a16="http://schemas.microsoft.com/office/drawing/2014/main" id="{0E0CA83B-0D48-6F98-2785-BD5F52A0273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6" name="Straight Connector 533">
            <a:extLst>
              <a:ext uri="{FF2B5EF4-FFF2-40B4-BE49-F238E27FC236}">
                <a16:creationId xmlns:a16="http://schemas.microsoft.com/office/drawing/2014/main" id="{88418F7C-EC98-A371-780C-7182802DA3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7" name="Straight Connector 535">
            <a:extLst>
              <a:ext uri="{FF2B5EF4-FFF2-40B4-BE49-F238E27FC236}">
                <a16:creationId xmlns:a16="http://schemas.microsoft.com/office/drawing/2014/main" id="{2F2E19F8-5876-DCB8-A873-808B43082BA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8" name="Straight Connector 537">
            <a:extLst>
              <a:ext uri="{FF2B5EF4-FFF2-40B4-BE49-F238E27FC236}">
                <a16:creationId xmlns:a16="http://schemas.microsoft.com/office/drawing/2014/main" id="{9D9B6E39-2D3F-42FC-D8D0-2FA77CA9F3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69" name="Group 1008">
          <a:extLst>
            <a:ext uri="{FF2B5EF4-FFF2-40B4-BE49-F238E27FC236}">
              <a16:creationId xmlns:a16="http://schemas.microsoft.com/office/drawing/2014/main" id="{B37D550B-E3B9-4E63-8368-284A6B3A68CB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70" name="Straight Connector 1569">
            <a:extLst>
              <a:ext uri="{FF2B5EF4-FFF2-40B4-BE49-F238E27FC236}">
                <a16:creationId xmlns:a16="http://schemas.microsoft.com/office/drawing/2014/main" id="{D53453FD-08DB-767A-C9A5-6C6317F00F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71" name="Straight Connector 529">
            <a:extLst>
              <a:ext uri="{FF2B5EF4-FFF2-40B4-BE49-F238E27FC236}">
                <a16:creationId xmlns:a16="http://schemas.microsoft.com/office/drawing/2014/main" id="{AC6D099E-43D0-241D-0843-1310224EFAE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2" name="Straight Connector 531">
            <a:extLst>
              <a:ext uri="{FF2B5EF4-FFF2-40B4-BE49-F238E27FC236}">
                <a16:creationId xmlns:a16="http://schemas.microsoft.com/office/drawing/2014/main" id="{7C5C8D19-D8DB-B9C3-1863-DBE32A13D1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3" name="Straight Connector 533">
            <a:extLst>
              <a:ext uri="{FF2B5EF4-FFF2-40B4-BE49-F238E27FC236}">
                <a16:creationId xmlns:a16="http://schemas.microsoft.com/office/drawing/2014/main" id="{F09A19F4-E0D0-025E-DA00-0F9F0308A5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4" name="Straight Connector 535">
            <a:extLst>
              <a:ext uri="{FF2B5EF4-FFF2-40B4-BE49-F238E27FC236}">
                <a16:creationId xmlns:a16="http://schemas.microsoft.com/office/drawing/2014/main" id="{058F1E5A-4EAD-9732-DA5F-25F9A2DF32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5" name="Straight Connector 537">
            <a:extLst>
              <a:ext uri="{FF2B5EF4-FFF2-40B4-BE49-F238E27FC236}">
                <a16:creationId xmlns:a16="http://schemas.microsoft.com/office/drawing/2014/main" id="{4A1B5149-E3CF-C428-EDCD-40E51612D3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76" name="Group 1008">
          <a:extLst>
            <a:ext uri="{FF2B5EF4-FFF2-40B4-BE49-F238E27FC236}">
              <a16:creationId xmlns:a16="http://schemas.microsoft.com/office/drawing/2014/main" id="{7C57509F-FAA3-47AF-B83B-E4A783819965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77" name="Straight Connector 1576">
            <a:extLst>
              <a:ext uri="{FF2B5EF4-FFF2-40B4-BE49-F238E27FC236}">
                <a16:creationId xmlns:a16="http://schemas.microsoft.com/office/drawing/2014/main" id="{6971D0F9-210A-09AA-2962-60EF1583298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78" name="Straight Connector 529">
            <a:extLst>
              <a:ext uri="{FF2B5EF4-FFF2-40B4-BE49-F238E27FC236}">
                <a16:creationId xmlns:a16="http://schemas.microsoft.com/office/drawing/2014/main" id="{0D14AC48-75D5-EFAE-7DB9-2DCF899A32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9" name="Straight Connector 531">
            <a:extLst>
              <a:ext uri="{FF2B5EF4-FFF2-40B4-BE49-F238E27FC236}">
                <a16:creationId xmlns:a16="http://schemas.microsoft.com/office/drawing/2014/main" id="{9202C7B3-3B4F-9DBE-B59C-D65C34063A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0" name="Straight Connector 533">
            <a:extLst>
              <a:ext uri="{FF2B5EF4-FFF2-40B4-BE49-F238E27FC236}">
                <a16:creationId xmlns:a16="http://schemas.microsoft.com/office/drawing/2014/main" id="{708A1842-BE3B-5303-1B02-9BA5F7094F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1" name="Straight Connector 535">
            <a:extLst>
              <a:ext uri="{FF2B5EF4-FFF2-40B4-BE49-F238E27FC236}">
                <a16:creationId xmlns:a16="http://schemas.microsoft.com/office/drawing/2014/main" id="{78865EA0-A290-A8B2-C043-A4096FCE6E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2" name="Straight Connector 537">
            <a:extLst>
              <a:ext uri="{FF2B5EF4-FFF2-40B4-BE49-F238E27FC236}">
                <a16:creationId xmlns:a16="http://schemas.microsoft.com/office/drawing/2014/main" id="{1E98CD86-F7A6-DFCD-B3F5-097D7ECB45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83" name="Group 1008">
          <a:extLst>
            <a:ext uri="{FF2B5EF4-FFF2-40B4-BE49-F238E27FC236}">
              <a16:creationId xmlns:a16="http://schemas.microsoft.com/office/drawing/2014/main" id="{C16D9639-8619-4E8C-8952-7E1A6E1DDBFB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84" name="Straight Connector 1583">
            <a:extLst>
              <a:ext uri="{FF2B5EF4-FFF2-40B4-BE49-F238E27FC236}">
                <a16:creationId xmlns:a16="http://schemas.microsoft.com/office/drawing/2014/main" id="{925DC85B-DF00-48C9-4CB1-23DB5298D2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85" name="Straight Connector 529">
            <a:extLst>
              <a:ext uri="{FF2B5EF4-FFF2-40B4-BE49-F238E27FC236}">
                <a16:creationId xmlns:a16="http://schemas.microsoft.com/office/drawing/2014/main" id="{F3500788-3BDC-ECC8-071E-51E00DAD92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6" name="Straight Connector 531">
            <a:extLst>
              <a:ext uri="{FF2B5EF4-FFF2-40B4-BE49-F238E27FC236}">
                <a16:creationId xmlns:a16="http://schemas.microsoft.com/office/drawing/2014/main" id="{F91A23B3-5610-7598-18CE-9271F4E8B0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7" name="Straight Connector 533">
            <a:extLst>
              <a:ext uri="{FF2B5EF4-FFF2-40B4-BE49-F238E27FC236}">
                <a16:creationId xmlns:a16="http://schemas.microsoft.com/office/drawing/2014/main" id="{9052AD37-575D-DC8C-C990-B7CD44B849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8" name="Straight Connector 535">
            <a:extLst>
              <a:ext uri="{FF2B5EF4-FFF2-40B4-BE49-F238E27FC236}">
                <a16:creationId xmlns:a16="http://schemas.microsoft.com/office/drawing/2014/main" id="{4AF8E788-1111-4B17-5D5B-360EFF1C63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9" name="Straight Connector 537">
            <a:extLst>
              <a:ext uri="{FF2B5EF4-FFF2-40B4-BE49-F238E27FC236}">
                <a16:creationId xmlns:a16="http://schemas.microsoft.com/office/drawing/2014/main" id="{34A22B41-5EC1-77A7-2BCF-9FBC03BDFA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90" name="Group 1008">
          <a:extLst>
            <a:ext uri="{FF2B5EF4-FFF2-40B4-BE49-F238E27FC236}">
              <a16:creationId xmlns:a16="http://schemas.microsoft.com/office/drawing/2014/main" id="{398F89A5-61D0-4C5A-A90C-51BF1CDDC229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91" name="Straight Connector 1590">
            <a:extLst>
              <a:ext uri="{FF2B5EF4-FFF2-40B4-BE49-F238E27FC236}">
                <a16:creationId xmlns:a16="http://schemas.microsoft.com/office/drawing/2014/main" id="{19F5D0AE-2DD3-2940-5EE8-EE5E0E80C5D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92" name="Straight Connector 529">
            <a:extLst>
              <a:ext uri="{FF2B5EF4-FFF2-40B4-BE49-F238E27FC236}">
                <a16:creationId xmlns:a16="http://schemas.microsoft.com/office/drawing/2014/main" id="{A980CAAD-22B4-3D1D-E905-20C2F1EFDC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3" name="Straight Connector 531">
            <a:extLst>
              <a:ext uri="{FF2B5EF4-FFF2-40B4-BE49-F238E27FC236}">
                <a16:creationId xmlns:a16="http://schemas.microsoft.com/office/drawing/2014/main" id="{13F57690-3F97-A054-277E-DBF6FE2199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4" name="Straight Connector 533">
            <a:extLst>
              <a:ext uri="{FF2B5EF4-FFF2-40B4-BE49-F238E27FC236}">
                <a16:creationId xmlns:a16="http://schemas.microsoft.com/office/drawing/2014/main" id="{83F1648D-1448-EE2E-1A59-C205925B0F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5" name="Straight Connector 535">
            <a:extLst>
              <a:ext uri="{FF2B5EF4-FFF2-40B4-BE49-F238E27FC236}">
                <a16:creationId xmlns:a16="http://schemas.microsoft.com/office/drawing/2014/main" id="{89980056-07D9-4965-B348-F49D5B4BFD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6" name="Straight Connector 537">
            <a:extLst>
              <a:ext uri="{FF2B5EF4-FFF2-40B4-BE49-F238E27FC236}">
                <a16:creationId xmlns:a16="http://schemas.microsoft.com/office/drawing/2014/main" id="{146511B5-2840-FF7F-B1D7-3B4113332C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69</xdr:row>
      <xdr:rowOff>57150</xdr:rowOff>
    </xdr:from>
    <xdr:to>
      <xdr:col>17</xdr:col>
      <xdr:colOff>0</xdr:colOff>
      <xdr:row>71</xdr:row>
      <xdr:rowOff>0</xdr:rowOff>
    </xdr:to>
    <xdr:sp macro="" textlink="">
      <xdr:nvSpPr>
        <xdr:cNvPr id="1597" name="AutoShape 46">
          <a:extLst>
            <a:ext uri="{FF2B5EF4-FFF2-40B4-BE49-F238E27FC236}">
              <a16:creationId xmlns:a16="http://schemas.microsoft.com/office/drawing/2014/main" id="{FD7E7304-8EEA-4A67-8874-1F82F1ECDD46}"/>
            </a:ext>
          </a:extLst>
        </xdr:cNvPr>
        <xdr:cNvSpPr>
          <a:spLocks noChangeArrowheads="1"/>
        </xdr:cNvSpPr>
      </xdr:nvSpPr>
      <xdr:spPr bwMode="auto">
        <a:xfrm>
          <a:off x="48958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69</xdr:row>
      <xdr:rowOff>57150</xdr:rowOff>
    </xdr:from>
    <xdr:to>
      <xdr:col>19</xdr:col>
      <xdr:colOff>0</xdr:colOff>
      <xdr:row>71</xdr:row>
      <xdr:rowOff>0</xdr:rowOff>
    </xdr:to>
    <xdr:sp macro="" textlink="">
      <xdr:nvSpPr>
        <xdr:cNvPr id="1598" name="AutoShape 46">
          <a:extLst>
            <a:ext uri="{FF2B5EF4-FFF2-40B4-BE49-F238E27FC236}">
              <a16:creationId xmlns:a16="http://schemas.microsoft.com/office/drawing/2014/main" id="{5CE9FE44-A69B-40AD-B8B5-77AAB09FCEE6}"/>
            </a:ext>
          </a:extLst>
        </xdr:cNvPr>
        <xdr:cNvSpPr>
          <a:spLocks noChangeArrowheads="1"/>
        </xdr:cNvSpPr>
      </xdr:nvSpPr>
      <xdr:spPr bwMode="auto">
        <a:xfrm>
          <a:off x="5467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278623</xdr:colOff>
      <xdr:row>69</xdr:row>
      <xdr:rowOff>48596</xdr:rowOff>
    </xdr:from>
    <xdr:to>
      <xdr:col>21</xdr:col>
      <xdr:colOff>0</xdr:colOff>
      <xdr:row>71</xdr:row>
      <xdr:rowOff>129</xdr:rowOff>
    </xdr:to>
    <xdr:sp macro="" textlink="">
      <xdr:nvSpPr>
        <xdr:cNvPr id="1599" name="AutoShape 46">
          <a:extLst>
            <a:ext uri="{FF2B5EF4-FFF2-40B4-BE49-F238E27FC236}">
              <a16:creationId xmlns:a16="http://schemas.microsoft.com/office/drawing/2014/main" id="{1ACB4AF6-ECA3-49C7-8482-C8F851C23174}"/>
            </a:ext>
          </a:extLst>
        </xdr:cNvPr>
        <xdr:cNvSpPr>
          <a:spLocks noChangeArrowheads="1"/>
        </xdr:cNvSpPr>
      </xdr:nvSpPr>
      <xdr:spPr bwMode="auto">
        <a:xfrm>
          <a:off x="6673980" y="13603902"/>
          <a:ext cx="382296" cy="32734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69</xdr:row>
      <xdr:rowOff>9719</xdr:rowOff>
    </xdr:from>
    <xdr:to>
      <xdr:col>23</xdr:col>
      <xdr:colOff>9719</xdr:colOff>
      <xdr:row>71</xdr:row>
      <xdr:rowOff>0</xdr:rowOff>
    </xdr:to>
    <xdr:sp macro="" textlink="">
      <xdr:nvSpPr>
        <xdr:cNvPr id="1600" name="AutoShape 46">
          <a:extLst>
            <a:ext uri="{FF2B5EF4-FFF2-40B4-BE49-F238E27FC236}">
              <a16:creationId xmlns:a16="http://schemas.microsoft.com/office/drawing/2014/main" id="{251FA4A7-631B-416E-A829-F61B51E04689}"/>
            </a:ext>
          </a:extLst>
        </xdr:cNvPr>
        <xdr:cNvSpPr>
          <a:spLocks noChangeArrowheads="1"/>
        </xdr:cNvSpPr>
      </xdr:nvSpPr>
      <xdr:spPr bwMode="auto">
        <a:xfrm>
          <a:off x="7075714" y="13947321"/>
          <a:ext cx="349898" cy="37905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69</xdr:row>
      <xdr:rowOff>57150</xdr:rowOff>
    </xdr:from>
    <xdr:to>
      <xdr:col>25</xdr:col>
      <xdr:colOff>0</xdr:colOff>
      <xdr:row>71</xdr:row>
      <xdr:rowOff>0</xdr:rowOff>
    </xdr:to>
    <xdr:sp macro="" textlink="">
      <xdr:nvSpPr>
        <xdr:cNvPr id="1601" name="AutoShape 46">
          <a:extLst>
            <a:ext uri="{FF2B5EF4-FFF2-40B4-BE49-F238E27FC236}">
              <a16:creationId xmlns:a16="http://schemas.microsoft.com/office/drawing/2014/main" id="{012A2531-296A-42EC-9B18-B3B6FEDCBC53}"/>
            </a:ext>
          </a:extLst>
        </xdr:cNvPr>
        <xdr:cNvSpPr>
          <a:spLocks noChangeArrowheads="1"/>
        </xdr:cNvSpPr>
      </xdr:nvSpPr>
      <xdr:spPr bwMode="auto">
        <a:xfrm>
          <a:off x="71818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272143</xdr:colOff>
      <xdr:row>69</xdr:row>
      <xdr:rowOff>48597</xdr:rowOff>
    </xdr:from>
    <xdr:to>
      <xdr:col>27</xdr:col>
      <xdr:colOff>9720</xdr:colOff>
      <xdr:row>71</xdr:row>
      <xdr:rowOff>0</xdr:rowOff>
    </xdr:to>
    <xdr:sp macro="" textlink="">
      <xdr:nvSpPr>
        <xdr:cNvPr id="1602" name="AutoShape 46">
          <a:extLst>
            <a:ext uri="{FF2B5EF4-FFF2-40B4-BE49-F238E27FC236}">
              <a16:creationId xmlns:a16="http://schemas.microsoft.com/office/drawing/2014/main" id="{510C340B-6259-41CD-8302-A7BD8F27DD4D}"/>
            </a:ext>
          </a:extLst>
        </xdr:cNvPr>
        <xdr:cNvSpPr>
          <a:spLocks noChangeArrowheads="1"/>
        </xdr:cNvSpPr>
      </xdr:nvSpPr>
      <xdr:spPr bwMode="auto">
        <a:xfrm>
          <a:off x="8310077" y="13986199"/>
          <a:ext cx="359617" cy="34017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69</xdr:row>
      <xdr:rowOff>19439</xdr:rowOff>
    </xdr:from>
    <xdr:to>
      <xdr:col>28</xdr:col>
      <xdr:colOff>330459</xdr:colOff>
      <xdr:row>71</xdr:row>
      <xdr:rowOff>0</xdr:rowOff>
    </xdr:to>
    <xdr:sp macro="" textlink="">
      <xdr:nvSpPr>
        <xdr:cNvPr id="1603" name="AutoShape 46">
          <a:extLst>
            <a:ext uri="{FF2B5EF4-FFF2-40B4-BE49-F238E27FC236}">
              <a16:creationId xmlns:a16="http://schemas.microsoft.com/office/drawing/2014/main" id="{26BFE20B-8DB2-4E0B-8E69-6C8F8ADC683D}"/>
            </a:ext>
          </a:extLst>
        </xdr:cNvPr>
        <xdr:cNvSpPr>
          <a:spLocks noChangeArrowheads="1"/>
        </xdr:cNvSpPr>
      </xdr:nvSpPr>
      <xdr:spPr bwMode="auto">
        <a:xfrm>
          <a:off x="8970995" y="13957041"/>
          <a:ext cx="330459" cy="3693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69</xdr:row>
      <xdr:rowOff>58316</xdr:rowOff>
    </xdr:from>
    <xdr:to>
      <xdr:col>31</xdr:col>
      <xdr:colOff>9720</xdr:colOff>
      <xdr:row>71</xdr:row>
      <xdr:rowOff>0</xdr:rowOff>
    </xdr:to>
    <xdr:sp macro="" textlink="">
      <xdr:nvSpPr>
        <xdr:cNvPr id="1604" name="AutoShape 46">
          <a:extLst>
            <a:ext uri="{FF2B5EF4-FFF2-40B4-BE49-F238E27FC236}">
              <a16:creationId xmlns:a16="http://schemas.microsoft.com/office/drawing/2014/main" id="{4FEC9E6E-43C9-4CB2-BF8E-55CEF6B3A14F}"/>
            </a:ext>
          </a:extLst>
        </xdr:cNvPr>
        <xdr:cNvSpPr>
          <a:spLocks noChangeArrowheads="1"/>
        </xdr:cNvSpPr>
      </xdr:nvSpPr>
      <xdr:spPr bwMode="auto">
        <a:xfrm>
          <a:off x="9593036" y="13995918"/>
          <a:ext cx="349898" cy="33046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69</xdr:row>
      <xdr:rowOff>57150</xdr:rowOff>
    </xdr:from>
    <xdr:to>
      <xdr:col>33</xdr:col>
      <xdr:colOff>0</xdr:colOff>
      <xdr:row>71</xdr:row>
      <xdr:rowOff>0</xdr:rowOff>
    </xdr:to>
    <xdr:sp macro="" textlink="">
      <xdr:nvSpPr>
        <xdr:cNvPr id="1605" name="AutoShape 46">
          <a:extLst>
            <a:ext uri="{FF2B5EF4-FFF2-40B4-BE49-F238E27FC236}">
              <a16:creationId xmlns:a16="http://schemas.microsoft.com/office/drawing/2014/main" id="{5D926653-E43C-418E-A593-198C82984E31}"/>
            </a:ext>
          </a:extLst>
        </xdr:cNvPr>
        <xdr:cNvSpPr>
          <a:spLocks noChangeArrowheads="1"/>
        </xdr:cNvSpPr>
      </xdr:nvSpPr>
      <xdr:spPr bwMode="auto">
        <a:xfrm>
          <a:off x="9525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1</xdr:colOff>
      <xdr:row>69</xdr:row>
      <xdr:rowOff>9719</xdr:rowOff>
    </xdr:from>
    <xdr:to>
      <xdr:col>35</xdr:col>
      <xdr:colOff>1</xdr:colOff>
      <xdr:row>70</xdr:row>
      <xdr:rowOff>184669</xdr:rowOff>
    </xdr:to>
    <xdr:sp macro="" textlink="">
      <xdr:nvSpPr>
        <xdr:cNvPr id="1606" name="AutoShape 46">
          <a:extLst>
            <a:ext uri="{FF2B5EF4-FFF2-40B4-BE49-F238E27FC236}">
              <a16:creationId xmlns:a16="http://schemas.microsoft.com/office/drawing/2014/main" id="{5213BB20-FA3C-412C-9131-7A30E2EB032E}"/>
            </a:ext>
          </a:extLst>
        </xdr:cNvPr>
        <xdr:cNvSpPr>
          <a:spLocks noChangeArrowheads="1"/>
        </xdr:cNvSpPr>
      </xdr:nvSpPr>
      <xdr:spPr bwMode="auto">
        <a:xfrm>
          <a:off x="10866277" y="13947321"/>
          <a:ext cx="340178" cy="3693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69</xdr:row>
      <xdr:rowOff>57150</xdr:rowOff>
    </xdr:from>
    <xdr:to>
      <xdr:col>37</xdr:col>
      <xdr:colOff>0</xdr:colOff>
      <xdr:row>71</xdr:row>
      <xdr:rowOff>0</xdr:rowOff>
    </xdr:to>
    <xdr:sp macro="" textlink="">
      <xdr:nvSpPr>
        <xdr:cNvPr id="1607" name="AutoShape 46">
          <a:extLst>
            <a:ext uri="{FF2B5EF4-FFF2-40B4-BE49-F238E27FC236}">
              <a16:creationId xmlns:a16="http://schemas.microsoft.com/office/drawing/2014/main" id="{6349E1A2-F4FD-4014-80EB-1A8D73F90077}"/>
            </a:ext>
          </a:extLst>
        </xdr:cNvPr>
        <xdr:cNvSpPr>
          <a:spLocks noChangeArrowheads="1"/>
        </xdr:cNvSpPr>
      </xdr:nvSpPr>
      <xdr:spPr bwMode="auto">
        <a:xfrm>
          <a:off x="10668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272144</xdr:colOff>
      <xdr:row>69</xdr:row>
      <xdr:rowOff>38878</xdr:rowOff>
    </xdr:from>
    <xdr:to>
      <xdr:col>39</xdr:col>
      <xdr:colOff>1</xdr:colOff>
      <xdr:row>71</xdr:row>
      <xdr:rowOff>0</xdr:rowOff>
    </xdr:to>
    <xdr:sp macro="" textlink="">
      <xdr:nvSpPr>
        <xdr:cNvPr id="1608" name="AutoShape 46">
          <a:extLst>
            <a:ext uri="{FF2B5EF4-FFF2-40B4-BE49-F238E27FC236}">
              <a16:creationId xmlns:a16="http://schemas.microsoft.com/office/drawing/2014/main" id="{87184922-A229-4995-BCD7-641C7CA48390}"/>
            </a:ext>
          </a:extLst>
        </xdr:cNvPr>
        <xdr:cNvSpPr>
          <a:spLocks noChangeArrowheads="1"/>
        </xdr:cNvSpPr>
      </xdr:nvSpPr>
      <xdr:spPr bwMode="auto">
        <a:xfrm>
          <a:off x="12149236" y="13976480"/>
          <a:ext cx="349898" cy="3498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69</xdr:row>
      <xdr:rowOff>48596</xdr:rowOff>
    </xdr:from>
    <xdr:to>
      <xdr:col>41</xdr:col>
      <xdr:colOff>9720</xdr:colOff>
      <xdr:row>70</xdr:row>
      <xdr:rowOff>194387</xdr:rowOff>
    </xdr:to>
    <xdr:sp macro="" textlink="">
      <xdr:nvSpPr>
        <xdr:cNvPr id="1609" name="AutoShape 46">
          <a:extLst>
            <a:ext uri="{FF2B5EF4-FFF2-40B4-BE49-F238E27FC236}">
              <a16:creationId xmlns:a16="http://schemas.microsoft.com/office/drawing/2014/main" id="{143978B8-C389-4928-AE7D-DC53DA4FCFE7}"/>
            </a:ext>
          </a:extLst>
        </xdr:cNvPr>
        <xdr:cNvSpPr>
          <a:spLocks noChangeArrowheads="1"/>
        </xdr:cNvSpPr>
      </xdr:nvSpPr>
      <xdr:spPr bwMode="auto">
        <a:xfrm>
          <a:off x="12780995" y="13986198"/>
          <a:ext cx="349898" cy="34017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69</xdr:row>
      <xdr:rowOff>48596</xdr:rowOff>
    </xdr:from>
    <xdr:to>
      <xdr:col>43</xdr:col>
      <xdr:colOff>0</xdr:colOff>
      <xdr:row>70</xdr:row>
      <xdr:rowOff>194387</xdr:rowOff>
    </xdr:to>
    <xdr:sp macro="" textlink="">
      <xdr:nvSpPr>
        <xdr:cNvPr id="1610" name="AutoShape 46">
          <a:extLst>
            <a:ext uri="{FF2B5EF4-FFF2-40B4-BE49-F238E27FC236}">
              <a16:creationId xmlns:a16="http://schemas.microsoft.com/office/drawing/2014/main" id="{A6FB970C-D69A-4E7A-89E5-6E1BD55E6287}"/>
            </a:ext>
          </a:extLst>
        </xdr:cNvPr>
        <xdr:cNvSpPr>
          <a:spLocks noChangeArrowheads="1"/>
        </xdr:cNvSpPr>
      </xdr:nvSpPr>
      <xdr:spPr bwMode="auto">
        <a:xfrm>
          <a:off x="13403036" y="13986198"/>
          <a:ext cx="340178" cy="34017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69</xdr:row>
      <xdr:rowOff>38878</xdr:rowOff>
    </xdr:from>
    <xdr:to>
      <xdr:col>45</xdr:col>
      <xdr:colOff>0</xdr:colOff>
      <xdr:row>71</xdr:row>
      <xdr:rowOff>0</xdr:rowOff>
    </xdr:to>
    <xdr:sp macro="" textlink="">
      <xdr:nvSpPr>
        <xdr:cNvPr id="1611" name="AutoShape 46">
          <a:extLst>
            <a:ext uri="{FF2B5EF4-FFF2-40B4-BE49-F238E27FC236}">
              <a16:creationId xmlns:a16="http://schemas.microsoft.com/office/drawing/2014/main" id="{185CD31A-50C0-4D0D-9017-F76B48772AF9}"/>
            </a:ext>
          </a:extLst>
        </xdr:cNvPr>
        <xdr:cNvSpPr>
          <a:spLocks noChangeArrowheads="1"/>
        </xdr:cNvSpPr>
      </xdr:nvSpPr>
      <xdr:spPr bwMode="auto">
        <a:xfrm>
          <a:off x="14005638" y="13976480"/>
          <a:ext cx="369336" cy="3498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359616</xdr:colOff>
      <xdr:row>69</xdr:row>
      <xdr:rowOff>58316</xdr:rowOff>
    </xdr:from>
    <xdr:to>
      <xdr:col>11</xdr:col>
      <xdr:colOff>0</xdr:colOff>
      <xdr:row>70</xdr:row>
      <xdr:rowOff>194387</xdr:rowOff>
    </xdr:to>
    <xdr:sp macro="" textlink="">
      <xdr:nvSpPr>
        <xdr:cNvPr id="1612" name="AutoShape 46">
          <a:extLst>
            <a:ext uri="{FF2B5EF4-FFF2-40B4-BE49-F238E27FC236}">
              <a16:creationId xmlns:a16="http://schemas.microsoft.com/office/drawing/2014/main" id="{B57730B8-130D-43F0-AA50-58A66A03F891}"/>
            </a:ext>
          </a:extLst>
        </xdr:cNvPr>
        <xdr:cNvSpPr>
          <a:spLocks noChangeArrowheads="1"/>
        </xdr:cNvSpPr>
      </xdr:nvSpPr>
      <xdr:spPr bwMode="auto">
        <a:xfrm>
          <a:off x="3081045" y="13995918"/>
          <a:ext cx="359618" cy="33045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69</xdr:row>
      <xdr:rowOff>19439</xdr:rowOff>
    </xdr:from>
    <xdr:to>
      <xdr:col>13</xdr:col>
      <xdr:colOff>0</xdr:colOff>
      <xdr:row>71</xdr:row>
      <xdr:rowOff>0</xdr:rowOff>
    </xdr:to>
    <xdr:sp macro="" textlink="">
      <xdr:nvSpPr>
        <xdr:cNvPr id="1613" name="AutoShape 46">
          <a:extLst>
            <a:ext uri="{FF2B5EF4-FFF2-40B4-BE49-F238E27FC236}">
              <a16:creationId xmlns:a16="http://schemas.microsoft.com/office/drawing/2014/main" id="{28F618AF-8161-42F3-8CA5-447E23268045}"/>
            </a:ext>
          </a:extLst>
        </xdr:cNvPr>
        <xdr:cNvSpPr>
          <a:spLocks noChangeArrowheads="1"/>
        </xdr:cNvSpPr>
      </xdr:nvSpPr>
      <xdr:spPr bwMode="auto">
        <a:xfrm>
          <a:off x="3858597" y="13957041"/>
          <a:ext cx="340179" cy="3693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69</xdr:row>
      <xdr:rowOff>57150</xdr:rowOff>
    </xdr:from>
    <xdr:to>
      <xdr:col>15</xdr:col>
      <xdr:colOff>0</xdr:colOff>
      <xdr:row>71</xdr:row>
      <xdr:rowOff>0</xdr:rowOff>
    </xdr:to>
    <xdr:sp macro="" textlink="">
      <xdr:nvSpPr>
        <xdr:cNvPr id="1614" name="AutoShape 46">
          <a:extLst>
            <a:ext uri="{FF2B5EF4-FFF2-40B4-BE49-F238E27FC236}">
              <a16:creationId xmlns:a16="http://schemas.microsoft.com/office/drawing/2014/main" id="{01FB2EC0-8A9C-4B8F-80EE-B95440C4B89A}"/>
            </a:ext>
          </a:extLst>
        </xdr:cNvPr>
        <xdr:cNvSpPr>
          <a:spLocks noChangeArrowheads="1"/>
        </xdr:cNvSpPr>
      </xdr:nvSpPr>
      <xdr:spPr bwMode="auto">
        <a:xfrm>
          <a:off x="4324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1</xdr:colOff>
      <xdr:row>69</xdr:row>
      <xdr:rowOff>19438</xdr:rowOff>
    </xdr:from>
    <xdr:to>
      <xdr:col>9</xdr:col>
      <xdr:colOff>0</xdr:colOff>
      <xdr:row>70</xdr:row>
      <xdr:rowOff>194387</xdr:rowOff>
    </xdr:to>
    <xdr:sp macro="" textlink="">
      <xdr:nvSpPr>
        <xdr:cNvPr id="1615" name="AutoShape 46">
          <a:extLst>
            <a:ext uri="{FF2B5EF4-FFF2-40B4-BE49-F238E27FC236}">
              <a16:creationId xmlns:a16="http://schemas.microsoft.com/office/drawing/2014/main" id="{6AEDF004-2D37-4497-91E9-662FB464FD5D}"/>
            </a:ext>
          </a:extLst>
        </xdr:cNvPr>
        <xdr:cNvSpPr>
          <a:spLocks noChangeArrowheads="1"/>
        </xdr:cNvSpPr>
      </xdr:nvSpPr>
      <xdr:spPr bwMode="auto">
        <a:xfrm>
          <a:off x="2497884" y="13957040"/>
          <a:ext cx="359616" cy="3693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272143</xdr:colOff>
      <xdr:row>69</xdr:row>
      <xdr:rowOff>48598</xdr:rowOff>
    </xdr:from>
    <xdr:to>
      <xdr:col>7</xdr:col>
      <xdr:colOff>9720</xdr:colOff>
      <xdr:row>71</xdr:row>
      <xdr:rowOff>9720</xdr:rowOff>
    </xdr:to>
    <xdr:sp macro="" textlink="">
      <xdr:nvSpPr>
        <xdr:cNvPr id="1616" name="AutoShape 46">
          <a:extLst>
            <a:ext uri="{FF2B5EF4-FFF2-40B4-BE49-F238E27FC236}">
              <a16:creationId xmlns:a16="http://schemas.microsoft.com/office/drawing/2014/main" id="{89637E46-330B-4BC8-9A19-094EEF386AC5}"/>
            </a:ext>
          </a:extLst>
        </xdr:cNvPr>
        <xdr:cNvSpPr>
          <a:spLocks noChangeArrowheads="1"/>
        </xdr:cNvSpPr>
      </xdr:nvSpPr>
      <xdr:spPr bwMode="auto">
        <a:xfrm>
          <a:off x="1836964" y="13986200"/>
          <a:ext cx="359618" cy="3498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69</xdr:row>
      <xdr:rowOff>19439</xdr:rowOff>
    </xdr:from>
    <xdr:to>
      <xdr:col>5</xdr:col>
      <xdr:colOff>0</xdr:colOff>
      <xdr:row>71</xdr:row>
      <xdr:rowOff>0</xdr:rowOff>
    </xdr:to>
    <xdr:sp macro="" textlink="">
      <xdr:nvSpPr>
        <xdr:cNvPr id="1617" name="AutoShape 46">
          <a:extLst>
            <a:ext uri="{FF2B5EF4-FFF2-40B4-BE49-F238E27FC236}">
              <a16:creationId xmlns:a16="http://schemas.microsoft.com/office/drawing/2014/main" id="{CF55016C-82AF-4102-BB19-A125EA46A1BD}"/>
            </a:ext>
          </a:extLst>
        </xdr:cNvPr>
        <xdr:cNvSpPr>
          <a:spLocks noChangeArrowheads="1"/>
        </xdr:cNvSpPr>
      </xdr:nvSpPr>
      <xdr:spPr bwMode="auto">
        <a:xfrm>
          <a:off x="1088571" y="13957041"/>
          <a:ext cx="340179" cy="3693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69</xdr:row>
      <xdr:rowOff>32398</xdr:rowOff>
    </xdr:from>
    <xdr:to>
      <xdr:col>3</xdr:col>
      <xdr:colOff>0</xdr:colOff>
      <xdr:row>71</xdr:row>
      <xdr:rowOff>0</xdr:rowOff>
    </xdr:to>
    <xdr:sp macro="" textlink="">
      <xdr:nvSpPr>
        <xdr:cNvPr id="1618" name="AutoShape 46">
          <a:extLst>
            <a:ext uri="{FF2B5EF4-FFF2-40B4-BE49-F238E27FC236}">
              <a16:creationId xmlns:a16="http://schemas.microsoft.com/office/drawing/2014/main" id="{6968CCDA-6454-49DF-B9ED-4558AF9932DC}"/>
            </a:ext>
          </a:extLst>
        </xdr:cNvPr>
        <xdr:cNvSpPr>
          <a:spLocks noChangeArrowheads="1"/>
        </xdr:cNvSpPr>
      </xdr:nvSpPr>
      <xdr:spPr bwMode="auto">
        <a:xfrm>
          <a:off x="408214" y="13587704"/>
          <a:ext cx="408215" cy="34341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19" name="Group 1008">
          <a:extLst>
            <a:ext uri="{FF2B5EF4-FFF2-40B4-BE49-F238E27FC236}">
              <a16:creationId xmlns:a16="http://schemas.microsoft.com/office/drawing/2014/main" id="{45790824-167B-4E27-BB0A-02EC12365635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20" name="Straight Connector 1619">
            <a:extLst>
              <a:ext uri="{FF2B5EF4-FFF2-40B4-BE49-F238E27FC236}">
                <a16:creationId xmlns:a16="http://schemas.microsoft.com/office/drawing/2014/main" id="{75BF7156-DA49-165D-E978-6550ECB087C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21" name="Straight Connector 529">
            <a:extLst>
              <a:ext uri="{FF2B5EF4-FFF2-40B4-BE49-F238E27FC236}">
                <a16:creationId xmlns:a16="http://schemas.microsoft.com/office/drawing/2014/main" id="{3EEC58C9-1DC2-78BC-A85A-5816A1EBDDB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2" name="Straight Connector 531">
            <a:extLst>
              <a:ext uri="{FF2B5EF4-FFF2-40B4-BE49-F238E27FC236}">
                <a16:creationId xmlns:a16="http://schemas.microsoft.com/office/drawing/2014/main" id="{368733FF-BB60-AFD0-FFAA-DEFCE0A32D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3" name="Straight Connector 533">
            <a:extLst>
              <a:ext uri="{FF2B5EF4-FFF2-40B4-BE49-F238E27FC236}">
                <a16:creationId xmlns:a16="http://schemas.microsoft.com/office/drawing/2014/main" id="{FAB07650-C8D1-105D-C8B7-E37EFA323F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4" name="Straight Connector 535">
            <a:extLst>
              <a:ext uri="{FF2B5EF4-FFF2-40B4-BE49-F238E27FC236}">
                <a16:creationId xmlns:a16="http://schemas.microsoft.com/office/drawing/2014/main" id="{0ADA7320-03AE-A739-F3D0-B9E7CC93B6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5" name="Straight Connector 537">
            <a:extLst>
              <a:ext uri="{FF2B5EF4-FFF2-40B4-BE49-F238E27FC236}">
                <a16:creationId xmlns:a16="http://schemas.microsoft.com/office/drawing/2014/main" id="{DDF0AE8E-32B3-D2B1-F819-3A52EFF1711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26" name="Group 1008">
          <a:extLst>
            <a:ext uri="{FF2B5EF4-FFF2-40B4-BE49-F238E27FC236}">
              <a16:creationId xmlns:a16="http://schemas.microsoft.com/office/drawing/2014/main" id="{34D06ACE-0A62-4284-B253-0205BA45EF66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27" name="Straight Connector 1626">
            <a:extLst>
              <a:ext uri="{FF2B5EF4-FFF2-40B4-BE49-F238E27FC236}">
                <a16:creationId xmlns:a16="http://schemas.microsoft.com/office/drawing/2014/main" id="{E16CA342-F7C4-F5A2-4130-40A2158D08F6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28" name="Straight Connector 529">
            <a:extLst>
              <a:ext uri="{FF2B5EF4-FFF2-40B4-BE49-F238E27FC236}">
                <a16:creationId xmlns:a16="http://schemas.microsoft.com/office/drawing/2014/main" id="{AC33F525-9752-205E-4D3B-9324C196E26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9" name="Straight Connector 531">
            <a:extLst>
              <a:ext uri="{FF2B5EF4-FFF2-40B4-BE49-F238E27FC236}">
                <a16:creationId xmlns:a16="http://schemas.microsoft.com/office/drawing/2014/main" id="{5063B063-DA84-934C-EF42-3041BA6890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0" name="Straight Connector 533">
            <a:extLst>
              <a:ext uri="{FF2B5EF4-FFF2-40B4-BE49-F238E27FC236}">
                <a16:creationId xmlns:a16="http://schemas.microsoft.com/office/drawing/2014/main" id="{D65EE565-FE1D-E633-2596-F89623265E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1" name="Straight Connector 535">
            <a:extLst>
              <a:ext uri="{FF2B5EF4-FFF2-40B4-BE49-F238E27FC236}">
                <a16:creationId xmlns:a16="http://schemas.microsoft.com/office/drawing/2014/main" id="{82DC887A-5F0F-E60D-9F32-B21DBEAB06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2" name="Straight Connector 537">
            <a:extLst>
              <a:ext uri="{FF2B5EF4-FFF2-40B4-BE49-F238E27FC236}">
                <a16:creationId xmlns:a16="http://schemas.microsoft.com/office/drawing/2014/main" id="{9AF63293-30DB-9B0D-50C6-EA574B4322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133350</xdr:rowOff>
    </xdr:from>
    <xdr:to>
      <xdr:col>6</xdr:col>
      <xdr:colOff>0</xdr:colOff>
      <xdr:row>81</xdr:row>
      <xdr:rowOff>47625</xdr:rowOff>
    </xdr:to>
    <xdr:grpSp>
      <xdr:nvGrpSpPr>
        <xdr:cNvPr id="1633" name="Group 1008">
          <a:extLst>
            <a:ext uri="{FF2B5EF4-FFF2-40B4-BE49-F238E27FC236}">
              <a16:creationId xmlns:a16="http://schemas.microsoft.com/office/drawing/2014/main" id="{04893577-E2F1-4239-A585-E7D747C0E0D0}"/>
            </a:ext>
          </a:extLst>
        </xdr:cNvPr>
        <xdr:cNvGrpSpPr>
          <a:grpSpLocks/>
        </xdr:cNvGrpSpPr>
      </xdr:nvGrpSpPr>
      <xdr:grpSpPr bwMode="auto">
        <a:xfrm>
          <a:off x="1807806" y="15885238"/>
          <a:ext cx="0" cy="102183"/>
          <a:chOff x="5475762" y="47760700"/>
          <a:chExt cx="314325" cy="230209"/>
        </a:xfrm>
      </xdr:grpSpPr>
      <xdr:cxnSp macro="">
        <xdr:nvCxnSpPr>
          <xdr:cNvPr id="1634" name="Straight Connector 1633">
            <a:extLst>
              <a:ext uri="{FF2B5EF4-FFF2-40B4-BE49-F238E27FC236}">
                <a16:creationId xmlns:a16="http://schemas.microsoft.com/office/drawing/2014/main" id="{AAF4544D-6A87-3B6B-6E2D-63DC4E172AC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35" name="Straight Connector 529">
            <a:extLst>
              <a:ext uri="{FF2B5EF4-FFF2-40B4-BE49-F238E27FC236}">
                <a16:creationId xmlns:a16="http://schemas.microsoft.com/office/drawing/2014/main" id="{BB2CCA6E-F9E3-E997-6354-A575F0E0D07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6" name="Straight Connector 531">
            <a:extLst>
              <a:ext uri="{FF2B5EF4-FFF2-40B4-BE49-F238E27FC236}">
                <a16:creationId xmlns:a16="http://schemas.microsoft.com/office/drawing/2014/main" id="{2B3249C8-6C7C-F14F-C9F8-A43A251F705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7" name="Straight Connector 533">
            <a:extLst>
              <a:ext uri="{FF2B5EF4-FFF2-40B4-BE49-F238E27FC236}">
                <a16:creationId xmlns:a16="http://schemas.microsoft.com/office/drawing/2014/main" id="{1BF0B466-9A28-D4EE-96B2-DA32EC6C50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8" name="Straight Connector 535">
            <a:extLst>
              <a:ext uri="{FF2B5EF4-FFF2-40B4-BE49-F238E27FC236}">
                <a16:creationId xmlns:a16="http://schemas.microsoft.com/office/drawing/2014/main" id="{0D84449C-EE75-7487-9235-7E1E8E8295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9" name="Straight Connector 537">
            <a:extLst>
              <a:ext uri="{FF2B5EF4-FFF2-40B4-BE49-F238E27FC236}">
                <a16:creationId xmlns:a16="http://schemas.microsoft.com/office/drawing/2014/main" id="{03A73CCE-5BF2-BDA5-DB56-17564C117F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133350</xdr:rowOff>
    </xdr:from>
    <xdr:to>
      <xdr:col>6</xdr:col>
      <xdr:colOff>0</xdr:colOff>
      <xdr:row>81</xdr:row>
      <xdr:rowOff>57150</xdr:rowOff>
    </xdr:to>
    <xdr:grpSp>
      <xdr:nvGrpSpPr>
        <xdr:cNvPr id="1640" name="Group 1008">
          <a:extLst>
            <a:ext uri="{FF2B5EF4-FFF2-40B4-BE49-F238E27FC236}">
              <a16:creationId xmlns:a16="http://schemas.microsoft.com/office/drawing/2014/main" id="{BE2F2C9C-8354-4639-82F1-DAD9285C1EF0}"/>
            </a:ext>
          </a:extLst>
        </xdr:cNvPr>
        <xdr:cNvGrpSpPr>
          <a:grpSpLocks/>
        </xdr:cNvGrpSpPr>
      </xdr:nvGrpSpPr>
      <xdr:grpSpPr bwMode="auto">
        <a:xfrm>
          <a:off x="1807806" y="15885238"/>
          <a:ext cx="0" cy="111708"/>
          <a:chOff x="5475762" y="47760700"/>
          <a:chExt cx="314325" cy="230209"/>
        </a:xfrm>
      </xdr:grpSpPr>
      <xdr:cxnSp macro="">
        <xdr:nvCxnSpPr>
          <xdr:cNvPr id="1641" name="Straight Connector 1640">
            <a:extLst>
              <a:ext uri="{FF2B5EF4-FFF2-40B4-BE49-F238E27FC236}">
                <a16:creationId xmlns:a16="http://schemas.microsoft.com/office/drawing/2014/main" id="{D28B0CD9-FD88-683D-1F56-4100F0133CB9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42" name="Straight Connector 529">
            <a:extLst>
              <a:ext uri="{FF2B5EF4-FFF2-40B4-BE49-F238E27FC236}">
                <a16:creationId xmlns:a16="http://schemas.microsoft.com/office/drawing/2014/main" id="{9AAB9317-2143-2860-C687-E999097198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3" name="Straight Connector 531">
            <a:extLst>
              <a:ext uri="{FF2B5EF4-FFF2-40B4-BE49-F238E27FC236}">
                <a16:creationId xmlns:a16="http://schemas.microsoft.com/office/drawing/2014/main" id="{F471C962-19A2-7A5D-70CF-255477CD1C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4" name="Straight Connector 533">
            <a:extLst>
              <a:ext uri="{FF2B5EF4-FFF2-40B4-BE49-F238E27FC236}">
                <a16:creationId xmlns:a16="http://schemas.microsoft.com/office/drawing/2014/main" id="{D8DC27ED-AC55-8A80-673C-59C8276290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5" name="Straight Connector 535">
            <a:extLst>
              <a:ext uri="{FF2B5EF4-FFF2-40B4-BE49-F238E27FC236}">
                <a16:creationId xmlns:a16="http://schemas.microsoft.com/office/drawing/2014/main" id="{27A9A53E-60A9-C445-C8AD-EB70397A7B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6" name="Straight Connector 537">
            <a:extLst>
              <a:ext uri="{FF2B5EF4-FFF2-40B4-BE49-F238E27FC236}">
                <a16:creationId xmlns:a16="http://schemas.microsoft.com/office/drawing/2014/main" id="{9A63536D-2405-B735-4448-7779A96458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47" name="Group 1008">
          <a:extLst>
            <a:ext uri="{FF2B5EF4-FFF2-40B4-BE49-F238E27FC236}">
              <a16:creationId xmlns:a16="http://schemas.microsoft.com/office/drawing/2014/main" id="{D806294C-5AB0-4F9D-989B-DE2B58777361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48" name="Straight Connector 1647">
            <a:extLst>
              <a:ext uri="{FF2B5EF4-FFF2-40B4-BE49-F238E27FC236}">
                <a16:creationId xmlns:a16="http://schemas.microsoft.com/office/drawing/2014/main" id="{7C2E56FC-C6CB-4DE4-751A-A7D06608C03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49" name="Straight Connector 529">
            <a:extLst>
              <a:ext uri="{FF2B5EF4-FFF2-40B4-BE49-F238E27FC236}">
                <a16:creationId xmlns:a16="http://schemas.microsoft.com/office/drawing/2014/main" id="{7F072C99-296B-F32D-5173-03B5B4F67C6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0" name="Straight Connector 531">
            <a:extLst>
              <a:ext uri="{FF2B5EF4-FFF2-40B4-BE49-F238E27FC236}">
                <a16:creationId xmlns:a16="http://schemas.microsoft.com/office/drawing/2014/main" id="{6F2E3900-C5D2-9925-140F-2582EBB844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1" name="Straight Connector 533">
            <a:extLst>
              <a:ext uri="{FF2B5EF4-FFF2-40B4-BE49-F238E27FC236}">
                <a16:creationId xmlns:a16="http://schemas.microsoft.com/office/drawing/2014/main" id="{DF1073EC-FA41-D786-DAD4-5E6D76F631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2" name="Straight Connector 535">
            <a:extLst>
              <a:ext uri="{FF2B5EF4-FFF2-40B4-BE49-F238E27FC236}">
                <a16:creationId xmlns:a16="http://schemas.microsoft.com/office/drawing/2014/main" id="{1E76646C-1CC4-AF6B-3A06-1BA51AF884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3" name="Straight Connector 537">
            <a:extLst>
              <a:ext uri="{FF2B5EF4-FFF2-40B4-BE49-F238E27FC236}">
                <a16:creationId xmlns:a16="http://schemas.microsoft.com/office/drawing/2014/main" id="{DB1088BD-A510-ABF9-54FF-18AEC6F6D37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54" name="Group 1008">
          <a:extLst>
            <a:ext uri="{FF2B5EF4-FFF2-40B4-BE49-F238E27FC236}">
              <a16:creationId xmlns:a16="http://schemas.microsoft.com/office/drawing/2014/main" id="{20EA36ED-669E-4605-A5CE-F3660BD7E44E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55" name="Straight Connector 1654">
            <a:extLst>
              <a:ext uri="{FF2B5EF4-FFF2-40B4-BE49-F238E27FC236}">
                <a16:creationId xmlns:a16="http://schemas.microsoft.com/office/drawing/2014/main" id="{D82D13EC-D3DB-C01A-FB64-DD47B458CB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56" name="Straight Connector 529">
            <a:extLst>
              <a:ext uri="{FF2B5EF4-FFF2-40B4-BE49-F238E27FC236}">
                <a16:creationId xmlns:a16="http://schemas.microsoft.com/office/drawing/2014/main" id="{16C2206E-1ADF-2370-4AFD-D44FFA204E1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7" name="Straight Connector 531">
            <a:extLst>
              <a:ext uri="{FF2B5EF4-FFF2-40B4-BE49-F238E27FC236}">
                <a16:creationId xmlns:a16="http://schemas.microsoft.com/office/drawing/2014/main" id="{0034F2B2-925B-9AEC-00DA-E521988AE3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8" name="Straight Connector 533">
            <a:extLst>
              <a:ext uri="{FF2B5EF4-FFF2-40B4-BE49-F238E27FC236}">
                <a16:creationId xmlns:a16="http://schemas.microsoft.com/office/drawing/2014/main" id="{B45C273E-0620-5B39-9B97-AFC7CE2DA7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9" name="Straight Connector 535">
            <a:extLst>
              <a:ext uri="{FF2B5EF4-FFF2-40B4-BE49-F238E27FC236}">
                <a16:creationId xmlns:a16="http://schemas.microsoft.com/office/drawing/2014/main" id="{500C02D1-7A65-B014-78E7-49E166EB4BA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0" name="Straight Connector 537">
            <a:extLst>
              <a:ext uri="{FF2B5EF4-FFF2-40B4-BE49-F238E27FC236}">
                <a16:creationId xmlns:a16="http://schemas.microsoft.com/office/drawing/2014/main" id="{DF75E26D-B5D6-E748-BB35-72B1083EF1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61" name="Group 1008">
          <a:extLst>
            <a:ext uri="{FF2B5EF4-FFF2-40B4-BE49-F238E27FC236}">
              <a16:creationId xmlns:a16="http://schemas.microsoft.com/office/drawing/2014/main" id="{17264920-9927-42D0-8499-92A363DECF1C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62" name="Straight Connector 1661">
            <a:extLst>
              <a:ext uri="{FF2B5EF4-FFF2-40B4-BE49-F238E27FC236}">
                <a16:creationId xmlns:a16="http://schemas.microsoft.com/office/drawing/2014/main" id="{E078F505-CFF1-BD84-BE61-39CA3D4048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63" name="Straight Connector 529">
            <a:extLst>
              <a:ext uri="{FF2B5EF4-FFF2-40B4-BE49-F238E27FC236}">
                <a16:creationId xmlns:a16="http://schemas.microsoft.com/office/drawing/2014/main" id="{F223D9CD-3EE3-96FC-0CBC-B09D4771F4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4" name="Straight Connector 531">
            <a:extLst>
              <a:ext uri="{FF2B5EF4-FFF2-40B4-BE49-F238E27FC236}">
                <a16:creationId xmlns:a16="http://schemas.microsoft.com/office/drawing/2014/main" id="{53F35EC9-E06D-6C60-8907-3C62329F32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5" name="Straight Connector 533">
            <a:extLst>
              <a:ext uri="{FF2B5EF4-FFF2-40B4-BE49-F238E27FC236}">
                <a16:creationId xmlns:a16="http://schemas.microsoft.com/office/drawing/2014/main" id="{C77C4F14-44B6-6704-1F00-FA26FC8332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6" name="Straight Connector 535">
            <a:extLst>
              <a:ext uri="{FF2B5EF4-FFF2-40B4-BE49-F238E27FC236}">
                <a16:creationId xmlns:a16="http://schemas.microsoft.com/office/drawing/2014/main" id="{F8C73F0E-31C8-566F-8DE2-4A7F3E8B2A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7" name="Straight Connector 537">
            <a:extLst>
              <a:ext uri="{FF2B5EF4-FFF2-40B4-BE49-F238E27FC236}">
                <a16:creationId xmlns:a16="http://schemas.microsoft.com/office/drawing/2014/main" id="{4E15734C-9089-8EA6-5652-A5E82AC2D5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68" name="Group 1008">
          <a:extLst>
            <a:ext uri="{FF2B5EF4-FFF2-40B4-BE49-F238E27FC236}">
              <a16:creationId xmlns:a16="http://schemas.microsoft.com/office/drawing/2014/main" id="{195B2EEB-05AA-453F-BF39-51CB62219385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69" name="Straight Connector 1668">
            <a:extLst>
              <a:ext uri="{FF2B5EF4-FFF2-40B4-BE49-F238E27FC236}">
                <a16:creationId xmlns:a16="http://schemas.microsoft.com/office/drawing/2014/main" id="{FF8F7BD2-2070-10AA-B6A0-7B4D257041B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70" name="Straight Connector 529">
            <a:extLst>
              <a:ext uri="{FF2B5EF4-FFF2-40B4-BE49-F238E27FC236}">
                <a16:creationId xmlns:a16="http://schemas.microsoft.com/office/drawing/2014/main" id="{D75E47D8-4CA9-6E3A-06DA-FF49B4854D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1" name="Straight Connector 531">
            <a:extLst>
              <a:ext uri="{FF2B5EF4-FFF2-40B4-BE49-F238E27FC236}">
                <a16:creationId xmlns:a16="http://schemas.microsoft.com/office/drawing/2014/main" id="{464246B2-8BC0-97C5-8A25-CBB184855A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2" name="Straight Connector 533">
            <a:extLst>
              <a:ext uri="{FF2B5EF4-FFF2-40B4-BE49-F238E27FC236}">
                <a16:creationId xmlns:a16="http://schemas.microsoft.com/office/drawing/2014/main" id="{176E7567-7D54-22C2-1FED-37E1F07C1F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3" name="Straight Connector 535">
            <a:extLst>
              <a:ext uri="{FF2B5EF4-FFF2-40B4-BE49-F238E27FC236}">
                <a16:creationId xmlns:a16="http://schemas.microsoft.com/office/drawing/2014/main" id="{10DF3142-099F-F9D5-5285-94856366B1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4" name="Straight Connector 537">
            <a:extLst>
              <a:ext uri="{FF2B5EF4-FFF2-40B4-BE49-F238E27FC236}">
                <a16:creationId xmlns:a16="http://schemas.microsoft.com/office/drawing/2014/main" id="{0B0E135B-3B5B-C7DE-56B5-6CCC99CDA2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75" name="Group 1008">
          <a:extLst>
            <a:ext uri="{FF2B5EF4-FFF2-40B4-BE49-F238E27FC236}">
              <a16:creationId xmlns:a16="http://schemas.microsoft.com/office/drawing/2014/main" id="{1A52A28A-B4B2-4762-894D-C5270A98F267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76" name="Straight Connector 1675">
            <a:extLst>
              <a:ext uri="{FF2B5EF4-FFF2-40B4-BE49-F238E27FC236}">
                <a16:creationId xmlns:a16="http://schemas.microsoft.com/office/drawing/2014/main" id="{27CC1648-40B9-F116-1A19-3363FCCB5A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77" name="Straight Connector 529">
            <a:extLst>
              <a:ext uri="{FF2B5EF4-FFF2-40B4-BE49-F238E27FC236}">
                <a16:creationId xmlns:a16="http://schemas.microsoft.com/office/drawing/2014/main" id="{6DEC00C6-9F04-CB93-2B22-F3094B6800F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8" name="Straight Connector 531">
            <a:extLst>
              <a:ext uri="{FF2B5EF4-FFF2-40B4-BE49-F238E27FC236}">
                <a16:creationId xmlns:a16="http://schemas.microsoft.com/office/drawing/2014/main" id="{DA0278AA-1544-8338-8027-617CA1C771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9" name="Straight Connector 533">
            <a:extLst>
              <a:ext uri="{FF2B5EF4-FFF2-40B4-BE49-F238E27FC236}">
                <a16:creationId xmlns:a16="http://schemas.microsoft.com/office/drawing/2014/main" id="{AD4326EE-85FF-44E5-83E1-26017534FC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0" name="Straight Connector 535">
            <a:extLst>
              <a:ext uri="{FF2B5EF4-FFF2-40B4-BE49-F238E27FC236}">
                <a16:creationId xmlns:a16="http://schemas.microsoft.com/office/drawing/2014/main" id="{9EE440F7-667B-7807-E2A0-F9B1578431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1" name="Straight Connector 537">
            <a:extLst>
              <a:ext uri="{FF2B5EF4-FFF2-40B4-BE49-F238E27FC236}">
                <a16:creationId xmlns:a16="http://schemas.microsoft.com/office/drawing/2014/main" id="{22CF0CA9-DB0D-B78F-7A8A-FE6B09FA586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82" name="Group 1008">
          <a:extLst>
            <a:ext uri="{FF2B5EF4-FFF2-40B4-BE49-F238E27FC236}">
              <a16:creationId xmlns:a16="http://schemas.microsoft.com/office/drawing/2014/main" id="{6A365CF8-E1B0-4A2F-80A9-AC3EBB35E4B9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83" name="Straight Connector 1682">
            <a:extLst>
              <a:ext uri="{FF2B5EF4-FFF2-40B4-BE49-F238E27FC236}">
                <a16:creationId xmlns:a16="http://schemas.microsoft.com/office/drawing/2014/main" id="{F8F8C4F3-0C17-A1BE-4B13-1F2B0671BC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84" name="Straight Connector 529">
            <a:extLst>
              <a:ext uri="{FF2B5EF4-FFF2-40B4-BE49-F238E27FC236}">
                <a16:creationId xmlns:a16="http://schemas.microsoft.com/office/drawing/2014/main" id="{A6820E3A-0ACA-957B-74D6-0317A618CC0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5" name="Straight Connector 531">
            <a:extLst>
              <a:ext uri="{FF2B5EF4-FFF2-40B4-BE49-F238E27FC236}">
                <a16:creationId xmlns:a16="http://schemas.microsoft.com/office/drawing/2014/main" id="{68144AEC-281C-8C04-5FE6-44B6CAE73A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6" name="Straight Connector 533">
            <a:extLst>
              <a:ext uri="{FF2B5EF4-FFF2-40B4-BE49-F238E27FC236}">
                <a16:creationId xmlns:a16="http://schemas.microsoft.com/office/drawing/2014/main" id="{FA0BCFDF-D6CA-1768-3289-6A41B464E5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7" name="Straight Connector 535">
            <a:extLst>
              <a:ext uri="{FF2B5EF4-FFF2-40B4-BE49-F238E27FC236}">
                <a16:creationId xmlns:a16="http://schemas.microsoft.com/office/drawing/2014/main" id="{7C799378-A10F-C503-9BBE-0FEB3E03B2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8" name="Straight Connector 537">
            <a:extLst>
              <a:ext uri="{FF2B5EF4-FFF2-40B4-BE49-F238E27FC236}">
                <a16:creationId xmlns:a16="http://schemas.microsoft.com/office/drawing/2014/main" id="{8D2CA01D-225B-721C-5A0B-CEA839443F8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89" name="Group 1008">
          <a:extLst>
            <a:ext uri="{FF2B5EF4-FFF2-40B4-BE49-F238E27FC236}">
              <a16:creationId xmlns:a16="http://schemas.microsoft.com/office/drawing/2014/main" id="{0D070766-1CC9-4349-A75A-9EB980FA99C6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90" name="Straight Connector 1689">
            <a:extLst>
              <a:ext uri="{FF2B5EF4-FFF2-40B4-BE49-F238E27FC236}">
                <a16:creationId xmlns:a16="http://schemas.microsoft.com/office/drawing/2014/main" id="{3CAEE328-52B6-FD95-8973-D8E5F0E78A6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91" name="Straight Connector 529">
            <a:extLst>
              <a:ext uri="{FF2B5EF4-FFF2-40B4-BE49-F238E27FC236}">
                <a16:creationId xmlns:a16="http://schemas.microsoft.com/office/drawing/2014/main" id="{84052B28-0727-011B-68D7-254198A528E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2" name="Straight Connector 531">
            <a:extLst>
              <a:ext uri="{FF2B5EF4-FFF2-40B4-BE49-F238E27FC236}">
                <a16:creationId xmlns:a16="http://schemas.microsoft.com/office/drawing/2014/main" id="{71FBBF42-7642-DE37-2B5F-578CCA1166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3" name="Straight Connector 533">
            <a:extLst>
              <a:ext uri="{FF2B5EF4-FFF2-40B4-BE49-F238E27FC236}">
                <a16:creationId xmlns:a16="http://schemas.microsoft.com/office/drawing/2014/main" id="{0574A790-F042-D7C5-94B7-474D6819FC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4" name="Straight Connector 535">
            <a:extLst>
              <a:ext uri="{FF2B5EF4-FFF2-40B4-BE49-F238E27FC236}">
                <a16:creationId xmlns:a16="http://schemas.microsoft.com/office/drawing/2014/main" id="{5DD08D66-EDC6-BEDF-E1A8-ECC15E7277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5" name="Straight Connector 537">
            <a:extLst>
              <a:ext uri="{FF2B5EF4-FFF2-40B4-BE49-F238E27FC236}">
                <a16:creationId xmlns:a16="http://schemas.microsoft.com/office/drawing/2014/main" id="{11FDBA09-A7C8-4FD9-2CC7-6C90B5E91D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96" name="Group 1008">
          <a:extLst>
            <a:ext uri="{FF2B5EF4-FFF2-40B4-BE49-F238E27FC236}">
              <a16:creationId xmlns:a16="http://schemas.microsoft.com/office/drawing/2014/main" id="{2818E53C-15F0-4C94-BBD6-EAD06E607E16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97" name="Straight Connector 1696">
            <a:extLst>
              <a:ext uri="{FF2B5EF4-FFF2-40B4-BE49-F238E27FC236}">
                <a16:creationId xmlns:a16="http://schemas.microsoft.com/office/drawing/2014/main" id="{F10DED29-0036-62E1-1FF8-30812B5756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98" name="Straight Connector 529">
            <a:extLst>
              <a:ext uri="{FF2B5EF4-FFF2-40B4-BE49-F238E27FC236}">
                <a16:creationId xmlns:a16="http://schemas.microsoft.com/office/drawing/2014/main" id="{EF071BA0-727A-52FD-A7E5-F9FA8B0F1C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9" name="Straight Connector 531">
            <a:extLst>
              <a:ext uri="{FF2B5EF4-FFF2-40B4-BE49-F238E27FC236}">
                <a16:creationId xmlns:a16="http://schemas.microsoft.com/office/drawing/2014/main" id="{5D95C927-1646-795E-4D27-7CD8AA4F6D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0" name="Straight Connector 533">
            <a:extLst>
              <a:ext uri="{FF2B5EF4-FFF2-40B4-BE49-F238E27FC236}">
                <a16:creationId xmlns:a16="http://schemas.microsoft.com/office/drawing/2014/main" id="{EEAA3708-42F8-0331-D0A3-D4AB77E569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1" name="Straight Connector 535">
            <a:extLst>
              <a:ext uri="{FF2B5EF4-FFF2-40B4-BE49-F238E27FC236}">
                <a16:creationId xmlns:a16="http://schemas.microsoft.com/office/drawing/2014/main" id="{EDAF29E3-171D-4706-2645-9C1FC77365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2" name="Straight Connector 537">
            <a:extLst>
              <a:ext uri="{FF2B5EF4-FFF2-40B4-BE49-F238E27FC236}">
                <a16:creationId xmlns:a16="http://schemas.microsoft.com/office/drawing/2014/main" id="{D06E1C59-4513-0A9C-FE8E-47F2A19C28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03" name="Group 1008">
          <a:extLst>
            <a:ext uri="{FF2B5EF4-FFF2-40B4-BE49-F238E27FC236}">
              <a16:creationId xmlns:a16="http://schemas.microsoft.com/office/drawing/2014/main" id="{E7FA06DE-339A-4553-8125-B72B3662556B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04" name="Straight Connector 1703">
            <a:extLst>
              <a:ext uri="{FF2B5EF4-FFF2-40B4-BE49-F238E27FC236}">
                <a16:creationId xmlns:a16="http://schemas.microsoft.com/office/drawing/2014/main" id="{065AF07C-88E4-2A6A-B6AA-DA4E37FC97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05" name="Straight Connector 529">
            <a:extLst>
              <a:ext uri="{FF2B5EF4-FFF2-40B4-BE49-F238E27FC236}">
                <a16:creationId xmlns:a16="http://schemas.microsoft.com/office/drawing/2014/main" id="{21519A90-3057-F548-5A90-379AB96006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6" name="Straight Connector 531">
            <a:extLst>
              <a:ext uri="{FF2B5EF4-FFF2-40B4-BE49-F238E27FC236}">
                <a16:creationId xmlns:a16="http://schemas.microsoft.com/office/drawing/2014/main" id="{EC8414F4-A986-618E-D753-CEEDCF48D6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7" name="Straight Connector 533">
            <a:extLst>
              <a:ext uri="{FF2B5EF4-FFF2-40B4-BE49-F238E27FC236}">
                <a16:creationId xmlns:a16="http://schemas.microsoft.com/office/drawing/2014/main" id="{F99E53ED-9FA8-B62E-D33B-715B53A95C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8" name="Straight Connector 535">
            <a:extLst>
              <a:ext uri="{FF2B5EF4-FFF2-40B4-BE49-F238E27FC236}">
                <a16:creationId xmlns:a16="http://schemas.microsoft.com/office/drawing/2014/main" id="{7BA482A8-5A38-16CD-4AFD-B26A783079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9" name="Straight Connector 537">
            <a:extLst>
              <a:ext uri="{FF2B5EF4-FFF2-40B4-BE49-F238E27FC236}">
                <a16:creationId xmlns:a16="http://schemas.microsoft.com/office/drawing/2014/main" id="{3AB2035D-C13C-F8FC-C977-7450A1661A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10" name="Group 1008">
          <a:extLst>
            <a:ext uri="{FF2B5EF4-FFF2-40B4-BE49-F238E27FC236}">
              <a16:creationId xmlns:a16="http://schemas.microsoft.com/office/drawing/2014/main" id="{8BD845E1-AFC7-48AC-AA82-ABC732EF1AA8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11" name="Straight Connector 1710">
            <a:extLst>
              <a:ext uri="{FF2B5EF4-FFF2-40B4-BE49-F238E27FC236}">
                <a16:creationId xmlns:a16="http://schemas.microsoft.com/office/drawing/2014/main" id="{BCA7E5E4-181B-CF65-928A-221BFF229D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12" name="Straight Connector 529">
            <a:extLst>
              <a:ext uri="{FF2B5EF4-FFF2-40B4-BE49-F238E27FC236}">
                <a16:creationId xmlns:a16="http://schemas.microsoft.com/office/drawing/2014/main" id="{5DFBAA4F-47E0-EFF2-0535-DFDEA64556E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3" name="Straight Connector 531">
            <a:extLst>
              <a:ext uri="{FF2B5EF4-FFF2-40B4-BE49-F238E27FC236}">
                <a16:creationId xmlns:a16="http://schemas.microsoft.com/office/drawing/2014/main" id="{2D3C1CA6-146E-124B-50E9-E89572B9A5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4" name="Straight Connector 533">
            <a:extLst>
              <a:ext uri="{FF2B5EF4-FFF2-40B4-BE49-F238E27FC236}">
                <a16:creationId xmlns:a16="http://schemas.microsoft.com/office/drawing/2014/main" id="{F7044A8B-2233-65B2-4E49-74BF1FD889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5" name="Straight Connector 535">
            <a:extLst>
              <a:ext uri="{FF2B5EF4-FFF2-40B4-BE49-F238E27FC236}">
                <a16:creationId xmlns:a16="http://schemas.microsoft.com/office/drawing/2014/main" id="{AFDD2DB1-2CEB-851C-CDF7-996C387FB9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6" name="Straight Connector 537">
            <a:extLst>
              <a:ext uri="{FF2B5EF4-FFF2-40B4-BE49-F238E27FC236}">
                <a16:creationId xmlns:a16="http://schemas.microsoft.com/office/drawing/2014/main" id="{AE3F0FAE-4752-DC55-A289-101EA4EB6A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17" name="Group 1008">
          <a:extLst>
            <a:ext uri="{FF2B5EF4-FFF2-40B4-BE49-F238E27FC236}">
              <a16:creationId xmlns:a16="http://schemas.microsoft.com/office/drawing/2014/main" id="{630902D1-910C-4C9C-A35A-B48ED04B74D7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18" name="Straight Connector 1717">
            <a:extLst>
              <a:ext uri="{FF2B5EF4-FFF2-40B4-BE49-F238E27FC236}">
                <a16:creationId xmlns:a16="http://schemas.microsoft.com/office/drawing/2014/main" id="{74D0CECA-1210-FBB9-CB5F-4913AB125BC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19" name="Straight Connector 529">
            <a:extLst>
              <a:ext uri="{FF2B5EF4-FFF2-40B4-BE49-F238E27FC236}">
                <a16:creationId xmlns:a16="http://schemas.microsoft.com/office/drawing/2014/main" id="{13236C9C-B24A-77AF-DFDA-C7C4B6985E1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0" name="Straight Connector 531">
            <a:extLst>
              <a:ext uri="{FF2B5EF4-FFF2-40B4-BE49-F238E27FC236}">
                <a16:creationId xmlns:a16="http://schemas.microsoft.com/office/drawing/2014/main" id="{90228316-BE75-6DF4-A78E-9620EA1DEA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1" name="Straight Connector 533">
            <a:extLst>
              <a:ext uri="{FF2B5EF4-FFF2-40B4-BE49-F238E27FC236}">
                <a16:creationId xmlns:a16="http://schemas.microsoft.com/office/drawing/2014/main" id="{672A2E39-B59F-DFB5-FBE3-FAB1345C940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2" name="Straight Connector 535">
            <a:extLst>
              <a:ext uri="{FF2B5EF4-FFF2-40B4-BE49-F238E27FC236}">
                <a16:creationId xmlns:a16="http://schemas.microsoft.com/office/drawing/2014/main" id="{8B84C44F-6810-F3A1-2A90-C57081484C4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3" name="Straight Connector 537">
            <a:extLst>
              <a:ext uri="{FF2B5EF4-FFF2-40B4-BE49-F238E27FC236}">
                <a16:creationId xmlns:a16="http://schemas.microsoft.com/office/drawing/2014/main" id="{8E641FA6-EF32-B397-276B-AEC0480F51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24" name="Group 1008">
          <a:extLst>
            <a:ext uri="{FF2B5EF4-FFF2-40B4-BE49-F238E27FC236}">
              <a16:creationId xmlns:a16="http://schemas.microsoft.com/office/drawing/2014/main" id="{97876BB8-7468-4187-917E-7398CB852B5F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25" name="Straight Connector 1724">
            <a:extLst>
              <a:ext uri="{FF2B5EF4-FFF2-40B4-BE49-F238E27FC236}">
                <a16:creationId xmlns:a16="http://schemas.microsoft.com/office/drawing/2014/main" id="{04431FAE-5F78-EBA4-FF5D-EE3B9E95289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26" name="Straight Connector 529">
            <a:extLst>
              <a:ext uri="{FF2B5EF4-FFF2-40B4-BE49-F238E27FC236}">
                <a16:creationId xmlns:a16="http://schemas.microsoft.com/office/drawing/2014/main" id="{54AC8556-8113-4B04-0226-6446103785F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7" name="Straight Connector 531">
            <a:extLst>
              <a:ext uri="{FF2B5EF4-FFF2-40B4-BE49-F238E27FC236}">
                <a16:creationId xmlns:a16="http://schemas.microsoft.com/office/drawing/2014/main" id="{6D57301B-0386-1BC1-AB16-D740A1B18F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8" name="Straight Connector 533">
            <a:extLst>
              <a:ext uri="{FF2B5EF4-FFF2-40B4-BE49-F238E27FC236}">
                <a16:creationId xmlns:a16="http://schemas.microsoft.com/office/drawing/2014/main" id="{13D916D3-5468-622F-2AAF-B5891F1BC9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9" name="Straight Connector 535">
            <a:extLst>
              <a:ext uri="{FF2B5EF4-FFF2-40B4-BE49-F238E27FC236}">
                <a16:creationId xmlns:a16="http://schemas.microsoft.com/office/drawing/2014/main" id="{2A3EFDDA-F1FC-047D-3A72-13084E96A3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0" name="Straight Connector 537">
            <a:extLst>
              <a:ext uri="{FF2B5EF4-FFF2-40B4-BE49-F238E27FC236}">
                <a16:creationId xmlns:a16="http://schemas.microsoft.com/office/drawing/2014/main" id="{24F8D72A-DCB9-C6B0-692B-FF69DB50AD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31" name="Group 1008">
          <a:extLst>
            <a:ext uri="{FF2B5EF4-FFF2-40B4-BE49-F238E27FC236}">
              <a16:creationId xmlns:a16="http://schemas.microsoft.com/office/drawing/2014/main" id="{8B39C2F7-A87D-416A-B2BE-9CEAEF3572A1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32" name="Straight Connector 1731">
            <a:extLst>
              <a:ext uri="{FF2B5EF4-FFF2-40B4-BE49-F238E27FC236}">
                <a16:creationId xmlns:a16="http://schemas.microsoft.com/office/drawing/2014/main" id="{329FA2EE-6D82-F23D-52D0-5E08752CFDE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33" name="Straight Connector 529">
            <a:extLst>
              <a:ext uri="{FF2B5EF4-FFF2-40B4-BE49-F238E27FC236}">
                <a16:creationId xmlns:a16="http://schemas.microsoft.com/office/drawing/2014/main" id="{981F0F56-2AE1-1217-48F0-E40ACE9C040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4" name="Straight Connector 531">
            <a:extLst>
              <a:ext uri="{FF2B5EF4-FFF2-40B4-BE49-F238E27FC236}">
                <a16:creationId xmlns:a16="http://schemas.microsoft.com/office/drawing/2014/main" id="{A8AD39A4-7929-FC8D-EFD6-249E80B55D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5" name="Straight Connector 533">
            <a:extLst>
              <a:ext uri="{FF2B5EF4-FFF2-40B4-BE49-F238E27FC236}">
                <a16:creationId xmlns:a16="http://schemas.microsoft.com/office/drawing/2014/main" id="{922857A6-B34C-E7E9-3828-9A31C38B6D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6" name="Straight Connector 535">
            <a:extLst>
              <a:ext uri="{FF2B5EF4-FFF2-40B4-BE49-F238E27FC236}">
                <a16:creationId xmlns:a16="http://schemas.microsoft.com/office/drawing/2014/main" id="{07DF2FD0-4DB1-FFA2-1271-51DA53D04B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7" name="Straight Connector 537">
            <a:extLst>
              <a:ext uri="{FF2B5EF4-FFF2-40B4-BE49-F238E27FC236}">
                <a16:creationId xmlns:a16="http://schemas.microsoft.com/office/drawing/2014/main" id="{12D5AF3A-4C1D-03F7-00E3-D3EDDFA46A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38" name="Group 1008">
          <a:extLst>
            <a:ext uri="{FF2B5EF4-FFF2-40B4-BE49-F238E27FC236}">
              <a16:creationId xmlns:a16="http://schemas.microsoft.com/office/drawing/2014/main" id="{88B58B93-6E9B-4A34-83DD-3364489376D3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39" name="Straight Connector 1738">
            <a:extLst>
              <a:ext uri="{FF2B5EF4-FFF2-40B4-BE49-F238E27FC236}">
                <a16:creationId xmlns:a16="http://schemas.microsoft.com/office/drawing/2014/main" id="{3B3AF57E-ED28-80D9-EF41-7B04679579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40" name="Straight Connector 529">
            <a:extLst>
              <a:ext uri="{FF2B5EF4-FFF2-40B4-BE49-F238E27FC236}">
                <a16:creationId xmlns:a16="http://schemas.microsoft.com/office/drawing/2014/main" id="{5CD057D4-6083-B2E6-47B8-B365ED6BC7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1" name="Straight Connector 531">
            <a:extLst>
              <a:ext uri="{FF2B5EF4-FFF2-40B4-BE49-F238E27FC236}">
                <a16:creationId xmlns:a16="http://schemas.microsoft.com/office/drawing/2014/main" id="{598684E5-1655-FD45-0830-539A1F48A2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2" name="Straight Connector 533">
            <a:extLst>
              <a:ext uri="{FF2B5EF4-FFF2-40B4-BE49-F238E27FC236}">
                <a16:creationId xmlns:a16="http://schemas.microsoft.com/office/drawing/2014/main" id="{23C5293B-5C7B-8323-D314-1E03BB2E1B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3" name="Straight Connector 535">
            <a:extLst>
              <a:ext uri="{FF2B5EF4-FFF2-40B4-BE49-F238E27FC236}">
                <a16:creationId xmlns:a16="http://schemas.microsoft.com/office/drawing/2014/main" id="{E1C91440-9AA1-5610-F3CE-57373FF5E3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4" name="Straight Connector 537">
            <a:extLst>
              <a:ext uri="{FF2B5EF4-FFF2-40B4-BE49-F238E27FC236}">
                <a16:creationId xmlns:a16="http://schemas.microsoft.com/office/drawing/2014/main" id="{6C6F7E76-A921-AB23-843D-77FABE4998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45" name="Group 1008">
          <a:extLst>
            <a:ext uri="{FF2B5EF4-FFF2-40B4-BE49-F238E27FC236}">
              <a16:creationId xmlns:a16="http://schemas.microsoft.com/office/drawing/2014/main" id="{0940DD91-89E3-4313-A551-5B189AB841BF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46" name="Straight Connector 1745">
            <a:extLst>
              <a:ext uri="{FF2B5EF4-FFF2-40B4-BE49-F238E27FC236}">
                <a16:creationId xmlns:a16="http://schemas.microsoft.com/office/drawing/2014/main" id="{5F6D52D0-F2A9-B03D-511A-0E395CFCD3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47" name="Straight Connector 529">
            <a:extLst>
              <a:ext uri="{FF2B5EF4-FFF2-40B4-BE49-F238E27FC236}">
                <a16:creationId xmlns:a16="http://schemas.microsoft.com/office/drawing/2014/main" id="{4F8F2DA2-B832-00C2-EE8F-E6629CCF8A0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8" name="Straight Connector 531">
            <a:extLst>
              <a:ext uri="{FF2B5EF4-FFF2-40B4-BE49-F238E27FC236}">
                <a16:creationId xmlns:a16="http://schemas.microsoft.com/office/drawing/2014/main" id="{A1908ABE-8A8D-A740-EDF7-FECAD5F84E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9" name="Straight Connector 533">
            <a:extLst>
              <a:ext uri="{FF2B5EF4-FFF2-40B4-BE49-F238E27FC236}">
                <a16:creationId xmlns:a16="http://schemas.microsoft.com/office/drawing/2014/main" id="{B26034BA-0E5B-72C0-8676-CF683756DC2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0" name="Straight Connector 535">
            <a:extLst>
              <a:ext uri="{FF2B5EF4-FFF2-40B4-BE49-F238E27FC236}">
                <a16:creationId xmlns:a16="http://schemas.microsoft.com/office/drawing/2014/main" id="{BE4D030E-A3C4-4070-CD34-BFC7067EC1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1" name="Straight Connector 537">
            <a:extLst>
              <a:ext uri="{FF2B5EF4-FFF2-40B4-BE49-F238E27FC236}">
                <a16:creationId xmlns:a16="http://schemas.microsoft.com/office/drawing/2014/main" id="{C571032E-D5CE-4C90-C1EA-DADE04E8F5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52" name="Group 1008">
          <a:extLst>
            <a:ext uri="{FF2B5EF4-FFF2-40B4-BE49-F238E27FC236}">
              <a16:creationId xmlns:a16="http://schemas.microsoft.com/office/drawing/2014/main" id="{8834E817-915A-4F2C-B2B5-6B355E45F35E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53" name="Straight Connector 1752">
            <a:extLst>
              <a:ext uri="{FF2B5EF4-FFF2-40B4-BE49-F238E27FC236}">
                <a16:creationId xmlns:a16="http://schemas.microsoft.com/office/drawing/2014/main" id="{99FC3568-8190-298B-39E3-59946F4F3F3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54" name="Straight Connector 529">
            <a:extLst>
              <a:ext uri="{FF2B5EF4-FFF2-40B4-BE49-F238E27FC236}">
                <a16:creationId xmlns:a16="http://schemas.microsoft.com/office/drawing/2014/main" id="{AFA16C40-1D49-FFB2-2C9E-05317D666C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5" name="Straight Connector 531">
            <a:extLst>
              <a:ext uri="{FF2B5EF4-FFF2-40B4-BE49-F238E27FC236}">
                <a16:creationId xmlns:a16="http://schemas.microsoft.com/office/drawing/2014/main" id="{02F35DC8-117F-7325-12B1-58F9DB8A35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6" name="Straight Connector 533">
            <a:extLst>
              <a:ext uri="{FF2B5EF4-FFF2-40B4-BE49-F238E27FC236}">
                <a16:creationId xmlns:a16="http://schemas.microsoft.com/office/drawing/2014/main" id="{193096AC-E3C7-D992-A037-B3E502AEF7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7" name="Straight Connector 535">
            <a:extLst>
              <a:ext uri="{FF2B5EF4-FFF2-40B4-BE49-F238E27FC236}">
                <a16:creationId xmlns:a16="http://schemas.microsoft.com/office/drawing/2014/main" id="{8E39495B-6B7B-5AB4-4A4D-C38FA4D3744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8" name="Straight Connector 537">
            <a:extLst>
              <a:ext uri="{FF2B5EF4-FFF2-40B4-BE49-F238E27FC236}">
                <a16:creationId xmlns:a16="http://schemas.microsoft.com/office/drawing/2014/main" id="{09DA8FEE-2D4A-156D-8DC2-EDE420AC1D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59" name="Group 1008">
          <a:extLst>
            <a:ext uri="{FF2B5EF4-FFF2-40B4-BE49-F238E27FC236}">
              <a16:creationId xmlns:a16="http://schemas.microsoft.com/office/drawing/2014/main" id="{A4F856C3-C74A-4096-9B15-18385D0BE086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60" name="Straight Connector 1759">
            <a:extLst>
              <a:ext uri="{FF2B5EF4-FFF2-40B4-BE49-F238E27FC236}">
                <a16:creationId xmlns:a16="http://schemas.microsoft.com/office/drawing/2014/main" id="{CFE74825-5362-643A-EA4D-D40096C2B3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61" name="Straight Connector 529">
            <a:extLst>
              <a:ext uri="{FF2B5EF4-FFF2-40B4-BE49-F238E27FC236}">
                <a16:creationId xmlns:a16="http://schemas.microsoft.com/office/drawing/2014/main" id="{843CC46D-09DB-D353-FA58-27E65A87676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2" name="Straight Connector 531">
            <a:extLst>
              <a:ext uri="{FF2B5EF4-FFF2-40B4-BE49-F238E27FC236}">
                <a16:creationId xmlns:a16="http://schemas.microsoft.com/office/drawing/2014/main" id="{CAC6D16C-A34F-DE2D-4254-7CD2C75E23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3" name="Straight Connector 533">
            <a:extLst>
              <a:ext uri="{FF2B5EF4-FFF2-40B4-BE49-F238E27FC236}">
                <a16:creationId xmlns:a16="http://schemas.microsoft.com/office/drawing/2014/main" id="{2B81C71D-2CAE-AA37-3B24-88C730766C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4" name="Straight Connector 535">
            <a:extLst>
              <a:ext uri="{FF2B5EF4-FFF2-40B4-BE49-F238E27FC236}">
                <a16:creationId xmlns:a16="http://schemas.microsoft.com/office/drawing/2014/main" id="{12B1151B-B500-89F2-EDE1-0649EAA28E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5" name="Straight Connector 537">
            <a:extLst>
              <a:ext uri="{FF2B5EF4-FFF2-40B4-BE49-F238E27FC236}">
                <a16:creationId xmlns:a16="http://schemas.microsoft.com/office/drawing/2014/main" id="{20D4E431-0C59-52F1-0A26-4734FF1B16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66" name="Group 1008">
          <a:extLst>
            <a:ext uri="{FF2B5EF4-FFF2-40B4-BE49-F238E27FC236}">
              <a16:creationId xmlns:a16="http://schemas.microsoft.com/office/drawing/2014/main" id="{90EC4EC2-75DC-4528-96BC-237D603B2DF6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67" name="Straight Connector 1766">
            <a:extLst>
              <a:ext uri="{FF2B5EF4-FFF2-40B4-BE49-F238E27FC236}">
                <a16:creationId xmlns:a16="http://schemas.microsoft.com/office/drawing/2014/main" id="{0D0ADCB8-5A99-755A-92A7-7DBAB62A27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68" name="Straight Connector 529">
            <a:extLst>
              <a:ext uri="{FF2B5EF4-FFF2-40B4-BE49-F238E27FC236}">
                <a16:creationId xmlns:a16="http://schemas.microsoft.com/office/drawing/2014/main" id="{162BAA0D-2287-CD10-2071-DDA11B8F7A5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9" name="Straight Connector 531">
            <a:extLst>
              <a:ext uri="{FF2B5EF4-FFF2-40B4-BE49-F238E27FC236}">
                <a16:creationId xmlns:a16="http://schemas.microsoft.com/office/drawing/2014/main" id="{2B686776-5056-92B3-8A8D-F0571579E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0" name="Straight Connector 533">
            <a:extLst>
              <a:ext uri="{FF2B5EF4-FFF2-40B4-BE49-F238E27FC236}">
                <a16:creationId xmlns:a16="http://schemas.microsoft.com/office/drawing/2014/main" id="{1A450720-F5C3-0C8F-D0CD-F0D6AF4E80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1" name="Straight Connector 535">
            <a:extLst>
              <a:ext uri="{FF2B5EF4-FFF2-40B4-BE49-F238E27FC236}">
                <a16:creationId xmlns:a16="http://schemas.microsoft.com/office/drawing/2014/main" id="{27C3DB66-B588-8487-C1AB-60E99FC42D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2" name="Straight Connector 537">
            <a:extLst>
              <a:ext uri="{FF2B5EF4-FFF2-40B4-BE49-F238E27FC236}">
                <a16:creationId xmlns:a16="http://schemas.microsoft.com/office/drawing/2014/main" id="{0BD70971-896A-0D6B-A6EF-793C15543B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73" name="Group 1008">
          <a:extLst>
            <a:ext uri="{FF2B5EF4-FFF2-40B4-BE49-F238E27FC236}">
              <a16:creationId xmlns:a16="http://schemas.microsoft.com/office/drawing/2014/main" id="{FAB5B3FC-B068-4C4D-8436-A5EA58B4DE0E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74" name="Straight Connector 1773">
            <a:extLst>
              <a:ext uri="{FF2B5EF4-FFF2-40B4-BE49-F238E27FC236}">
                <a16:creationId xmlns:a16="http://schemas.microsoft.com/office/drawing/2014/main" id="{D1F77859-60B7-3866-E435-3DA1992990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75" name="Straight Connector 529">
            <a:extLst>
              <a:ext uri="{FF2B5EF4-FFF2-40B4-BE49-F238E27FC236}">
                <a16:creationId xmlns:a16="http://schemas.microsoft.com/office/drawing/2014/main" id="{0CA52686-10A3-D7C4-A148-5D96BD37754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6" name="Straight Connector 531">
            <a:extLst>
              <a:ext uri="{FF2B5EF4-FFF2-40B4-BE49-F238E27FC236}">
                <a16:creationId xmlns:a16="http://schemas.microsoft.com/office/drawing/2014/main" id="{81A8628B-1F3C-EA05-3824-A8F282EEA2E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7" name="Straight Connector 533">
            <a:extLst>
              <a:ext uri="{FF2B5EF4-FFF2-40B4-BE49-F238E27FC236}">
                <a16:creationId xmlns:a16="http://schemas.microsoft.com/office/drawing/2014/main" id="{F5008E29-57EA-3C3A-FAA6-213C29A38F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8" name="Straight Connector 535">
            <a:extLst>
              <a:ext uri="{FF2B5EF4-FFF2-40B4-BE49-F238E27FC236}">
                <a16:creationId xmlns:a16="http://schemas.microsoft.com/office/drawing/2014/main" id="{014CA51F-E335-E53D-9EB1-B8C1DF622E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9" name="Straight Connector 537">
            <a:extLst>
              <a:ext uri="{FF2B5EF4-FFF2-40B4-BE49-F238E27FC236}">
                <a16:creationId xmlns:a16="http://schemas.microsoft.com/office/drawing/2014/main" id="{D55719E1-A371-9059-A4E1-68AD15E48C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80" name="Group 1008">
          <a:extLst>
            <a:ext uri="{FF2B5EF4-FFF2-40B4-BE49-F238E27FC236}">
              <a16:creationId xmlns:a16="http://schemas.microsoft.com/office/drawing/2014/main" id="{68D6B61A-9C33-4F7A-AE0A-DBEBC93BA161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81" name="Straight Connector 1780">
            <a:extLst>
              <a:ext uri="{FF2B5EF4-FFF2-40B4-BE49-F238E27FC236}">
                <a16:creationId xmlns:a16="http://schemas.microsoft.com/office/drawing/2014/main" id="{B32EE3CD-1BC8-128D-0C29-52C63DF7A94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82" name="Straight Connector 529">
            <a:extLst>
              <a:ext uri="{FF2B5EF4-FFF2-40B4-BE49-F238E27FC236}">
                <a16:creationId xmlns:a16="http://schemas.microsoft.com/office/drawing/2014/main" id="{D4316666-E74A-CF14-50BE-3CEDC7C5FB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3" name="Straight Connector 531">
            <a:extLst>
              <a:ext uri="{FF2B5EF4-FFF2-40B4-BE49-F238E27FC236}">
                <a16:creationId xmlns:a16="http://schemas.microsoft.com/office/drawing/2014/main" id="{8CEE163A-8A76-51FA-8F0B-402AEBDBEC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4" name="Straight Connector 533">
            <a:extLst>
              <a:ext uri="{FF2B5EF4-FFF2-40B4-BE49-F238E27FC236}">
                <a16:creationId xmlns:a16="http://schemas.microsoft.com/office/drawing/2014/main" id="{073A948A-DD4F-B769-80A0-8CE3C8CC6C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5" name="Straight Connector 535">
            <a:extLst>
              <a:ext uri="{FF2B5EF4-FFF2-40B4-BE49-F238E27FC236}">
                <a16:creationId xmlns:a16="http://schemas.microsoft.com/office/drawing/2014/main" id="{BE2EF857-DC80-CF44-A46A-73C81D4FE2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6" name="Straight Connector 537">
            <a:extLst>
              <a:ext uri="{FF2B5EF4-FFF2-40B4-BE49-F238E27FC236}">
                <a16:creationId xmlns:a16="http://schemas.microsoft.com/office/drawing/2014/main" id="{378B1AD3-37B4-A2C4-3B3A-985AE41859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87" name="Group 1008">
          <a:extLst>
            <a:ext uri="{FF2B5EF4-FFF2-40B4-BE49-F238E27FC236}">
              <a16:creationId xmlns:a16="http://schemas.microsoft.com/office/drawing/2014/main" id="{1F5F137B-6376-4D66-AD7C-90A87ACA42D9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88" name="Straight Connector 1787">
            <a:extLst>
              <a:ext uri="{FF2B5EF4-FFF2-40B4-BE49-F238E27FC236}">
                <a16:creationId xmlns:a16="http://schemas.microsoft.com/office/drawing/2014/main" id="{CD42E068-E292-1FB3-EF46-FAEE7F88825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89" name="Straight Connector 529">
            <a:extLst>
              <a:ext uri="{FF2B5EF4-FFF2-40B4-BE49-F238E27FC236}">
                <a16:creationId xmlns:a16="http://schemas.microsoft.com/office/drawing/2014/main" id="{BBF87D21-2013-59EB-5BAC-235764AC005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0" name="Straight Connector 531">
            <a:extLst>
              <a:ext uri="{FF2B5EF4-FFF2-40B4-BE49-F238E27FC236}">
                <a16:creationId xmlns:a16="http://schemas.microsoft.com/office/drawing/2014/main" id="{9915384D-8FC5-5229-0C4E-A4A139D324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1" name="Straight Connector 533">
            <a:extLst>
              <a:ext uri="{FF2B5EF4-FFF2-40B4-BE49-F238E27FC236}">
                <a16:creationId xmlns:a16="http://schemas.microsoft.com/office/drawing/2014/main" id="{2C6785E5-B13D-43E8-0A33-B438A419CED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2" name="Straight Connector 535">
            <a:extLst>
              <a:ext uri="{FF2B5EF4-FFF2-40B4-BE49-F238E27FC236}">
                <a16:creationId xmlns:a16="http://schemas.microsoft.com/office/drawing/2014/main" id="{028A5839-84D5-3852-B138-FA3BA3AD0E7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3" name="Straight Connector 537">
            <a:extLst>
              <a:ext uri="{FF2B5EF4-FFF2-40B4-BE49-F238E27FC236}">
                <a16:creationId xmlns:a16="http://schemas.microsoft.com/office/drawing/2014/main" id="{D227134D-5B4D-9317-F816-D027BA56CA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94" name="Group 1008">
          <a:extLst>
            <a:ext uri="{FF2B5EF4-FFF2-40B4-BE49-F238E27FC236}">
              <a16:creationId xmlns:a16="http://schemas.microsoft.com/office/drawing/2014/main" id="{B0BB94FD-9726-4641-965F-F0EFB60B8E85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95" name="Straight Connector 1794">
            <a:extLst>
              <a:ext uri="{FF2B5EF4-FFF2-40B4-BE49-F238E27FC236}">
                <a16:creationId xmlns:a16="http://schemas.microsoft.com/office/drawing/2014/main" id="{3F89DAE5-FD47-0114-0B50-26BB62ADBE8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96" name="Straight Connector 529">
            <a:extLst>
              <a:ext uri="{FF2B5EF4-FFF2-40B4-BE49-F238E27FC236}">
                <a16:creationId xmlns:a16="http://schemas.microsoft.com/office/drawing/2014/main" id="{E12D50FC-82BE-D130-C19F-163A706E2F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7" name="Straight Connector 531">
            <a:extLst>
              <a:ext uri="{FF2B5EF4-FFF2-40B4-BE49-F238E27FC236}">
                <a16:creationId xmlns:a16="http://schemas.microsoft.com/office/drawing/2014/main" id="{AA2B6401-600D-65ED-BEAB-86562DE77F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8" name="Straight Connector 533">
            <a:extLst>
              <a:ext uri="{FF2B5EF4-FFF2-40B4-BE49-F238E27FC236}">
                <a16:creationId xmlns:a16="http://schemas.microsoft.com/office/drawing/2014/main" id="{4F6C9A30-9092-55B4-57BB-5374C6110C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9" name="Straight Connector 535">
            <a:extLst>
              <a:ext uri="{FF2B5EF4-FFF2-40B4-BE49-F238E27FC236}">
                <a16:creationId xmlns:a16="http://schemas.microsoft.com/office/drawing/2014/main" id="{E9EE4EE8-6726-6191-C938-6369DFBE6C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00" name="Straight Connector 537">
            <a:extLst>
              <a:ext uri="{FF2B5EF4-FFF2-40B4-BE49-F238E27FC236}">
                <a16:creationId xmlns:a16="http://schemas.microsoft.com/office/drawing/2014/main" id="{BCEAD20A-B089-DB3E-6994-8A07DCCDC3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77</xdr:row>
      <xdr:rowOff>57150</xdr:rowOff>
    </xdr:from>
    <xdr:to>
      <xdr:col>17</xdr:col>
      <xdr:colOff>0</xdr:colOff>
      <xdr:row>79</xdr:row>
      <xdr:rowOff>0</xdr:rowOff>
    </xdr:to>
    <xdr:sp macro="" textlink="">
      <xdr:nvSpPr>
        <xdr:cNvPr id="1801" name="AutoShape 46">
          <a:extLst>
            <a:ext uri="{FF2B5EF4-FFF2-40B4-BE49-F238E27FC236}">
              <a16:creationId xmlns:a16="http://schemas.microsoft.com/office/drawing/2014/main" id="{55354885-1BBF-4EEF-A2A3-3FB6369F496A}"/>
            </a:ext>
          </a:extLst>
        </xdr:cNvPr>
        <xdr:cNvSpPr>
          <a:spLocks noChangeArrowheads="1"/>
        </xdr:cNvSpPr>
      </xdr:nvSpPr>
      <xdr:spPr bwMode="auto">
        <a:xfrm>
          <a:off x="4895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77</xdr:row>
      <xdr:rowOff>57150</xdr:rowOff>
    </xdr:from>
    <xdr:to>
      <xdr:col>19</xdr:col>
      <xdr:colOff>0</xdr:colOff>
      <xdr:row>79</xdr:row>
      <xdr:rowOff>0</xdr:rowOff>
    </xdr:to>
    <xdr:sp macro="" textlink="">
      <xdr:nvSpPr>
        <xdr:cNvPr id="1802" name="AutoShape 46">
          <a:extLst>
            <a:ext uri="{FF2B5EF4-FFF2-40B4-BE49-F238E27FC236}">
              <a16:creationId xmlns:a16="http://schemas.microsoft.com/office/drawing/2014/main" id="{1719343B-2D50-4E52-8191-CA071CF2C562}"/>
            </a:ext>
          </a:extLst>
        </xdr:cNvPr>
        <xdr:cNvSpPr>
          <a:spLocks noChangeArrowheads="1"/>
        </xdr:cNvSpPr>
      </xdr:nvSpPr>
      <xdr:spPr bwMode="auto">
        <a:xfrm>
          <a:off x="5467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77</xdr:row>
      <xdr:rowOff>57150</xdr:rowOff>
    </xdr:from>
    <xdr:to>
      <xdr:col>21</xdr:col>
      <xdr:colOff>0</xdr:colOff>
      <xdr:row>79</xdr:row>
      <xdr:rowOff>0</xdr:rowOff>
    </xdr:to>
    <xdr:sp macro="" textlink="">
      <xdr:nvSpPr>
        <xdr:cNvPr id="1803" name="AutoShape 46">
          <a:extLst>
            <a:ext uri="{FF2B5EF4-FFF2-40B4-BE49-F238E27FC236}">
              <a16:creationId xmlns:a16="http://schemas.microsoft.com/office/drawing/2014/main" id="{D2E6F1E7-C494-4BD7-95E8-05DD28C18328}"/>
            </a:ext>
          </a:extLst>
        </xdr:cNvPr>
        <xdr:cNvSpPr>
          <a:spLocks noChangeArrowheads="1"/>
        </xdr:cNvSpPr>
      </xdr:nvSpPr>
      <xdr:spPr bwMode="auto">
        <a:xfrm>
          <a:off x="6038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77</xdr:row>
      <xdr:rowOff>57150</xdr:rowOff>
    </xdr:from>
    <xdr:to>
      <xdr:col>23</xdr:col>
      <xdr:colOff>0</xdr:colOff>
      <xdr:row>79</xdr:row>
      <xdr:rowOff>0</xdr:rowOff>
    </xdr:to>
    <xdr:sp macro="" textlink="">
      <xdr:nvSpPr>
        <xdr:cNvPr id="1804" name="AutoShape 46">
          <a:extLst>
            <a:ext uri="{FF2B5EF4-FFF2-40B4-BE49-F238E27FC236}">
              <a16:creationId xmlns:a16="http://schemas.microsoft.com/office/drawing/2014/main" id="{DF010D97-0B22-40EC-B8C4-8CE9B09059F7}"/>
            </a:ext>
          </a:extLst>
        </xdr:cNvPr>
        <xdr:cNvSpPr>
          <a:spLocks noChangeArrowheads="1"/>
        </xdr:cNvSpPr>
      </xdr:nvSpPr>
      <xdr:spPr bwMode="auto">
        <a:xfrm>
          <a:off x="6610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77</xdr:row>
      <xdr:rowOff>57150</xdr:rowOff>
    </xdr:from>
    <xdr:to>
      <xdr:col>25</xdr:col>
      <xdr:colOff>0</xdr:colOff>
      <xdr:row>79</xdr:row>
      <xdr:rowOff>0</xdr:rowOff>
    </xdr:to>
    <xdr:sp macro="" textlink="">
      <xdr:nvSpPr>
        <xdr:cNvPr id="1805" name="AutoShape 46">
          <a:extLst>
            <a:ext uri="{FF2B5EF4-FFF2-40B4-BE49-F238E27FC236}">
              <a16:creationId xmlns:a16="http://schemas.microsoft.com/office/drawing/2014/main" id="{33054877-4045-4060-AE24-CA36919442D7}"/>
            </a:ext>
          </a:extLst>
        </xdr:cNvPr>
        <xdr:cNvSpPr>
          <a:spLocks noChangeArrowheads="1"/>
        </xdr:cNvSpPr>
      </xdr:nvSpPr>
      <xdr:spPr bwMode="auto">
        <a:xfrm>
          <a:off x="7181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77</xdr:row>
      <xdr:rowOff>57150</xdr:rowOff>
    </xdr:from>
    <xdr:to>
      <xdr:col>27</xdr:col>
      <xdr:colOff>0</xdr:colOff>
      <xdr:row>79</xdr:row>
      <xdr:rowOff>0</xdr:rowOff>
    </xdr:to>
    <xdr:sp macro="" textlink="">
      <xdr:nvSpPr>
        <xdr:cNvPr id="1806" name="AutoShape 46">
          <a:extLst>
            <a:ext uri="{FF2B5EF4-FFF2-40B4-BE49-F238E27FC236}">
              <a16:creationId xmlns:a16="http://schemas.microsoft.com/office/drawing/2014/main" id="{78D997E7-14A9-47A4-B1EB-C9B5B1B51DDC}"/>
            </a:ext>
          </a:extLst>
        </xdr:cNvPr>
        <xdr:cNvSpPr>
          <a:spLocks noChangeArrowheads="1"/>
        </xdr:cNvSpPr>
      </xdr:nvSpPr>
      <xdr:spPr bwMode="auto">
        <a:xfrm>
          <a:off x="7753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77</xdr:row>
      <xdr:rowOff>57150</xdr:rowOff>
    </xdr:from>
    <xdr:to>
      <xdr:col>29</xdr:col>
      <xdr:colOff>0</xdr:colOff>
      <xdr:row>79</xdr:row>
      <xdr:rowOff>0</xdr:rowOff>
    </xdr:to>
    <xdr:sp macro="" textlink="">
      <xdr:nvSpPr>
        <xdr:cNvPr id="1807" name="AutoShape 46">
          <a:extLst>
            <a:ext uri="{FF2B5EF4-FFF2-40B4-BE49-F238E27FC236}">
              <a16:creationId xmlns:a16="http://schemas.microsoft.com/office/drawing/2014/main" id="{AA59AB2A-EE78-47B7-9E93-E4C30022A5E1}"/>
            </a:ext>
          </a:extLst>
        </xdr:cNvPr>
        <xdr:cNvSpPr>
          <a:spLocks noChangeArrowheads="1"/>
        </xdr:cNvSpPr>
      </xdr:nvSpPr>
      <xdr:spPr bwMode="auto">
        <a:xfrm>
          <a:off x="8382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77</xdr:row>
      <xdr:rowOff>57150</xdr:rowOff>
    </xdr:from>
    <xdr:to>
      <xdr:col>31</xdr:col>
      <xdr:colOff>0</xdr:colOff>
      <xdr:row>79</xdr:row>
      <xdr:rowOff>0</xdr:rowOff>
    </xdr:to>
    <xdr:sp macro="" textlink="">
      <xdr:nvSpPr>
        <xdr:cNvPr id="1808" name="AutoShape 46">
          <a:extLst>
            <a:ext uri="{FF2B5EF4-FFF2-40B4-BE49-F238E27FC236}">
              <a16:creationId xmlns:a16="http://schemas.microsoft.com/office/drawing/2014/main" id="{224A4EAE-0F32-465F-80F0-09441FBA1E20}"/>
            </a:ext>
          </a:extLst>
        </xdr:cNvPr>
        <xdr:cNvSpPr>
          <a:spLocks noChangeArrowheads="1"/>
        </xdr:cNvSpPr>
      </xdr:nvSpPr>
      <xdr:spPr bwMode="auto">
        <a:xfrm>
          <a:off x="8953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77</xdr:row>
      <xdr:rowOff>57150</xdr:rowOff>
    </xdr:from>
    <xdr:to>
      <xdr:col>33</xdr:col>
      <xdr:colOff>0</xdr:colOff>
      <xdr:row>79</xdr:row>
      <xdr:rowOff>0</xdr:rowOff>
    </xdr:to>
    <xdr:sp macro="" textlink="">
      <xdr:nvSpPr>
        <xdr:cNvPr id="1809" name="AutoShape 46">
          <a:extLst>
            <a:ext uri="{FF2B5EF4-FFF2-40B4-BE49-F238E27FC236}">
              <a16:creationId xmlns:a16="http://schemas.microsoft.com/office/drawing/2014/main" id="{A69DD3CB-4B95-4903-B6DF-F4FFF5B1D255}"/>
            </a:ext>
          </a:extLst>
        </xdr:cNvPr>
        <xdr:cNvSpPr>
          <a:spLocks noChangeArrowheads="1"/>
        </xdr:cNvSpPr>
      </xdr:nvSpPr>
      <xdr:spPr bwMode="auto">
        <a:xfrm>
          <a:off x="9525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77</xdr:row>
      <xdr:rowOff>57150</xdr:rowOff>
    </xdr:from>
    <xdr:to>
      <xdr:col>35</xdr:col>
      <xdr:colOff>0</xdr:colOff>
      <xdr:row>79</xdr:row>
      <xdr:rowOff>0</xdr:rowOff>
    </xdr:to>
    <xdr:sp macro="" textlink="">
      <xdr:nvSpPr>
        <xdr:cNvPr id="1810" name="AutoShape 46">
          <a:extLst>
            <a:ext uri="{FF2B5EF4-FFF2-40B4-BE49-F238E27FC236}">
              <a16:creationId xmlns:a16="http://schemas.microsoft.com/office/drawing/2014/main" id="{C58C0BFB-7783-466A-9F29-EAFCEC5109AB}"/>
            </a:ext>
          </a:extLst>
        </xdr:cNvPr>
        <xdr:cNvSpPr>
          <a:spLocks noChangeArrowheads="1"/>
        </xdr:cNvSpPr>
      </xdr:nvSpPr>
      <xdr:spPr bwMode="auto">
        <a:xfrm>
          <a:off x="10096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77</xdr:row>
      <xdr:rowOff>57150</xdr:rowOff>
    </xdr:from>
    <xdr:to>
      <xdr:col>37</xdr:col>
      <xdr:colOff>0</xdr:colOff>
      <xdr:row>79</xdr:row>
      <xdr:rowOff>0</xdr:rowOff>
    </xdr:to>
    <xdr:sp macro="" textlink="">
      <xdr:nvSpPr>
        <xdr:cNvPr id="1811" name="AutoShape 46">
          <a:extLst>
            <a:ext uri="{FF2B5EF4-FFF2-40B4-BE49-F238E27FC236}">
              <a16:creationId xmlns:a16="http://schemas.microsoft.com/office/drawing/2014/main" id="{D4CE895B-001A-49B1-BA47-A5817A263A76}"/>
            </a:ext>
          </a:extLst>
        </xdr:cNvPr>
        <xdr:cNvSpPr>
          <a:spLocks noChangeArrowheads="1"/>
        </xdr:cNvSpPr>
      </xdr:nvSpPr>
      <xdr:spPr bwMode="auto">
        <a:xfrm>
          <a:off x="10668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77</xdr:row>
      <xdr:rowOff>57150</xdr:rowOff>
    </xdr:from>
    <xdr:to>
      <xdr:col>39</xdr:col>
      <xdr:colOff>0</xdr:colOff>
      <xdr:row>79</xdr:row>
      <xdr:rowOff>0</xdr:rowOff>
    </xdr:to>
    <xdr:sp macro="" textlink="">
      <xdr:nvSpPr>
        <xdr:cNvPr id="1812" name="AutoShape 46">
          <a:extLst>
            <a:ext uri="{FF2B5EF4-FFF2-40B4-BE49-F238E27FC236}">
              <a16:creationId xmlns:a16="http://schemas.microsoft.com/office/drawing/2014/main" id="{CFC54A78-7495-4470-837E-3C91F661422A}"/>
            </a:ext>
          </a:extLst>
        </xdr:cNvPr>
        <xdr:cNvSpPr>
          <a:spLocks noChangeArrowheads="1"/>
        </xdr:cNvSpPr>
      </xdr:nvSpPr>
      <xdr:spPr bwMode="auto">
        <a:xfrm>
          <a:off x="11239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77</xdr:row>
      <xdr:rowOff>57150</xdr:rowOff>
    </xdr:from>
    <xdr:to>
      <xdr:col>41</xdr:col>
      <xdr:colOff>0</xdr:colOff>
      <xdr:row>79</xdr:row>
      <xdr:rowOff>0</xdr:rowOff>
    </xdr:to>
    <xdr:sp macro="" textlink="">
      <xdr:nvSpPr>
        <xdr:cNvPr id="1813" name="AutoShape 46">
          <a:extLst>
            <a:ext uri="{FF2B5EF4-FFF2-40B4-BE49-F238E27FC236}">
              <a16:creationId xmlns:a16="http://schemas.microsoft.com/office/drawing/2014/main" id="{0FF8AE25-B1C9-472C-9FD7-D0B7F4EF53D5}"/>
            </a:ext>
          </a:extLst>
        </xdr:cNvPr>
        <xdr:cNvSpPr>
          <a:spLocks noChangeArrowheads="1"/>
        </xdr:cNvSpPr>
      </xdr:nvSpPr>
      <xdr:spPr bwMode="auto">
        <a:xfrm>
          <a:off x="11811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77</xdr:row>
      <xdr:rowOff>57150</xdr:rowOff>
    </xdr:from>
    <xdr:to>
      <xdr:col>43</xdr:col>
      <xdr:colOff>0</xdr:colOff>
      <xdr:row>79</xdr:row>
      <xdr:rowOff>0</xdr:rowOff>
    </xdr:to>
    <xdr:sp macro="" textlink="">
      <xdr:nvSpPr>
        <xdr:cNvPr id="1814" name="AutoShape 46">
          <a:extLst>
            <a:ext uri="{FF2B5EF4-FFF2-40B4-BE49-F238E27FC236}">
              <a16:creationId xmlns:a16="http://schemas.microsoft.com/office/drawing/2014/main" id="{93028A9F-D1BB-4F64-ABB5-617DCACE48B0}"/>
            </a:ext>
          </a:extLst>
        </xdr:cNvPr>
        <xdr:cNvSpPr>
          <a:spLocks noChangeArrowheads="1"/>
        </xdr:cNvSpPr>
      </xdr:nvSpPr>
      <xdr:spPr bwMode="auto">
        <a:xfrm>
          <a:off x="12382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77</xdr:row>
      <xdr:rowOff>57150</xdr:rowOff>
    </xdr:from>
    <xdr:to>
      <xdr:col>45</xdr:col>
      <xdr:colOff>0</xdr:colOff>
      <xdr:row>79</xdr:row>
      <xdr:rowOff>0</xdr:rowOff>
    </xdr:to>
    <xdr:sp macro="" textlink="">
      <xdr:nvSpPr>
        <xdr:cNvPr id="1815" name="AutoShape 46">
          <a:extLst>
            <a:ext uri="{FF2B5EF4-FFF2-40B4-BE49-F238E27FC236}">
              <a16:creationId xmlns:a16="http://schemas.microsoft.com/office/drawing/2014/main" id="{C694F958-BD20-4701-B536-F036CB8ADC3C}"/>
            </a:ext>
          </a:extLst>
        </xdr:cNvPr>
        <xdr:cNvSpPr>
          <a:spLocks noChangeArrowheads="1"/>
        </xdr:cNvSpPr>
      </xdr:nvSpPr>
      <xdr:spPr bwMode="auto">
        <a:xfrm>
          <a:off x="12954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77</xdr:row>
      <xdr:rowOff>57150</xdr:rowOff>
    </xdr:from>
    <xdr:to>
      <xdr:col>11</xdr:col>
      <xdr:colOff>0</xdr:colOff>
      <xdr:row>79</xdr:row>
      <xdr:rowOff>0</xdr:rowOff>
    </xdr:to>
    <xdr:sp macro="" textlink="">
      <xdr:nvSpPr>
        <xdr:cNvPr id="1816" name="AutoShape 46">
          <a:extLst>
            <a:ext uri="{FF2B5EF4-FFF2-40B4-BE49-F238E27FC236}">
              <a16:creationId xmlns:a16="http://schemas.microsoft.com/office/drawing/2014/main" id="{D7C5BEEF-0C88-40EA-9401-111C20B7508A}"/>
            </a:ext>
          </a:extLst>
        </xdr:cNvPr>
        <xdr:cNvSpPr>
          <a:spLocks noChangeArrowheads="1"/>
        </xdr:cNvSpPr>
      </xdr:nvSpPr>
      <xdr:spPr bwMode="auto">
        <a:xfrm>
          <a:off x="3181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77</xdr:row>
      <xdr:rowOff>57150</xdr:rowOff>
    </xdr:from>
    <xdr:to>
      <xdr:col>13</xdr:col>
      <xdr:colOff>0</xdr:colOff>
      <xdr:row>79</xdr:row>
      <xdr:rowOff>0</xdr:rowOff>
    </xdr:to>
    <xdr:sp macro="" textlink="">
      <xdr:nvSpPr>
        <xdr:cNvPr id="1817" name="AutoShape 46">
          <a:extLst>
            <a:ext uri="{FF2B5EF4-FFF2-40B4-BE49-F238E27FC236}">
              <a16:creationId xmlns:a16="http://schemas.microsoft.com/office/drawing/2014/main" id="{B3B68386-09AA-4F22-96E4-778F686C3046}"/>
            </a:ext>
          </a:extLst>
        </xdr:cNvPr>
        <xdr:cNvSpPr>
          <a:spLocks noChangeArrowheads="1"/>
        </xdr:cNvSpPr>
      </xdr:nvSpPr>
      <xdr:spPr bwMode="auto">
        <a:xfrm>
          <a:off x="3752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281861</xdr:colOff>
      <xdr:row>77</xdr:row>
      <xdr:rowOff>76588</xdr:rowOff>
    </xdr:from>
    <xdr:to>
      <xdr:col>14</xdr:col>
      <xdr:colOff>379055</xdr:colOff>
      <xdr:row>79</xdr:row>
      <xdr:rowOff>19438</xdr:rowOff>
    </xdr:to>
    <xdr:sp macro="" textlink="">
      <xdr:nvSpPr>
        <xdr:cNvPr id="1818" name="AutoShape 46">
          <a:extLst>
            <a:ext uri="{FF2B5EF4-FFF2-40B4-BE49-F238E27FC236}">
              <a16:creationId xmlns:a16="http://schemas.microsoft.com/office/drawing/2014/main" id="{F1E6476E-C8E3-4A8D-B2EB-9BDC3929600B}"/>
            </a:ext>
          </a:extLst>
        </xdr:cNvPr>
        <xdr:cNvSpPr>
          <a:spLocks noChangeArrowheads="1"/>
        </xdr:cNvSpPr>
      </xdr:nvSpPr>
      <xdr:spPr bwMode="auto">
        <a:xfrm>
          <a:off x="4480637" y="15627608"/>
          <a:ext cx="379056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77</xdr:row>
      <xdr:rowOff>57150</xdr:rowOff>
    </xdr:from>
    <xdr:to>
      <xdr:col>9</xdr:col>
      <xdr:colOff>0</xdr:colOff>
      <xdr:row>79</xdr:row>
      <xdr:rowOff>0</xdr:rowOff>
    </xdr:to>
    <xdr:sp macro="" textlink="">
      <xdr:nvSpPr>
        <xdr:cNvPr id="1819" name="AutoShape 46">
          <a:extLst>
            <a:ext uri="{FF2B5EF4-FFF2-40B4-BE49-F238E27FC236}">
              <a16:creationId xmlns:a16="http://schemas.microsoft.com/office/drawing/2014/main" id="{5CFCAA4D-C5E8-4024-8CAF-8F930599083E}"/>
            </a:ext>
          </a:extLst>
        </xdr:cNvPr>
        <xdr:cNvSpPr>
          <a:spLocks noChangeArrowheads="1"/>
        </xdr:cNvSpPr>
      </xdr:nvSpPr>
      <xdr:spPr bwMode="auto">
        <a:xfrm>
          <a:off x="2409825" y="1477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77</xdr:row>
      <xdr:rowOff>57150</xdr:rowOff>
    </xdr:from>
    <xdr:to>
      <xdr:col>7</xdr:col>
      <xdr:colOff>0</xdr:colOff>
      <xdr:row>79</xdr:row>
      <xdr:rowOff>0</xdr:rowOff>
    </xdr:to>
    <xdr:sp macro="" textlink="">
      <xdr:nvSpPr>
        <xdr:cNvPr id="1820" name="AutoShape 46">
          <a:extLst>
            <a:ext uri="{FF2B5EF4-FFF2-40B4-BE49-F238E27FC236}">
              <a16:creationId xmlns:a16="http://schemas.microsoft.com/office/drawing/2014/main" id="{9F14DA3D-6B7F-4D1B-B7C6-97B30EF34539}"/>
            </a:ext>
          </a:extLst>
        </xdr:cNvPr>
        <xdr:cNvSpPr>
          <a:spLocks noChangeArrowheads="1"/>
        </xdr:cNvSpPr>
      </xdr:nvSpPr>
      <xdr:spPr bwMode="auto">
        <a:xfrm>
          <a:off x="1819275" y="1477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77</xdr:row>
      <xdr:rowOff>57150</xdr:rowOff>
    </xdr:from>
    <xdr:to>
      <xdr:col>5</xdr:col>
      <xdr:colOff>0</xdr:colOff>
      <xdr:row>79</xdr:row>
      <xdr:rowOff>0</xdr:rowOff>
    </xdr:to>
    <xdr:sp macro="" textlink="">
      <xdr:nvSpPr>
        <xdr:cNvPr id="1821" name="AutoShape 46">
          <a:extLst>
            <a:ext uri="{FF2B5EF4-FFF2-40B4-BE49-F238E27FC236}">
              <a16:creationId xmlns:a16="http://schemas.microsoft.com/office/drawing/2014/main" id="{C8FACD52-497A-4745-8C39-A62E8DD22918}"/>
            </a:ext>
          </a:extLst>
        </xdr:cNvPr>
        <xdr:cNvSpPr>
          <a:spLocks noChangeArrowheads="1"/>
        </xdr:cNvSpPr>
      </xdr:nvSpPr>
      <xdr:spPr bwMode="auto">
        <a:xfrm>
          <a:off x="1095375" y="1477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77</xdr:row>
      <xdr:rowOff>57150</xdr:rowOff>
    </xdr:from>
    <xdr:to>
      <xdr:col>3</xdr:col>
      <xdr:colOff>0</xdr:colOff>
      <xdr:row>79</xdr:row>
      <xdr:rowOff>0</xdr:rowOff>
    </xdr:to>
    <xdr:sp macro="" textlink="">
      <xdr:nvSpPr>
        <xdr:cNvPr id="1822" name="AutoShape 46">
          <a:extLst>
            <a:ext uri="{FF2B5EF4-FFF2-40B4-BE49-F238E27FC236}">
              <a16:creationId xmlns:a16="http://schemas.microsoft.com/office/drawing/2014/main" id="{E16E5977-CBAE-44C8-ABF1-CC337AFE85B9}"/>
            </a:ext>
          </a:extLst>
        </xdr:cNvPr>
        <xdr:cNvSpPr>
          <a:spLocks noChangeArrowheads="1"/>
        </xdr:cNvSpPr>
      </xdr:nvSpPr>
      <xdr:spPr bwMode="auto">
        <a:xfrm>
          <a:off x="523875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23" name="Group 1008">
          <a:extLst>
            <a:ext uri="{FF2B5EF4-FFF2-40B4-BE49-F238E27FC236}">
              <a16:creationId xmlns:a16="http://schemas.microsoft.com/office/drawing/2014/main" id="{AB68ADB1-056D-43D0-B59A-86E8BCFB30CE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24" name="Straight Connector 1823">
            <a:extLst>
              <a:ext uri="{FF2B5EF4-FFF2-40B4-BE49-F238E27FC236}">
                <a16:creationId xmlns:a16="http://schemas.microsoft.com/office/drawing/2014/main" id="{4E54AABC-3796-3FDA-2CF0-869D412DFEC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25" name="Straight Connector 529">
            <a:extLst>
              <a:ext uri="{FF2B5EF4-FFF2-40B4-BE49-F238E27FC236}">
                <a16:creationId xmlns:a16="http://schemas.microsoft.com/office/drawing/2014/main" id="{65517286-A01F-95A4-B01A-8159B2E9A3C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6" name="Straight Connector 531">
            <a:extLst>
              <a:ext uri="{FF2B5EF4-FFF2-40B4-BE49-F238E27FC236}">
                <a16:creationId xmlns:a16="http://schemas.microsoft.com/office/drawing/2014/main" id="{25E9A655-DB8F-97F0-9D62-DFA13AF328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7" name="Straight Connector 533">
            <a:extLst>
              <a:ext uri="{FF2B5EF4-FFF2-40B4-BE49-F238E27FC236}">
                <a16:creationId xmlns:a16="http://schemas.microsoft.com/office/drawing/2014/main" id="{1F728904-F136-EB6C-9D73-70C6004974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8" name="Straight Connector 535">
            <a:extLst>
              <a:ext uri="{FF2B5EF4-FFF2-40B4-BE49-F238E27FC236}">
                <a16:creationId xmlns:a16="http://schemas.microsoft.com/office/drawing/2014/main" id="{54207144-F4E1-7FB2-654E-E795AB7531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9" name="Straight Connector 537">
            <a:extLst>
              <a:ext uri="{FF2B5EF4-FFF2-40B4-BE49-F238E27FC236}">
                <a16:creationId xmlns:a16="http://schemas.microsoft.com/office/drawing/2014/main" id="{3C89B5CB-0B31-1945-4211-E1DEF773D0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30" name="Group 1008">
          <a:extLst>
            <a:ext uri="{FF2B5EF4-FFF2-40B4-BE49-F238E27FC236}">
              <a16:creationId xmlns:a16="http://schemas.microsoft.com/office/drawing/2014/main" id="{854F4723-477E-4CAC-AC91-FF0429290EEC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31" name="Straight Connector 1830">
            <a:extLst>
              <a:ext uri="{FF2B5EF4-FFF2-40B4-BE49-F238E27FC236}">
                <a16:creationId xmlns:a16="http://schemas.microsoft.com/office/drawing/2014/main" id="{24B68856-11AE-EAD0-D521-1606FD163E3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32" name="Straight Connector 529">
            <a:extLst>
              <a:ext uri="{FF2B5EF4-FFF2-40B4-BE49-F238E27FC236}">
                <a16:creationId xmlns:a16="http://schemas.microsoft.com/office/drawing/2014/main" id="{21EA8D39-E134-C8C6-A351-3AC46CF493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3" name="Straight Connector 531">
            <a:extLst>
              <a:ext uri="{FF2B5EF4-FFF2-40B4-BE49-F238E27FC236}">
                <a16:creationId xmlns:a16="http://schemas.microsoft.com/office/drawing/2014/main" id="{DE361DE5-95B0-E8AC-2D37-E1AB0173037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4" name="Straight Connector 533">
            <a:extLst>
              <a:ext uri="{FF2B5EF4-FFF2-40B4-BE49-F238E27FC236}">
                <a16:creationId xmlns:a16="http://schemas.microsoft.com/office/drawing/2014/main" id="{468D42B0-57D9-117D-3370-0DAF191E16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5" name="Straight Connector 535">
            <a:extLst>
              <a:ext uri="{FF2B5EF4-FFF2-40B4-BE49-F238E27FC236}">
                <a16:creationId xmlns:a16="http://schemas.microsoft.com/office/drawing/2014/main" id="{ED772BE2-CAAE-D16D-609C-2E2AC9564C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6" name="Straight Connector 537">
            <a:extLst>
              <a:ext uri="{FF2B5EF4-FFF2-40B4-BE49-F238E27FC236}">
                <a16:creationId xmlns:a16="http://schemas.microsoft.com/office/drawing/2014/main" id="{07B3D068-F1DC-B3AC-447D-4E1189E305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133350</xdr:rowOff>
    </xdr:from>
    <xdr:to>
      <xdr:col>6</xdr:col>
      <xdr:colOff>0</xdr:colOff>
      <xdr:row>89</xdr:row>
      <xdr:rowOff>47625</xdr:rowOff>
    </xdr:to>
    <xdr:grpSp>
      <xdr:nvGrpSpPr>
        <xdr:cNvPr id="1837" name="Group 1008">
          <a:extLst>
            <a:ext uri="{FF2B5EF4-FFF2-40B4-BE49-F238E27FC236}">
              <a16:creationId xmlns:a16="http://schemas.microsoft.com/office/drawing/2014/main" id="{1D21947A-D5B9-402C-B530-A33ADA0213A2}"/>
            </a:ext>
          </a:extLst>
        </xdr:cNvPr>
        <xdr:cNvGrpSpPr>
          <a:grpSpLocks/>
        </xdr:cNvGrpSpPr>
      </xdr:nvGrpSpPr>
      <xdr:grpSpPr bwMode="auto">
        <a:xfrm>
          <a:off x="1807806" y="17453299"/>
          <a:ext cx="0" cy="102183"/>
          <a:chOff x="5475762" y="47760700"/>
          <a:chExt cx="314325" cy="230209"/>
        </a:xfrm>
      </xdr:grpSpPr>
      <xdr:cxnSp macro="">
        <xdr:nvCxnSpPr>
          <xdr:cNvPr id="1838" name="Straight Connector 1837">
            <a:extLst>
              <a:ext uri="{FF2B5EF4-FFF2-40B4-BE49-F238E27FC236}">
                <a16:creationId xmlns:a16="http://schemas.microsoft.com/office/drawing/2014/main" id="{2AA6D117-7133-33BB-2B95-5A0CB5BB22F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39" name="Straight Connector 529">
            <a:extLst>
              <a:ext uri="{FF2B5EF4-FFF2-40B4-BE49-F238E27FC236}">
                <a16:creationId xmlns:a16="http://schemas.microsoft.com/office/drawing/2014/main" id="{0490E394-7598-7F70-7140-7C7A66B284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0" name="Straight Connector 531">
            <a:extLst>
              <a:ext uri="{FF2B5EF4-FFF2-40B4-BE49-F238E27FC236}">
                <a16:creationId xmlns:a16="http://schemas.microsoft.com/office/drawing/2014/main" id="{5CE6FBB2-9761-080A-FEA6-BC6A2A0008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1" name="Straight Connector 533">
            <a:extLst>
              <a:ext uri="{FF2B5EF4-FFF2-40B4-BE49-F238E27FC236}">
                <a16:creationId xmlns:a16="http://schemas.microsoft.com/office/drawing/2014/main" id="{2A07606C-002E-1184-BD39-DFEF8C7F79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2" name="Straight Connector 535">
            <a:extLst>
              <a:ext uri="{FF2B5EF4-FFF2-40B4-BE49-F238E27FC236}">
                <a16:creationId xmlns:a16="http://schemas.microsoft.com/office/drawing/2014/main" id="{2E4C8920-B45D-A85C-6A74-A61BF1287D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3" name="Straight Connector 537">
            <a:extLst>
              <a:ext uri="{FF2B5EF4-FFF2-40B4-BE49-F238E27FC236}">
                <a16:creationId xmlns:a16="http://schemas.microsoft.com/office/drawing/2014/main" id="{0BD88B8E-E553-231B-6561-21A15EDE38F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133350</xdr:rowOff>
    </xdr:from>
    <xdr:to>
      <xdr:col>6</xdr:col>
      <xdr:colOff>0</xdr:colOff>
      <xdr:row>89</xdr:row>
      <xdr:rowOff>57150</xdr:rowOff>
    </xdr:to>
    <xdr:grpSp>
      <xdr:nvGrpSpPr>
        <xdr:cNvPr id="1844" name="Group 1008">
          <a:extLst>
            <a:ext uri="{FF2B5EF4-FFF2-40B4-BE49-F238E27FC236}">
              <a16:creationId xmlns:a16="http://schemas.microsoft.com/office/drawing/2014/main" id="{760EBCDB-F836-43B2-AEFC-287D0A384513}"/>
            </a:ext>
          </a:extLst>
        </xdr:cNvPr>
        <xdr:cNvGrpSpPr>
          <a:grpSpLocks/>
        </xdr:cNvGrpSpPr>
      </xdr:nvGrpSpPr>
      <xdr:grpSpPr bwMode="auto">
        <a:xfrm>
          <a:off x="1807806" y="17453299"/>
          <a:ext cx="0" cy="111708"/>
          <a:chOff x="5475762" y="47760700"/>
          <a:chExt cx="314325" cy="230209"/>
        </a:xfrm>
      </xdr:grpSpPr>
      <xdr:cxnSp macro="">
        <xdr:nvCxnSpPr>
          <xdr:cNvPr id="1845" name="Straight Connector 1844">
            <a:extLst>
              <a:ext uri="{FF2B5EF4-FFF2-40B4-BE49-F238E27FC236}">
                <a16:creationId xmlns:a16="http://schemas.microsoft.com/office/drawing/2014/main" id="{8464CEEF-F96D-F458-A854-A7D07772C8B7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46" name="Straight Connector 529">
            <a:extLst>
              <a:ext uri="{FF2B5EF4-FFF2-40B4-BE49-F238E27FC236}">
                <a16:creationId xmlns:a16="http://schemas.microsoft.com/office/drawing/2014/main" id="{CBFDD08A-646E-61C9-3920-88F41A7AF52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7" name="Straight Connector 531">
            <a:extLst>
              <a:ext uri="{FF2B5EF4-FFF2-40B4-BE49-F238E27FC236}">
                <a16:creationId xmlns:a16="http://schemas.microsoft.com/office/drawing/2014/main" id="{A62B9CD9-2FB3-0CFC-EB7C-8DF5C5A51C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8" name="Straight Connector 533">
            <a:extLst>
              <a:ext uri="{FF2B5EF4-FFF2-40B4-BE49-F238E27FC236}">
                <a16:creationId xmlns:a16="http://schemas.microsoft.com/office/drawing/2014/main" id="{DB5C9EFB-5BFE-1F19-06A2-9B54443B84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9" name="Straight Connector 535">
            <a:extLst>
              <a:ext uri="{FF2B5EF4-FFF2-40B4-BE49-F238E27FC236}">
                <a16:creationId xmlns:a16="http://schemas.microsoft.com/office/drawing/2014/main" id="{3E21E35F-F03A-B1B4-B548-50B918FA3DC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0" name="Straight Connector 537">
            <a:extLst>
              <a:ext uri="{FF2B5EF4-FFF2-40B4-BE49-F238E27FC236}">
                <a16:creationId xmlns:a16="http://schemas.microsoft.com/office/drawing/2014/main" id="{127F10AF-EE70-EE9A-8B5F-6EF238E102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51" name="Group 1008">
          <a:extLst>
            <a:ext uri="{FF2B5EF4-FFF2-40B4-BE49-F238E27FC236}">
              <a16:creationId xmlns:a16="http://schemas.microsoft.com/office/drawing/2014/main" id="{E8F9A978-5454-4D15-9AE5-EB60CBE508DF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52" name="Straight Connector 1851">
            <a:extLst>
              <a:ext uri="{FF2B5EF4-FFF2-40B4-BE49-F238E27FC236}">
                <a16:creationId xmlns:a16="http://schemas.microsoft.com/office/drawing/2014/main" id="{2211E049-2393-2CEC-EA11-58E4CEA26C9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53" name="Straight Connector 529">
            <a:extLst>
              <a:ext uri="{FF2B5EF4-FFF2-40B4-BE49-F238E27FC236}">
                <a16:creationId xmlns:a16="http://schemas.microsoft.com/office/drawing/2014/main" id="{4C3A363A-5879-3CCC-3A5E-94CE5472776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4" name="Straight Connector 531">
            <a:extLst>
              <a:ext uri="{FF2B5EF4-FFF2-40B4-BE49-F238E27FC236}">
                <a16:creationId xmlns:a16="http://schemas.microsoft.com/office/drawing/2014/main" id="{FCFEE7F1-BD26-3AEB-F9BF-C9D7A1DB39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5" name="Straight Connector 533">
            <a:extLst>
              <a:ext uri="{FF2B5EF4-FFF2-40B4-BE49-F238E27FC236}">
                <a16:creationId xmlns:a16="http://schemas.microsoft.com/office/drawing/2014/main" id="{609E2713-0CA7-5777-B449-131FD365EB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6" name="Straight Connector 535">
            <a:extLst>
              <a:ext uri="{FF2B5EF4-FFF2-40B4-BE49-F238E27FC236}">
                <a16:creationId xmlns:a16="http://schemas.microsoft.com/office/drawing/2014/main" id="{E9F59286-58FB-537C-EF2E-D42304C1D98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7" name="Straight Connector 537">
            <a:extLst>
              <a:ext uri="{FF2B5EF4-FFF2-40B4-BE49-F238E27FC236}">
                <a16:creationId xmlns:a16="http://schemas.microsoft.com/office/drawing/2014/main" id="{8073AB7D-18B4-D619-2A6F-7979FBEAE3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58" name="Group 1008">
          <a:extLst>
            <a:ext uri="{FF2B5EF4-FFF2-40B4-BE49-F238E27FC236}">
              <a16:creationId xmlns:a16="http://schemas.microsoft.com/office/drawing/2014/main" id="{89D02C94-64D7-46D5-9D19-8D11379E99F4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59" name="Straight Connector 1858">
            <a:extLst>
              <a:ext uri="{FF2B5EF4-FFF2-40B4-BE49-F238E27FC236}">
                <a16:creationId xmlns:a16="http://schemas.microsoft.com/office/drawing/2014/main" id="{7D4876AB-E86F-4FBC-F1A0-EF61CB8CF1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60" name="Straight Connector 529">
            <a:extLst>
              <a:ext uri="{FF2B5EF4-FFF2-40B4-BE49-F238E27FC236}">
                <a16:creationId xmlns:a16="http://schemas.microsoft.com/office/drawing/2014/main" id="{4B6D06D2-F76B-7E21-04C0-F182A853816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1" name="Straight Connector 531">
            <a:extLst>
              <a:ext uri="{FF2B5EF4-FFF2-40B4-BE49-F238E27FC236}">
                <a16:creationId xmlns:a16="http://schemas.microsoft.com/office/drawing/2014/main" id="{23159809-283D-0F27-EE1C-D5A9A37944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2" name="Straight Connector 533">
            <a:extLst>
              <a:ext uri="{FF2B5EF4-FFF2-40B4-BE49-F238E27FC236}">
                <a16:creationId xmlns:a16="http://schemas.microsoft.com/office/drawing/2014/main" id="{CDF994E1-5E5E-EE85-A113-A02746431D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3" name="Straight Connector 535">
            <a:extLst>
              <a:ext uri="{FF2B5EF4-FFF2-40B4-BE49-F238E27FC236}">
                <a16:creationId xmlns:a16="http://schemas.microsoft.com/office/drawing/2014/main" id="{02F5EC78-359F-DB26-B22C-36F2CA45C4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4" name="Straight Connector 537">
            <a:extLst>
              <a:ext uri="{FF2B5EF4-FFF2-40B4-BE49-F238E27FC236}">
                <a16:creationId xmlns:a16="http://schemas.microsoft.com/office/drawing/2014/main" id="{DEEDD8AF-10E6-484F-9C99-74070A5582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65" name="Group 1008">
          <a:extLst>
            <a:ext uri="{FF2B5EF4-FFF2-40B4-BE49-F238E27FC236}">
              <a16:creationId xmlns:a16="http://schemas.microsoft.com/office/drawing/2014/main" id="{765E84E5-0AF7-462B-8C1F-ACB776FA7341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66" name="Straight Connector 1865">
            <a:extLst>
              <a:ext uri="{FF2B5EF4-FFF2-40B4-BE49-F238E27FC236}">
                <a16:creationId xmlns:a16="http://schemas.microsoft.com/office/drawing/2014/main" id="{DF3C20E7-7373-3668-CB25-C094E1B21A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67" name="Straight Connector 529">
            <a:extLst>
              <a:ext uri="{FF2B5EF4-FFF2-40B4-BE49-F238E27FC236}">
                <a16:creationId xmlns:a16="http://schemas.microsoft.com/office/drawing/2014/main" id="{CAB53A63-B180-5859-9677-27A9F0D7A06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8" name="Straight Connector 531">
            <a:extLst>
              <a:ext uri="{FF2B5EF4-FFF2-40B4-BE49-F238E27FC236}">
                <a16:creationId xmlns:a16="http://schemas.microsoft.com/office/drawing/2014/main" id="{72CA8F7D-3D31-F542-02B8-6479B2A1C9D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9" name="Straight Connector 533">
            <a:extLst>
              <a:ext uri="{FF2B5EF4-FFF2-40B4-BE49-F238E27FC236}">
                <a16:creationId xmlns:a16="http://schemas.microsoft.com/office/drawing/2014/main" id="{171C83FC-E9F5-89EE-ADF0-AAAED4E67F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0" name="Straight Connector 535">
            <a:extLst>
              <a:ext uri="{FF2B5EF4-FFF2-40B4-BE49-F238E27FC236}">
                <a16:creationId xmlns:a16="http://schemas.microsoft.com/office/drawing/2014/main" id="{BCF79F5D-E8B5-702A-B547-7B15823E17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1" name="Straight Connector 537">
            <a:extLst>
              <a:ext uri="{FF2B5EF4-FFF2-40B4-BE49-F238E27FC236}">
                <a16:creationId xmlns:a16="http://schemas.microsoft.com/office/drawing/2014/main" id="{EB10B11D-8645-D863-6CDD-BE22129AF1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72" name="Group 1008">
          <a:extLst>
            <a:ext uri="{FF2B5EF4-FFF2-40B4-BE49-F238E27FC236}">
              <a16:creationId xmlns:a16="http://schemas.microsoft.com/office/drawing/2014/main" id="{6DF1C1AD-73BF-4F78-A899-D3861DCABAE1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73" name="Straight Connector 1872">
            <a:extLst>
              <a:ext uri="{FF2B5EF4-FFF2-40B4-BE49-F238E27FC236}">
                <a16:creationId xmlns:a16="http://schemas.microsoft.com/office/drawing/2014/main" id="{1E6273F8-4E52-B176-7546-583CA5D7F80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74" name="Straight Connector 529">
            <a:extLst>
              <a:ext uri="{FF2B5EF4-FFF2-40B4-BE49-F238E27FC236}">
                <a16:creationId xmlns:a16="http://schemas.microsoft.com/office/drawing/2014/main" id="{92E96D7C-2381-0D9D-BE17-8D00B763AC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5" name="Straight Connector 531">
            <a:extLst>
              <a:ext uri="{FF2B5EF4-FFF2-40B4-BE49-F238E27FC236}">
                <a16:creationId xmlns:a16="http://schemas.microsoft.com/office/drawing/2014/main" id="{81AFD80B-6C56-0BBA-D036-1585DAC324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6" name="Straight Connector 533">
            <a:extLst>
              <a:ext uri="{FF2B5EF4-FFF2-40B4-BE49-F238E27FC236}">
                <a16:creationId xmlns:a16="http://schemas.microsoft.com/office/drawing/2014/main" id="{B2295C01-8A6C-A94D-DA64-E0CBC33280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7" name="Straight Connector 535">
            <a:extLst>
              <a:ext uri="{FF2B5EF4-FFF2-40B4-BE49-F238E27FC236}">
                <a16:creationId xmlns:a16="http://schemas.microsoft.com/office/drawing/2014/main" id="{BF88434A-44D5-F00F-32B8-F6C2430BFEF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8" name="Straight Connector 537">
            <a:extLst>
              <a:ext uri="{FF2B5EF4-FFF2-40B4-BE49-F238E27FC236}">
                <a16:creationId xmlns:a16="http://schemas.microsoft.com/office/drawing/2014/main" id="{8415088A-A18E-3B22-AFEB-6E1E7031DC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79" name="Group 1008">
          <a:extLst>
            <a:ext uri="{FF2B5EF4-FFF2-40B4-BE49-F238E27FC236}">
              <a16:creationId xmlns:a16="http://schemas.microsoft.com/office/drawing/2014/main" id="{263C9DCE-973C-482B-BB48-B8BE5E8E84C8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80" name="Straight Connector 1879">
            <a:extLst>
              <a:ext uri="{FF2B5EF4-FFF2-40B4-BE49-F238E27FC236}">
                <a16:creationId xmlns:a16="http://schemas.microsoft.com/office/drawing/2014/main" id="{F8521722-8257-4BF3-8E28-3AA14E749E7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81" name="Straight Connector 529">
            <a:extLst>
              <a:ext uri="{FF2B5EF4-FFF2-40B4-BE49-F238E27FC236}">
                <a16:creationId xmlns:a16="http://schemas.microsoft.com/office/drawing/2014/main" id="{DA4249B0-5026-2530-50EE-55B5CDF437B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2" name="Straight Connector 531">
            <a:extLst>
              <a:ext uri="{FF2B5EF4-FFF2-40B4-BE49-F238E27FC236}">
                <a16:creationId xmlns:a16="http://schemas.microsoft.com/office/drawing/2014/main" id="{3E989EB8-43C4-1C01-C851-AB5613690F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3" name="Straight Connector 533">
            <a:extLst>
              <a:ext uri="{FF2B5EF4-FFF2-40B4-BE49-F238E27FC236}">
                <a16:creationId xmlns:a16="http://schemas.microsoft.com/office/drawing/2014/main" id="{70F634CD-B5A9-176F-7B52-F2DE99B9B0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4" name="Straight Connector 535">
            <a:extLst>
              <a:ext uri="{FF2B5EF4-FFF2-40B4-BE49-F238E27FC236}">
                <a16:creationId xmlns:a16="http://schemas.microsoft.com/office/drawing/2014/main" id="{B0F90F75-3585-B648-2FFB-24ACA0144A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5" name="Straight Connector 537">
            <a:extLst>
              <a:ext uri="{FF2B5EF4-FFF2-40B4-BE49-F238E27FC236}">
                <a16:creationId xmlns:a16="http://schemas.microsoft.com/office/drawing/2014/main" id="{E844A5A0-3946-860F-5817-35242071B9F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86" name="Group 1008">
          <a:extLst>
            <a:ext uri="{FF2B5EF4-FFF2-40B4-BE49-F238E27FC236}">
              <a16:creationId xmlns:a16="http://schemas.microsoft.com/office/drawing/2014/main" id="{B30E7E10-53F2-48C1-B014-62033D5202C5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87" name="Straight Connector 1886">
            <a:extLst>
              <a:ext uri="{FF2B5EF4-FFF2-40B4-BE49-F238E27FC236}">
                <a16:creationId xmlns:a16="http://schemas.microsoft.com/office/drawing/2014/main" id="{FA1B3B93-E1D5-E698-5AC3-CD8ED166C4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88" name="Straight Connector 529">
            <a:extLst>
              <a:ext uri="{FF2B5EF4-FFF2-40B4-BE49-F238E27FC236}">
                <a16:creationId xmlns:a16="http://schemas.microsoft.com/office/drawing/2014/main" id="{56B57920-84D7-04BB-4599-C0F988D5999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9" name="Straight Connector 531">
            <a:extLst>
              <a:ext uri="{FF2B5EF4-FFF2-40B4-BE49-F238E27FC236}">
                <a16:creationId xmlns:a16="http://schemas.microsoft.com/office/drawing/2014/main" id="{2A9ABFFB-A30B-C45B-2EA7-82BF075CDD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0" name="Straight Connector 533">
            <a:extLst>
              <a:ext uri="{FF2B5EF4-FFF2-40B4-BE49-F238E27FC236}">
                <a16:creationId xmlns:a16="http://schemas.microsoft.com/office/drawing/2014/main" id="{025D2B13-E3C3-CEEB-E336-8D8526530CE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1" name="Straight Connector 535">
            <a:extLst>
              <a:ext uri="{FF2B5EF4-FFF2-40B4-BE49-F238E27FC236}">
                <a16:creationId xmlns:a16="http://schemas.microsoft.com/office/drawing/2014/main" id="{F73492ED-2E52-81CC-2513-DE7E331AC8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2" name="Straight Connector 537">
            <a:extLst>
              <a:ext uri="{FF2B5EF4-FFF2-40B4-BE49-F238E27FC236}">
                <a16:creationId xmlns:a16="http://schemas.microsoft.com/office/drawing/2014/main" id="{9DC842B8-43C4-8DD7-9244-55D6A34E6B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93" name="Group 1008">
          <a:extLst>
            <a:ext uri="{FF2B5EF4-FFF2-40B4-BE49-F238E27FC236}">
              <a16:creationId xmlns:a16="http://schemas.microsoft.com/office/drawing/2014/main" id="{4A3DA3EA-4482-47E9-ADC0-05860534E346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94" name="Straight Connector 1893">
            <a:extLst>
              <a:ext uri="{FF2B5EF4-FFF2-40B4-BE49-F238E27FC236}">
                <a16:creationId xmlns:a16="http://schemas.microsoft.com/office/drawing/2014/main" id="{98229B76-23DF-AA74-1374-D2E4EF7E69E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95" name="Straight Connector 529">
            <a:extLst>
              <a:ext uri="{FF2B5EF4-FFF2-40B4-BE49-F238E27FC236}">
                <a16:creationId xmlns:a16="http://schemas.microsoft.com/office/drawing/2014/main" id="{E48DF49D-FF86-80E3-7476-C5B69953230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6" name="Straight Connector 531">
            <a:extLst>
              <a:ext uri="{FF2B5EF4-FFF2-40B4-BE49-F238E27FC236}">
                <a16:creationId xmlns:a16="http://schemas.microsoft.com/office/drawing/2014/main" id="{42D7CBAC-D111-28E1-337B-92CFABCFE3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7" name="Straight Connector 533">
            <a:extLst>
              <a:ext uri="{FF2B5EF4-FFF2-40B4-BE49-F238E27FC236}">
                <a16:creationId xmlns:a16="http://schemas.microsoft.com/office/drawing/2014/main" id="{C55BAF41-96A0-2871-FC88-259A70ECAD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8" name="Straight Connector 535">
            <a:extLst>
              <a:ext uri="{FF2B5EF4-FFF2-40B4-BE49-F238E27FC236}">
                <a16:creationId xmlns:a16="http://schemas.microsoft.com/office/drawing/2014/main" id="{41C90CFC-3FC9-5E39-B653-2B0F9EB93E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9" name="Straight Connector 537">
            <a:extLst>
              <a:ext uri="{FF2B5EF4-FFF2-40B4-BE49-F238E27FC236}">
                <a16:creationId xmlns:a16="http://schemas.microsoft.com/office/drawing/2014/main" id="{5B7071C5-6965-B59C-0122-69AC2269BF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00" name="Group 1008">
          <a:extLst>
            <a:ext uri="{FF2B5EF4-FFF2-40B4-BE49-F238E27FC236}">
              <a16:creationId xmlns:a16="http://schemas.microsoft.com/office/drawing/2014/main" id="{A9915D34-94BA-43E5-9F1B-EDE6078E4A92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01" name="Straight Connector 1900">
            <a:extLst>
              <a:ext uri="{FF2B5EF4-FFF2-40B4-BE49-F238E27FC236}">
                <a16:creationId xmlns:a16="http://schemas.microsoft.com/office/drawing/2014/main" id="{8258B572-288C-BF71-442E-F694CFF921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02" name="Straight Connector 529">
            <a:extLst>
              <a:ext uri="{FF2B5EF4-FFF2-40B4-BE49-F238E27FC236}">
                <a16:creationId xmlns:a16="http://schemas.microsoft.com/office/drawing/2014/main" id="{BEDD04F1-AE02-CBC1-6363-5D076FCC143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3" name="Straight Connector 531">
            <a:extLst>
              <a:ext uri="{FF2B5EF4-FFF2-40B4-BE49-F238E27FC236}">
                <a16:creationId xmlns:a16="http://schemas.microsoft.com/office/drawing/2014/main" id="{64F416A1-0F87-541D-7C27-0AFE771E95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4" name="Straight Connector 533">
            <a:extLst>
              <a:ext uri="{FF2B5EF4-FFF2-40B4-BE49-F238E27FC236}">
                <a16:creationId xmlns:a16="http://schemas.microsoft.com/office/drawing/2014/main" id="{23C4D549-D9A8-6643-EB69-AB570C8D37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5" name="Straight Connector 535">
            <a:extLst>
              <a:ext uri="{FF2B5EF4-FFF2-40B4-BE49-F238E27FC236}">
                <a16:creationId xmlns:a16="http://schemas.microsoft.com/office/drawing/2014/main" id="{DA658DC3-F742-ACC7-3D92-4C5F147959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6" name="Straight Connector 537">
            <a:extLst>
              <a:ext uri="{FF2B5EF4-FFF2-40B4-BE49-F238E27FC236}">
                <a16:creationId xmlns:a16="http://schemas.microsoft.com/office/drawing/2014/main" id="{F1656AD1-7E85-CEF9-6604-311FA0F010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07" name="Group 1008">
          <a:extLst>
            <a:ext uri="{FF2B5EF4-FFF2-40B4-BE49-F238E27FC236}">
              <a16:creationId xmlns:a16="http://schemas.microsoft.com/office/drawing/2014/main" id="{C7474367-4960-4BF2-9EB2-31DC9815DE05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08" name="Straight Connector 1907">
            <a:extLst>
              <a:ext uri="{FF2B5EF4-FFF2-40B4-BE49-F238E27FC236}">
                <a16:creationId xmlns:a16="http://schemas.microsoft.com/office/drawing/2014/main" id="{8D7A9A07-7469-DD20-1B5B-45CA0B21044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09" name="Straight Connector 529">
            <a:extLst>
              <a:ext uri="{FF2B5EF4-FFF2-40B4-BE49-F238E27FC236}">
                <a16:creationId xmlns:a16="http://schemas.microsoft.com/office/drawing/2014/main" id="{E7E768F8-0C2F-0F49-5B43-EEFA81B8DD9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0" name="Straight Connector 531">
            <a:extLst>
              <a:ext uri="{FF2B5EF4-FFF2-40B4-BE49-F238E27FC236}">
                <a16:creationId xmlns:a16="http://schemas.microsoft.com/office/drawing/2014/main" id="{A23560FC-588A-889E-E9B9-993E6A7496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1" name="Straight Connector 533">
            <a:extLst>
              <a:ext uri="{FF2B5EF4-FFF2-40B4-BE49-F238E27FC236}">
                <a16:creationId xmlns:a16="http://schemas.microsoft.com/office/drawing/2014/main" id="{2FCDA5E0-3FBF-74BD-E9F8-1ED4A07A59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2" name="Straight Connector 535">
            <a:extLst>
              <a:ext uri="{FF2B5EF4-FFF2-40B4-BE49-F238E27FC236}">
                <a16:creationId xmlns:a16="http://schemas.microsoft.com/office/drawing/2014/main" id="{7287C128-944E-313F-E735-DA91D0495C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3" name="Straight Connector 537">
            <a:extLst>
              <a:ext uri="{FF2B5EF4-FFF2-40B4-BE49-F238E27FC236}">
                <a16:creationId xmlns:a16="http://schemas.microsoft.com/office/drawing/2014/main" id="{6DD722E4-2C65-1DDA-35A9-517CD61A34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14" name="Group 1008">
          <a:extLst>
            <a:ext uri="{FF2B5EF4-FFF2-40B4-BE49-F238E27FC236}">
              <a16:creationId xmlns:a16="http://schemas.microsoft.com/office/drawing/2014/main" id="{21F8B02B-BD58-459B-B2D1-82854DE9B985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15" name="Straight Connector 1914">
            <a:extLst>
              <a:ext uri="{FF2B5EF4-FFF2-40B4-BE49-F238E27FC236}">
                <a16:creationId xmlns:a16="http://schemas.microsoft.com/office/drawing/2014/main" id="{B4B92862-0270-0DD7-5FA8-D8DF8FBBF1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16" name="Straight Connector 529">
            <a:extLst>
              <a:ext uri="{FF2B5EF4-FFF2-40B4-BE49-F238E27FC236}">
                <a16:creationId xmlns:a16="http://schemas.microsoft.com/office/drawing/2014/main" id="{D1AE2C05-B4CC-B8C2-913B-4228BE8F645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7" name="Straight Connector 531">
            <a:extLst>
              <a:ext uri="{FF2B5EF4-FFF2-40B4-BE49-F238E27FC236}">
                <a16:creationId xmlns:a16="http://schemas.microsoft.com/office/drawing/2014/main" id="{46A621FB-31C1-44B6-D410-4CF2F15033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8" name="Straight Connector 533">
            <a:extLst>
              <a:ext uri="{FF2B5EF4-FFF2-40B4-BE49-F238E27FC236}">
                <a16:creationId xmlns:a16="http://schemas.microsoft.com/office/drawing/2014/main" id="{19436238-6C01-9729-0EB5-DA698D6B299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9" name="Straight Connector 535">
            <a:extLst>
              <a:ext uri="{FF2B5EF4-FFF2-40B4-BE49-F238E27FC236}">
                <a16:creationId xmlns:a16="http://schemas.microsoft.com/office/drawing/2014/main" id="{34B5B30F-92F9-E0FD-E915-372B1CB465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0" name="Straight Connector 537">
            <a:extLst>
              <a:ext uri="{FF2B5EF4-FFF2-40B4-BE49-F238E27FC236}">
                <a16:creationId xmlns:a16="http://schemas.microsoft.com/office/drawing/2014/main" id="{7859F6CB-37D8-0941-116B-70B751268E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21" name="Group 1008">
          <a:extLst>
            <a:ext uri="{FF2B5EF4-FFF2-40B4-BE49-F238E27FC236}">
              <a16:creationId xmlns:a16="http://schemas.microsoft.com/office/drawing/2014/main" id="{B53A957E-A59F-496E-B82E-608F623CD713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22" name="Straight Connector 1921">
            <a:extLst>
              <a:ext uri="{FF2B5EF4-FFF2-40B4-BE49-F238E27FC236}">
                <a16:creationId xmlns:a16="http://schemas.microsoft.com/office/drawing/2014/main" id="{84151C62-36ED-957C-7425-14ABB98B279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23" name="Straight Connector 529">
            <a:extLst>
              <a:ext uri="{FF2B5EF4-FFF2-40B4-BE49-F238E27FC236}">
                <a16:creationId xmlns:a16="http://schemas.microsoft.com/office/drawing/2014/main" id="{BE886E1D-8E37-AD51-4773-1E7165C9E03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4" name="Straight Connector 531">
            <a:extLst>
              <a:ext uri="{FF2B5EF4-FFF2-40B4-BE49-F238E27FC236}">
                <a16:creationId xmlns:a16="http://schemas.microsoft.com/office/drawing/2014/main" id="{825C0507-4CA5-5239-BBA0-9FD0463C68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5" name="Straight Connector 533">
            <a:extLst>
              <a:ext uri="{FF2B5EF4-FFF2-40B4-BE49-F238E27FC236}">
                <a16:creationId xmlns:a16="http://schemas.microsoft.com/office/drawing/2014/main" id="{48288711-D58E-9C61-9233-05A2D6397E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6" name="Straight Connector 535">
            <a:extLst>
              <a:ext uri="{FF2B5EF4-FFF2-40B4-BE49-F238E27FC236}">
                <a16:creationId xmlns:a16="http://schemas.microsoft.com/office/drawing/2014/main" id="{E3C9782D-7FCA-3AE0-29A2-95B65BED55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7" name="Straight Connector 537">
            <a:extLst>
              <a:ext uri="{FF2B5EF4-FFF2-40B4-BE49-F238E27FC236}">
                <a16:creationId xmlns:a16="http://schemas.microsoft.com/office/drawing/2014/main" id="{B587D6CF-CB80-BD13-08E6-707197E9E6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28" name="Group 1008">
          <a:extLst>
            <a:ext uri="{FF2B5EF4-FFF2-40B4-BE49-F238E27FC236}">
              <a16:creationId xmlns:a16="http://schemas.microsoft.com/office/drawing/2014/main" id="{081E0DFC-3BDC-47E1-8DD6-3B7059E3D883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29" name="Straight Connector 1928">
            <a:extLst>
              <a:ext uri="{FF2B5EF4-FFF2-40B4-BE49-F238E27FC236}">
                <a16:creationId xmlns:a16="http://schemas.microsoft.com/office/drawing/2014/main" id="{210485C5-12BD-88A5-FB7E-B9BF0C3B37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30" name="Straight Connector 529">
            <a:extLst>
              <a:ext uri="{FF2B5EF4-FFF2-40B4-BE49-F238E27FC236}">
                <a16:creationId xmlns:a16="http://schemas.microsoft.com/office/drawing/2014/main" id="{33FFFC4E-0E91-C764-413C-1E5772F4D9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1" name="Straight Connector 531">
            <a:extLst>
              <a:ext uri="{FF2B5EF4-FFF2-40B4-BE49-F238E27FC236}">
                <a16:creationId xmlns:a16="http://schemas.microsoft.com/office/drawing/2014/main" id="{C1C9D130-27A6-334D-520D-12E4EA79F5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2" name="Straight Connector 533">
            <a:extLst>
              <a:ext uri="{FF2B5EF4-FFF2-40B4-BE49-F238E27FC236}">
                <a16:creationId xmlns:a16="http://schemas.microsoft.com/office/drawing/2014/main" id="{B46A4605-5D65-DB87-87A1-94E7BB1739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3" name="Straight Connector 535">
            <a:extLst>
              <a:ext uri="{FF2B5EF4-FFF2-40B4-BE49-F238E27FC236}">
                <a16:creationId xmlns:a16="http://schemas.microsoft.com/office/drawing/2014/main" id="{9C3F12F9-CE74-9B74-7F12-E87FBF509B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4" name="Straight Connector 537">
            <a:extLst>
              <a:ext uri="{FF2B5EF4-FFF2-40B4-BE49-F238E27FC236}">
                <a16:creationId xmlns:a16="http://schemas.microsoft.com/office/drawing/2014/main" id="{CBDADB8B-4753-AB42-5099-62F64C2924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35" name="Group 1008">
          <a:extLst>
            <a:ext uri="{FF2B5EF4-FFF2-40B4-BE49-F238E27FC236}">
              <a16:creationId xmlns:a16="http://schemas.microsoft.com/office/drawing/2014/main" id="{7BC82BA1-364D-4612-83F6-A55153926B40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36" name="Straight Connector 1935">
            <a:extLst>
              <a:ext uri="{FF2B5EF4-FFF2-40B4-BE49-F238E27FC236}">
                <a16:creationId xmlns:a16="http://schemas.microsoft.com/office/drawing/2014/main" id="{3CE064B8-21E4-330F-CFA9-42C627440D3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37" name="Straight Connector 529">
            <a:extLst>
              <a:ext uri="{FF2B5EF4-FFF2-40B4-BE49-F238E27FC236}">
                <a16:creationId xmlns:a16="http://schemas.microsoft.com/office/drawing/2014/main" id="{4849E134-C725-8AB8-F539-05FF40F56AA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8" name="Straight Connector 531">
            <a:extLst>
              <a:ext uri="{FF2B5EF4-FFF2-40B4-BE49-F238E27FC236}">
                <a16:creationId xmlns:a16="http://schemas.microsoft.com/office/drawing/2014/main" id="{33316EDC-F158-42FF-CF1E-5FB07DC8ED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9" name="Straight Connector 533">
            <a:extLst>
              <a:ext uri="{FF2B5EF4-FFF2-40B4-BE49-F238E27FC236}">
                <a16:creationId xmlns:a16="http://schemas.microsoft.com/office/drawing/2014/main" id="{E1A05A4F-AC8E-E45F-DF80-9875E4AF7EE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0" name="Straight Connector 535">
            <a:extLst>
              <a:ext uri="{FF2B5EF4-FFF2-40B4-BE49-F238E27FC236}">
                <a16:creationId xmlns:a16="http://schemas.microsoft.com/office/drawing/2014/main" id="{2F598356-B87A-04C5-2597-13D9BFE394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1" name="Straight Connector 537">
            <a:extLst>
              <a:ext uri="{FF2B5EF4-FFF2-40B4-BE49-F238E27FC236}">
                <a16:creationId xmlns:a16="http://schemas.microsoft.com/office/drawing/2014/main" id="{7CAD6214-2842-8AC9-BF03-E1DD240014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42" name="Group 1008">
          <a:extLst>
            <a:ext uri="{FF2B5EF4-FFF2-40B4-BE49-F238E27FC236}">
              <a16:creationId xmlns:a16="http://schemas.microsoft.com/office/drawing/2014/main" id="{C930C921-5C0A-4D7C-99C5-745CC31554BA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43" name="Straight Connector 1942">
            <a:extLst>
              <a:ext uri="{FF2B5EF4-FFF2-40B4-BE49-F238E27FC236}">
                <a16:creationId xmlns:a16="http://schemas.microsoft.com/office/drawing/2014/main" id="{1AEC9A26-5903-2B4F-15EA-361BCFB3CE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44" name="Straight Connector 529">
            <a:extLst>
              <a:ext uri="{FF2B5EF4-FFF2-40B4-BE49-F238E27FC236}">
                <a16:creationId xmlns:a16="http://schemas.microsoft.com/office/drawing/2014/main" id="{5B2866C6-8EA3-F026-8B79-3170C7C0480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5" name="Straight Connector 531">
            <a:extLst>
              <a:ext uri="{FF2B5EF4-FFF2-40B4-BE49-F238E27FC236}">
                <a16:creationId xmlns:a16="http://schemas.microsoft.com/office/drawing/2014/main" id="{5770A874-1BFB-E471-B43D-33C33C71F8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6" name="Straight Connector 533">
            <a:extLst>
              <a:ext uri="{FF2B5EF4-FFF2-40B4-BE49-F238E27FC236}">
                <a16:creationId xmlns:a16="http://schemas.microsoft.com/office/drawing/2014/main" id="{2491AFBB-2421-D5A0-2C75-3CA4F4C445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7" name="Straight Connector 535">
            <a:extLst>
              <a:ext uri="{FF2B5EF4-FFF2-40B4-BE49-F238E27FC236}">
                <a16:creationId xmlns:a16="http://schemas.microsoft.com/office/drawing/2014/main" id="{3CE022EC-E537-22E3-2BC0-5F236F81A6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8" name="Straight Connector 537">
            <a:extLst>
              <a:ext uri="{FF2B5EF4-FFF2-40B4-BE49-F238E27FC236}">
                <a16:creationId xmlns:a16="http://schemas.microsoft.com/office/drawing/2014/main" id="{9217FFF9-56F9-4CF7-C7CB-665D8DC994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49" name="Group 1008">
          <a:extLst>
            <a:ext uri="{FF2B5EF4-FFF2-40B4-BE49-F238E27FC236}">
              <a16:creationId xmlns:a16="http://schemas.microsoft.com/office/drawing/2014/main" id="{8A0576CB-517E-4DD7-978D-E8A34E0A83C4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50" name="Straight Connector 1949">
            <a:extLst>
              <a:ext uri="{FF2B5EF4-FFF2-40B4-BE49-F238E27FC236}">
                <a16:creationId xmlns:a16="http://schemas.microsoft.com/office/drawing/2014/main" id="{7B90CA13-71BB-6B48-2FE2-581756FB81C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51" name="Straight Connector 529">
            <a:extLst>
              <a:ext uri="{FF2B5EF4-FFF2-40B4-BE49-F238E27FC236}">
                <a16:creationId xmlns:a16="http://schemas.microsoft.com/office/drawing/2014/main" id="{5DC578C5-B442-B479-F86A-A4001D58538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2" name="Straight Connector 531">
            <a:extLst>
              <a:ext uri="{FF2B5EF4-FFF2-40B4-BE49-F238E27FC236}">
                <a16:creationId xmlns:a16="http://schemas.microsoft.com/office/drawing/2014/main" id="{EDD4DB08-95EA-0864-C30C-4832B3B1B8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3" name="Straight Connector 533">
            <a:extLst>
              <a:ext uri="{FF2B5EF4-FFF2-40B4-BE49-F238E27FC236}">
                <a16:creationId xmlns:a16="http://schemas.microsoft.com/office/drawing/2014/main" id="{B97FFC22-8026-DA5B-0DAC-A9D19C8C04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4" name="Straight Connector 535">
            <a:extLst>
              <a:ext uri="{FF2B5EF4-FFF2-40B4-BE49-F238E27FC236}">
                <a16:creationId xmlns:a16="http://schemas.microsoft.com/office/drawing/2014/main" id="{7C56EBBC-9567-3CFC-03D9-1F8151A12C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5" name="Straight Connector 537">
            <a:extLst>
              <a:ext uri="{FF2B5EF4-FFF2-40B4-BE49-F238E27FC236}">
                <a16:creationId xmlns:a16="http://schemas.microsoft.com/office/drawing/2014/main" id="{998FABF9-6BA7-3FEA-6A5C-E93D74381F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56" name="Group 1008">
          <a:extLst>
            <a:ext uri="{FF2B5EF4-FFF2-40B4-BE49-F238E27FC236}">
              <a16:creationId xmlns:a16="http://schemas.microsoft.com/office/drawing/2014/main" id="{35FCA7DE-18B3-4A39-BC5F-1DD75656F680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57" name="Straight Connector 1956">
            <a:extLst>
              <a:ext uri="{FF2B5EF4-FFF2-40B4-BE49-F238E27FC236}">
                <a16:creationId xmlns:a16="http://schemas.microsoft.com/office/drawing/2014/main" id="{95CFCE6E-50ED-4236-ED14-E47DDAE6F49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58" name="Straight Connector 529">
            <a:extLst>
              <a:ext uri="{FF2B5EF4-FFF2-40B4-BE49-F238E27FC236}">
                <a16:creationId xmlns:a16="http://schemas.microsoft.com/office/drawing/2014/main" id="{366691BF-BFCB-CE8D-B3AF-1CD4DEAC3F8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9" name="Straight Connector 531">
            <a:extLst>
              <a:ext uri="{FF2B5EF4-FFF2-40B4-BE49-F238E27FC236}">
                <a16:creationId xmlns:a16="http://schemas.microsoft.com/office/drawing/2014/main" id="{258AB147-F8C0-ECA1-CE79-F79F602FFC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0" name="Straight Connector 533">
            <a:extLst>
              <a:ext uri="{FF2B5EF4-FFF2-40B4-BE49-F238E27FC236}">
                <a16:creationId xmlns:a16="http://schemas.microsoft.com/office/drawing/2014/main" id="{7336C04B-BFF3-7B44-CD1C-4050FFE28C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1" name="Straight Connector 535">
            <a:extLst>
              <a:ext uri="{FF2B5EF4-FFF2-40B4-BE49-F238E27FC236}">
                <a16:creationId xmlns:a16="http://schemas.microsoft.com/office/drawing/2014/main" id="{6CDF5EDF-8281-9318-A6F3-AA0066AA49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2" name="Straight Connector 537">
            <a:extLst>
              <a:ext uri="{FF2B5EF4-FFF2-40B4-BE49-F238E27FC236}">
                <a16:creationId xmlns:a16="http://schemas.microsoft.com/office/drawing/2014/main" id="{DA30ABCF-2980-3682-77EC-4AB6D5BF07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63" name="Group 1008">
          <a:extLst>
            <a:ext uri="{FF2B5EF4-FFF2-40B4-BE49-F238E27FC236}">
              <a16:creationId xmlns:a16="http://schemas.microsoft.com/office/drawing/2014/main" id="{3B5E70DB-DCE8-478A-9EEF-79CAD3F8F9E4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64" name="Straight Connector 1963">
            <a:extLst>
              <a:ext uri="{FF2B5EF4-FFF2-40B4-BE49-F238E27FC236}">
                <a16:creationId xmlns:a16="http://schemas.microsoft.com/office/drawing/2014/main" id="{DF126153-9B0F-334F-0C9A-CEC33F3FB5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65" name="Straight Connector 529">
            <a:extLst>
              <a:ext uri="{FF2B5EF4-FFF2-40B4-BE49-F238E27FC236}">
                <a16:creationId xmlns:a16="http://schemas.microsoft.com/office/drawing/2014/main" id="{29C0252B-5AAA-B2FC-944D-8CB2296861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6" name="Straight Connector 531">
            <a:extLst>
              <a:ext uri="{FF2B5EF4-FFF2-40B4-BE49-F238E27FC236}">
                <a16:creationId xmlns:a16="http://schemas.microsoft.com/office/drawing/2014/main" id="{094FF34C-CE25-53F6-4E7C-D2CA04119CE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7" name="Straight Connector 533">
            <a:extLst>
              <a:ext uri="{FF2B5EF4-FFF2-40B4-BE49-F238E27FC236}">
                <a16:creationId xmlns:a16="http://schemas.microsoft.com/office/drawing/2014/main" id="{7F82718A-D0DD-A79E-D4A9-0ED0A1CA7F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8" name="Straight Connector 535">
            <a:extLst>
              <a:ext uri="{FF2B5EF4-FFF2-40B4-BE49-F238E27FC236}">
                <a16:creationId xmlns:a16="http://schemas.microsoft.com/office/drawing/2014/main" id="{30C0A4FC-EE0D-7195-1F69-2A94F89633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9" name="Straight Connector 537">
            <a:extLst>
              <a:ext uri="{FF2B5EF4-FFF2-40B4-BE49-F238E27FC236}">
                <a16:creationId xmlns:a16="http://schemas.microsoft.com/office/drawing/2014/main" id="{260EF11E-4AB3-FC48-6A65-5984F6239AF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70" name="Group 1008">
          <a:extLst>
            <a:ext uri="{FF2B5EF4-FFF2-40B4-BE49-F238E27FC236}">
              <a16:creationId xmlns:a16="http://schemas.microsoft.com/office/drawing/2014/main" id="{3142C4B2-7AF0-493E-9EAB-000491C00EA1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71" name="Straight Connector 1970">
            <a:extLst>
              <a:ext uri="{FF2B5EF4-FFF2-40B4-BE49-F238E27FC236}">
                <a16:creationId xmlns:a16="http://schemas.microsoft.com/office/drawing/2014/main" id="{44DC1D60-004C-0A79-1E18-E491680744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72" name="Straight Connector 529">
            <a:extLst>
              <a:ext uri="{FF2B5EF4-FFF2-40B4-BE49-F238E27FC236}">
                <a16:creationId xmlns:a16="http://schemas.microsoft.com/office/drawing/2014/main" id="{CD118BF7-8976-74CF-DC21-EF2E57B9B2D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3" name="Straight Connector 531">
            <a:extLst>
              <a:ext uri="{FF2B5EF4-FFF2-40B4-BE49-F238E27FC236}">
                <a16:creationId xmlns:a16="http://schemas.microsoft.com/office/drawing/2014/main" id="{3BCA0500-22AE-7444-A082-020B34076E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4" name="Straight Connector 533">
            <a:extLst>
              <a:ext uri="{FF2B5EF4-FFF2-40B4-BE49-F238E27FC236}">
                <a16:creationId xmlns:a16="http://schemas.microsoft.com/office/drawing/2014/main" id="{48898059-EEC0-7D0A-CE3E-F17DD79F70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5" name="Straight Connector 535">
            <a:extLst>
              <a:ext uri="{FF2B5EF4-FFF2-40B4-BE49-F238E27FC236}">
                <a16:creationId xmlns:a16="http://schemas.microsoft.com/office/drawing/2014/main" id="{235091F3-0078-3F4B-FA88-F0A6EC48DD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6" name="Straight Connector 537">
            <a:extLst>
              <a:ext uri="{FF2B5EF4-FFF2-40B4-BE49-F238E27FC236}">
                <a16:creationId xmlns:a16="http://schemas.microsoft.com/office/drawing/2014/main" id="{30A2DFD2-18E1-4D18-D2C2-97E715B17F5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77" name="Group 1008">
          <a:extLst>
            <a:ext uri="{FF2B5EF4-FFF2-40B4-BE49-F238E27FC236}">
              <a16:creationId xmlns:a16="http://schemas.microsoft.com/office/drawing/2014/main" id="{04D2B5DF-8839-4AB2-9A6D-32B655783D2D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78" name="Straight Connector 1977">
            <a:extLst>
              <a:ext uri="{FF2B5EF4-FFF2-40B4-BE49-F238E27FC236}">
                <a16:creationId xmlns:a16="http://schemas.microsoft.com/office/drawing/2014/main" id="{31269BCF-5009-3422-AC81-D7BCFBB5F4E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79" name="Straight Connector 529">
            <a:extLst>
              <a:ext uri="{FF2B5EF4-FFF2-40B4-BE49-F238E27FC236}">
                <a16:creationId xmlns:a16="http://schemas.microsoft.com/office/drawing/2014/main" id="{BB300E74-0DD6-7258-E6D5-4B87F11A64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0" name="Straight Connector 531">
            <a:extLst>
              <a:ext uri="{FF2B5EF4-FFF2-40B4-BE49-F238E27FC236}">
                <a16:creationId xmlns:a16="http://schemas.microsoft.com/office/drawing/2014/main" id="{439D7CF9-482C-D82D-8839-4DD425FDFE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1" name="Straight Connector 533">
            <a:extLst>
              <a:ext uri="{FF2B5EF4-FFF2-40B4-BE49-F238E27FC236}">
                <a16:creationId xmlns:a16="http://schemas.microsoft.com/office/drawing/2014/main" id="{468D2006-E427-FEB5-32C6-A77FE3EF19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2" name="Straight Connector 535">
            <a:extLst>
              <a:ext uri="{FF2B5EF4-FFF2-40B4-BE49-F238E27FC236}">
                <a16:creationId xmlns:a16="http://schemas.microsoft.com/office/drawing/2014/main" id="{9188D009-FDBF-F999-231B-5300F8E642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3" name="Straight Connector 537">
            <a:extLst>
              <a:ext uri="{FF2B5EF4-FFF2-40B4-BE49-F238E27FC236}">
                <a16:creationId xmlns:a16="http://schemas.microsoft.com/office/drawing/2014/main" id="{DE6E7093-3D55-7C2B-AB97-638B5E2CC7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84" name="Group 1008">
          <a:extLst>
            <a:ext uri="{FF2B5EF4-FFF2-40B4-BE49-F238E27FC236}">
              <a16:creationId xmlns:a16="http://schemas.microsoft.com/office/drawing/2014/main" id="{6802F08B-4838-4743-9BA0-9557C5C8B265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85" name="Straight Connector 1984">
            <a:extLst>
              <a:ext uri="{FF2B5EF4-FFF2-40B4-BE49-F238E27FC236}">
                <a16:creationId xmlns:a16="http://schemas.microsoft.com/office/drawing/2014/main" id="{1963CB48-34DB-C3BD-4E57-037B535191E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86" name="Straight Connector 529">
            <a:extLst>
              <a:ext uri="{FF2B5EF4-FFF2-40B4-BE49-F238E27FC236}">
                <a16:creationId xmlns:a16="http://schemas.microsoft.com/office/drawing/2014/main" id="{B39FDA7E-C082-F01B-0FD3-3ECED37BF4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7" name="Straight Connector 531">
            <a:extLst>
              <a:ext uri="{FF2B5EF4-FFF2-40B4-BE49-F238E27FC236}">
                <a16:creationId xmlns:a16="http://schemas.microsoft.com/office/drawing/2014/main" id="{3BA78703-A4B4-0306-0CF6-A8D0EE04EC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8" name="Straight Connector 533">
            <a:extLst>
              <a:ext uri="{FF2B5EF4-FFF2-40B4-BE49-F238E27FC236}">
                <a16:creationId xmlns:a16="http://schemas.microsoft.com/office/drawing/2014/main" id="{C13668EB-69AA-ED10-B5A3-3E70519844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9" name="Straight Connector 535">
            <a:extLst>
              <a:ext uri="{FF2B5EF4-FFF2-40B4-BE49-F238E27FC236}">
                <a16:creationId xmlns:a16="http://schemas.microsoft.com/office/drawing/2014/main" id="{C9C31B42-6AFC-8BF0-B8C7-772EE4AFC89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0" name="Straight Connector 537">
            <a:extLst>
              <a:ext uri="{FF2B5EF4-FFF2-40B4-BE49-F238E27FC236}">
                <a16:creationId xmlns:a16="http://schemas.microsoft.com/office/drawing/2014/main" id="{406690B4-8D55-8C75-1C91-96DAC4D9EB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91" name="Group 1008">
          <a:extLst>
            <a:ext uri="{FF2B5EF4-FFF2-40B4-BE49-F238E27FC236}">
              <a16:creationId xmlns:a16="http://schemas.microsoft.com/office/drawing/2014/main" id="{FBCF9716-0746-4671-8160-EA82A3BB153E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92" name="Straight Connector 1991">
            <a:extLst>
              <a:ext uri="{FF2B5EF4-FFF2-40B4-BE49-F238E27FC236}">
                <a16:creationId xmlns:a16="http://schemas.microsoft.com/office/drawing/2014/main" id="{B11C9D69-27B9-8B8B-DA38-6FC71023399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93" name="Straight Connector 529">
            <a:extLst>
              <a:ext uri="{FF2B5EF4-FFF2-40B4-BE49-F238E27FC236}">
                <a16:creationId xmlns:a16="http://schemas.microsoft.com/office/drawing/2014/main" id="{C537E101-F00B-A19C-C666-304D354AEBD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4" name="Straight Connector 531">
            <a:extLst>
              <a:ext uri="{FF2B5EF4-FFF2-40B4-BE49-F238E27FC236}">
                <a16:creationId xmlns:a16="http://schemas.microsoft.com/office/drawing/2014/main" id="{0BF552A3-96F6-3E59-967F-5B1F5FCAE3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5" name="Straight Connector 533">
            <a:extLst>
              <a:ext uri="{FF2B5EF4-FFF2-40B4-BE49-F238E27FC236}">
                <a16:creationId xmlns:a16="http://schemas.microsoft.com/office/drawing/2014/main" id="{AD40FA4C-95B5-A1ED-6967-A4388ECC11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6" name="Straight Connector 535">
            <a:extLst>
              <a:ext uri="{FF2B5EF4-FFF2-40B4-BE49-F238E27FC236}">
                <a16:creationId xmlns:a16="http://schemas.microsoft.com/office/drawing/2014/main" id="{B7FC4374-6ABA-B4BC-DCC8-FFF1D96F04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7" name="Straight Connector 537">
            <a:extLst>
              <a:ext uri="{FF2B5EF4-FFF2-40B4-BE49-F238E27FC236}">
                <a16:creationId xmlns:a16="http://schemas.microsoft.com/office/drawing/2014/main" id="{2FE30792-A65E-7798-85EE-E8C98A3B35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98" name="Group 1008">
          <a:extLst>
            <a:ext uri="{FF2B5EF4-FFF2-40B4-BE49-F238E27FC236}">
              <a16:creationId xmlns:a16="http://schemas.microsoft.com/office/drawing/2014/main" id="{13A1EC1D-1AB0-4AB0-A9F2-32BF4FF52F7C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99" name="Straight Connector 1998">
            <a:extLst>
              <a:ext uri="{FF2B5EF4-FFF2-40B4-BE49-F238E27FC236}">
                <a16:creationId xmlns:a16="http://schemas.microsoft.com/office/drawing/2014/main" id="{F8A9FD83-2F73-888F-8EA5-E3A443307D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00" name="Straight Connector 529">
            <a:extLst>
              <a:ext uri="{FF2B5EF4-FFF2-40B4-BE49-F238E27FC236}">
                <a16:creationId xmlns:a16="http://schemas.microsoft.com/office/drawing/2014/main" id="{CFBFCAC7-5BB5-EE9D-FDA9-CDEC756AC2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1" name="Straight Connector 531">
            <a:extLst>
              <a:ext uri="{FF2B5EF4-FFF2-40B4-BE49-F238E27FC236}">
                <a16:creationId xmlns:a16="http://schemas.microsoft.com/office/drawing/2014/main" id="{9A2F4397-4A10-6EDF-F709-2E433665E9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2" name="Straight Connector 533">
            <a:extLst>
              <a:ext uri="{FF2B5EF4-FFF2-40B4-BE49-F238E27FC236}">
                <a16:creationId xmlns:a16="http://schemas.microsoft.com/office/drawing/2014/main" id="{7032D14B-7398-F99C-1513-701A3BCBDB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3" name="Straight Connector 535">
            <a:extLst>
              <a:ext uri="{FF2B5EF4-FFF2-40B4-BE49-F238E27FC236}">
                <a16:creationId xmlns:a16="http://schemas.microsoft.com/office/drawing/2014/main" id="{DFE589CD-F608-49E7-F648-D988C81D98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4" name="Straight Connector 537">
            <a:extLst>
              <a:ext uri="{FF2B5EF4-FFF2-40B4-BE49-F238E27FC236}">
                <a16:creationId xmlns:a16="http://schemas.microsoft.com/office/drawing/2014/main" id="{9DBDF87B-2530-C0D9-7298-F2B26CEC5F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13</xdr:col>
      <xdr:colOff>278191</xdr:colOff>
      <xdr:row>85</xdr:row>
      <xdr:rowOff>46567</xdr:rowOff>
    </xdr:from>
    <xdr:to>
      <xdr:col>14</xdr:col>
      <xdr:colOff>369336</xdr:colOff>
      <xdr:row>86</xdr:row>
      <xdr:rowOff>179917</xdr:rowOff>
    </xdr:to>
    <xdr:sp macro="" textlink="">
      <xdr:nvSpPr>
        <xdr:cNvPr id="2005" name="AutoShape 46">
          <a:extLst>
            <a:ext uri="{FF2B5EF4-FFF2-40B4-BE49-F238E27FC236}">
              <a16:creationId xmlns:a16="http://schemas.microsoft.com/office/drawing/2014/main" id="{6EFB3BC0-2EBE-4554-9981-879AF7784A26}"/>
            </a:ext>
          </a:extLst>
        </xdr:cNvPr>
        <xdr:cNvSpPr>
          <a:spLocks noChangeArrowheads="1"/>
        </xdr:cNvSpPr>
      </xdr:nvSpPr>
      <xdr:spPr bwMode="auto">
        <a:xfrm>
          <a:off x="4476967" y="17211006"/>
          <a:ext cx="373007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85</xdr:row>
      <xdr:rowOff>57150</xdr:rowOff>
    </xdr:from>
    <xdr:to>
      <xdr:col>17</xdr:col>
      <xdr:colOff>0</xdr:colOff>
      <xdr:row>87</xdr:row>
      <xdr:rowOff>0</xdr:rowOff>
    </xdr:to>
    <xdr:sp macro="" textlink="">
      <xdr:nvSpPr>
        <xdr:cNvPr id="2006" name="AutoShape 46">
          <a:extLst>
            <a:ext uri="{FF2B5EF4-FFF2-40B4-BE49-F238E27FC236}">
              <a16:creationId xmlns:a16="http://schemas.microsoft.com/office/drawing/2014/main" id="{25C6DB78-83CD-4F37-A4C7-44FA0C15EC4F}"/>
            </a:ext>
          </a:extLst>
        </xdr:cNvPr>
        <xdr:cNvSpPr>
          <a:spLocks noChangeArrowheads="1"/>
        </xdr:cNvSpPr>
      </xdr:nvSpPr>
      <xdr:spPr bwMode="auto">
        <a:xfrm>
          <a:off x="489585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85</xdr:row>
      <xdr:rowOff>46567</xdr:rowOff>
    </xdr:from>
    <xdr:to>
      <xdr:col>19</xdr:col>
      <xdr:colOff>0</xdr:colOff>
      <xdr:row>86</xdr:row>
      <xdr:rowOff>179917</xdr:rowOff>
    </xdr:to>
    <xdr:sp macro="" textlink="">
      <xdr:nvSpPr>
        <xdr:cNvPr id="2007" name="AutoShape 46">
          <a:extLst>
            <a:ext uri="{FF2B5EF4-FFF2-40B4-BE49-F238E27FC236}">
              <a16:creationId xmlns:a16="http://schemas.microsoft.com/office/drawing/2014/main" id="{4B059B90-688F-4D01-8DF0-16D5E424F5BC}"/>
            </a:ext>
          </a:extLst>
        </xdr:cNvPr>
        <xdr:cNvSpPr>
          <a:spLocks noChangeArrowheads="1"/>
        </xdr:cNvSpPr>
      </xdr:nvSpPr>
      <xdr:spPr bwMode="auto">
        <a:xfrm>
          <a:off x="5467350" y="16286692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85</xdr:row>
      <xdr:rowOff>57150</xdr:rowOff>
    </xdr:from>
    <xdr:to>
      <xdr:col>21</xdr:col>
      <xdr:colOff>0</xdr:colOff>
      <xdr:row>87</xdr:row>
      <xdr:rowOff>0</xdr:rowOff>
    </xdr:to>
    <xdr:sp macro="" textlink="">
      <xdr:nvSpPr>
        <xdr:cNvPr id="2008" name="AutoShape 46">
          <a:extLst>
            <a:ext uri="{FF2B5EF4-FFF2-40B4-BE49-F238E27FC236}">
              <a16:creationId xmlns:a16="http://schemas.microsoft.com/office/drawing/2014/main" id="{646033BC-B584-489D-92EB-6E09070B2415}"/>
            </a:ext>
          </a:extLst>
        </xdr:cNvPr>
        <xdr:cNvSpPr>
          <a:spLocks noChangeArrowheads="1"/>
        </xdr:cNvSpPr>
      </xdr:nvSpPr>
      <xdr:spPr bwMode="auto">
        <a:xfrm>
          <a:off x="603885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275167</xdr:colOff>
      <xdr:row>85</xdr:row>
      <xdr:rowOff>46566</xdr:rowOff>
    </xdr:from>
    <xdr:to>
      <xdr:col>23</xdr:col>
      <xdr:colOff>0</xdr:colOff>
      <xdr:row>86</xdr:row>
      <xdr:rowOff>179916</xdr:rowOff>
    </xdr:to>
    <xdr:sp macro="" textlink="">
      <xdr:nvSpPr>
        <xdr:cNvPr id="2009" name="AutoShape 46">
          <a:extLst>
            <a:ext uri="{FF2B5EF4-FFF2-40B4-BE49-F238E27FC236}">
              <a16:creationId xmlns:a16="http://schemas.microsoft.com/office/drawing/2014/main" id="{AAB101D7-C7EA-4EDB-BC51-AFAE74F2FB91}"/>
            </a:ext>
          </a:extLst>
        </xdr:cNvPr>
        <xdr:cNvSpPr>
          <a:spLocks noChangeArrowheads="1"/>
        </xdr:cNvSpPr>
      </xdr:nvSpPr>
      <xdr:spPr bwMode="auto">
        <a:xfrm>
          <a:off x="6767718" y="16608403"/>
          <a:ext cx="346874" cy="3277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863</xdr:colOff>
      <xdr:row>85</xdr:row>
      <xdr:rowOff>46566</xdr:rowOff>
    </xdr:from>
    <xdr:to>
      <xdr:col>25</xdr:col>
      <xdr:colOff>863</xdr:colOff>
      <xdr:row>86</xdr:row>
      <xdr:rowOff>179916</xdr:rowOff>
    </xdr:to>
    <xdr:sp macro="" textlink="">
      <xdr:nvSpPr>
        <xdr:cNvPr id="2010" name="AutoShape 46">
          <a:extLst>
            <a:ext uri="{FF2B5EF4-FFF2-40B4-BE49-F238E27FC236}">
              <a16:creationId xmlns:a16="http://schemas.microsoft.com/office/drawing/2014/main" id="{94771258-CE63-4697-87AA-701E55235AF0}"/>
            </a:ext>
          </a:extLst>
        </xdr:cNvPr>
        <xdr:cNvSpPr>
          <a:spLocks noChangeArrowheads="1"/>
        </xdr:cNvSpPr>
      </xdr:nvSpPr>
      <xdr:spPr bwMode="auto">
        <a:xfrm>
          <a:off x="7698618" y="17211005"/>
          <a:ext cx="340179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85</xdr:row>
      <xdr:rowOff>46567</xdr:rowOff>
    </xdr:from>
    <xdr:to>
      <xdr:col>27</xdr:col>
      <xdr:colOff>0</xdr:colOff>
      <xdr:row>86</xdr:row>
      <xdr:rowOff>179917</xdr:rowOff>
    </xdr:to>
    <xdr:sp macro="" textlink="">
      <xdr:nvSpPr>
        <xdr:cNvPr id="2011" name="AutoShape 46">
          <a:extLst>
            <a:ext uri="{FF2B5EF4-FFF2-40B4-BE49-F238E27FC236}">
              <a16:creationId xmlns:a16="http://schemas.microsoft.com/office/drawing/2014/main" id="{B3842ECF-E277-462F-BCA9-2DBD59E8040B}"/>
            </a:ext>
          </a:extLst>
        </xdr:cNvPr>
        <xdr:cNvSpPr>
          <a:spLocks noChangeArrowheads="1"/>
        </xdr:cNvSpPr>
      </xdr:nvSpPr>
      <xdr:spPr bwMode="auto">
        <a:xfrm>
          <a:off x="7753350" y="16286692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85</xdr:row>
      <xdr:rowOff>57150</xdr:rowOff>
    </xdr:from>
    <xdr:to>
      <xdr:col>29</xdr:col>
      <xdr:colOff>0</xdr:colOff>
      <xdr:row>87</xdr:row>
      <xdr:rowOff>0</xdr:rowOff>
    </xdr:to>
    <xdr:sp macro="" textlink="">
      <xdr:nvSpPr>
        <xdr:cNvPr id="2012" name="AutoShape 46">
          <a:extLst>
            <a:ext uri="{FF2B5EF4-FFF2-40B4-BE49-F238E27FC236}">
              <a16:creationId xmlns:a16="http://schemas.microsoft.com/office/drawing/2014/main" id="{6DF70313-49AB-4EE0-B9B1-D765985341AC}"/>
            </a:ext>
          </a:extLst>
        </xdr:cNvPr>
        <xdr:cNvSpPr>
          <a:spLocks noChangeArrowheads="1"/>
        </xdr:cNvSpPr>
      </xdr:nvSpPr>
      <xdr:spPr bwMode="auto">
        <a:xfrm>
          <a:off x="838200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85</xdr:row>
      <xdr:rowOff>57150</xdr:rowOff>
    </xdr:from>
    <xdr:to>
      <xdr:col>31</xdr:col>
      <xdr:colOff>0</xdr:colOff>
      <xdr:row>87</xdr:row>
      <xdr:rowOff>0</xdr:rowOff>
    </xdr:to>
    <xdr:sp macro="" textlink="">
      <xdr:nvSpPr>
        <xdr:cNvPr id="2013" name="AutoShape 46">
          <a:extLst>
            <a:ext uri="{FF2B5EF4-FFF2-40B4-BE49-F238E27FC236}">
              <a16:creationId xmlns:a16="http://schemas.microsoft.com/office/drawing/2014/main" id="{1258A271-179F-4146-B5FC-696B3A6441B3}"/>
            </a:ext>
          </a:extLst>
        </xdr:cNvPr>
        <xdr:cNvSpPr>
          <a:spLocks noChangeArrowheads="1"/>
        </xdr:cNvSpPr>
      </xdr:nvSpPr>
      <xdr:spPr bwMode="auto">
        <a:xfrm>
          <a:off x="895350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12743</xdr:colOff>
      <xdr:row>85</xdr:row>
      <xdr:rowOff>46567</xdr:rowOff>
    </xdr:from>
    <xdr:to>
      <xdr:col>33</xdr:col>
      <xdr:colOff>12743</xdr:colOff>
      <xdr:row>86</xdr:row>
      <xdr:rowOff>179917</xdr:rowOff>
    </xdr:to>
    <xdr:sp macro="" textlink="">
      <xdr:nvSpPr>
        <xdr:cNvPr id="2014" name="AutoShape 46">
          <a:extLst>
            <a:ext uri="{FF2B5EF4-FFF2-40B4-BE49-F238E27FC236}">
              <a16:creationId xmlns:a16="http://schemas.microsoft.com/office/drawing/2014/main" id="{E2F68B35-6DB5-4D1B-A74F-6042288960DB}"/>
            </a:ext>
          </a:extLst>
        </xdr:cNvPr>
        <xdr:cNvSpPr>
          <a:spLocks noChangeArrowheads="1"/>
        </xdr:cNvSpPr>
      </xdr:nvSpPr>
      <xdr:spPr bwMode="auto">
        <a:xfrm>
          <a:off x="9683534" y="16608404"/>
          <a:ext cx="281862" cy="3277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85</xdr:row>
      <xdr:rowOff>46566</xdr:rowOff>
    </xdr:from>
    <xdr:to>
      <xdr:col>35</xdr:col>
      <xdr:colOff>0</xdr:colOff>
      <xdr:row>86</xdr:row>
      <xdr:rowOff>179916</xdr:rowOff>
    </xdr:to>
    <xdr:sp macro="" textlink="">
      <xdr:nvSpPr>
        <xdr:cNvPr id="2015" name="AutoShape 46">
          <a:extLst>
            <a:ext uri="{FF2B5EF4-FFF2-40B4-BE49-F238E27FC236}">
              <a16:creationId xmlns:a16="http://schemas.microsoft.com/office/drawing/2014/main" id="{89A71D1C-616E-4138-B45A-F96E17841610}"/>
            </a:ext>
          </a:extLst>
        </xdr:cNvPr>
        <xdr:cNvSpPr>
          <a:spLocks noChangeArrowheads="1"/>
        </xdr:cNvSpPr>
      </xdr:nvSpPr>
      <xdr:spPr bwMode="auto">
        <a:xfrm>
          <a:off x="10096500" y="16286691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3025</xdr:colOff>
      <xdr:row>85</xdr:row>
      <xdr:rowOff>104669</xdr:rowOff>
    </xdr:from>
    <xdr:to>
      <xdr:col>36</xdr:col>
      <xdr:colOff>366347</xdr:colOff>
      <xdr:row>86</xdr:row>
      <xdr:rowOff>179916</xdr:rowOff>
    </xdr:to>
    <xdr:sp macro="" textlink="">
      <xdr:nvSpPr>
        <xdr:cNvPr id="2016" name="AutoShape 46">
          <a:extLst>
            <a:ext uri="{FF2B5EF4-FFF2-40B4-BE49-F238E27FC236}">
              <a16:creationId xmlns:a16="http://schemas.microsoft.com/office/drawing/2014/main" id="{0F1184E7-AEC0-4E3E-AAA3-23EC122513C8}"/>
            </a:ext>
          </a:extLst>
        </xdr:cNvPr>
        <xdr:cNvSpPr>
          <a:spLocks noChangeArrowheads="1"/>
        </xdr:cNvSpPr>
      </xdr:nvSpPr>
      <xdr:spPr bwMode="auto">
        <a:xfrm>
          <a:off x="11380690" y="16830988"/>
          <a:ext cx="363322" cy="26365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272143</xdr:colOff>
      <xdr:row>85</xdr:row>
      <xdr:rowOff>115136</xdr:rowOff>
    </xdr:from>
    <xdr:to>
      <xdr:col>39</xdr:col>
      <xdr:colOff>0</xdr:colOff>
      <xdr:row>86</xdr:row>
      <xdr:rowOff>179915</xdr:rowOff>
    </xdr:to>
    <xdr:sp macro="" textlink="">
      <xdr:nvSpPr>
        <xdr:cNvPr id="2017" name="AutoShape 46">
          <a:extLst>
            <a:ext uri="{FF2B5EF4-FFF2-40B4-BE49-F238E27FC236}">
              <a16:creationId xmlns:a16="http://schemas.microsoft.com/office/drawing/2014/main" id="{DE06B6BB-6785-4445-96D6-4DFAE0A830B4}"/>
            </a:ext>
          </a:extLst>
        </xdr:cNvPr>
        <xdr:cNvSpPr>
          <a:spLocks noChangeArrowheads="1"/>
        </xdr:cNvSpPr>
      </xdr:nvSpPr>
      <xdr:spPr bwMode="auto">
        <a:xfrm>
          <a:off x="12026621" y="16841455"/>
          <a:ext cx="355879" cy="25318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865</xdr:colOff>
      <xdr:row>85</xdr:row>
      <xdr:rowOff>94202</xdr:rowOff>
    </xdr:from>
    <xdr:to>
      <xdr:col>41</xdr:col>
      <xdr:colOff>0</xdr:colOff>
      <xdr:row>86</xdr:row>
      <xdr:rowOff>179915</xdr:rowOff>
    </xdr:to>
    <xdr:sp macro="" textlink="">
      <xdr:nvSpPr>
        <xdr:cNvPr id="2018" name="AutoShape 46">
          <a:extLst>
            <a:ext uri="{FF2B5EF4-FFF2-40B4-BE49-F238E27FC236}">
              <a16:creationId xmlns:a16="http://schemas.microsoft.com/office/drawing/2014/main" id="{D34EF25A-F54C-47DF-AB01-E52D0213F334}"/>
            </a:ext>
          </a:extLst>
        </xdr:cNvPr>
        <xdr:cNvSpPr>
          <a:spLocks noChangeArrowheads="1"/>
        </xdr:cNvSpPr>
      </xdr:nvSpPr>
      <xdr:spPr bwMode="auto">
        <a:xfrm>
          <a:off x="12665975" y="16820521"/>
          <a:ext cx="344547" cy="27411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272143</xdr:colOff>
      <xdr:row>85</xdr:row>
      <xdr:rowOff>104669</xdr:rowOff>
    </xdr:from>
    <xdr:to>
      <xdr:col>43</xdr:col>
      <xdr:colOff>10584</xdr:colOff>
      <xdr:row>86</xdr:row>
      <xdr:rowOff>179916</xdr:rowOff>
    </xdr:to>
    <xdr:sp macro="" textlink="">
      <xdr:nvSpPr>
        <xdr:cNvPr id="2019" name="AutoShape 46">
          <a:extLst>
            <a:ext uri="{FF2B5EF4-FFF2-40B4-BE49-F238E27FC236}">
              <a16:creationId xmlns:a16="http://schemas.microsoft.com/office/drawing/2014/main" id="{E13DC523-FC36-4E12-AE50-5FFAC2491DAB}"/>
            </a:ext>
          </a:extLst>
        </xdr:cNvPr>
        <xdr:cNvSpPr>
          <a:spLocks noChangeArrowheads="1"/>
        </xdr:cNvSpPr>
      </xdr:nvSpPr>
      <xdr:spPr bwMode="auto">
        <a:xfrm>
          <a:off x="13282665" y="16830988"/>
          <a:ext cx="366463" cy="26365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</xdr:colOff>
      <xdr:row>85</xdr:row>
      <xdr:rowOff>29158</xdr:rowOff>
    </xdr:from>
    <xdr:to>
      <xdr:col>11</xdr:col>
      <xdr:colOff>1</xdr:colOff>
      <xdr:row>87</xdr:row>
      <xdr:rowOff>0</xdr:rowOff>
    </xdr:to>
    <xdr:sp macro="" textlink="">
      <xdr:nvSpPr>
        <xdr:cNvPr id="2020" name="AutoShape 46">
          <a:extLst>
            <a:ext uri="{FF2B5EF4-FFF2-40B4-BE49-F238E27FC236}">
              <a16:creationId xmlns:a16="http://schemas.microsoft.com/office/drawing/2014/main" id="{02084CA2-ACF0-47D2-AA0A-B7B54EA6EAD4}"/>
            </a:ext>
          </a:extLst>
        </xdr:cNvPr>
        <xdr:cNvSpPr>
          <a:spLocks noChangeArrowheads="1"/>
        </xdr:cNvSpPr>
      </xdr:nvSpPr>
      <xdr:spPr bwMode="auto">
        <a:xfrm>
          <a:off x="3217118" y="17193597"/>
          <a:ext cx="359618" cy="35961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85</xdr:row>
      <xdr:rowOff>46566</xdr:rowOff>
    </xdr:from>
    <xdr:to>
      <xdr:col>13</xdr:col>
      <xdr:colOff>0</xdr:colOff>
      <xdr:row>86</xdr:row>
      <xdr:rowOff>179916</xdr:rowOff>
    </xdr:to>
    <xdr:sp macro="" textlink="">
      <xdr:nvSpPr>
        <xdr:cNvPr id="2021" name="AutoShape 46">
          <a:extLst>
            <a:ext uri="{FF2B5EF4-FFF2-40B4-BE49-F238E27FC236}">
              <a16:creationId xmlns:a16="http://schemas.microsoft.com/office/drawing/2014/main" id="{E3F52F74-6074-4A4D-8E0C-0B30858A38E7}"/>
            </a:ext>
          </a:extLst>
        </xdr:cNvPr>
        <xdr:cNvSpPr>
          <a:spLocks noChangeArrowheads="1"/>
        </xdr:cNvSpPr>
      </xdr:nvSpPr>
      <xdr:spPr bwMode="auto">
        <a:xfrm>
          <a:off x="3752850" y="16286691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85</xdr:row>
      <xdr:rowOff>57150</xdr:rowOff>
    </xdr:from>
    <xdr:to>
      <xdr:col>9</xdr:col>
      <xdr:colOff>0</xdr:colOff>
      <xdr:row>87</xdr:row>
      <xdr:rowOff>0</xdr:rowOff>
    </xdr:to>
    <xdr:sp macro="" textlink="">
      <xdr:nvSpPr>
        <xdr:cNvPr id="2022" name="AutoShape 46">
          <a:extLst>
            <a:ext uri="{FF2B5EF4-FFF2-40B4-BE49-F238E27FC236}">
              <a16:creationId xmlns:a16="http://schemas.microsoft.com/office/drawing/2014/main" id="{0BDD57D8-D6CD-4057-B617-948AB467F208}"/>
            </a:ext>
          </a:extLst>
        </xdr:cNvPr>
        <xdr:cNvSpPr>
          <a:spLocks noChangeArrowheads="1"/>
        </xdr:cNvSpPr>
      </xdr:nvSpPr>
      <xdr:spPr bwMode="auto">
        <a:xfrm>
          <a:off x="2409825" y="16297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85</xdr:row>
      <xdr:rowOff>57150</xdr:rowOff>
    </xdr:from>
    <xdr:to>
      <xdr:col>7</xdr:col>
      <xdr:colOff>0</xdr:colOff>
      <xdr:row>87</xdr:row>
      <xdr:rowOff>0</xdr:rowOff>
    </xdr:to>
    <xdr:sp macro="" textlink="">
      <xdr:nvSpPr>
        <xdr:cNvPr id="2023" name="AutoShape 46">
          <a:extLst>
            <a:ext uri="{FF2B5EF4-FFF2-40B4-BE49-F238E27FC236}">
              <a16:creationId xmlns:a16="http://schemas.microsoft.com/office/drawing/2014/main" id="{C85FAEA4-BE78-4872-BC9E-6E2876A01103}"/>
            </a:ext>
          </a:extLst>
        </xdr:cNvPr>
        <xdr:cNvSpPr>
          <a:spLocks noChangeArrowheads="1"/>
        </xdr:cNvSpPr>
      </xdr:nvSpPr>
      <xdr:spPr bwMode="auto">
        <a:xfrm>
          <a:off x="1819275" y="16297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85</xdr:row>
      <xdr:rowOff>57150</xdr:rowOff>
    </xdr:from>
    <xdr:to>
      <xdr:col>5</xdr:col>
      <xdr:colOff>0</xdr:colOff>
      <xdr:row>87</xdr:row>
      <xdr:rowOff>0</xdr:rowOff>
    </xdr:to>
    <xdr:sp macro="" textlink="">
      <xdr:nvSpPr>
        <xdr:cNvPr id="2024" name="AutoShape 46">
          <a:extLst>
            <a:ext uri="{FF2B5EF4-FFF2-40B4-BE49-F238E27FC236}">
              <a16:creationId xmlns:a16="http://schemas.microsoft.com/office/drawing/2014/main" id="{E06FC1F0-DC4C-4EC5-8E9D-B3305C1F58BC}"/>
            </a:ext>
          </a:extLst>
        </xdr:cNvPr>
        <xdr:cNvSpPr>
          <a:spLocks noChangeArrowheads="1"/>
        </xdr:cNvSpPr>
      </xdr:nvSpPr>
      <xdr:spPr bwMode="auto">
        <a:xfrm>
          <a:off x="1095375" y="16297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85</xdr:row>
      <xdr:rowOff>57150</xdr:rowOff>
    </xdr:from>
    <xdr:to>
      <xdr:col>3</xdr:col>
      <xdr:colOff>0</xdr:colOff>
      <xdr:row>87</xdr:row>
      <xdr:rowOff>0</xdr:rowOff>
    </xdr:to>
    <xdr:sp macro="" textlink="">
      <xdr:nvSpPr>
        <xdr:cNvPr id="2025" name="AutoShape 46">
          <a:extLst>
            <a:ext uri="{FF2B5EF4-FFF2-40B4-BE49-F238E27FC236}">
              <a16:creationId xmlns:a16="http://schemas.microsoft.com/office/drawing/2014/main" id="{E841A75E-C98B-4435-92FA-3D8CF06CB5E0}"/>
            </a:ext>
          </a:extLst>
        </xdr:cNvPr>
        <xdr:cNvSpPr>
          <a:spLocks noChangeArrowheads="1"/>
        </xdr:cNvSpPr>
      </xdr:nvSpPr>
      <xdr:spPr bwMode="auto">
        <a:xfrm>
          <a:off x="523875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26" name="Group 1008">
          <a:extLst>
            <a:ext uri="{FF2B5EF4-FFF2-40B4-BE49-F238E27FC236}">
              <a16:creationId xmlns:a16="http://schemas.microsoft.com/office/drawing/2014/main" id="{1692715E-BE5E-45F1-B4DF-023F27FC31E3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27" name="Straight Connector 2026">
            <a:extLst>
              <a:ext uri="{FF2B5EF4-FFF2-40B4-BE49-F238E27FC236}">
                <a16:creationId xmlns:a16="http://schemas.microsoft.com/office/drawing/2014/main" id="{AB3A50AC-7654-250F-F9F0-A4B1B71AA25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28" name="Straight Connector 529">
            <a:extLst>
              <a:ext uri="{FF2B5EF4-FFF2-40B4-BE49-F238E27FC236}">
                <a16:creationId xmlns:a16="http://schemas.microsoft.com/office/drawing/2014/main" id="{C254FD9F-FB53-9871-2228-C8CA24B1004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29" name="Straight Connector 531">
            <a:extLst>
              <a:ext uri="{FF2B5EF4-FFF2-40B4-BE49-F238E27FC236}">
                <a16:creationId xmlns:a16="http://schemas.microsoft.com/office/drawing/2014/main" id="{9996E926-4A44-C43F-6299-45AFFF32EE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0" name="Straight Connector 533">
            <a:extLst>
              <a:ext uri="{FF2B5EF4-FFF2-40B4-BE49-F238E27FC236}">
                <a16:creationId xmlns:a16="http://schemas.microsoft.com/office/drawing/2014/main" id="{999491DC-CBD8-40FC-A402-50A53E587F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1" name="Straight Connector 535">
            <a:extLst>
              <a:ext uri="{FF2B5EF4-FFF2-40B4-BE49-F238E27FC236}">
                <a16:creationId xmlns:a16="http://schemas.microsoft.com/office/drawing/2014/main" id="{005A72D4-4EFB-C6B1-7565-5F8D31A0A7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2" name="Straight Connector 537">
            <a:extLst>
              <a:ext uri="{FF2B5EF4-FFF2-40B4-BE49-F238E27FC236}">
                <a16:creationId xmlns:a16="http://schemas.microsoft.com/office/drawing/2014/main" id="{3CE64F5E-11DB-275B-39E9-D6E0533B7B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33" name="Group 1008">
          <a:extLst>
            <a:ext uri="{FF2B5EF4-FFF2-40B4-BE49-F238E27FC236}">
              <a16:creationId xmlns:a16="http://schemas.microsoft.com/office/drawing/2014/main" id="{81CD0839-5A2F-48F6-86DD-FE6479F02E00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34" name="Straight Connector 2033">
            <a:extLst>
              <a:ext uri="{FF2B5EF4-FFF2-40B4-BE49-F238E27FC236}">
                <a16:creationId xmlns:a16="http://schemas.microsoft.com/office/drawing/2014/main" id="{6CE2E8FD-D1F5-9C4C-DECA-F6DED88CF213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35" name="Straight Connector 529">
            <a:extLst>
              <a:ext uri="{FF2B5EF4-FFF2-40B4-BE49-F238E27FC236}">
                <a16:creationId xmlns:a16="http://schemas.microsoft.com/office/drawing/2014/main" id="{24553A6A-9216-A500-1B47-C0EE981F03B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6" name="Straight Connector 531">
            <a:extLst>
              <a:ext uri="{FF2B5EF4-FFF2-40B4-BE49-F238E27FC236}">
                <a16:creationId xmlns:a16="http://schemas.microsoft.com/office/drawing/2014/main" id="{755E8F80-4A06-E15A-4774-87EC9C9EDF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7" name="Straight Connector 533">
            <a:extLst>
              <a:ext uri="{FF2B5EF4-FFF2-40B4-BE49-F238E27FC236}">
                <a16:creationId xmlns:a16="http://schemas.microsoft.com/office/drawing/2014/main" id="{2A7D44D5-FACE-4A76-20A5-883B7C8FFE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8" name="Straight Connector 535">
            <a:extLst>
              <a:ext uri="{FF2B5EF4-FFF2-40B4-BE49-F238E27FC236}">
                <a16:creationId xmlns:a16="http://schemas.microsoft.com/office/drawing/2014/main" id="{6ED4C270-6C90-5E07-743B-F6F40214D3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9" name="Straight Connector 537">
            <a:extLst>
              <a:ext uri="{FF2B5EF4-FFF2-40B4-BE49-F238E27FC236}">
                <a16:creationId xmlns:a16="http://schemas.microsoft.com/office/drawing/2014/main" id="{42175F3F-DA83-DC89-B2D3-D09F408850B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133350</xdr:rowOff>
    </xdr:from>
    <xdr:to>
      <xdr:col>6</xdr:col>
      <xdr:colOff>0</xdr:colOff>
      <xdr:row>97</xdr:row>
      <xdr:rowOff>47625</xdr:rowOff>
    </xdr:to>
    <xdr:grpSp>
      <xdr:nvGrpSpPr>
        <xdr:cNvPr id="2040" name="Group 1008">
          <a:extLst>
            <a:ext uri="{FF2B5EF4-FFF2-40B4-BE49-F238E27FC236}">
              <a16:creationId xmlns:a16="http://schemas.microsoft.com/office/drawing/2014/main" id="{6DE0901A-3D34-4BF5-A513-AEF0CFDCA2AD}"/>
            </a:ext>
          </a:extLst>
        </xdr:cNvPr>
        <xdr:cNvGrpSpPr>
          <a:grpSpLocks/>
        </xdr:cNvGrpSpPr>
      </xdr:nvGrpSpPr>
      <xdr:grpSpPr bwMode="auto">
        <a:xfrm>
          <a:off x="1807806" y="19021360"/>
          <a:ext cx="0" cy="102183"/>
          <a:chOff x="5475762" y="47760700"/>
          <a:chExt cx="314325" cy="230209"/>
        </a:xfrm>
      </xdr:grpSpPr>
      <xdr:cxnSp macro="">
        <xdr:nvCxnSpPr>
          <xdr:cNvPr id="2041" name="Straight Connector 2040">
            <a:extLst>
              <a:ext uri="{FF2B5EF4-FFF2-40B4-BE49-F238E27FC236}">
                <a16:creationId xmlns:a16="http://schemas.microsoft.com/office/drawing/2014/main" id="{5C865B51-1B24-BF20-CC23-D556DB0ADDE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42" name="Straight Connector 529">
            <a:extLst>
              <a:ext uri="{FF2B5EF4-FFF2-40B4-BE49-F238E27FC236}">
                <a16:creationId xmlns:a16="http://schemas.microsoft.com/office/drawing/2014/main" id="{A86F7BDD-1027-C55D-98A6-62E3A7B3339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3" name="Straight Connector 531">
            <a:extLst>
              <a:ext uri="{FF2B5EF4-FFF2-40B4-BE49-F238E27FC236}">
                <a16:creationId xmlns:a16="http://schemas.microsoft.com/office/drawing/2014/main" id="{03715F56-57AF-0C54-868F-92A92BB180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4" name="Straight Connector 533">
            <a:extLst>
              <a:ext uri="{FF2B5EF4-FFF2-40B4-BE49-F238E27FC236}">
                <a16:creationId xmlns:a16="http://schemas.microsoft.com/office/drawing/2014/main" id="{FAECDEF2-D539-D5C4-606D-6840E5936B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5" name="Straight Connector 535">
            <a:extLst>
              <a:ext uri="{FF2B5EF4-FFF2-40B4-BE49-F238E27FC236}">
                <a16:creationId xmlns:a16="http://schemas.microsoft.com/office/drawing/2014/main" id="{39EB6EAF-A778-413B-E758-9D7FD1E4B58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6" name="Straight Connector 537">
            <a:extLst>
              <a:ext uri="{FF2B5EF4-FFF2-40B4-BE49-F238E27FC236}">
                <a16:creationId xmlns:a16="http://schemas.microsoft.com/office/drawing/2014/main" id="{E4951926-D0EF-0D21-8CBB-D5C9D08C34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133350</xdr:rowOff>
    </xdr:from>
    <xdr:to>
      <xdr:col>6</xdr:col>
      <xdr:colOff>0</xdr:colOff>
      <xdr:row>97</xdr:row>
      <xdr:rowOff>57150</xdr:rowOff>
    </xdr:to>
    <xdr:grpSp>
      <xdr:nvGrpSpPr>
        <xdr:cNvPr id="2047" name="Group 1008">
          <a:extLst>
            <a:ext uri="{FF2B5EF4-FFF2-40B4-BE49-F238E27FC236}">
              <a16:creationId xmlns:a16="http://schemas.microsoft.com/office/drawing/2014/main" id="{13FF1C39-F7B9-4EF5-AC7B-2A1ECDA892DA}"/>
            </a:ext>
          </a:extLst>
        </xdr:cNvPr>
        <xdr:cNvGrpSpPr>
          <a:grpSpLocks/>
        </xdr:cNvGrpSpPr>
      </xdr:nvGrpSpPr>
      <xdr:grpSpPr bwMode="auto">
        <a:xfrm>
          <a:off x="1807806" y="19021360"/>
          <a:ext cx="0" cy="111708"/>
          <a:chOff x="5475762" y="47760700"/>
          <a:chExt cx="314325" cy="230209"/>
        </a:xfrm>
      </xdr:grpSpPr>
      <xdr:cxnSp macro="">
        <xdr:nvCxnSpPr>
          <xdr:cNvPr id="2048" name="Straight Connector 2047">
            <a:extLst>
              <a:ext uri="{FF2B5EF4-FFF2-40B4-BE49-F238E27FC236}">
                <a16:creationId xmlns:a16="http://schemas.microsoft.com/office/drawing/2014/main" id="{3A2CB420-C153-0299-05D9-D7A7EF8DF5D1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49" name="Straight Connector 529">
            <a:extLst>
              <a:ext uri="{FF2B5EF4-FFF2-40B4-BE49-F238E27FC236}">
                <a16:creationId xmlns:a16="http://schemas.microsoft.com/office/drawing/2014/main" id="{4C501E7C-46F3-3CC5-67A8-9A6FE9E919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0" name="Straight Connector 531">
            <a:extLst>
              <a:ext uri="{FF2B5EF4-FFF2-40B4-BE49-F238E27FC236}">
                <a16:creationId xmlns:a16="http://schemas.microsoft.com/office/drawing/2014/main" id="{F1C33C3A-2B82-97AD-6F84-A8491885F4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1" name="Straight Connector 533">
            <a:extLst>
              <a:ext uri="{FF2B5EF4-FFF2-40B4-BE49-F238E27FC236}">
                <a16:creationId xmlns:a16="http://schemas.microsoft.com/office/drawing/2014/main" id="{23F00532-C294-6B7C-39B1-6A87A26347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2" name="Straight Connector 535">
            <a:extLst>
              <a:ext uri="{FF2B5EF4-FFF2-40B4-BE49-F238E27FC236}">
                <a16:creationId xmlns:a16="http://schemas.microsoft.com/office/drawing/2014/main" id="{8765A71E-0F52-BB05-3DBC-F8866B5CF1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3" name="Straight Connector 537">
            <a:extLst>
              <a:ext uri="{FF2B5EF4-FFF2-40B4-BE49-F238E27FC236}">
                <a16:creationId xmlns:a16="http://schemas.microsoft.com/office/drawing/2014/main" id="{09C09DF5-6EA8-8B00-E4BE-DD4EE676B1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54" name="Group 1008">
          <a:extLst>
            <a:ext uri="{FF2B5EF4-FFF2-40B4-BE49-F238E27FC236}">
              <a16:creationId xmlns:a16="http://schemas.microsoft.com/office/drawing/2014/main" id="{EE84755F-0F35-42EB-B729-B88414561F95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55" name="Straight Connector 2054">
            <a:extLst>
              <a:ext uri="{FF2B5EF4-FFF2-40B4-BE49-F238E27FC236}">
                <a16:creationId xmlns:a16="http://schemas.microsoft.com/office/drawing/2014/main" id="{3C4DC4E6-B55D-D318-7B60-7443CC1524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56" name="Straight Connector 529">
            <a:extLst>
              <a:ext uri="{FF2B5EF4-FFF2-40B4-BE49-F238E27FC236}">
                <a16:creationId xmlns:a16="http://schemas.microsoft.com/office/drawing/2014/main" id="{A429E55E-C374-1A5A-3F69-E96F554BD1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7" name="Straight Connector 531">
            <a:extLst>
              <a:ext uri="{FF2B5EF4-FFF2-40B4-BE49-F238E27FC236}">
                <a16:creationId xmlns:a16="http://schemas.microsoft.com/office/drawing/2014/main" id="{E6F623FC-FBCD-2EB9-6189-18D8848A1B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8" name="Straight Connector 533">
            <a:extLst>
              <a:ext uri="{FF2B5EF4-FFF2-40B4-BE49-F238E27FC236}">
                <a16:creationId xmlns:a16="http://schemas.microsoft.com/office/drawing/2014/main" id="{4020BDD6-E171-2F53-7592-AFCCE2A311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9" name="Straight Connector 535">
            <a:extLst>
              <a:ext uri="{FF2B5EF4-FFF2-40B4-BE49-F238E27FC236}">
                <a16:creationId xmlns:a16="http://schemas.microsoft.com/office/drawing/2014/main" id="{7E303BDE-A73B-94F0-7EFD-6998B15FB7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0" name="Straight Connector 537">
            <a:extLst>
              <a:ext uri="{FF2B5EF4-FFF2-40B4-BE49-F238E27FC236}">
                <a16:creationId xmlns:a16="http://schemas.microsoft.com/office/drawing/2014/main" id="{84A42E2C-42CE-0BA8-AB27-9D5637D11A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61" name="Group 1008">
          <a:extLst>
            <a:ext uri="{FF2B5EF4-FFF2-40B4-BE49-F238E27FC236}">
              <a16:creationId xmlns:a16="http://schemas.microsoft.com/office/drawing/2014/main" id="{37853DC7-9740-47BC-AC8C-F6A5E2F8E291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62" name="Straight Connector 2061">
            <a:extLst>
              <a:ext uri="{FF2B5EF4-FFF2-40B4-BE49-F238E27FC236}">
                <a16:creationId xmlns:a16="http://schemas.microsoft.com/office/drawing/2014/main" id="{6FF51824-E7F7-9CC4-1328-512FDBB9C7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63" name="Straight Connector 529">
            <a:extLst>
              <a:ext uri="{FF2B5EF4-FFF2-40B4-BE49-F238E27FC236}">
                <a16:creationId xmlns:a16="http://schemas.microsoft.com/office/drawing/2014/main" id="{04CF406C-D252-D95B-5696-9F308804AB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4" name="Straight Connector 531">
            <a:extLst>
              <a:ext uri="{FF2B5EF4-FFF2-40B4-BE49-F238E27FC236}">
                <a16:creationId xmlns:a16="http://schemas.microsoft.com/office/drawing/2014/main" id="{EC2DDC6A-9381-BEEF-4DBD-6AD5F94BED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5" name="Straight Connector 533">
            <a:extLst>
              <a:ext uri="{FF2B5EF4-FFF2-40B4-BE49-F238E27FC236}">
                <a16:creationId xmlns:a16="http://schemas.microsoft.com/office/drawing/2014/main" id="{2A248FFF-0B72-B0C5-E9E3-88AC5E5286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6" name="Straight Connector 535">
            <a:extLst>
              <a:ext uri="{FF2B5EF4-FFF2-40B4-BE49-F238E27FC236}">
                <a16:creationId xmlns:a16="http://schemas.microsoft.com/office/drawing/2014/main" id="{C613422D-458A-AD96-B71D-876F7CDE83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7" name="Straight Connector 537">
            <a:extLst>
              <a:ext uri="{FF2B5EF4-FFF2-40B4-BE49-F238E27FC236}">
                <a16:creationId xmlns:a16="http://schemas.microsoft.com/office/drawing/2014/main" id="{E81B79EC-1D61-E56A-EC50-D1FBFFEE5B4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68" name="Group 1008">
          <a:extLst>
            <a:ext uri="{FF2B5EF4-FFF2-40B4-BE49-F238E27FC236}">
              <a16:creationId xmlns:a16="http://schemas.microsoft.com/office/drawing/2014/main" id="{1936CEDD-70BA-416F-81AB-D2AF998F5DBA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69" name="Straight Connector 2068">
            <a:extLst>
              <a:ext uri="{FF2B5EF4-FFF2-40B4-BE49-F238E27FC236}">
                <a16:creationId xmlns:a16="http://schemas.microsoft.com/office/drawing/2014/main" id="{A5F83C8C-6B93-32DA-F48D-B7E10B88429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70" name="Straight Connector 529">
            <a:extLst>
              <a:ext uri="{FF2B5EF4-FFF2-40B4-BE49-F238E27FC236}">
                <a16:creationId xmlns:a16="http://schemas.microsoft.com/office/drawing/2014/main" id="{4D7F8079-CE5D-98B0-8E40-C94D556DE5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1" name="Straight Connector 531">
            <a:extLst>
              <a:ext uri="{FF2B5EF4-FFF2-40B4-BE49-F238E27FC236}">
                <a16:creationId xmlns:a16="http://schemas.microsoft.com/office/drawing/2014/main" id="{DFC72066-90D2-1833-89DA-3681E09266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2" name="Straight Connector 533">
            <a:extLst>
              <a:ext uri="{FF2B5EF4-FFF2-40B4-BE49-F238E27FC236}">
                <a16:creationId xmlns:a16="http://schemas.microsoft.com/office/drawing/2014/main" id="{0247DB03-B726-E026-94E0-68280F5709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3" name="Straight Connector 535">
            <a:extLst>
              <a:ext uri="{FF2B5EF4-FFF2-40B4-BE49-F238E27FC236}">
                <a16:creationId xmlns:a16="http://schemas.microsoft.com/office/drawing/2014/main" id="{D5AAA31C-022F-7FC4-6874-9957E6EC6B9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4" name="Straight Connector 537">
            <a:extLst>
              <a:ext uri="{FF2B5EF4-FFF2-40B4-BE49-F238E27FC236}">
                <a16:creationId xmlns:a16="http://schemas.microsoft.com/office/drawing/2014/main" id="{B976C783-51C8-C2CF-BA86-7C7839B609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75" name="Group 1008">
          <a:extLst>
            <a:ext uri="{FF2B5EF4-FFF2-40B4-BE49-F238E27FC236}">
              <a16:creationId xmlns:a16="http://schemas.microsoft.com/office/drawing/2014/main" id="{AE3BE2CF-898D-40BB-8CE7-7FE0A3886AB0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76" name="Straight Connector 2075">
            <a:extLst>
              <a:ext uri="{FF2B5EF4-FFF2-40B4-BE49-F238E27FC236}">
                <a16:creationId xmlns:a16="http://schemas.microsoft.com/office/drawing/2014/main" id="{C5F6AEB6-8054-2F20-12A7-DC169B21E52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77" name="Straight Connector 529">
            <a:extLst>
              <a:ext uri="{FF2B5EF4-FFF2-40B4-BE49-F238E27FC236}">
                <a16:creationId xmlns:a16="http://schemas.microsoft.com/office/drawing/2014/main" id="{9BDD04E1-068F-457C-94A2-A29297BF32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8" name="Straight Connector 531">
            <a:extLst>
              <a:ext uri="{FF2B5EF4-FFF2-40B4-BE49-F238E27FC236}">
                <a16:creationId xmlns:a16="http://schemas.microsoft.com/office/drawing/2014/main" id="{A3E68597-352F-4198-B85C-69347E3BAE3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9" name="Straight Connector 533">
            <a:extLst>
              <a:ext uri="{FF2B5EF4-FFF2-40B4-BE49-F238E27FC236}">
                <a16:creationId xmlns:a16="http://schemas.microsoft.com/office/drawing/2014/main" id="{14C9DA08-69C0-958D-6BFA-155608CEAC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0" name="Straight Connector 535">
            <a:extLst>
              <a:ext uri="{FF2B5EF4-FFF2-40B4-BE49-F238E27FC236}">
                <a16:creationId xmlns:a16="http://schemas.microsoft.com/office/drawing/2014/main" id="{CB1EA12E-CC7D-7170-7B40-AFEC54C2CD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1" name="Straight Connector 537">
            <a:extLst>
              <a:ext uri="{FF2B5EF4-FFF2-40B4-BE49-F238E27FC236}">
                <a16:creationId xmlns:a16="http://schemas.microsoft.com/office/drawing/2014/main" id="{21E35F4A-A25B-8CF4-B03D-D03ADB9019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82" name="Group 1008">
          <a:extLst>
            <a:ext uri="{FF2B5EF4-FFF2-40B4-BE49-F238E27FC236}">
              <a16:creationId xmlns:a16="http://schemas.microsoft.com/office/drawing/2014/main" id="{0FF3791B-D02E-46F2-A2F1-45FDEFF8ECD5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83" name="Straight Connector 2082">
            <a:extLst>
              <a:ext uri="{FF2B5EF4-FFF2-40B4-BE49-F238E27FC236}">
                <a16:creationId xmlns:a16="http://schemas.microsoft.com/office/drawing/2014/main" id="{84642D66-5030-8600-7689-A68001BC44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84" name="Straight Connector 529">
            <a:extLst>
              <a:ext uri="{FF2B5EF4-FFF2-40B4-BE49-F238E27FC236}">
                <a16:creationId xmlns:a16="http://schemas.microsoft.com/office/drawing/2014/main" id="{2366A622-A8F5-42EB-0617-382D33DA88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5" name="Straight Connector 531">
            <a:extLst>
              <a:ext uri="{FF2B5EF4-FFF2-40B4-BE49-F238E27FC236}">
                <a16:creationId xmlns:a16="http://schemas.microsoft.com/office/drawing/2014/main" id="{95106EAF-66B4-929F-26D2-36513D69E4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6" name="Straight Connector 533">
            <a:extLst>
              <a:ext uri="{FF2B5EF4-FFF2-40B4-BE49-F238E27FC236}">
                <a16:creationId xmlns:a16="http://schemas.microsoft.com/office/drawing/2014/main" id="{EA8E17FA-B65C-FABE-467F-6A23CD8727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7" name="Straight Connector 535">
            <a:extLst>
              <a:ext uri="{FF2B5EF4-FFF2-40B4-BE49-F238E27FC236}">
                <a16:creationId xmlns:a16="http://schemas.microsoft.com/office/drawing/2014/main" id="{1FF4A87F-C1CC-3290-A0EF-C2254AC8CF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8" name="Straight Connector 537">
            <a:extLst>
              <a:ext uri="{FF2B5EF4-FFF2-40B4-BE49-F238E27FC236}">
                <a16:creationId xmlns:a16="http://schemas.microsoft.com/office/drawing/2014/main" id="{C6E7FC1D-1D24-C1BC-6AB4-F4B8C95A32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89" name="Group 1008">
          <a:extLst>
            <a:ext uri="{FF2B5EF4-FFF2-40B4-BE49-F238E27FC236}">
              <a16:creationId xmlns:a16="http://schemas.microsoft.com/office/drawing/2014/main" id="{D51A300F-DDA6-44AF-A1BC-8EDA01108CAA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90" name="Straight Connector 2089">
            <a:extLst>
              <a:ext uri="{FF2B5EF4-FFF2-40B4-BE49-F238E27FC236}">
                <a16:creationId xmlns:a16="http://schemas.microsoft.com/office/drawing/2014/main" id="{25C998EB-3FD9-5088-4ECF-FF21A9BAF92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91" name="Straight Connector 529">
            <a:extLst>
              <a:ext uri="{FF2B5EF4-FFF2-40B4-BE49-F238E27FC236}">
                <a16:creationId xmlns:a16="http://schemas.microsoft.com/office/drawing/2014/main" id="{CA7A3694-BB7B-FD7E-7098-37D939891C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2" name="Straight Connector 531">
            <a:extLst>
              <a:ext uri="{FF2B5EF4-FFF2-40B4-BE49-F238E27FC236}">
                <a16:creationId xmlns:a16="http://schemas.microsoft.com/office/drawing/2014/main" id="{60C1796A-BE4F-4209-DDAE-D5D8E56A6E9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3" name="Straight Connector 533">
            <a:extLst>
              <a:ext uri="{FF2B5EF4-FFF2-40B4-BE49-F238E27FC236}">
                <a16:creationId xmlns:a16="http://schemas.microsoft.com/office/drawing/2014/main" id="{C756F064-8A05-5540-9FA0-11592124EA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4" name="Straight Connector 535">
            <a:extLst>
              <a:ext uri="{FF2B5EF4-FFF2-40B4-BE49-F238E27FC236}">
                <a16:creationId xmlns:a16="http://schemas.microsoft.com/office/drawing/2014/main" id="{2FB6A319-A9F7-C081-0310-7E456258C9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5" name="Straight Connector 537">
            <a:extLst>
              <a:ext uri="{FF2B5EF4-FFF2-40B4-BE49-F238E27FC236}">
                <a16:creationId xmlns:a16="http://schemas.microsoft.com/office/drawing/2014/main" id="{40C52A30-8421-99B6-D0F3-E21DA21A80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96" name="Group 1008">
          <a:extLst>
            <a:ext uri="{FF2B5EF4-FFF2-40B4-BE49-F238E27FC236}">
              <a16:creationId xmlns:a16="http://schemas.microsoft.com/office/drawing/2014/main" id="{A5C73127-EA2C-4C72-AB54-B4D574D01E42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97" name="Straight Connector 2096">
            <a:extLst>
              <a:ext uri="{FF2B5EF4-FFF2-40B4-BE49-F238E27FC236}">
                <a16:creationId xmlns:a16="http://schemas.microsoft.com/office/drawing/2014/main" id="{7FFD60F8-CB9C-456D-47FD-48449A22EE9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98" name="Straight Connector 529">
            <a:extLst>
              <a:ext uri="{FF2B5EF4-FFF2-40B4-BE49-F238E27FC236}">
                <a16:creationId xmlns:a16="http://schemas.microsoft.com/office/drawing/2014/main" id="{3E6182CE-5EE6-D4FB-89C4-AB9BF47B63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9" name="Straight Connector 531">
            <a:extLst>
              <a:ext uri="{FF2B5EF4-FFF2-40B4-BE49-F238E27FC236}">
                <a16:creationId xmlns:a16="http://schemas.microsoft.com/office/drawing/2014/main" id="{89F66065-157D-858F-3BA1-A1F8E3AADF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0" name="Straight Connector 533">
            <a:extLst>
              <a:ext uri="{FF2B5EF4-FFF2-40B4-BE49-F238E27FC236}">
                <a16:creationId xmlns:a16="http://schemas.microsoft.com/office/drawing/2014/main" id="{4C5DA63A-5E50-C693-7394-5A608C5612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1" name="Straight Connector 535">
            <a:extLst>
              <a:ext uri="{FF2B5EF4-FFF2-40B4-BE49-F238E27FC236}">
                <a16:creationId xmlns:a16="http://schemas.microsoft.com/office/drawing/2014/main" id="{09D291D8-75C2-56FF-7662-BF53B5653B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2" name="Straight Connector 537">
            <a:extLst>
              <a:ext uri="{FF2B5EF4-FFF2-40B4-BE49-F238E27FC236}">
                <a16:creationId xmlns:a16="http://schemas.microsoft.com/office/drawing/2014/main" id="{0C1F8A87-0BD6-8CCF-946C-B32D2BFB19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03" name="Group 1008">
          <a:extLst>
            <a:ext uri="{FF2B5EF4-FFF2-40B4-BE49-F238E27FC236}">
              <a16:creationId xmlns:a16="http://schemas.microsoft.com/office/drawing/2014/main" id="{63B0B1DB-8F3C-41B1-BE1B-0F45ABBA124C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04" name="Straight Connector 2103">
            <a:extLst>
              <a:ext uri="{FF2B5EF4-FFF2-40B4-BE49-F238E27FC236}">
                <a16:creationId xmlns:a16="http://schemas.microsoft.com/office/drawing/2014/main" id="{C7002D1D-A39F-F38E-DF9C-B9E3B775F8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05" name="Straight Connector 529">
            <a:extLst>
              <a:ext uri="{FF2B5EF4-FFF2-40B4-BE49-F238E27FC236}">
                <a16:creationId xmlns:a16="http://schemas.microsoft.com/office/drawing/2014/main" id="{C50388B7-9A34-A3AE-C8E8-82F6FAAFF9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6" name="Straight Connector 531">
            <a:extLst>
              <a:ext uri="{FF2B5EF4-FFF2-40B4-BE49-F238E27FC236}">
                <a16:creationId xmlns:a16="http://schemas.microsoft.com/office/drawing/2014/main" id="{D8EFDE92-5662-51D3-FC70-75F99ED2F2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7" name="Straight Connector 533">
            <a:extLst>
              <a:ext uri="{FF2B5EF4-FFF2-40B4-BE49-F238E27FC236}">
                <a16:creationId xmlns:a16="http://schemas.microsoft.com/office/drawing/2014/main" id="{E8766A9D-7883-BFDA-3BCA-3B36F62AA1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8" name="Straight Connector 535">
            <a:extLst>
              <a:ext uri="{FF2B5EF4-FFF2-40B4-BE49-F238E27FC236}">
                <a16:creationId xmlns:a16="http://schemas.microsoft.com/office/drawing/2014/main" id="{BC3C0B62-35A5-51AC-68E5-5377B9E981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9" name="Straight Connector 537">
            <a:extLst>
              <a:ext uri="{FF2B5EF4-FFF2-40B4-BE49-F238E27FC236}">
                <a16:creationId xmlns:a16="http://schemas.microsoft.com/office/drawing/2014/main" id="{97DE8556-AD7F-93F5-5AEE-84BE9A2B914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10" name="Group 1008">
          <a:extLst>
            <a:ext uri="{FF2B5EF4-FFF2-40B4-BE49-F238E27FC236}">
              <a16:creationId xmlns:a16="http://schemas.microsoft.com/office/drawing/2014/main" id="{BA67B195-1AD7-4BF2-ACB0-E95D02032C71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11" name="Straight Connector 2110">
            <a:extLst>
              <a:ext uri="{FF2B5EF4-FFF2-40B4-BE49-F238E27FC236}">
                <a16:creationId xmlns:a16="http://schemas.microsoft.com/office/drawing/2014/main" id="{C9D2EA65-6C20-907F-8526-AD496339EE7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12" name="Straight Connector 529">
            <a:extLst>
              <a:ext uri="{FF2B5EF4-FFF2-40B4-BE49-F238E27FC236}">
                <a16:creationId xmlns:a16="http://schemas.microsoft.com/office/drawing/2014/main" id="{8511B59D-644A-4AF0-4A9C-FD3C27AC23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3" name="Straight Connector 531">
            <a:extLst>
              <a:ext uri="{FF2B5EF4-FFF2-40B4-BE49-F238E27FC236}">
                <a16:creationId xmlns:a16="http://schemas.microsoft.com/office/drawing/2014/main" id="{D89A2A8A-49CA-262C-EE6F-1C9AD3182F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4" name="Straight Connector 533">
            <a:extLst>
              <a:ext uri="{FF2B5EF4-FFF2-40B4-BE49-F238E27FC236}">
                <a16:creationId xmlns:a16="http://schemas.microsoft.com/office/drawing/2014/main" id="{448548B5-45BF-1845-56FF-413DCBC2D9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5" name="Straight Connector 535">
            <a:extLst>
              <a:ext uri="{FF2B5EF4-FFF2-40B4-BE49-F238E27FC236}">
                <a16:creationId xmlns:a16="http://schemas.microsoft.com/office/drawing/2014/main" id="{E0E0FC52-114A-77CD-E38E-B894ECB5CB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6" name="Straight Connector 537">
            <a:extLst>
              <a:ext uri="{FF2B5EF4-FFF2-40B4-BE49-F238E27FC236}">
                <a16:creationId xmlns:a16="http://schemas.microsoft.com/office/drawing/2014/main" id="{5B7C1713-5EF8-66FF-A86B-233061E3B8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17" name="Group 1008">
          <a:extLst>
            <a:ext uri="{FF2B5EF4-FFF2-40B4-BE49-F238E27FC236}">
              <a16:creationId xmlns:a16="http://schemas.microsoft.com/office/drawing/2014/main" id="{46082082-8BC9-490A-A0FE-980AD736928B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18" name="Straight Connector 2117">
            <a:extLst>
              <a:ext uri="{FF2B5EF4-FFF2-40B4-BE49-F238E27FC236}">
                <a16:creationId xmlns:a16="http://schemas.microsoft.com/office/drawing/2014/main" id="{018C5A7C-56CF-F692-D081-BA87471D958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19" name="Straight Connector 529">
            <a:extLst>
              <a:ext uri="{FF2B5EF4-FFF2-40B4-BE49-F238E27FC236}">
                <a16:creationId xmlns:a16="http://schemas.microsoft.com/office/drawing/2014/main" id="{5D64D1CE-2F31-77E4-128C-0056B8AA967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0" name="Straight Connector 531">
            <a:extLst>
              <a:ext uri="{FF2B5EF4-FFF2-40B4-BE49-F238E27FC236}">
                <a16:creationId xmlns:a16="http://schemas.microsoft.com/office/drawing/2014/main" id="{D27BF48C-686E-C9E3-BA84-D5295848C21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1" name="Straight Connector 533">
            <a:extLst>
              <a:ext uri="{FF2B5EF4-FFF2-40B4-BE49-F238E27FC236}">
                <a16:creationId xmlns:a16="http://schemas.microsoft.com/office/drawing/2014/main" id="{7C574BBF-0C9E-BFAA-EEA8-3B817683CC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2" name="Straight Connector 535">
            <a:extLst>
              <a:ext uri="{FF2B5EF4-FFF2-40B4-BE49-F238E27FC236}">
                <a16:creationId xmlns:a16="http://schemas.microsoft.com/office/drawing/2014/main" id="{33B8B135-944A-DD37-60F0-315110D0FE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3" name="Straight Connector 537">
            <a:extLst>
              <a:ext uri="{FF2B5EF4-FFF2-40B4-BE49-F238E27FC236}">
                <a16:creationId xmlns:a16="http://schemas.microsoft.com/office/drawing/2014/main" id="{1778156C-A154-19C5-3C54-DD34C1F1B1E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24" name="Group 1008">
          <a:extLst>
            <a:ext uri="{FF2B5EF4-FFF2-40B4-BE49-F238E27FC236}">
              <a16:creationId xmlns:a16="http://schemas.microsoft.com/office/drawing/2014/main" id="{7B9D00CF-A56D-404C-B2A9-67B5F625FC6E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25" name="Straight Connector 2124">
            <a:extLst>
              <a:ext uri="{FF2B5EF4-FFF2-40B4-BE49-F238E27FC236}">
                <a16:creationId xmlns:a16="http://schemas.microsoft.com/office/drawing/2014/main" id="{898D97D4-6149-E5F2-8048-64124E22A98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26" name="Straight Connector 529">
            <a:extLst>
              <a:ext uri="{FF2B5EF4-FFF2-40B4-BE49-F238E27FC236}">
                <a16:creationId xmlns:a16="http://schemas.microsoft.com/office/drawing/2014/main" id="{9D82C267-0D3E-DA1A-44A6-DAC600243D5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7" name="Straight Connector 531">
            <a:extLst>
              <a:ext uri="{FF2B5EF4-FFF2-40B4-BE49-F238E27FC236}">
                <a16:creationId xmlns:a16="http://schemas.microsoft.com/office/drawing/2014/main" id="{0D9C2CF0-A436-EE57-33A3-B4EDA2BD7F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8" name="Straight Connector 533">
            <a:extLst>
              <a:ext uri="{FF2B5EF4-FFF2-40B4-BE49-F238E27FC236}">
                <a16:creationId xmlns:a16="http://schemas.microsoft.com/office/drawing/2014/main" id="{1AC815E2-2AAE-0901-BABA-FF2E0AF07BC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9" name="Straight Connector 535">
            <a:extLst>
              <a:ext uri="{FF2B5EF4-FFF2-40B4-BE49-F238E27FC236}">
                <a16:creationId xmlns:a16="http://schemas.microsoft.com/office/drawing/2014/main" id="{1582392D-4FCA-3189-F86C-C09F64AC26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0" name="Straight Connector 537">
            <a:extLst>
              <a:ext uri="{FF2B5EF4-FFF2-40B4-BE49-F238E27FC236}">
                <a16:creationId xmlns:a16="http://schemas.microsoft.com/office/drawing/2014/main" id="{3D67F191-2FE7-C766-3350-21945DC943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31" name="Group 1008">
          <a:extLst>
            <a:ext uri="{FF2B5EF4-FFF2-40B4-BE49-F238E27FC236}">
              <a16:creationId xmlns:a16="http://schemas.microsoft.com/office/drawing/2014/main" id="{66F948C5-D257-4054-889C-A1AD2DCBA780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32" name="Straight Connector 2131">
            <a:extLst>
              <a:ext uri="{FF2B5EF4-FFF2-40B4-BE49-F238E27FC236}">
                <a16:creationId xmlns:a16="http://schemas.microsoft.com/office/drawing/2014/main" id="{BA467A1C-9227-EBFF-F6F4-84A6A5E061B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33" name="Straight Connector 529">
            <a:extLst>
              <a:ext uri="{FF2B5EF4-FFF2-40B4-BE49-F238E27FC236}">
                <a16:creationId xmlns:a16="http://schemas.microsoft.com/office/drawing/2014/main" id="{74C1B4A3-EBD6-D18F-ACE5-64B2E13C44F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4" name="Straight Connector 531">
            <a:extLst>
              <a:ext uri="{FF2B5EF4-FFF2-40B4-BE49-F238E27FC236}">
                <a16:creationId xmlns:a16="http://schemas.microsoft.com/office/drawing/2014/main" id="{D25EE82E-073A-B679-8647-57444E63785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5" name="Straight Connector 533">
            <a:extLst>
              <a:ext uri="{FF2B5EF4-FFF2-40B4-BE49-F238E27FC236}">
                <a16:creationId xmlns:a16="http://schemas.microsoft.com/office/drawing/2014/main" id="{05A87879-1122-46A5-7AAA-490198CF6B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6" name="Straight Connector 535">
            <a:extLst>
              <a:ext uri="{FF2B5EF4-FFF2-40B4-BE49-F238E27FC236}">
                <a16:creationId xmlns:a16="http://schemas.microsoft.com/office/drawing/2014/main" id="{A75E5593-95DD-231C-BB1A-6C54C6ACB6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7" name="Straight Connector 537">
            <a:extLst>
              <a:ext uri="{FF2B5EF4-FFF2-40B4-BE49-F238E27FC236}">
                <a16:creationId xmlns:a16="http://schemas.microsoft.com/office/drawing/2014/main" id="{C14B4BC9-421D-3A1C-3F7B-255E3027D5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38" name="Group 1008">
          <a:extLst>
            <a:ext uri="{FF2B5EF4-FFF2-40B4-BE49-F238E27FC236}">
              <a16:creationId xmlns:a16="http://schemas.microsoft.com/office/drawing/2014/main" id="{7936FBCB-224E-4DF0-ADCE-FBEE6AC55E57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39" name="Straight Connector 2138">
            <a:extLst>
              <a:ext uri="{FF2B5EF4-FFF2-40B4-BE49-F238E27FC236}">
                <a16:creationId xmlns:a16="http://schemas.microsoft.com/office/drawing/2014/main" id="{BAD30083-8781-F0A2-F3A1-1E62F8543C4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40" name="Straight Connector 529">
            <a:extLst>
              <a:ext uri="{FF2B5EF4-FFF2-40B4-BE49-F238E27FC236}">
                <a16:creationId xmlns:a16="http://schemas.microsoft.com/office/drawing/2014/main" id="{90AF166B-49A4-5E16-4175-C3B16C6995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1" name="Straight Connector 531">
            <a:extLst>
              <a:ext uri="{FF2B5EF4-FFF2-40B4-BE49-F238E27FC236}">
                <a16:creationId xmlns:a16="http://schemas.microsoft.com/office/drawing/2014/main" id="{6A7C6F60-0E2E-0DF7-2603-92FB53262E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2" name="Straight Connector 533">
            <a:extLst>
              <a:ext uri="{FF2B5EF4-FFF2-40B4-BE49-F238E27FC236}">
                <a16:creationId xmlns:a16="http://schemas.microsoft.com/office/drawing/2014/main" id="{5BA056F3-E82D-C54E-DB9E-79968AFD431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3" name="Straight Connector 535">
            <a:extLst>
              <a:ext uri="{FF2B5EF4-FFF2-40B4-BE49-F238E27FC236}">
                <a16:creationId xmlns:a16="http://schemas.microsoft.com/office/drawing/2014/main" id="{254ABA41-B64C-31ED-0A2C-F998B8F8F3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4" name="Straight Connector 537">
            <a:extLst>
              <a:ext uri="{FF2B5EF4-FFF2-40B4-BE49-F238E27FC236}">
                <a16:creationId xmlns:a16="http://schemas.microsoft.com/office/drawing/2014/main" id="{38CEEBE3-EDDA-1DEF-1F3D-582CE8D1A1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45" name="Group 1008">
          <a:extLst>
            <a:ext uri="{FF2B5EF4-FFF2-40B4-BE49-F238E27FC236}">
              <a16:creationId xmlns:a16="http://schemas.microsoft.com/office/drawing/2014/main" id="{3A71D5E6-A34F-4BB5-8149-A71AF874A05F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46" name="Straight Connector 2145">
            <a:extLst>
              <a:ext uri="{FF2B5EF4-FFF2-40B4-BE49-F238E27FC236}">
                <a16:creationId xmlns:a16="http://schemas.microsoft.com/office/drawing/2014/main" id="{CA987575-442B-1CEF-8B41-AA8E088F34C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47" name="Straight Connector 529">
            <a:extLst>
              <a:ext uri="{FF2B5EF4-FFF2-40B4-BE49-F238E27FC236}">
                <a16:creationId xmlns:a16="http://schemas.microsoft.com/office/drawing/2014/main" id="{3AAF0B83-FC29-9651-6851-274078BBAD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8" name="Straight Connector 531">
            <a:extLst>
              <a:ext uri="{FF2B5EF4-FFF2-40B4-BE49-F238E27FC236}">
                <a16:creationId xmlns:a16="http://schemas.microsoft.com/office/drawing/2014/main" id="{FC5BDA9D-C5CD-B7A5-DADC-C40D86B55E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9" name="Straight Connector 533">
            <a:extLst>
              <a:ext uri="{FF2B5EF4-FFF2-40B4-BE49-F238E27FC236}">
                <a16:creationId xmlns:a16="http://schemas.microsoft.com/office/drawing/2014/main" id="{AA65B3E5-E03A-3098-7FF6-2D060460A1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0" name="Straight Connector 535">
            <a:extLst>
              <a:ext uri="{FF2B5EF4-FFF2-40B4-BE49-F238E27FC236}">
                <a16:creationId xmlns:a16="http://schemas.microsoft.com/office/drawing/2014/main" id="{AF845E15-31AD-070E-1F8A-B838CC63E4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1" name="Straight Connector 537">
            <a:extLst>
              <a:ext uri="{FF2B5EF4-FFF2-40B4-BE49-F238E27FC236}">
                <a16:creationId xmlns:a16="http://schemas.microsoft.com/office/drawing/2014/main" id="{10710AA2-8EE2-3F95-598E-474302A1A5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52" name="Group 1008">
          <a:extLst>
            <a:ext uri="{FF2B5EF4-FFF2-40B4-BE49-F238E27FC236}">
              <a16:creationId xmlns:a16="http://schemas.microsoft.com/office/drawing/2014/main" id="{8A47EA44-F3C0-4FA7-963D-67A5E25B3946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53" name="Straight Connector 2152">
            <a:extLst>
              <a:ext uri="{FF2B5EF4-FFF2-40B4-BE49-F238E27FC236}">
                <a16:creationId xmlns:a16="http://schemas.microsoft.com/office/drawing/2014/main" id="{A418D108-6267-78AE-4D0D-B091FCB5C92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54" name="Straight Connector 529">
            <a:extLst>
              <a:ext uri="{FF2B5EF4-FFF2-40B4-BE49-F238E27FC236}">
                <a16:creationId xmlns:a16="http://schemas.microsoft.com/office/drawing/2014/main" id="{F0607F17-CE74-14C4-2481-EEC1CBEB2E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5" name="Straight Connector 531">
            <a:extLst>
              <a:ext uri="{FF2B5EF4-FFF2-40B4-BE49-F238E27FC236}">
                <a16:creationId xmlns:a16="http://schemas.microsoft.com/office/drawing/2014/main" id="{C999A0FF-2A08-C1B4-E716-C516F7439E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6" name="Straight Connector 533">
            <a:extLst>
              <a:ext uri="{FF2B5EF4-FFF2-40B4-BE49-F238E27FC236}">
                <a16:creationId xmlns:a16="http://schemas.microsoft.com/office/drawing/2014/main" id="{382F9D12-0FD6-FC2D-5F9C-6622E8B196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7" name="Straight Connector 535">
            <a:extLst>
              <a:ext uri="{FF2B5EF4-FFF2-40B4-BE49-F238E27FC236}">
                <a16:creationId xmlns:a16="http://schemas.microsoft.com/office/drawing/2014/main" id="{575D502B-B6FC-DA14-65A9-19ABF679CF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8" name="Straight Connector 537">
            <a:extLst>
              <a:ext uri="{FF2B5EF4-FFF2-40B4-BE49-F238E27FC236}">
                <a16:creationId xmlns:a16="http://schemas.microsoft.com/office/drawing/2014/main" id="{5504D4F3-27DB-F86D-113F-5351B884AD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59" name="Group 1008">
          <a:extLst>
            <a:ext uri="{FF2B5EF4-FFF2-40B4-BE49-F238E27FC236}">
              <a16:creationId xmlns:a16="http://schemas.microsoft.com/office/drawing/2014/main" id="{EC2E560B-7954-4F71-B097-103ECEC18B9C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60" name="Straight Connector 2159">
            <a:extLst>
              <a:ext uri="{FF2B5EF4-FFF2-40B4-BE49-F238E27FC236}">
                <a16:creationId xmlns:a16="http://schemas.microsoft.com/office/drawing/2014/main" id="{50543A8C-73D3-536E-9C0A-118338547E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61" name="Straight Connector 529">
            <a:extLst>
              <a:ext uri="{FF2B5EF4-FFF2-40B4-BE49-F238E27FC236}">
                <a16:creationId xmlns:a16="http://schemas.microsoft.com/office/drawing/2014/main" id="{2F92C0AC-1056-7153-96E2-9A5C91CF26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2" name="Straight Connector 531">
            <a:extLst>
              <a:ext uri="{FF2B5EF4-FFF2-40B4-BE49-F238E27FC236}">
                <a16:creationId xmlns:a16="http://schemas.microsoft.com/office/drawing/2014/main" id="{9E1BCD44-2291-C68D-AB6A-380A80ECFD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3" name="Straight Connector 533">
            <a:extLst>
              <a:ext uri="{FF2B5EF4-FFF2-40B4-BE49-F238E27FC236}">
                <a16:creationId xmlns:a16="http://schemas.microsoft.com/office/drawing/2014/main" id="{E6C451A6-4413-7C19-0EAB-D08E3100F8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4" name="Straight Connector 535">
            <a:extLst>
              <a:ext uri="{FF2B5EF4-FFF2-40B4-BE49-F238E27FC236}">
                <a16:creationId xmlns:a16="http://schemas.microsoft.com/office/drawing/2014/main" id="{2D9F6E67-F5AB-6688-AD5B-94193647E7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5" name="Straight Connector 537">
            <a:extLst>
              <a:ext uri="{FF2B5EF4-FFF2-40B4-BE49-F238E27FC236}">
                <a16:creationId xmlns:a16="http://schemas.microsoft.com/office/drawing/2014/main" id="{82E37D13-FAF2-3F82-C0DE-DE385B9FC5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66" name="Group 1008">
          <a:extLst>
            <a:ext uri="{FF2B5EF4-FFF2-40B4-BE49-F238E27FC236}">
              <a16:creationId xmlns:a16="http://schemas.microsoft.com/office/drawing/2014/main" id="{B3C23A29-DE9E-4930-8978-BED3DB8D420C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67" name="Straight Connector 2166">
            <a:extLst>
              <a:ext uri="{FF2B5EF4-FFF2-40B4-BE49-F238E27FC236}">
                <a16:creationId xmlns:a16="http://schemas.microsoft.com/office/drawing/2014/main" id="{A87F9C1B-A384-81E7-6566-EAF86CBECB1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68" name="Straight Connector 529">
            <a:extLst>
              <a:ext uri="{FF2B5EF4-FFF2-40B4-BE49-F238E27FC236}">
                <a16:creationId xmlns:a16="http://schemas.microsoft.com/office/drawing/2014/main" id="{0B57BB0F-0A99-6B16-D79D-D3631C1E11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9" name="Straight Connector 531">
            <a:extLst>
              <a:ext uri="{FF2B5EF4-FFF2-40B4-BE49-F238E27FC236}">
                <a16:creationId xmlns:a16="http://schemas.microsoft.com/office/drawing/2014/main" id="{18EFB18E-8BDC-AA07-586F-3C74F657305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0" name="Straight Connector 533">
            <a:extLst>
              <a:ext uri="{FF2B5EF4-FFF2-40B4-BE49-F238E27FC236}">
                <a16:creationId xmlns:a16="http://schemas.microsoft.com/office/drawing/2014/main" id="{B71B4F05-55DD-D46F-C39B-7B5FDBE5A0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1" name="Straight Connector 535">
            <a:extLst>
              <a:ext uri="{FF2B5EF4-FFF2-40B4-BE49-F238E27FC236}">
                <a16:creationId xmlns:a16="http://schemas.microsoft.com/office/drawing/2014/main" id="{9159C87A-019C-C360-6DAE-8EFFA6FD7C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2" name="Straight Connector 537">
            <a:extLst>
              <a:ext uri="{FF2B5EF4-FFF2-40B4-BE49-F238E27FC236}">
                <a16:creationId xmlns:a16="http://schemas.microsoft.com/office/drawing/2014/main" id="{15CFB34A-AA00-2112-AC00-9B5C757482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73" name="Group 1008">
          <a:extLst>
            <a:ext uri="{FF2B5EF4-FFF2-40B4-BE49-F238E27FC236}">
              <a16:creationId xmlns:a16="http://schemas.microsoft.com/office/drawing/2014/main" id="{891A9E07-8533-41B0-B3D7-9280C9D40B72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74" name="Straight Connector 2173">
            <a:extLst>
              <a:ext uri="{FF2B5EF4-FFF2-40B4-BE49-F238E27FC236}">
                <a16:creationId xmlns:a16="http://schemas.microsoft.com/office/drawing/2014/main" id="{18AEAFC0-44F3-7E12-0E43-42056015AB1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75" name="Straight Connector 529">
            <a:extLst>
              <a:ext uri="{FF2B5EF4-FFF2-40B4-BE49-F238E27FC236}">
                <a16:creationId xmlns:a16="http://schemas.microsoft.com/office/drawing/2014/main" id="{B950B7CB-8B94-C955-B59A-599F620A858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6" name="Straight Connector 531">
            <a:extLst>
              <a:ext uri="{FF2B5EF4-FFF2-40B4-BE49-F238E27FC236}">
                <a16:creationId xmlns:a16="http://schemas.microsoft.com/office/drawing/2014/main" id="{66A5BFAD-24AB-8E69-53DE-690CE1930F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7" name="Straight Connector 533">
            <a:extLst>
              <a:ext uri="{FF2B5EF4-FFF2-40B4-BE49-F238E27FC236}">
                <a16:creationId xmlns:a16="http://schemas.microsoft.com/office/drawing/2014/main" id="{58366249-6F0D-305E-00BB-A593481DF2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8" name="Straight Connector 535">
            <a:extLst>
              <a:ext uri="{FF2B5EF4-FFF2-40B4-BE49-F238E27FC236}">
                <a16:creationId xmlns:a16="http://schemas.microsoft.com/office/drawing/2014/main" id="{34DF1131-8B9D-E5EF-9664-EC576CC6BD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9" name="Straight Connector 537">
            <a:extLst>
              <a:ext uri="{FF2B5EF4-FFF2-40B4-BE49-F238E27FC236}">
                <a16:creationId xmlns:a16="http://schemas.microsoft.com/office/drawing/2014/main" id="{813EA973-04C3-5590-275D-E6C554F9E9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80" name="Group 1008">
          <a:extLst>
            <a:ext uri="{FF2B5EF4-FFF2-40B4-BE49-F238E27FC236}">
              <a16:creationId xmlns:a16="http://schemas.microsoft.com/office/drawing/2014/main" id="{0634EB74-E22D-406A-81C9-F70DDFDD19FF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81" name="Straight Connector 2180">
            <a:extLst>
              <a:ext uri="{FF2B5EF4-FFF2-40B4-BE49-F238E27FC236}">
                <a16:creationId xmlns:a16="http://schemas.microsoft.com/office/drawing/2014/main" id="{A8C858A5-28A6-E098-3018-8CD10D145E4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82" name="Straight Connector 529">
            <a:extLst>
              <a:ext uri="{FF2B5EF4-FFF2-40B4-BE49-F238E27FC236}">
                <a16:creationId xmlns:a16="http://schemas.microsoft.com/office/drawing/2014/main" id="{83AEECCD-A639-272B-2169-05ED2D3BABC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3" name="Straight Connector 531">
            <a:extLst>
              <a:ext uri="{FF2B5EF4-FFF2-40B4-BE49-F238E27FC236}">
                <a16:creationId xmlns:a16="http://schemas.microsoft.com/office/drawing/2014/main" id="{4301D94F-F478-64F5-7DDF-829AC481B5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4" name="Straight Connector 533">
            <a:extLst>
              <a:ext uri="{FF2B5EF4-FFF2-40B4-BE49-F238E27FC236}">
                <a16:creationId xmlns:a16="http://schemas.microsoft.com/office/drawing/2014/main" id="{90B258BA-6BEC-0816-A1FE-D324226188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5" name="Straight Connector 535">
            <a:extLst>
              <a:ext uri="{FF2B5EF4-FFF2-40B4-BE49-F238E27FC236}">
                <a16:creationId xmlns:a16="http://schemas.microsoft.com/office/drawing/2014/main" id="{1BDFF054-538B-7427-4DAF-51C951938C4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6" name="Straight Connector 537">
            <a:extLst>
              <a:ext uri="{FF2B5EF4-FFF2-40B4-BE49-F238E27FC236}">
                <a16:creationId xmlns:a16="http://schemas.microsoft.com/office/drawing/2014/main" id="{2FAC3B7C-ACBC-42C7-23BE-483ED054EE3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87" name="Group 1008">
          <a:extLst>
            <a:ext uri="{FF2B5EF4-FFF2-40B4-BE49-F238E27FC236}">
              <a16:creationId xmlns:a16="http://schemas.microsoft.com/office/drawing/2014/main" id="{6094E2B1-C172-4A5C-B19A-3285A77BD97C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88" name="Straight Connector 2187">
            <a:extLst>
              <a:ext uri="{FF2B5EF4-FFF2-40B4-BE49-F238E27FC236}">
                <a16:creationId xmlns:a16="http://schemas.microsoft.com/office/drawing/2014/main" id="{97494391-B9F9-3728-8C83-DD7721EA5F5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89" name="Straight Connector 529">
            <a:extLst>
              <a:ext uri="{FF2B5EF4-FFF2-40B4-BE49-F238E27FC236}">
                <a16:creationId xmlns:a16="http://schemas.microsoft.com/office/drawing/2014/main" id="{9346B456-6FBA-4AF2-D8A6-E348BEDC78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0" name="Straight Connector 531">
            <a:extLst>
              <a:ext uri="{FF2B5EF4-FFF2-40B4-BE49-F238E27FC236}">
                <a16:creationId xmlns:a16="http://schemas.microsoft.com/office/drawing/2014/main" id="{358647B3-CEB7-3AF7-581B-13572982B4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1" name="Straight Connector 533">
            <a:extLst>
              <a:ext uri="{FF2B5EF4-FFF2-40B4-BE49-F238E27FC236}">
                <a16:creationId xmlns:a16="http://schemas.microsoft.com/office/drawing/2014/main" id="{38EC2609-87A7-57AE-2C99-E3EAFDCFB0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2" name="Straight Connector 535">
            <a:extLst>
              <a:ext uri="{FF2B5EF4-FFF2-40B4-BE49-F238E27FC236}">
                <a16:creationId xmlns:a16="http://schemas.microsoft.com/office/drawing/2014/main" id="{2809DD7D-EE51-3001-AD24-F8A14BCA91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3" name="Straight Connector 537">
            <a:extLst>
              <a:ext uri="{FF2B5EF4-FFF2-40B4-BE49-F238E27FC236}">
                <a16:creationId xmlns:a16="http://schemas.microsoft.com/office/drawing/2014/main" id="{587C2879-EBD1-EC27-6DC5-04D7976583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94" name="Group 1008">
          <a:extLst>
            <a:ext uri="{FF2B5EF4-FFF2-40B4-BE49-F238E27FC236}">
              <a16:creationId xmlns:a16="http://schemas.microsoft.com/office/drawing/2014/main" id="{08B56EA1-E9AE-4F3A-B2B9-F71029518E38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95" name="Straight Connector 2194">
            <a:extLst>
              <a:ext uri="{FF2B5EF4-FFF2-40B4-BE49-F238E27FC236}">
                <a16:creationId xmlns:a16="http://schemas.microsoft.com/office/drawing/2014/main" id="{BEA3479F-81F5-1430-22EA-7603F1FAA7A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96" name="Straight Connector 529">
            <a:extLst>
              <a:ext uri="{FF2B5EF4-FFF2-40B4-BE49-F238E27FC236}">
                <a16:creationId xmlns:a16="http://schemas.microsoft.com/office/drawing/2014/main" id="{0A495F9F-62BC-058A-1381-0C5DD6AE9EA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7" name="Straight Connector 531">
            <a:extLst>
              <a:ext uri="{FF2B5EF4-FFF2-40B4-BE49-F238E27FC236}">
                <a16:creationId xmlns:a16="http://schemas.microsoft.com/office/drawing/2014/main" id="{1EB4A555-815F-BBD9-D1D2-D6802259C2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8" name="Straight Connector 533">
            <a:extLst>
              <a:ext uri="{FF2B5EF4-FFF2-40B4-BE49-F238E27FC236}">
                <a16:creationId xmlns:a16="http://schemas.microsoft.com/office/drawing/2014/main" id="{CAF0D6F0-6688-10E1-D418-D11C842783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9" name="Straight Connector 535">
            <a:extLst>
              <a:ext uri="{FF2B5EF4-FFF2-40B4-BE49-F238E27FC236}">
                <a16:creationId xmlns:a16="http://schemas.microsoft.com/office/drawing/2014/main" id="{488E7372-424B-5AAB-19DF-A00F403D8A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0" name="Straight Connector 537">
            <a:extLst>
              <a:ext uri="{FF2B5EF4-FFF2-40B4-BE49-F238E27FC236}">
                <a16:creationId xmlns:a16="http://schemas.microsoft.com/office/drawing/2014/main" id="{1FE12E66-3F9E-82EB-CEAC-317BDFADC1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201" name="Group 1008">
          <a:extLst>
            <a:ext uri="{FF2B5EF4-FFF2-40B4-BE49-F238E27FC236}">
              <a16:creationId xmlns:a16="http://schemas.microsoft.com/office/drawing/2014/main" id="{97F6F6DA-A208-41C7-B26D-8ED073578234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202" name="Straight Connector 2201">
            <a:extLst>
              <a:ext uri="{FF2B5EF4-FFF2-40B4-BE49-F238E27FC236}">
                <a16:creationId xmlns:a16="http://schemas.microsoft.com/office/drawing/2014/main" id="{B6C75E10-6DEA-642E-B3F1-9D901C71DD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03" name="Straight Connector 529">
            <a:extLst>
              <a:ext uri="{FF2B5EF4-FFF2-40B4-BE49-F238E27FC236}">
                <a16:creationId xmlns:a16="http://schemas.microsoft.com/office/drawing/2014/main" id="{71C4F983-385A-C3A1-AFD6-8710D84A1C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4" name="Straight Connector 531">
            <a:extLst>
              <a:ext uri="{FF2B5EF4-FFF2-40B4-BE49-F238E27FC236}">
                <a16:creationId xmlns:a16="http://schemas.microsoft.com/office/drawing/2014/main" id="{2ECC2006-46F8-7940-BE9C-AEF1DD14959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5" name="Straight Connector 533">
            <a:extLst>
              <a:ext uri="{FF2B5EF4-FFF2-40B4-BE49-F238E27FC236}">
                <a16:creationId xmlns:a16="http://schemas.microsoft.com/office/drawing/2014/main" id="{42C0B43B-1000-97DD-CD30-EEF9A001B2B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6" name="Straight Connector 535">
            <a:extLst>
              <a:ext uri="{FF2B5EF4-FFF2-40B4-BE49-F238E27FC236}">
                <a16:creationId xmlns:a16="http://schemas.microsoft.com/office/drawing/2014/main" id="{D16A31C1-86E5-ABF6-7E2D-AC5D8ACD84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7" name="Straight Connector 537">
            <a:extLst>
              <a:ext uri="{FF2B5EF4-FFF2-40B4-BE49-F238E27FC236}">
                <a16:creationId xmlns:a16="http://schemas.microsoft.com/office/drawing/2014/main" id="{6E4E714E-3F35-1855-5E2C-5D74C781F8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93</xdr:row>
      <xdr:rowOff>57150</xdr:rowOff>
    </xdr:from>
    <xdr:to>
      <xdr:col>17</xdr:col>
      <xdr:colOff>0</xdr:colOff>
      <xdr:row>95</xdr:row>
      <xdr:rowOff>0</xdr:rowOff>
    </xdr:to>
    <xdr:sp macro="" textlink="">
      <xdr:nvSpPr>
        <xdr:cNvPr id="2208" name="AutoShape 46">
          <a:extLst>
            <a:ext uri="{FF2B5EF4-FFF2-40B4-BE49-F238E27FC236}">
              <a16:creationId xmlns:a16="http://schemas.microsoft.com/office/drawing/2014/main" id="{81F9A224-5CE7-4C66-8D0F-6FB763F15D6B}"/>
            </a:ext>
          </a:extLst>
        </xdr:cNvPr>
        <xdr:cNvSpPr>
          <a:spLocks noChangeArrowheads="1"/>
        </xdr:cNvSpPr>
      </xdr:nvSpPr>
      <xdr:spPr bwMode="auto">
        <a:xfrm>
          <a:off x="4895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93</xdr:row>
      <xdr:rowOff>57150</xdr:rowOff>
    </xdr:from>
    <xdr:to>
      <xdr:col>19</xdr:col>
      <xdr:colOff>0</xdr:colOff>
      <xdr:row>95</xdr:row>
      <xdr:rowOff>0</xdr:rowOff>
    </xdr:to>
    <xdr:sp macro="" textlink="">
      <xdr:nvSpPr>
        <xdr:cNvPr id="2209" name="AutoShape 46">
          <a:extLst>
            <a:ext uri="{FF2B5EF4-FFF2-40B4-BE49-F238E27FC236}">
              <a16:creationId xmlns:a16="http://schemas.microsoft.com/office/drawing/2014/main" id="{98FBE6CB-FCBD-40B7-B8F0-D47D50F5EF29}"/>
            </a:ext>
          </a:extLst>
        </xdr:cNvPr>
        <xdr:cNvSpPr>
          <a:spLocks noChangeArrowheads="1"/>
        </xdr:cNvSpPr>
      </xdr:nvSpPr>
      <xdr:spPr bwMode="auto">
        <a:xfrm>
          <a:off x="5467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93</xdr:row>
      <xdr:rowOff>57150</xdr:rowOff>
    </xdr:from>
    <xdr:to>
      <xdr:col>21</xdr:col>
      <xdr:colOff>0</xdr:colOff>
      <xdr:row>95</xdr:row>
      <xdr:rowOff>0</xdr:rowOff>
    </xdr:to>
    <xdr:sp macro="" textlink="">
      <xdr:nvSpPr>
        <xdr:cNvPr id="2210" name="AutoShape 46">
          <a:extLst>
            <a:ext uri="{FF2B5EF4-FFF2-40B4-BE49-F238E27FC236}">
              <a16:creationId xmlns:a16="http://schemas.microsoft.com/office/drawing/2014/main" id="{B1D80ED9-B840-4EB3-BD0A-55AD4C87B3B2}"/>
            </a:ext>
          </a:extLst>
        </xdr:cNvPr>
        <xdr:cNvSpPr>
          <a:spLocks noChangeArrowheads="1"/>
        </xdr:cNvSpPr>
      </xdr:nvSpPr>
      <xdr:spPr bwMode="auto">
        <a:xfrm>
          <a:off x="6038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93</xdr:row>
      <xdr:rowOff>57150</xdr:rowOff>
    </xdr:from>
    <xdr:to>
      <xdr:col>23</xdr:col>
      <xdr:colOff>0</xdr:colOff>
      <xdr:row>95</xdr:row>
      <xdr:rowOff>0</xdr:rowOff>
    </xdr:to>
    <xdr:sp macro="" textlink="">
      <xdr:nvSpPr>
        <xdr:cNvPr id="2211" name="AutoShape 46">
          <a:extLst>
            <a:ext uri="{FF2B5EF4-FFF2-40B4-BE49-F238E27FC236}">
              <a16:creationId xmlns:a16="http://schemas.microsoft.com/office/drawing/2014/main" id="{22285D65-BC26-4367-B366-2F8B06B116B5}"/>
            </a:ext>
          </a:extLst>
        </xdr:cNvPr>
        <xdr:cNvSpPr>
          <a:spLocks noChangeArrowheads="1"/>
        </xdr:cNvSpPr>
      </xdr:nvSpPr>
      <xdr:spPr bwMode="auto">
        <a:xfrm>
          <a:off x="6725816" y="18174089"/>
          <a:ext cx="281863" cy="33162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93</xdr:row>
      <xdr:rowOff>57150</xdr:rowOff>
    </xdr:from>
    <xdr:to>
      <xdr:col>25</xdr:col>
      <xdr:colOff>0</xdr:colOff>
      <xdr:row>95</xdr:row>
      <xdr:rowOff>0</xdr:rowOff>
    </xdr:to>
    <xdr:sp macro="" textlink="">
      <xdr:nvSpPr>
        <xdr:cNvPr id="2212" name="AutoShape 46">
          <a:extLst>
            <a:ext uri="{FF2B5EF4-FFF2-40B4-BE49-F238E27FC236}">
              <a16:creationId xmlns:a16="http://schemas.microsoft.com/office/drawing/2014/main" id="{69BF78EB-B3F9-49D6-9724-DE096FCF2776}"/>
            </a:ext>
          </a:extLst>
        </xdr:cNvPr>
        <xdr:cNvSpPr>
          <a:spLocks noChangeArrowheads="1"/>
        </xdr:cNvSpPr>
      </xdr:nvSpPr>
      <xdr:spPr bwMode="auto">
        <a:xfrm>
          <a:off x="7181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93</xdr:row>
      <xdr:rowOff>57150</xdr:rowOff>
    </xdr:from>
    <xdr:to>
      <xdr:col>27</xdr:col>
      <xdr:colOff>0</xdr:colOff>
      <xdr:row>95</xdr:row>
      <xdr:rowOff>0</xdr:rowOff>
    </xdr:to>
    <xdr:sp macro="" textlink="">
      <xdr:nvSpPr>
        <xdr:cNvPr id="2213" name="AutoShape 46">
          <a:extLst>
            <a:ext uri="{FF2B5EF4-FFF2-40B4-BE49-F238E27FC236}">
              <a16:creationId xmlns:a16="http://schemas.microsoft.com/office/drawing/2014/main" id="{7E645E88-EBF7-4796-BD68-FDE486E5DC9E}"/>
            </a:ext>
          </a:extLst>
        </xdr:cNvPr>
        <xdr:cNvSpPr>
          <a:spLocks noChangeArrowheads="1"/>
        </xdr:cNvSpPr>
      </xdr:nvSpPr>
      <xdr:spPr bwMode="auto">
        <a:xfrm>
          <a:off x="7753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93</xdr:row>
      <xdr:rowOff>57150</xdr:rowOff>
    </xdr:from>
    <xdr:to>
      <xdr:col>29</xdr:col>
      <xdr:colOff>0</xdr:colOff>
      <xdr:row>95</xdr:row>
      <xdr:rowOff>0</xdr:rowOff>
    </xdr:to>
    <xdr:sp macro="" textlink="">
      <xdr:nvSpPr>
        <xdr:cNvPr id="2214" name="AutoShape 46">
          <a:extLst>
            <a:ext uri="{FF2B5EF4-FFF2-40B4-BE49-F238E27FC236}">
              <a16:creationId xmlns:a16="http://schemas.microsoft.com/office/drawing/2014/main" id="{83EE9D46-48DC-4109-A3CD-80BB24AE4CBC}"/>
            </a:ext>
          </a:extLst>
        </xdr:cNvPr>
        <xdr:cNvSpPr>
          <a:spLocks noChangeArrowheads="1"/>
        </xdr:cNvSpPr>
      </xdr:nvSpPr>
      <xdr:spPr bwMode="auto">
        <a:xfrm>
          <a:off x="8382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93</xdr:row>
      <xdr:rowOff>57150</xdr:rowOff>
    </xdr:from>
    <xdr:to>
      <xdr:col>31</xdr:col>
      <xdr:colOff>0</xdr:colOff>
      <xdr:row>95</xdr:row>
      <xdr:rowOff>0</xdr:rowOff>
    </xdr:to>
    <xdr:sp macro="" textlink="">
      <xdr:nvSpPr>
        <xdr:cNvPr id="2215" name="AutoShape 46">
          <a:extLst>
            <a:ext uri="{FF2B5EF4-FFF2-40B4-BE49-F238E27FC236}">
              <a16:creationId xmlns:a16="http://schemas.microsoft.com/office/drawing/2014/main" id="{8EDC9703-E0A5-4E6D-AF9C-AC649926D45B}"/>
            </a:ext>
          </a:extLst>
        </xdr:cNvPr>
        <xdr:cNvSpPr>
          <a:spLocks noChangeArrowheads="1"/>
        </xdr:cNvSpPr>
      </xdr:nvSpPr>
      <xdr:spPr bwMode="auto">
        <a:xfrm>
          <a:off x="89535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93</xdr:row>
      <xdr:rowOff>57150</xdr:rowOff>
    </xdr:from>
    <xdr:to>
      <xdr:col>33</xdr:col>
      <xdr:colOff>0</xdr:colOff>
      <xdr:row>95</xdr:row>
      <xdr:rowOff>0</xdr:rowOff>
    </xdr:to>
    <xdr:sp macro="" textlink="">
      <xdr:nvSpPr>
        <xdr:cNvPr id="2216" name="AutoShape 46">
          <a:extLst>
            <a:ext uri="{FF2B5EF4-FFF2-40B4-BE49-F238E27FC236}">
              <a16:creationId xmlns:a16="http://schemas.microsoft.com/office/drawing/2014/main" id="{987D1A91-B449-4244-A3F8-F40B50961467}"/>
            </a:ext>
          </a:extLst>
        </xdr:cNvPr>
        <xdr:cNvSpPr>
          <a:spLocks noChangeArrowheads="1"/>
        </xdr:cNvSpPr>
      </xdr:nvSpPr>
      <xdr:spPr bwMode="auto">
        <a:xfrm>
          <a:off x="9525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93</xdr:row>
      <xdr:rowOff>57150</xdr:rowOff>
    </xdr:from>
    <xdr:to>
      <xdr:col>35</xdr:col>
      <xdr:colOff>0</xdr:colOff>
      <xdr:row>95</xdr:row>
      <xdr:rowOff>0</xdr:rowOff>
    </xdr:to>
    <xdr:sp macro="" textlink="">
      <xdr:nvSpPr>
        <xdr:cNvPr id="2217" name="AutoShape 46">
          <a:extLst>
            <a:ext uri="{FF2B5EF4-FFF2-40B4-BE49-F238E27FC236}">
              <a16:creationId xmlns:a16="http://schemas.microsoft.com/office/drawing/2014/main" id="{80C2EC71-4BB5-43A4-8010-3ABF2FA92020}"/>
            </a:ext>
          </a:extLst>
        </xdr:cNvPr>
        <xdr:cNvSpPr>
          <a:spLocks noChangeArrowheads="1"/>
        </xdr:cNvSpPr>
      </xdr:nvSpPr>
      <xdr:spPr bwMode="auto">
        <a:xfrm>
          <a:off x="10945906" y="18291362"/>
          <a:ext cx="349623" cy="31936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93</xdr:row>
      <xdr:rowOff>57150</xdr:rowOff>
    </xdr:from>
    <xdr:to>
      <xdr:col>37</xdr:col>
      <xdr:colOff>0</xdr:colOff>
      <xdr:row>95</xdr:row>
      <xdr:rowOff>0</xdr:rowOff>
    </xdr:to>
    <xdr:sp macro="" textlink="">
      <xdr:nvSpPr>
        <xdr:cNvPr id="2218" name="AutoShape 46">
          <a:extLst>
            <a:ext uri="{FF2B5EF4-FFF2-40B4-BE49-F238E27FC236}">
              <a16:creationId xmlns:a16="http://schemas.microsoft.com/office/drawing/2014/main" id="{FCC940AD-37C8-43D8-A592-40C3189C22C0}"/>
            </a:ext>
          </a:extLst>
        </xdr:cNvPr>
        <xdr:cNvSpPr>
          <a:spLocks noChangeArrowheads="1"/>
        </xdr:cNvSpPr>
      </xdr:nvSpPr>
      <xdr:spPr bwMode="auto">
        <a:xfrm>
          <a:off x="10668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93</xdr:row>
      <xdr:rowOff>57150</xdr:rowOff>
    </xdr:from>
    <xdr:to>
      <xdr:col>39</xdr:col>
      <xdr:colOff>0</xdr:colOff>
      <xdr:row>95</xdr:row>
      <xdr:rowOff>0</xdr:rowOff>
    </xdr:to>
    <xdr:sp macro="" textlink="">
      <xdr:nvSpPr>
        <xdr:cNvPr id="2219" name="AutoShape 46">
          <a:extLst>
            <a:ext uri="{FF2B5EF4-FFF2-40B4-BE49-F238E27FC236}">
              <a16:creationId xmlns:a16="http://schemas.microsoft.com/office/drawing/2014/main" id="{DA5E19A7-4AD7-45AA-9B69-ED4594768046}"/>
            </a:ext>
          </a:extLst>
        </xdr:cNvPr>
        <xdr:cNvSpPr>
          <a:spLocks noChangeArrowheads="1"/>
        </xdr:cNvSpPr>
      </xdr:nvSpPr>
      <xdr:spPr bwMode="auto">
        <a:xfrm>
          <a:off x="112395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93</xdr:row>
      <xdr:rowOff>57150</xdr:rowOff>
    </xdr:from>
    <xdr:to>
      <xdr:col>41</xdr:col>
      <xdr:colOff>0</xdr:colOff>
      <xdr:row>95</xdr:row>
      <xdr:rowOff>0</xdr:rowOff>
    </xdr:to>
    <xdr:sp macro="" textlink="">
      <xdr:nvSpPr>
        <xdr:cNvPr id="2220" name="AutoShape 46">
          <a:extLst>
            <a:ext uri="{FF2B5EF4-FFF2-40B4-BE49-F238E27FC236}">
              <a16:creationId xmlns:a16="http://schemas.microsoft.com/office/drawing/2014/main" id="{7DE15E40-E46E-45D1-BADD-F8E22F9C6ED1}"/>
            </a:ext>
          </a:extLst>
        </xdr:cNvPr>
        <xdr:cNvSpPr>
          <a:spLocks noChangeArrowheads="1"/>
        </xdr:cNvSpPr>
      </xdr:nvSpPr>
      <xdr:spPr bwMode="auto">
        <a:xfrm>
          <a:off x="11811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93</xdr:row>
      <xdr:rowOff>57150</xdr:rowOff>
    </xdr:from>
    <xdr:to>
      <xdr:col>43</xdr:col>
      <xdr:colOff>0</xdr:colOff>
      <xdr:row>95</xdr:row>
      <xdr:rowOff>0</xdr:rowOff>
    </xdr:to>
    <xdr:sp macro="" textlink="">
      <xdr:nvSpPr>
        <xdr:cNvPr id="2221" name="AutoShape 46">
          <a:extLst>
            <a:ext uri="{FF2B5EF4-FFF2-40B4-BE49-F238E27FC236}">
              <a16:creationId xmlns:a16="http://schemas.microsoft.com/office/drawing/2014/main" id="{D86AA60A-B234-4174-BCB8-30FBEDA2492F}"/>
            </a:ext>
          </a:extLst>
        </xdr:cNvPr>
        <xdr:cNvSpPr>
          <a:spLocks noChangeArrowheads="1"/>
        </xdr:cNvSpPr>
      </xdr:nvSpPr>
      <xdr:spPr bwMode="auto">
        <a:xfrm>
          <a:off x="12382500" y="17821275"/>
          <a:ext cx="285750" cy="323850"/>
        </a:xfrm>
        <a:prstGeom prst="triangle">
          <a:avLst>
            <a:gd name="adj" fmla="val 50000"/>
          </a:avLst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93</xdr:row>
      <xdr:rowOff>57150</xdr:rowOff>
    </xdr:from>
    <xdr:to>
      <xdr:col>45</xdr:col>
      <xdr:colOff>0</xdr:colOff>
      <xdr:row>95</xdr:row>
      <xdr:rowOff>0</xdr:rowOff>
    </xdr:to>
    <xdr:sp macro="" textlink="">
      <xdr:nvSpPr>
        <xdr:cNvPr id="2222" name="AutoShape 46">
          <a:extLst>
            <a:ext uri="{FF2B5EF4-FFF2-40B4-BE49-F238E27FC236}">
              <a16:creationId xmlns:a16="http://schemas.microsoft.com/office/drawing/2014/main" id="{A2D0D83D-2EB9-41B6-8EE9-3E510C64B908}"/>
            </a:ext>
          </a:extLst>
        </xdr:cNvPr>
        <xdr:cNvSpPr>
          <a:spLocks noChangeArrowheads="1"/>
        </xdr:cNvSpPr>
      </xdr:nvSpPr>
      <xdr:spPr bwMode="auto">
        <a:xfrm>
          <a:off x="12954000" y="17821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93</xdr:row>
      <xdr:rowOff>57150</xdr:rowOff>
    </xdr:from>
    <xdr:to>
      <xdr:col>11</xdr:col>
      <xdr:colOff>0</xdr:colOff>
      <xdr:row>95</xdr:row>
      <xdr:rowOff>0</xdr:rowOff>
    </xdr:to>
    <xdr:sp macro="" textlink="">
      <xdr:nvSpPr>
        <xdr:cNvPr id="2223" name="AutoShape 46">
          <a:extLst>
            <a:ext uri="{FF2B5EF4-FFF2-40B4-BE49-F238E27FC236}">
              <a16:creationId xmlns:a16="http://schemas.microsoft.com/office/drawing/2014/main" id="{06776669-05F0-4769-93BD-03FEB4A8F573}"/>
            </a:ext>
          </a:extLst>
        </xdr:cNvPr>
        <xdr:cNvSpPr>
          <a:spLocks noChangeArrowheads="1"/>
        </xdr:cNvSpPr>
      </xdr:nvSpPr>
      <xdr:spPr bwMode="auto">
        <a:xfrm>
          <a:off x="3098030" y="18683817"/>
          <a:ext cx="346364" cy="3276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93</xdr:row>
      <xdr:rowOff>57150</xdr:rowOff>
    </xdr:from>
    <xdr:to>
      <xdr:col>13</xdr:col>
      <xdr:colOff>0</xdr:colOff>
      <xdr:row>95</xdr:row>
      <xdr:rowOff>0</xdr:rowOff>
    </xdr:to>
    <xdr:sp macro="" textlink="">
      <xdr:nvSpPr>
        <xdr:cNvPr id="2224" name="AutoShape 46">
          <a:extLst>
            <a:ext uri="{FF2B5EF4-FFF2-40B4-BE49-F238E27FC236}">
              <a16:creationId xmlns:a16="http://schemas.microsoft.com/office/drawing/2014/main" id="{963BDE6A-A2C7-4D21-A2CC-BEC52099A8DA}"/>
            </a:ext>
          </a:extLst>
        </xdr:cNvPr>
        <xdr:cNvSpPr>
          <a:spLocks noChangeArrowheads="1"/>
        </xdr:cNvSpPr>
      </xdr:nvSpPr>
      <xdr:spPr bwMode="auto">
        <a:xfrm>
          <a:off x="3752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93</xdr:row>
      <xdr:rowOff>57150</xdr:rowOff>
    </xdr:from>
    <xdr:to>
      <xdr:col>15</xdr:col>
      <xdr:colOff>0</xdr:colOff>
      <xdr:row>95</xdr:row>
      <xdr:rowOff>0</xdr:rowOff>
    </xdr:to>
    <xdr:sp macro="" textlink="">
      <xdr:nvSpPr>
        <xdr:cNvPr id="2225" name="AutoShape 46">
          <a:extLst>
            <a:ext uri="{FF2B5EF4-FFF2-40B4-BE49-F238E27FC236}">
              <a16:creationId xmlns:a16="http://schemas.microsoft.com/office/drawing/2014/main" id="{E0813ABB-635E-4617-AC17-8EEFCDF05CC0}"/>
            </a:ext>
          </a:extLst>
        </xdr:cNvPr>
        <xdr:cNvSpPr>
          <a:spLocks noChangeArrowheads="1"/>
        </xdr:cNvSpPr>
      </xdr:nvSpPr>
      <xdr:spPr bwMode="auto">
        <a:xfrm>
          <a:off x="4324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93</xdr:row>
      <xdr:rowOff>57150</xdr:rowOff>
    </xdr:from>
    <xdr:to>
      <xdr:col>9</xdr:col>
      <xdr:colOff>0</xdr:colOff>
      <xdr:row>95</xdr:row>
      <xdr:rowOff>0</xdr:rowOff>
    </xdr:to>
    <xdr:sp macro="" textlink="">
      <xdr:nvSpPr>
        <xdr:cNvPr id="2226" name="AutoShape 46">
          <a:extLst>
            <a:ext uri="{FF2B5EF4-FFF2-40B4-BE49-F238E27FC236}">
              <a16:creationId xmlns:a16="http://schemas.microsoft.com/office/drawing/2014/main" id="{F45AA2B9-DF68-4542-93A5-DC8F50C3A0F8}"/>
            </a:ext>
          </a:extLst>
        </xdr:cNvPr>
        <xdr:cNvSpPr>
          <a:spLocks noChangeArrowheads="1"/>
        </xdr:cNvSpPr>
      </xdr:nvSpPr>
      <xdr:spPr bwMode="auto">
        <a:xfrm>
          <a:off x="2409825" y="17821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93</xdr:row>
      <xdr:rowOff>115137</xdr:rowOff>
    </xdr:from>
    <xdr:to>
      <xdr:col>7</xdr:col>
      <xdr:colOff>0</xdr:colOff>
      <xdr:row>95</xdr:row>
      <xdr:rowOff>0</xdr:rowOff>
    </xdr:to>
    <xdr:sp macro="" textlink="">
      <xdr:nvSpPr>
        <xdr:cNvPr id="2227" name="AutoShape 46">
          <a:extLst>
            <a:ext uri="{FF2B5EF4-FFF2-40B4-BE49-F238E27FC236}">
              <a16:creationId xmlns:a16="http://schemas.microsoft.com/office/drawing/2014/main" id="{1D5B3473-0DDC-4043-959F-24EFCFE2C164}"/>
            </a:ext>
          </a:extLst>
        </xdr:cNvPr>
        <xdr:cNvSpPr>
          <a:spLocks noChangeArrowheads="1"/>
        </xdr:cNvSpPr>
      </xdr:nvSpPr>
      <xdr:spPr bwMode="auto">
        <a:xfrm>
          <a:off x="1779396" y="18421978"/>
          <a:ext cx="345412" cy="26167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93</xdr:row>
      <xdr:rowOff>57150</xdr:rowOff>
    </xdr:from>
    <xdr:to>
      <xdr:col>5</xdr:col>
      <xdr:colOff>0</xdr:colOff>
      <xdr:row>95</xdr:row>
      <xdr:rowOff>0</xdr:rowOff>
    </xdr:to>
    <xdr:sp macro="" textlink="">
      <xdr:nvSpPr>
        <xdr:cNvPr id="2228" name="AutoShape 46">
          <a:extLst>
            <a:ext uri="{FF2B5EF4-FFF2-40B4-BE49-F238E27FC236}">
              <a16:creationId xmlns:a16="http://schemas.microsoft.com/office/drawing/2014/main" id="{C65CCE24-D67F-4D71-9292-9C260408530F}"/>
            </a:ext>
          </a:extLst>
        </xdr:cNvPr>
        <xdr:cNvSpPr>
          <a:spLocks noChangeArrowheads="1"/>
        </xdr:cNvSpPr>
      </xdr:nvSpPr>
      <xdr:spPr bwMode="auto">
        <a:xfrm>
          <a:off x="1095375" y="17821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93</xdr:row>
      <xdr:rowOff>57150</xdr:rowOff>
    </xdr:from>
    <xdr:to>
      <xdr:col>3</xdr:col>
      <xdr:colOff>0</xdr:colOff>
      <xdr:row>95</xdr:row>
      <xdr:rowOff>0</xdr:rowOff>
    </xdr:to>
    <xdr:sp macro="" textlink="">
      <xdr:nvSpPr>
        <xdr:cNvPr id="2229" name="AutoShape 46">
          <a:extLst>
            <a:ext uri="{FF2B5EF4-FFF2-40B4-BE49-F238E27FC236}">
              <a16:creationId xmlns:a16="http://schemas.microsoft.com/office/drawing/2014/main" id="{560E9A82-F28E-45C1-9F6A-DF2588E3F784}"/>
            </a:ext>
          </a:extLst>
        </xdr:cNvPr>
        <xdr:cNvSpPr>
          <a:spLocks noChangeArrowheads="1"/>
        </xdr:cNvSpPr>
      </xdr:nvSpPr>
      <xdr:spPr bwMode="auto">
        <a:xfrm>
          <a:off x="523875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30" name="Group 1008">
          <a:extLst>
            <a:ext uri="{FF2B5EF4-FFF2-40B4-BE49-F238E27FC236}">
              <a16:creationId xmlns:a16="http://schemas.microsoft.com/office/drawing/2014/main" id="{F8AF1D0C-F282-4EE0-B2EC-A9F00ACADEBA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31" name="Straight Connector 2230">
            <a:extLst>
              <a:ext uri="{FF2B5EF4-FFF2-40B4-BE49-F238E27FC236}">
                <a16:creationId xmlns:a16="http://schemas.microsoft.com/office/drawing/2014/main" id="{3BB2C9B3-AA5D-7E28-8409-EAF9621D32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32" name="Straight Connector 529">
            <a:extLst>
              <a:ext uri="{FF2B5EF4-FFF2-40B4-BE49-F238E27FC236}">
                <a16:creationId xmlns:a16="http://schemas.microsoft.com/office/drawing/2014/main" id="{5D95D7A0-08AE-0111-75B9-9E8EEB2D61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3" name="Straight Connector 531">
            <a:extLst>
              <a:ext uri="{FF2B5EF4-FFF2-40B4-BE49-F238E27FC236}">
                <a16:creationId xmlns:a16="http://schemas.microsoft.com/office/drawing/2014/main" id="{8118319F-274D-DF4F-02B4-EBCA3D24B0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4" name="Straight Connector 533">
            <a:extLst>
              <a:ext uri="{FF2B5EF4-FFF2-40B4-BE49-F238E27FC236}">
                <a16:creationId xmlns:a16="http://schemas.microsoft.com/office/drawing/2014/main" id="{90484F94-16DA-B23E-F880-3D8B2F05D7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5" name="Straight Connector 535">
            <a:extLst>
              <a:ext uri="{FF2B5EF4-FFF2-40B4-BE49-F238E27FC236}">
                <a16:creationId xmlns:a16="http://schemas.microsoft.com/office/drawing/2014/main" id="{9146CB67-8652-6A7C-3A99-7BB4C7033F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6" name="Straight Connector 537">
            <a:extLst>
              <a:ext uri="{FF2B5EF4-FFF2-40B4-BE49-F238E27FC236}">
                <a16:creationId xmlns:a16="http://schemas.microsoft.com/office/drawing/2014/main" id="{0073A1B3-ECFE-7B45-1F18-290D72A590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37" name="Group 1008">
          <a:extLst>
            <a:ext uri="{FF2B5EF4-FFF2-40B4-BE49-F238E27FC236}">
              <a16:creationId xmlns:a16="http://schemas.microsoft.com/office/drawing/2014/main" id="{1D927FA2-6E82-436C-916C-66697B640AA9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38" name="Straight Connector 2237">
            <a:extLst>
              <a:ext uri="{FF2B5EF4-FFF2-40B4-BE49-F238E27FC236}">
                <a16:creationId xmlns:a16="http://schemas.microsoft.com/office/drawing/2014/main" id="{55811BA0-6379-7AD6-1AE4-8B6963279A2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39" name="Straight Connector 529">
            <a:extLst>
              <a:ext uri="{FF2B5EF4-FFF2-40B4-BE49-F238E27FC236}">
                <a16:creationId xmlns:a16="http://schemas.microsoft.com/office/drawing/2014/main" id="{9C493A58-E10B-51D7-9C09-334916519B6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0" name="Straight Connector 531">
            <a:extLst>
              <a:ext uri="{FF2B5EF4-FFF2-40B4-BE49-F238E27FC236}">
                <a16:creationId xmlns:a16="http://schemas.microsoft.com/office/drawing/2014/main" id="{93D46585-6437-8A1B-F0DE-B108F5ABF26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1" name="Straight Connector 533">
            <a:extLst>
              <a:ext uri="{FF2B5EF4-FFF2-40B4-BE49-F238E27FC236}">
                <a16:creationId xmlns:a16="http://schemas.microsoft.com/office/drawing/2014/main" id="{CB5384D6-04C3-5BB4-49DA-93C0B71ACE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2" name="Straight Connector 535">
            <a:extLst>
              <a:ext uri="{FF2B5EF4-FFF2-40B4-BE49-F238E27FC236}">
                <a16:creationId xmlns:a16="http://schemas.microsoft.com/office/drawing/2014/main" id="{C5DBBD46-B62F-5162-A96A-1E2577F4FE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3" name="Straight Connector 537">
            <a:extLst>
              <a:ext uri="{FF2B5EF4-FFF2-40B4-BE49-F238E27FC236}">
                <a16:creationId xmlns:a16="http://schemas.microsoft.com/office/drawing/2014/main" id="{DAD5DB47-5364-2C37-D5C6-C6A0569812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133350</xdr:rowOff>
    </xdr:from>
    <xdr:to>
      <xdr:col>6</xdr:col>
      <xdr:colOff>0</xdr:colOff>
      <xdr:row>105</xdr:row>
      <xdr:rowOff>47625</xdr:rowOff>
    </xdr:to>
    <xdr:grpSp>
      <xdr:nvGrpSpPr>
        <xdr:cNvPr id="2244" name="Group 1008">
          <a:extLst>
            <a:ext uri="{FF2B5EF4-FFF2-40B4-BE49-F238E27FC236}">
              <a16:creationId xmlns:a16="http://schemas.microsoft.com/office/drawing/2014/main" id="{78FC80BB-AFAC-4307-93F0-063957337BA6}"/>
            </a:ext>
          </a:extLst>
        </xdr:cNvPr>
        <xdr:cNvGrpSpPr>
          <a:grpSpLocks/>
        </xdr:cNvGrpSpPr>
      </xdr:nvGrpSpPr>
      <xdr:grpSpPr bwMode="auto">
        <a:xfrm>
          <a:off x="1807806" y="20589421"/>
          <a:ext cx="0" cy="102184"/>
          <a:chOff x="5475762" y="47760700"/>
          <a:chExt cx="314325" cy="230209"/>
        </a:xfrm>
      </xdr:grpSpPr>
      <xdr:cxnSp macro="">
        <xdr:nvCxnSpPr>
          <xdr:cNvPr id="2245" name="Straight Connector 2244">
            <a:extLst>
              <a:ext uri="{FF2B5EF4-FFF2-40B4-BE49-F238E27FC236}">
                <a16:creationId xmlns:a16="http://schemas.microsoft.com/office/drawing/2014/main" id="{E3210B86-6145-1D2D-495E-B5510DDD164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46" name="Straight Connector 529">
            <a:extLst>
              <a:ext uri="{FF2B5EF4-FFF2-40B4-BE49-F238E27FC236}">
                <a16:creationId xmlns:a16="http://schemas.microsoft.com/office/drawing/2014/main" id="{644ADAD8-B01E-04BD-B9F2-CB990E89CA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7" name="Straight Connector 531">
            <a:extLst>
              <a:ext uri="{FF2B5EF4-FFF2-40B4-BE49-F238E27FC236}">
                <a16:creationId xmlns:a16="http://schemas.microsoft.com/office/drawing/2014/main" id="{5DE8C83C-D83D-A606-7814-259265F8CE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8" name="Straight Connector 533">
            <a:extLst>
              <a:ext uri="{FF2B5EF4-FFF2-40B4-BE49-F238E27FC236}">
                <a16:creationId xmlns:a16="http://schemas.microsoft.com/office/drawing/2014/main" id="{A4422A4D-E811-1641-683F-939AEC296D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9" name="Straight Connector 535">
            <a:extLst>
              <a:ext uri="{FF2B5EF4-FFF2-40B4-BE49-F238E27FC236}">
                <a16:creationId xmlns:a16="http://schemas.microsoft.com/office/drawing/2014/main" id="{AD7778AD-B153-5A92-7FBA-9E15F10B7E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0" name="Straight Connector 537">
            <a:extLst>
              <a:ext uri="{FF2B5EF4-FFF2-40B4-BE49-F238E27FC236}">
                <a16:creationId xmlns:a16="http://schemas.microsoft.com/office/drawing/2014/main" id="{ABF1C027-3C5C-A243-4DB3-2AE99B75B8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133350</xdr:rowOff>
    </xdr:from>
    <xdr:to>
      <xdr:col>6</xdr:col>
      <xdr:colOff>0</xdr:colOff>
      <xdr:row>105</xdr:row>
      <xdr:rowOff>57150</xdr:rowOff>
    </xdr:to>
    <xdr:grpSp>
      <xdr:nvGrpSpPr>
        <xdr:cNvPr id="2251" name="Group 1008">
          <a:extLst>
            <a:ext uri="{FF2B5EF4-FFF2-40B4-BE49-F238E27FC236}">
              <a16:creationId xmlns:a16="http://schemas.microsoft.com/office/drawing/2014/main" id="{85E9F6CF-BB66-421A-BA0A-A0B0038FB068}"/>
            </a:ext>
          </a:extLst>
        </xdr:cNvPr>
        <xdr:cNvGrpSpPr>
          <a:grpSpLocks/>
        </xdr:cNvGrpSpPr>
      </xdr:nvGrpSpPr>
      <xdr:grpSpPr bwMode="auto">
        <a:xfrm>
          <a:off x="1807806" y="20589421"/>
          <a:ext cx="0" cy="111709"/>
          <a:chOff x="5475762" y="47760700"/>
          <a:chExt cx="314325" cy="230209"/>
        </a:xfrm>
      </xdr:grpSpPr>
      <xdr:cxnSp macro="">
        <xdr:nvCxnSpPr>
          <xdr:cNvPr id="2252" name="Straight Connector 2251">
            <a:extLst>
              <a:ext uri="{FF2B5EF4-FFF2-40B4-BE49-F238E27FC236}">
                <a16:creationId xmlns:a16="http://schemas.microsoft.com/office/drawing/2014/main" id="{32423B26-EFE4-3198-D213-51125C715572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53" name="Straight Connector 529">
            <a:extLst>
              <a:ext uri="{FF2B5EF4-FFF2-40B4-BE49-F238E27FC236}">
                <a16:creationId xmlns:a16="http://schemas.microsoft.com/office/drawing/2014/main" id="{1F9B97AD-7D3B-56DC-4F5E-5A1E56FAAA1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4" name="Straight Connector 531">
            <a:extLst>
              <a:ext uri="{FF2B5EF4-FFF2-40B4-BE49-F238E27FC236}">
                <a16:creationId xmlns:a16="http://schemas.microsoft.com/office/drawing/2014/main" id="{6AB0F96F-AEB8-3B75-0B7E-1CB86EE29A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5" name="Straight Connector 533">
            <a:extLst>
              <a:ext uri="{FF2B5EF4-FFF2-40B4-BE49-F238E27FC236}">
                <a16:creationId xmlns:a16="http://schemas.microsoft.com/office/drawing/2014/main" id="{07ADC09F-535D-F90A-13D2-64CBBE8AD1C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6" name="Straight Connector 535">
            <a:extLst>
              <a:ext uri="{FF2B5EF4-FFF2-40B4-BE49-F238E27FC236}">
                <a16:creationId xmlns:a16="http://schemas.microsoft.com/office/drawing/2014/main" id="{EEBA98FA-9431-E0B3-7363-7FEE0B27D1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7" name="Straight Connector 537">
            <a:extLst>
              <a:ext uri="{FF2B5EF4-FFF2-40B4-BE49-F238E27FC236}">
                <a16:creationId xmlns:a16="http://schemas.microsoft.com/office/drawing/2014/main" id="{65CB847F-1F4F-F033-4390-66429A00B2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58" name="Group 1008">
          <a:extLst>
            <a:ext uri="{FF2B5EF4-FFF2-40B4-BE49-F238E27FC236}">
              <a16:creationId xmlns:a16="http://schemas.microsoft.com/office/drawing/2014/main" id="{590272DE-CF36-4521-9251-BE6F14116B21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59" name="Straight Connector 2258">
            <a:extLst>
              <a:ext uri="{FF2B5EF4-FFF2-40B4-BE49-F238E27FC236}">
                <a16:creationId xmlns:a16="http://schemas.microsoft.com/office/drawing/2014/main" id="{50D4D489-95E4-9730-6DF4-00F2D6A7B63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60" name="Straight Connector 529">
            <a:extLst>
              <a:ext uri="{FF2B5EF4-FFF2-40B4-BE49-F238E27FC236}">
                <a16:creationId xmlns:a16="http://schemas.microsoft.com/office/drawing/2014/main" id="{0FF90CCC-E3A2-427D-8245-26A8D2C801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1" name="Straight Connector 531">
            <a:extLst>
              <a:ext uri="{FF2B5EF4-FFF2-40B4-BE49-F238E27FC236}">
                <a16:creationId xmlns:a16="http://schemas.microsoft.com/office/drawing/2014/main" id="{75362506-375E-5082-7BF8-957A32C879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2" name="Straight Connector 533">
            <a:extLst>
              <a:ext uri="{FF2B5EF4-FFF2-40B4-BE49-F238E27FC236}">
                <a16:creationId xmlns:a16="http://schemas.microsoft.com/office/drawing/2014/main" id="{39BF9B36-CFC4-5D4C-1DB6-A7D949A647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3" name="Straight Connector 535">
            <a:extLst>
              <a:ext uri="{FF2B5EF4-FFF2-40B4-BE49-F238E27FC236}">
                <a16:creationId xmlns:a16="http://schemas.microsoft.com/office/drawing/2014/main" id="{A38371D1-2E19-AEA8-ED44-F02765D454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4" name="Straight Connector 537">
            <a:extLst>
              <a:ext uri="{FF2B5EF4-FFF2-40B4-BE49-F238E27FC236}">
                <a16:creationId xmlns:a16="http://schemas.microsoft.com/office/drawing/2014/main" id="{900C60A0-253F-B09D-1AF1-ABE0CDBB0E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65" name="Group 1008">
          <a:extLst>
            <a:ext uri="{FF2B5EF4-FFF2-40B4-BE49-F238E27FC236}">
              <a16:creationId xmlns:a16="http://schemas.microsoft.com/office/drawing/2014/main" id="{A04E3C7F-CD28-4285-B5F2-3AF47AF22A4B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66" name="Straight Connector 2265">
            <a:extLst>
              <a:ext uri="{FF2B5EF4-FFF2-40B4-BE49-F238E27FC236}">
                <a16:creationId xmlns:a16="http://schemas.microsoft.com/office/drawing/2014/main" id="{B3EF0600-A1CE-67E3-EA54-BF08BDDEC60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67" name="Straight Connector 529">
            <a:extLst>
              <a:ext uri="{FF2B5EF4-FFF2-40B4-BE49-F238E27FC236}">
                <a16:creationId xmlns:a16="http://schemas.microsoft.com/office/drawing/2014/main" id="{545BAD5F-0075-80CE-AD1B-3BD763DBF8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8" name="Straight Connector 531">
            <a:extLst>
              <a:ext uri="{FF2B5EF4-FFF2-40B4-BE49-F238E27FC236}">
                <a16:creationId xmlns:a16="http://schemas.microsoft.com/office/drawing/2014/main" id="{B92D3F20-8D98-EE82-614C-B315569FC5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9" name="Straight Connector 533">
            <a:extLst>
              <a:ext uri="{FF2B5EF4-FFF2-40B4-BE49-F238E27FC236}">
                <a16:creationId xmlns:a16="http://schemas.microsoft.com/office/drawing/2014/main" id="{E0C1731F-A9C4-7759-1DD0-3DFCAC6F47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0" name="Straight Connector 535">
            <a:extLst>
              <a:ext uri="{FF2B5EF4-FFF2-40B4-BE49-F238E27FC236}">
                <a16:creationId xmlns:a16="http://schemas.microsoft.com/office/drawing/2014/main" id="{65032A92-02BD-602D-DA94-679E2A8623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1" name="Straight Connector 537">
            <a:extLst>
              <a:ext uri="{FF2B5EF4-FFF2-40B4-BE49-F238E27FC236}">
                <a16:creationId xmlns:a16="http://schemas.microsoft.com/office/drawing/2014/main" id="{7D38A5DE-F566-29F6-5EC1-F78AF0E9C6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72" name="Group 1008">
          <a:extLst>
            <a:ext uri="{FF2B5EF4-FFF2-40B4-BE49-F238E27FC236}">
              <a16:creationId xmlns:a16="http://schemas.microsoft.com/office/drawing/2014/main" id="{B14ADF7C-89D6-4CCC-8E80-FAFCC49FB809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73" name="Straight Connector 2272">
            <a:extLst>
              <a:ext uri="{FF2B5EF4-FFF2-40B4-BE49-F238E27FC236}">
                <a16:creationId xmlns:a16="http://schemas.microsoft.com/office/drawing/2014/main" id="{A58B312B-CF7D-724A-10CB-D72246A062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74" name="Straight Connector 529">
            <a:extLst>
              <a:ext uri="{FF2B5EF4-FFF2-40B4-BE49-F238E27FC236}">
                <a16:creationId xmlns:a16="http://schemas.microsoft.com/office/drawing/2014/main" id="{BFCB0EC3-1CD2-B9A9-9444-54EE5A23868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5" name="Straight Connector 531">
            <a:extLst>
              <a:ext uri="{FF2B5EF4-FFF2-40B4-BE49-F238E27FC236}">
                <a16:creationId xmlns:a16="http://schemas.microsoft.com/office/drawing/2014/main" id="{B5D8139D-5F99-62AF-2514-6B0832E3B75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6" name="Straight Connector 533">
            <a:extLst>
              <a:ext uri="{FF2B5EF4-FFF2-40B4-BE49-F238E27FC236}">
                <a16:creationId xmlns:a16="http://schemas.microsoft.com/office/drawing/2014/main" id="{B00B2195-A797-AA5D-6B15-33B96A8FB3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7" name="Straight Connector 535">
            <a:extLst>
              <a:ext uri="{FF2B5EF4-FFF2-40B4-BE49-F238E27FC236}">
                <a16:creationId xmlns:a16="http://schemas.microsoft.com/office/drawing/2014/main" id="{0839FD6E-019D-78F3-5B5E-7259D565ED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8" name="Straight Connector 537">
            <a:extLst>
              <a:ext uri="{FF2B5EF4-FFF2-40B4-BE49-F238E27FC236}">
                <a16:creationId xmlns:a16="http://schemas.microsoft.com/office/drawing/2014/main" id="{42F3F486-F579-91D9-A9D8-A73BE864F4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79" name="Group 1008">
          <a:extLst>
            <a:ext uri="{FF2B5EF4-FFF2-40B4-BE49-F238E27FC236}">
              <a16:creationId xmlns:a16="http://schemas.microsoft.com/office/drawing/2014/main" id="{640BD353-AB03-4F3A-8E10-6A083A9B514A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80" name="Straight Connector 2279">
            <a:extLst>
              <a:ext uri="{FF2B5EF4-FFF2-40B4-BE49-F238E27FC236}">
                <a16:creationId xmlns:a16="http://schemas.microsoft.com/office/drawing/2014/main" id="{BBE4C675-D8DF-667D-5A14-58E9ACB225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81" name="Straight Connector 529">
            <a:extLst>
              <a:ext uri="{FF2B5EF4-FFF2-40B4-BE49-F238E27FC236}">
                <a16:creationId xmlns:a16="http://schemas.microsoft.com/office/drawing/2014/main" id="{04611A53-5C94-CC27-FED1-926DBED59B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2" name="Straight Connector 531">
            <a:extLst>
              <a:ext uri="{FF2B5EF4-FFF2-40B4-BE49-F238E27FC236}">
                <a16:creationId xmlns:a16="http://schemas.microsoft.com/office/drawing/2014/main" id="{78D6E6FF-C9C0-488E-B8C5-604AEE2792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3" name="Straight Connector 533">
            <a:extLst>
              <a:ext uri="{FF2B5EF4-FFF2-40B4-BE49-F238E27FC236}">
                <a16:creationId xmlns:a16="http://schemas.microsoft.com/office/drawing/2014/main" id="{6361814B-E946-8358-E846-68E83CEAA3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4" name="Straight Connector 535">
            <a:extLst>
              <a:ext uri="{FF2B5EF4-FFF2-40B4-BE49-F238E27FC236}">
                <a16:creationId xmlns:a16="http://schemas.microsoft.com/office/drawing/2014/main" id="{920DF23D-1DDF-92AF-02C8-86AF1C0CDD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5" name="Straight Connector 537">
            <a:extLst>
              <a:ext uri="{FF2B5EF4-FFF2-40B4-BE49-F238E27FC236}">
                <a16:creationId xmlns:a16="http://schemas.microsoft.com/office/drawing/2014/main" id="{11CEA97A-E3F5-D31B-EC1F-2EEEF42B06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86" name="Group 1008">
          <a:extLst>
            <a:ext uri="{FF2B5EF4-FFF2-40B4-BE49-F238E27FC236}">
              <a16:creationId xmlns:a16="http://schemas.microsoft.com/office/drawing/2014/main" id="{1A303D31-76B1-4E15-A9D1-CCAB56888B00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87" name="Straight Connector 2286">
            <a:extLst>
              <a:ext uri="{FF2B5EF4-FFF2-40B4-BE49-F238E27FC236}">
                <a16:creationId xmlns:a16="http://schemas.microsoft.com/office/drawing/2014/main" id="{C0A9744C-00C9-4D29-C7CC-9B4C59EE74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88" name="Straight Connector 529">
            <a:extLst>
              <a:ext uri="{FF2B5EF4-FFF2-40B4-BE49-F238E27FC236}">
                <a16:creationId xmlns:a16="http://schemas.microsoft.com/office/drawing/2014/main" id="{27E03386-FC9D-1611-D91F-F7AFB1B67A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9" name="Straight Connector 531">
            <a:extLst>
              <a:ext uri="{FF2B5EF4-FFF2-40B4-BE49-F238E27FC236}">
                <a16:creationId xmlns:a16="http://schemas.microsoft.com/office/drawing/2014/main" id="{EB09C670-CF80-0270-943C-E42B208E6D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0" name="Straight Connector 533">
            <a:extLst>
              <a:ext uri="{FF2B5EF4-FFF2-40B4-BE49-F238E27FC236}">
                <a16:creationId xmlns:a16="http://schemas.microsoft.com/office/drawing/2014/main" id="{1E7612C5-AE50-619F-53A5-2C871ACCDD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1" name="Straight Connector 535">
            <a:extLst>
              <a:ext uri="{FF2B5EF4-FFF2-40B4-BE49-F238E27FC236}">
                <a16:creationId xmlns:a16="http://schemas.microsoft.com/office/drawing/2014/main" id="{39D20F9C-3532-CC68-D614-4405D98E5D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2" name="Straight Connector 537">
            <a:extLst>
              <a:ext uri="{FF2B5EF4-FFF2-40B4-BE49-F238E27FC236}">
                <a16:creationId xmlns:a16="http://schemas.microsoft.com/office/drawing/2014/main" id="{5549C227-E312-A581-03CB-461E5ABFD7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93" name="Group 1008">
          <a:extLst>
            <a:ext uri="{FF2B5EF4-FFF2-40B4-BE49-F238E27FC236}">
              <a16:creationId xmlns:a16="http://schemas.microsoft.com/office/drawing/2014/main" id="{FBE7B0C1-29FD-478A-8726-0170F9870033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94" name="Straight Connector 2293">
            <a:extLst>
              <a:ext uri="{FF2B5EF4-FFF2-40B4-BE49-F238E27FC236}">
                <a16:creationId xmlns:a16="http://schemas.microsoft.com/office/drawing/2014/main" id="{329F3E9F-C0BF-0032-E2A6-D5B04ACA414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95" name="Straight Connector 529">
            <a:extLst>
              <a:ext uri="{FF2B5EF4-FFF2-40B4-BE49-F238E27FC236}">
                <a16:creationId xmlns:a16="http://schemas.microsoft.com/office/drawing/2014/main" id="{EC9598C8-8C8B-2369-B341-AA3CFC1772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6" name="Straight Connector 531">
            <a:extLst>
              <a:ext uri="{FF2B5EF4-FFF2-40B4-BE49-F238E27FC236}">
                <a16:creationId xmlns:a16="http://schemas.microsoft.com/office/drawing/2014/main" id="{D92D34A5-02DD-3695-CEB1-A267AD86B0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7" name="Straight Connector 533">
            <a:extLst>
              <a:ext uri="{FF2B5EF4-FFF2-40B4-BE49-F238E27FC236}">
                <a16:creationId xmlns:a16="http://schemas.microsoft.com/office/drawing/2014/main" id="{45E345AE-1B87-480B-09DF-F23A2A393B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8" name="Straight Connector 535">
            <a:extLst>
              <a:ext uri="{FF2B5EF4-FFF2-40B4-BE49-F238E27FC236}">
                <a16:creationId xmlns:a16="http://schemas.microsoft.com/office/drawing/2014/main" id="{7D1AFEBC-7706-CD50-A654-F1AA66ED929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9" name="Straight Connector 537">
            <a:extLst>
              <a:ext uri="{FF2B5EF4-FFF2-40B4-BE49-F238E27FC236}">
                <a16:creationId xmlns:a16="http://schemas.microsoft.com/office/drawing/2014/main" id="{576C0DF8-010F-CA40-BC4D-080289AC64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00" name="Group 1008">
          <a:extLst>
            <a:ext uri="{FF2B5EF4-FFF2-40B4-BE49-F238E27FC236}">
              <a16:creationId xmlns:a16="http://schemas.microsoft.com/office/drawing/2014/main" id="{AC1500C3-244B-43C3-9390-3FFB63C16BCE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01" name="Straight Connector 2300">
            <a:extLst>
              <a:ext uri="{FF2B5EF4-FFF2-40B4-BE49-F238E27FC236}">
                <a16:creationId xmlns:a16="http://schemas.microsoft.com/office/drawing/2014/main" id="{A2D94221-752B-C3CE-A747-BFF7D7C3BD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02" name="Straight Connector 529">
            <a:extLst>
              <a:ext uri="{FF2B5EF4-FFF2-40B4-BE49-F238E27FC236}">
                <a16:creationId xmlns:a16="http://schemas.microsoft.com/office/drawing/2014/main" id="{18F786C7-5B01-E609-CD14-5B22B68ECB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3" name="Straight Connector 531">
            <a:extLst>
              <a:ext uri="{FF2B5EF4-FFF2-40B4-BE49-F238E27FC236}">
                <a16:creationId xmlns:a16="http://schemas.microsoft.com/office/drawing/2014/main" id="{2B3EC958-AB8D-A933-61C7-E5D5D048E3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4" name="Straight Connector 533">
            <a:extLst>
              <a:ext uri="{FF2B5EF4-FFF2-40B4-BE49-F238E27FC236}">
                <a16:creationId xmlns:a16="http://schemas.microsoft.com/office/drawing/2014/main" id="{D40F2F8E-D10D-4FCB-8B48-CF1154870B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5" name="Straight Connector 535">
            <a:extLst>
              <a:ext uri="{FF2B5EF4-FFF2-40B4-BE49-F238E27FC236}">
                <a16:creationId xmlns:a16="http://schemas.microsoft.com/office/drawing/2014/main" id="{CF9F41BC-3085-4E0F-4C56-802F4D7D69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6" name="Straight Connector 537">
            <a:extLst>
              <a:ext uri="{FF2B5EF4-FFF2-40B4-BE49-F238E27FC236}">
                <a16:creationId xmlns:a16="http://schemas.microsoft.com/office/drawing/2014/main" id="{FD628AA7-709E-BFAB-15FB-D9CD9ECE66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07" name="Group 1008">
          <a:extLst>
            <a:ext uri="{FF2B5EF4-FFF2-40B4-BE49-F238E27FC236}">
              <a16:creationId xmlns:a16="http://schemas.microsoft.com/office/drawing/2014/main" id="{AA060E0D-3685-4B52-9583-F59CAA5A6C70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08" name="Straight Connector 2307">
            <a:extLst>
              <a:ext uri="{FF2B5EF4-FFF2-40B4-BE49-F238E27FC236}">
                <a16:creationId xmlns:a16="http://schemas.microsoft.com/office/drawing/2014/main" id="{C50EA7EC-8A72-121F-80DA-FE4A718F78A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09" name="Straight Connector 529">
            <a:extLst>
              <a:ext uri="{FF2B5EF4-FFF2-40B4-BE49-F238E27FC236}">
                <a16:creationId xmlns:a16="http://schemas.microsoft.com/office/drawing/2014/main" id="{113681A3-0494-C7AA-6BF8-15819432DE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0" name="Straight Connector 531">
            <a:extLst>
              <a:ext uri="{FF2B5EF4-FFF2-40B4-BE49-F238E27FC236}">
                <a16:creationId xmlns:a16="http://schemas.microsoft.com/office/drawing/2014/main" id="{75152608-17D0-AF7D-9EE6-B5A7513E03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1" name="Straight Connector 533">
            <a:extLst>
              <a:ext uri="{FF2B5EF4-FFF2-40B4-BE49-F238E27FC236}">
                <a16:creationId xmlns:a16="http://schemas.microsoft.com/office/drawing/2014/main" id="{A852C4B6-C03D-6DAA-A200-E21F690C2C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2" name="Straight Connector 535">
            <a:extLst>
              <a:ext uri="{FF2B5EF4-FFF2-40B4-BE49-F238E27FC236}">
                <a16:creationId xmlns:a16="http://schemas.microsoft.com/office/drawing/2014/main" id="{56DEE310-9622-1D2E-143B-53B3604B22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3" name="Straight Connector 537">
            <a:extLst>
              <a:ext uri="{FF2B5EF4-FFF2-40B4-BE49-F238E27FC236}">
                <a16:creationId xmlns:a16="http://schemas.microsoft.com/office/drawing/2014/main" id="{E8D263F9-C8D9-B695-3363-B0AF6147C8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14" name="Group 1008">
          <a:extLst>
            <a:ext uri="{FF2B5EF4-FFF2-40B4-BE49-F238E27FC236}">
              <a16:creationId xmlns:a16="http://schemas.microsoft.com/office/drawing/2014/main" id="{EB056680-A83C-48BA-B2EE-D2BDD0B8B5BB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15" name="Straight Connector 2314">
            <a:extLst>
              <a:ext uri="{FF2B5EF4-FFF2-40B4-BE49-F238E27FC236}">
                <a16:creationId xmlns:a16="http://schemas.microsoft.com/office/drawing/2014/main" id="{23614B42-BD0D-0F38-AA42-8EA4B15C65D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16" name="Straight Connector 529">
            <a:extLst>
              <a:ext uri="{FF2B5EF4-FFF2-40B4-BE49-F238E27FC236}">
                <a16:creationId xmlns:a16="http://schemas.microsoft.com/office/drawing/2014/main" id="{785BA463-36B9-7BC1-30A6-1E41BF8D7F7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7" name="Straight Connector 531">
            <a:extLst>
              <a:ext uri="{FF2B5EF4-FFF2-40B4-BE49-F238E27FC236}">
                <a16:creationId xmlns:a16="http://schemas.microsoft.com/office/drawing/2014/main" id="{511A6195-06AB-8500-00AB-60669AEE44B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8" name="Straight Connector 533">
            <a:extLst>
              <a:ext uri="{FF2B5EF4-FFF2-40B4-BE49-F238E27FC236}">
                <a16:creationId xmlns:a16="http://schemas.microsoft.com/office/drawing/2014/main" id="{756177E3-4437-A551-288E-F45672A442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9" name="Straight Connector 535">
            <a:extLst>
              <a:ext uri="{FF2B5EF4-FFF2-40B4-BE49-F238E27FC236}">
                <a16:creationId xmlns:a16="http://schemas.microsoft.com/office/drawing/2014/main" id="{22BB5EDA-0AF9-9282-9EAA-3843E4274B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0" name="Straight Connector 537">
            <a:extLst>
              <a:ext uri="{FF2B5EF4-FFF2-40B4-BE49-F238E27FC236}">
                <a16:creationId xmlns:a16="http://schemas.microsoft.com/office/drawing/2014/main" id="{F86BB54C-EE19-2923-6CB2-22F33EE556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21" name="Group 1008">
          <a:extLst>
            <a:ext uri="{FF2B5EF4-FFF2-40B4-BE49-F238E27FC236}">
              <a16:creationId xmlns:a16="http://schemas.microsoft.com/office/drawing/2014/main" id="{6B7918C7-6F8E-4AF6-957D-9E3B931C2AB6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22" name="Straight Connector 2321">
            <a:extLst>
              <a:ext uri="{FF2B5EF4-FFF2-40B4-BE49-F238E27FC236}">
                <a16:creationId xmlns:a16="http://schemas.microsoft.com/office/drawing/2014/main" id="{7BC7DE30-DE96-AE3E-35F1-2CCCE45A51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23" name="Straight Connector 529">
            <a:extLst>
              <a:ext uri="{FF2B5EF4-FFF2-40B4-BE49-F238E27FC236}">
                <a16:creationId xmlns:a16="http://schemas.microsoft.com/office/drawing/2014/main" id="{0DB3D488-92EA-0C60-ECE5-75773765E74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4" name="Straight Connector 531">
            <a:extLst>
              <a:ext uri="{FF2B5EF4-FFF2-40B4-BE49-F238E27FC236}">
                <a16:creationId xmlns:a16="http://schemas.microsoft.com/office/drawing/2014/main" id="{DAE59499-5E98-A8F7-5F60-BFA715460E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5" name="Straight Connector 533">
            <a:extLst>
              <a:ext uri="{FF2B5EF4-FFF2-40B4-BE49-F238E27FC236}">
                <a16:creationId xmlns:a16="http://schemas.microsoft.com/office/drawing/2014/main" id="{24DF7850-BFB5-0F95-90CD-D011916DB8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6" name="Straight Connector 535">
            <a:extLst>
              <a:ext uri="{FF2B5EF4-FFF2-40B4-BE49-F238E27FC236}">
                <a16:creationId xmlns:a16="http://schemas.microsoft.com/office/drawing/2014/main" id="{52F428CB-5707-C52A-25F2-6C6902F10D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7" name="Straight Connector 537">
            <a:extLst>
              <a:ext uri="{FF2B5EF4-FFF2-40B4-BE49-F238E27FC236}">
                <a16:creationId xmlns:a16="http://schemas.microsoft.com/office/drawing/2014/main" id="{3105BD46-2198-8CB6-787A-6BB9F1A92D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28" name="Group 1008">
          <a:extLst>
            <a:ext uri="{FF2B5EF4-FFF2-40B4-BE49-F238E27FC236}">
              <a16:creationId xmlns:a16="http://schemas.microsoft.com/office/drawing/2014/main" id="{0E6578B0-1C70-4D1B-8D10-15C463F502C7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29" name="Straight Connector 2328">
            <a:extLst>
              <a:ext uri="{FF2B5EF4-FFF2-40B4-BE49-F238E27FC236}">
                <a16:creationId xmlns:a16="http://schemas.microsoft.com/office/drawing/2014/main" id="{852CD680-FCD1-378A-2E89-11C4688746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30" name="Straight Connector 529">
            <a:extLst>
              <a:ext uri="{FF2B5EF4-FFF2-40B4-BE49-F238E27FC236}">
                <a16:creationId xmlns:a16="http://schemas.microsoft.com/office/drawing/2014/main" id="{9031B34B-048B-77D9-A828-F66EE4A32F6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1" name="Straight Connector 531">
            <a:extLst>
              <a:ext uri="{FF2B5EF4-FFF2-40B4-BE49-F238E27FC236}">
                <a16:creationId xmlns:a16="http://schemas.microsoft.com/office/drawing/2014/main" id="{E50093E8-ED5F-CE0E-6034-3866DB1AEA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2" name="Straight Connector 533">
            <a:extLst>
              <a:ext uri="{FF2B5EF4-FFF2-40B4-BE49-F238E27FC236}">
                <a16:creationId xmlns:a16="http://schemas.microsoft.com/office/drawing/2014/main" id="{EF7D8A02-5B7A-9822-A2D9-A433B4549A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3" name="Straight Connector 535">
            <a:extLst>
              <a:ext uri="{FF2B5EF4-FFF2-40B4-BE49-F238E27FC236}">
                <a16:creationId xmlns:a16="http://schemas.microsoft.com/office/drawing/2014/main" id="{5BFE86A0-F9F4-5CFE-AB14-FF2B2635DE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4" name="Straight Connector 537">
            <a:extLst>
              <a:ext uri="{FF2B5EF4-FFF2-40B4-BE49-F238E27FC236}">
                <a16:creationId xmlns:a16="http://schemas.microsoft.com/office/drawing/2014/main" id="{3FA9372C-009F-9921-D9C5-0ADECD7C5E8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35" name="Group 1008">
          <a:extLst>
            <a:ext uri="{FF2B5EF4-FFF2-40B4-BE49-F238E27FC236}">
              <a16:creationId xmlns:a16="http://schemas.microsoft.com/office/drawing/2014/main" id="{CE42D738-026A-4DBF-8A3D-2B9AA5306EB3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36" name="Straight Connector 2335">
            <a:extLst>
              <a:ext uri="{FF2B5EF4-FFF2-40B4-BE49-F238E27FC236}">
                <a16:creationId xmlns:a16="http://schemas.microsoft.com/office/drawing/2014/main" id="{6786DE07-196D-C8B4-D5C2-E5E1AC93D2B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37" name="Straight Connector 529">
            <a:extLst>
              <a:ext uri="{FF2B5EF4-FFF2-40B4-BE49-F238E27FC236}">
                <a16:creationId xmlns:a16="http://schemas.microsoft.com/office/drawing/2014/main" id="{AF11E65F-41B9-ACA1-24C9-75C0C195E9D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8" name="Straight Connector 531">
            <a:extLst>
              <a:ext uri="{FF2B5EF4-FFF2-40B4-BE49-F238E27FC236}">
                <a16:creationId xmlns:a16="http://schemas.microsoft.com/office/drawing/2014/main" id="{68189D09-08A2-A528-9EEE-B68AA3B2F5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9" name="Straight Connector 533">
            <a:extLst>
              <a:ext uri="{FF2B5EF4-FFF2-40B4-BE49-F238E27FC236}">
                <a16:creationId xmlns:a16="http://schemas.microsoft.com/office/drawing/2014/main" id="{792F42FF-2254-3125-BA1A-6736B3F359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0" name="Straight Connector 535">
            <a:extLst>
              <a:ext uri="{FF2B5EF4-FFF2-40B4-BE49-F238E27FC236}">
                <a16:creationId xmlns:a16="http://schemas.microsoft.com/office/drawing/2014/main" id="{B89D28E7-ED3A-8114-99CE-CB576827DF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1" name="Straight Connector 537">
            <a:extLst>
              <a:ext uri="{FF2B5EF4-FFF2-40B4-BE49-F238E27FC236}">
                <a16:creationId xmlns:a16="http://schemas.microsoft.com/office/drawing/2014/main" id="{5A6C2C80-3BD6-27FB-7D81-7FBC1556F1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42" name="Group 1008">
          <a:extLst>
            <a:ext uri="{FF2B5EF4-FFF2-40B4-BE49-F238E27FC236}">
              <a16:creationId xmlns:a16="http://schemas.microsoft.com/office/drawing/2014/main" id="{DADBCAA3-A5BC-4EDE-8D65-254A9E7C38E4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43" name="Straight Connector 2342">
            <a:extLst>
              <a:ext uri="{FF2B5EF4-FFF2-40B4-BE49-F238E27FC236}">
                <a16:creationId xmlns:a16="http://schemas.microsoft.com/office/drawing/2014/main" id="{7C505BEA-9A29-7D0E-31C8-4CF56CDAFF7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44" name="Straight Connector 529">
            <a:extLst>
              <a:ext uri="{FF2B5EF4-FFF2-40B4-BE49-F238E27FC236}">
                <a16:creationId xmlns:a16="http://schemas.microsoft.com/office/drawing/2014/main" id="{B191AA67-C2F4-FBFC-B0C8-026AA25ABF6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5" name="Straight Connector 531">
            <a:extLst>
              <a:ext uri="{FF2B5EF4-FFF2-40B4-BE49-F238E27FC236}">
                <a16:creationId xmlns:a16="http://schemas.microsoft.com/office/drawing/2014/main" id="{142105A0-FFC6-AEFB-4DF4-B9EB98AEB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6" name="Straight Connector 533">
            <a:extLst>
              <a:ext uri="{FF2B5EF4-FFF2-40B4-BE49-F238E27FC236}">
                <a16:creationId xmlns:a16="http://schemas.microsoft.com/office/drawing/2014/main" id="{E24DBD13-CC72-633D-7BD2-BAF100219E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7" name="Straight Connector 535">
            <a:extLst>
              <a:ext uri="{FF2B5EF4-FFF2-40B4-BE49-F238E27FC236}">
                <a16:creationId xmlns:a16="http://schemas.microsoft.com/office/drawing/2014/main" id="{918EFEF8-8A68-79DD-20F0-769EE52C93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8" name="Straight Connector 537">
            <a:extLst>
              <a:ext uri="{FF2B5EF4-FFF2-40B4-BE49-F238E27FC236}">
                <a16:creationId xmlns:a16="http://schemas.microsoft.com/office/drawing/2014/main" id="{25C54908-F559-121D-B604-911DA3147F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49" name="Group 1008">
          <a:extLst>
            <a:ext uri="{FF2B5EF4-FFF2-40B4-BE49-F238E27FC236}">
              <a16:creationId xmlns:a16="http://schemas.microsoft.com/office/drawing/2014/main" id="{261E5E3F-7CCF-412A-B378-48F0C75B462B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50" name="Straight Connector 2349">
            <a:extLst>
              <a:ext uri="{FF2B5EF4-FFF2-40B4-BE49-F238E27FC236}">
                <a16:creationId xmlns:a16="http://schemas.microsoft.com/office/drawing/2014/main" id="{090B4971-C5CF-1F39-0B7E-6EAF944C21F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51" name="Straight Connector 529">
            <a:extLst>
              <a:ext uri="{FF2B5EF4-FFF2-40B4-BE49-F238E27FC236}">
                <a16:creationId xmlns:a16="http://schemas.microsoft.com/office/drawing/2014/main" id="{DFF288B1-486F-FD5C-3E61-BB6E0E7A23B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2" name="Straight Connector 531">
            <a:extLst>
              <a:ext uri="{FF2B5EF4-FFF2-40B4-BE49-F238E27FC236}">
                <a16:creationId xmlns:a16="http://schemas.microsoft.com/office/drawing/2014/main" id="{4AFC7313-21D8-4CAA-EFAE-7E7A40F05E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3" name="Straight Connector 533">
            <a:extLst>
              <a:ext uri="{FF2B5EF4-FFF2-40B4-BE49-F238E27FC236}">
                <a16:creationId xmlns:a16="http://schemas.microsoft.com/office/drawing/2014/main" id="{2947638A-7103-FA24-2F79-2487FDC1EA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4" name="Straight Connector 535">
            <a:extLst>
              <a:ext uri="{FF2B5EF4-FFF2-40B4-BE49-F238E27FC236}">
                <a16:creationId xmlns:a16="http://schemas.microsoft.com/office/drawing/2014/main" id="{01C69B39-10FA-3B0A-EE17-CFB3C56132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5" name="Straight Connector 537">
            <a:extLst>
              <a:ext uri="{FF2B5EF4-FFF2-40B4-BE49-F238E27FC236}">
                <a16:creationId xmlns:a16="http://schemas.microsoft.com/office/drawing/2014/main" id="{45BCBDD7-476C-CCD2-3EF1-E123363730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56" name="Group 1008">
          <a:extLst>
            <a:ext uri="{FF2B5EF4-FFF2-40B4-BE49-F238E27FC236}">
              <a16:creationId xmlns:a16="http://schemas.microsoft.com/office/drawing/2014/main" id="{806E547B-A167-46EB-BE9B-0C2894CA7F16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57" name="Straight Connector 2356">
            <a:extLst>
              <a:ext uri="{FF2B5EF4-FFF2-40B4-BE49-F238E27FC236}">
                <a16:creationId xmlns:a16="http://schemas.microsoft.com/office/drawing/2014/main" id="{67E30B75-4110-F0D3-A280-D4E4682C1B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58" name="Straight Connector 529">
            <a:extLst>
              <a:ext uri="{FF2B5EF4-FFF2-40B4-BE49-F238E27FC236}">
                <a16:creationId xmlns:a16="http://schemas.microsoft.com/office/drawing/2014/main" id="{FD61B052-0208-E53A-AE73-D9038F43955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9" name="Straight Connector 531">
            <a:extLst>
              <a:ext uri="{FF2B5EF4-FFF2-40B4-BE49-F238E27FC236}">
                <a16:creationId xmlns:a16="http://schemas.microsoft.com/office/drawing/2014/main" id="{24CEE07C-9741-EB83-62AB-9B9AE236A1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0" name="Straight Connector 533">
            <a:extLst>
              <a:ext uri="{FF2B5EF4-FFF2-40B4-BE49-F238E27FC236}">
                <a16:creationId xmlns:a16="http://schemas.microsoft.com/office/drawing/2014/main" id="{303C8A50-41BD-D0B8-50A5-4C9FBFD51B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1" name="Straight Connector 535">
            <a:extLst>
              <a:ext uri="{FF2B5EF4-FFF2-40B4-BE49-F238E27FC236}">
                <a16:creationId xmlns:a16="http://schemas.microsoft.com/office/drawing/2014/main" id="{9D3D996E-9EC5-0958-6C42-2877E6E2B3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2" name="Straight Connector 537">
            <a:extLst>
              <a:ext uri="{FF2B5EF4-FFF2-40B4-BE49-F238E27FC236}">
                <a16:creationId xmlns:a16="http://schemas.microsoft.com/office/drawing/2014/main" id="{4BC7CF44-5CEB-D9EE-DE2F-1B49232426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63" name="Group 1008">
          <a:extLst>
            <a:ext uri="{FF2B5EF4-FFF2-40B4-BE49-F238E27FC236}">
              <a16:creationId xmlns:a16="http://schemas.microsoft.com/office/drawing/2014/main" id="{544C6252-1A9C-4B3E-A780-6D15821FCE83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64" name="Straight Connector 2363">
            <a:extLst>
              <a:ext uri="{FF2B5EF4-FFF2-40B4-BE49-F238E27FC236}">
                <a16:creationId xmlns:a16="http://schemas.microsoft.com/office/drawing/2014/main" id="{9697EC75-3D49-163A-0ECB-62C22A4720D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65" name="Straight Connector 529">
            <a:extLst>
              <a:ext uri="{FF2B5EF4-FFF2-40B4-BE49-F238E27FC236}">
                <a16:creationId xmlns:a16="http://schemas.microsoft.com/office/drawing/2014/main" id="{2BFC83E5-CBFD-14F5-FFC6-4785AD04AA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6" name="Straight Connector 531">
            <a:extLst>
              <a:ext uri="{FF2B5EF4-FFF2-40B4-BE49-F238E27FC236}">
                <a16:creationId xmlns:a16="http://schemas.microsoft.com/office/drawing/2014/main" id="{0FEA1398-2F13-CC15-6063-4100D0A925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7" name="Straight Connector 533">
            <a:extLst>
              <a:ext uri="{FF2B5EF4-FFF2-40B4-BE49-F238E27FC236}">
                <a16:creationId xmlns:a16="http://schemas.microsoft.com/office/drawing/2014/main" id="{7BFC781F-042D-48AE-B872-01C4DCA8D6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8" name="Straight Connector 535">
            <a:extLst>
              <a:ext uri="{FF2B5EF4-FFF2-40B4-BE49-F238E27FC236}">
                <a16:creationId xmlns:a16="http://schemas.microsoft.com/office/drawing/2014/main" id="{624FC863-570B-CE1B-9867-8402919855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9" name="Straight Connector 537">
            <a:extLst>
              <a:ext uri="{FF2B5EF4-FFF2-40B4-BE49-F238E27FC236}">
                <a16:creationId xmlns:a16="http://schemas.microsoft.com/office/drawing/2014/main" id="{CE896DE6-D65B-3338-E5F9-6688B2B568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70" name="Group 1008">
          <a:extLst>
            <a:ext uri="{FF2B5EF4-FFF2-40B4-BE49-F238E27FC236}">
              <a16:creationId xmlns:a16="http://schemas.microsoft.com/office/drawing/2014/main" id="{2DE88CB8-202E-4C5A-8A63-81853CFC9A0D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71" name="Straight Connector 2370">
            <a:extLst>
              <a:ext uri="{FF2B5EF4-FFF2-40B4-BE49-F238E27FC236}">
                <a16:creationId xmlns:a16="http://schemas.microsoft.com/office/drawing/2014/main" id="{F4AB78BF-8990-6AE8-DD68-C3483E2D74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72" name="Straight Connector 529">
            <a:extLst>
              <a:ext uri="{FF2B5EF4-FFF2-40B4-BE49-F238E27FC236}">
                <a16:creationId xmlns:a16="http://schemas.microsoft.com/office/drawing/2014/main" id="{31DF1C50-4F40-09BA-E399-BE8263C05B2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3" name="Straight Connector 531">
            <a:extLst>
              <a:ext uri="{FF2B5EF4-FFF2-40B4-BE49-F238E27FC236}">
                <a16:creationId xmlns:a16="http://schemas.microsoft.com/office/drawing/2014/main" id="{B4EE99E2-56F6-A105-BD59-1667A0AE43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4" name="Straight Connector 533">
            <a:extLst>
              <a:ext uri="{FF2B5EF4-FFF2-40B4-BE49-F238E27FC236}">
                <a16:creationId xmlns:a16="http://schemas.microsoft.com/office/drawing/2014/main" id="{E0B0B5C2-DE6F-7615-A43D-C1A33A9890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5" name="Straight Connector 535">
            <a:extLst>
              <a:ext uri="{FF2B5EF4-FFF2-40B4-BE49-F238E27FC236}">
                <a16:creationId xmlns:a16="http://schemas.microsoft.com/office/drawing/2014/main" id="{52442B69-F3DB-30A2-FFD8-90204AFF89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6" name="Straight Connector 537">
            <a:extLst>
              <a:ext uri="{FF2B5EF4-FFF2-40B4-BE49-F238E27FC236}">
                <a16:creationId xmlns:a16="http://schemas.microsoft.com/office/drawing/2014/main" id="{01892A35-4176-480C-03B4-A57E73EA58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77" name="Group 1008">
          <a:extLst>
            <a:ext uri="{FF2B5EF4-FFF2-40B4-BE49-F238E27FC236}">
              <a16:creationId xmlns:a16="http://schemas.microsoft.com/office/drawing/2014/main" id="{E24543AA-E09F-44F1-8BCC-E4FF799833BD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78" name="Straight Connector 2377">
            <a:extLst>
              <a:ext uri="{FF2B5EF4-FFF2-40B4-BE49-F238E27FC236}">
                <a16:creationId xmlns:a16="http://schemas.microsoft.com/office/drawing/2014/main" id="{D6933263-55CA-EBD0-AD76-F04DEA8468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79" name="Straight Connector 529">
            <a:extLst>
              <a:ext uri="{FF2B5EF4-FFF2-40B4-BE49-F238E27FC236}">
                <a16:creationId xmlns:a16="http://schemas.microsoft.com/office/drawing/2014/main" id="{49820331-9A20-3B59-D7EB-B6782794FDE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0" name="Straight Connector 531">
            <a:extLst>
              <a:ext uri="{FF2B5EF4-FFF2-40B4-BE49-F238E27FC236}">
                <a16:creationId xmlns:a16="http://schemas.microsoft.com/office/drawing/2014/main" id="{F497803B-EF9F-250F-EB50-2A5070D4D9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1" name="Straight Connector 533">
            <a:extLst>
              <a:ext uri="{FF2B5EF4-FFF2-40B4-BE49-F238E27FC236}">
                <a16:creationId xmlns:a16="http://schemas.microsoft.com/office/drawing/2014/main" id="{342416E5-92F9-C072-2B51-967E0F367F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2" name="Straight Connector 535">
            <a:extLst>
              <a:ext uri="{FF2B5EF4-FFF2-40B4-BE49-F238E27FC236}">
                <a16:creationId xmlns:a16="http://schemas.microsoft.com/office/drawing/2014/main" id="{6403B254-6A81-735E-E46C-5580BEF954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3" name="Straight Connector 537">
            <a:extLst>
              <a:ext uri="{FF2B5EF4-FFF2-40B4-BE49-F238E27FC236}">
                <a16:creationId xmlns:a16="http://schemas.microsoft.com/office/drawing/2014/main" id="{8F450041-A525-8291-0DD3-4B4A1E15EE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84" name="Group 1008">
          <a:extLst>
            <a:ext uri="{FF2B5EF4-FFF2-40B4-BE49-F238E27FC236}">
              <a16:creationId xmlns:a16="http://schemas.microsoft.com/office/drawing/2014/main" id="{566CE278-3975-4E6B-AB09-3A3C609D996F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85" name="Straight Connector 2384">
            <a:extLst>
              <a:ext uri="{FF2B5EF4-FFF2-40B4-BE49-F238E27FC236}">
                <a16:creationId xmlns:a16="http://schemas.microsoft.com/office/drawing/2014/main" id="{A04BBFA5-2426-569D-A334-547DF6F05A7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86" name="Straight Connector 529">
            <a:extLst>
              <a:ext uri="{FF2B5EF4-FFF2-40B4-BE49-F238E27FC236}">
                <a16:creationId xmlns:a16="http://schemas.microsoft.com/office/drawing/2014/main" id="{7A171FD3-C584-7A54-2200-051FA0C95E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7" name="Straight Connector 531">
            <a:extLst>
              <a:ext uri="{FF2B5EF4-FFF2-40B4-BE49-F238E27FC236}">
                <a16:creationId xmlns:a16="http://schemas.microsoft.com/office/drawing/2014/main" id="{6C89A820-F756-5D54-2E6E-AD0F1DA469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8" name="Straight Connector 533">
            <a:extLst>
              <a:ext uri="{FF2B5EF4-FFF2-40B4-BE49-F238E27FC236}">
                <a16:creationId xmlns:a16="http://schemas.microsoft.com/office/drawing/2014/main" id="{44A45BB7-526B-CE0A-4009-7CF246009C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9" name="Straight Connector 535">
            <a:extLst>
              <a:ext uri="{FF2B5EF4-FFF2-40B4-BE49-F238E27FC236}">
                <a16:creationId xmlns:a16="http://schemas.microsoft.com/office/drawing/2014/main" id="{666B767C-4F76-E244-EA5F-9E2E125B24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0" name="Straight Connector 537">
            <a:extLst>
              <a:ext uri="{FF2B5EF4-FFF2-40B4-BE49-F238E27FC236}">
                <a16:creationId xmlns:a16="http://schemas.microsoft.com/office/drawing/2014/main" id="{4DDCBFB9-F0B9-0EC8-145F-612880EBFC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91" name="Group 1008">
          <a:extLst>
            <a:ext uri="{FF2B5EF4-FFF2-40B4-BE49-F238E27FC236}">
              <a16:creationId xmlns:a16="http://schemas.microsoft.com/office/drawing/2014/main" id="{AAD18E31-A2E8-47F6-850F-975844134F62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92" name="Straight Connector 2391">
            <a:extLst>
              <a:ext uri="{FF2B5EF4-FFF2-40B4-BE49-F238E27FC236}">
                <a16:creationId xmlns:a16="http://schemas.microsoft.com/office/drawing/2014/main" id="{55C3F5FB-46BD-8086-7126-E88100887F0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93" name="Straight Connector 529">
            <a:extLst>
              <a:ext uri="{FF2B5EF4-FFF2-40B4-BE49-F238E27FC236}">
                <a16:creationId xmlns:a16="http://schemas.microsoft.com/office/drawing/2014/main" id="{AED7A2E7-39FC-CCC6-F04E-65173885366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4" name="Straight Connector 531">
            <a:extLst>
              <a:ext uri="{FF2B5EF4-FFF2-40B4-BE49-F238E27FC236}">
                <a16:creationId xmlns:a16="http://schemas.microsoft.com/office/drawing/2014/main" id="{35A7448B-43AB-9835-0EA6-8FF2A35690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5" name="Straight Connector 533">
            <a:extLst>
              <a:ext uri="{FF2B5EF4-FFF2-40B4-BE49-F238E27FC236}">
                <a16:creationId xmlns:a16="http://schemas.microsoft.com/office/drawing/2014/main" id="{EBC385B6-B040-E15E-D4B9-522C06CF5B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6" name="Straight Connector 535">
            <a:extLst>
              <a:ext uri="{FF2B5EF4-FFF2-40B4-BE49-F238E27FC236}">
                <a16:creationId xmlns:a16="http://schemas.microsoft.com/office/drawing/2014/main" id="{6D2DB26F-01C3-F0A4-8B56-2FE490128A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7" name="Straight Connector 537">
            <a:extLst>
              <a:ext uri="{FF2B5EF4-FFF2-40B4-BE49-F238E27FC236}">
                <a16:creationId xmlns:a16="http://schemas.microsoft.com/office/drawing/2014/main" id="{874180E0-E9A0-7E9B-D78C-D69E669586E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98" name="Group 1008">
          <a:extLst>
            <a:ext uri="{FF2B5EF4-FFF2-40B4-BE49-F238E27FC236}">
              <a16:creationId xmlns:a16="http://schemas.microsoft.com/office/drawing/2014/main" id="{E0B09CFE-8C30-42EF-93B5-0675B05F4B31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99" name="Straight Connector 2398">
            <a:extLst>
              <a:ext uri="{FF2B5EF4-FFF2-40B4-BE49-F238E27FC236}">
                <a16:creationId xmlns:a16="http://schemas.microsoft.com/office/drawing/2014/main" id="{6276D910-A8BE-7DBA-0AAE-48173EC9C2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00" name="Straight Connector 529">
            <a:extLst>
              <a:ext uri="{FF2B5EF4-FFF2-40B4-BE49-F238E27FC236}">
                <a16:creationId xmlns:a16="http://schemas.microsoft.com/office/drawing/2014/main" id="{3BC1E017-0C6B-71C4-82AD-2465A73D367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1" name="Straight Connector 531">
            <a:extLst>
              <a:ext uri="{FF2B5EF4-FFF2-40B4-BE49-F238E27FC236}">
                <a16:creationId xmlns:a16="http://schemas.microsoft.com/office/drawing/2014/main" id="{34577228-2E35-B6BA-EC34-A844934205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2" name="Straight Connector 533">
            <a:extLst>
              <a:ext uri="{FF2B5EF4-FFF2-40B4-BE49-F238E27FC236}">
                <a16:creationId xmlns:a16="http://schemas.microsoft.com/office/drawing/2014/main" id="{C922F8D6-FC5A-15C0-5C7B-0102EC8DE4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3" name="Straight Connector 535">
            <a:extLst>
              <a:ext uri="{FF2B5EF4-FFF2-40B4-BE49-F238E27FC236}">
                <a16:creationId xmlns:a16="http://schemas.microsoft.com/office/drawing/2014/main" id="{B62B0215-41F2-6CCE-1E2F-9B0F82BD45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4" name="Straight Connector 537">
            <a:extLst>
              <a:ext uri="{FF2B5EF4-FFF2-40B4-BE49-F238E27FC236}">
                <a16:creationId xmlns:a16="http://schemas.microsoft.com/office/drawing/2014/main" id="{B5DBE9B1-8EE6-9AE9-17EC-852B81D8BD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405" name="Group 1008">
          <a:extLst>
            <a:ext uri="{FF2B5EF4-FFF2-40B4-BE49-F238E27FC236}">
              <a16:creationId xmlns:a16="http://schemas.microsoft.com/office/drawing/2014/main" id="{46615D8A-0D85-405D-89E4-6D36F9BBBC0E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406" name="Straight Connector 2405">
            <a:extLst>
              <a:ext uri="{FF2B5EF4-FFF2-40B4-BE49-F238E27FC236}">
                <a16:creationId xmlns:a16="http://schemas.microsoft.com/office/drawing/2014/main" id="{B10C22BD-AF29-3DDF-19AD-6F43D4E00D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07" name="Straight Connector 529">
            <a:extLst>
              <a:ext uri="{FF2B5EF4-FFF2-40B4-BE49-F238E27FC236}">
                <a16:creationId xmlns:a16="http://schemas.microsoft.com/office/drawing/2014/main" id="{6F6E982D-D5C3-413A-5AC0-EB16079572F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8" name="Straight Connector 531">
            <a:extLst>
              <a:ext uri="{FF2B5EF4-FFF2-40B4-BE49-F238E27FC236}">
                <a16:creationId xmlns:a16="http://schemas.microsoft.com/office/drawing/2014/main" id="{3EA783DF-39C1-C07F-4FD9-6C12A762DB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9" name="Straight Connector 533">
            <a:extLst>
              <a:ext uri="{FF2B5EF4-FFF2-40B4-BE49-F238E27FC236}">
                <a16:creationId xmlns:a16="http://schemas.microsoft.com/office/drawing/2014/main" id="{E24F0C76-E9FD-0041-EB82-C1C3C4F34D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10" name="Straight Connector 535">
            <a:extLst>
              <a:ext uri="{FF2B5EF4-FFF2-40B4-BE49-F238E27FC236}">
                <a16:creationId xmlns:a16="http://schemas.microsoft.com/office/drawing/2014/main" id="{046D59A5-D920-9B26-999D-C618E5EED3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11" name="Straight Connector 537">
            <a:extLst>
              <a:ext uri="{FF2B5EF4-FFF2-40B4-BE49-F238E27FC236}">
                <a16:creationId xmlns:a16="http://schemas.microsoft.com/office/drawing/2014/main" id="{8B9810FE-8B5B-D179-CD25-DB7D446E53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101</xdr:row>
      <xdr:rowOff>57150</xdr:rowOff>
    </xdr:from>
    <xdr:to>
      <xdr:col>17</xdr:col>
      <xdr:colOff>0</xdr:colOff>
      <xdr:row>103</xdr:row>
      <xdr:rowOff>0</xdr:rowOff>
    </xdr:to>
    <xdr:sp macro="" textlink="">
      <xdr:nvSpPr>
        <xdr:cNvPr id="2412" name="AutoShape 46">
          <a:extLst>
            <a:ext uri="{FF2B5EF4-FFF2-40B4-BE49-F238E27FC236}">
              <a16:creationId xmlns:a16="http://schemas.microsoft.com/office/drawing/2014/main" id="{7ADFA373-2AAE-40BE-8B5D-783A62A8A1F5}"/>
            </a:ext>
          </a:extLst>
        </xdr:cNvPr>
        <xdr:cNvSpPr>
          <a:spLocks noChangeArrowheads="1"/>
        </xdr:cNvSpPr>
      </xdr:nvSpPr>
      <xdr:spPr bwMode="auto">
        <a:xfrm>
          <a:off x="4895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101</xdr:row>
      <xdr:rowOff>57150</xdr:rowOff>
    </xdr:from>
    <xdr:to>
      <xdr:col>19</xdr:col>
      <xdr:colOff>0</xdr:colOff>
      <xdr:row>103</xdr:row>
      <xdr:rowOff>0</xdr:rowOff>
    </xdr:to>
    <xdr:sp macro="" textlink="">
      <xdr:nvSpPr>
        <xdr:cNvPr id="2413" name="AutoShape 46">
          <a:extLst>
            <a:ext uri="{FF2B5EF4-FFF2-40B4-BE49-F238E27FC236}">
              <a16:creationId xmlns:a16="http://schemas.microsoft.com/office/drawing/2014/main" id="{703CBE0E-142F-428A-B6E3-0062739DC2A2}"/>
            </a:ext>
          </a:extLst>
        </xdr:cNvPr>
        <xdr:cNvSpPr>
          <a:spLocks noChangeArrowheads="1"/>
        </xdr:cNvSpPr>
      </xdr:nvSpPr>
      <xdr:spPr bwMode="auto">
        <a:xfrm>
          <a:off x="5467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101</xdr:row>
      <xdr:rowOff>57150</xdr:rowOff>
    </xdr:from>
    <xdr:to>
      <xdr:col>21</xdr:col>
      <xdr:colOff>0</xdr:colOff>
      <xdr:row>103</xdr:row>
      <xdr:rowOff>0</xdr:rowOff>
    </xdr:to>
    <xdr:sp macro="" textlink="">
      <xdr:nvSpPr>
        <xdr:cNvPr id="2414" name="AutoShape 46">
          <a:extLst>
            <a:ext uri="{FF2B5EF4-FFF2-40B4-BE49-F238E27FC236}">
              <a16:creationId xmlns:a16="http://schemas.microsoft.com/office/drawing/2014/main" id="{F1D305B5-7175-4838-B0FA-98B9982B34C7}"/>
            </a:ext>
          </a:extLst>
        </xdr:cNvPr>
        <xdr:cNvSpPr>
          <a:spLocks noChangeArrowheads="1"/>
        </xdr:cNvSpPr>
      </xdr:nvSpPr>
      <xdr:spPr bwMode="auto">
        <a:xfrm>
          <a:off x="6038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101</xdr:row>
      <xdr:rowOff>57150</xdr:rowOff>
    </xdr:from>
    <xdr:to>
      <xdr:col>23</xdr:col>
      <xdr:colOff>0</xdr:colOff>
      <xdr:row>103</xdr:row>
      <xdr:rowOff>0</xdr:rowOff>
    </xdr:to>
    <xdr:sp macro="" textlink="">
      <xdr:nvSpPr>
        <xdr:cNvPr id="2415" name="AutoShape 46">
          <a:extLst>
            <a:ext uri="{FF2B5EF4-FFF2-40B4-BE49-F238E27FC236}">
              <a16:creationId xmlns:a16="http://schemas.microsoft.com/office/drawing/2014/main" id="{7C8E064A-3548-4410-93C5-E4E7EA1D9A05}"/>
            </a:ext>
          </a:extLst>
        </xdr:cNvPr>
        <xdr:cNvSpPr>
          <a:spLocks noChangeArrowheads="1"/>
        </xdr:cNvSpPr>
      </xdr:nvSpPr>
      <xdr:spPr bwMode="auto">
        <a:xfrm>
          <a:off x="6610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101</xdr:row>
      <xdr:rowOff>57150</xdr:rowOff>
    </xdr:from>
    <xdr:to>
      <xdr:col>25</xdr:col>
      <xdr:colOff>0</xdr:colOff>
      <xdr:row>103</xdr:row>
      <xdr:rowOff>0</xdr:rowOff>
    </xdr:to>
    <xdr:sp macro="" textlink="">
      <xdr:nvSpPr>
        <xdr:cNvPr id="2416" name="AutoShape 46">
          <a:extLst>
            <a:ext uri="{FF2B5EF4-FFF2-40B4-BE49-F238E27FC236}">
              <a16:creationId xmlns:a16="http://schemas.microsoft.com/office/drawing/2014/main" id="{AFBDA256-0E63-400D-90E8-AA5675CD639D}"/>
            </a:ext>
          </a:extLst>
        </xdr:cNvPr>
        <xdr:cNvSpPr>
          <a:spLocks noChangeArrowheads="1"/>
        </xdr:cNvSpPr>
      </xdr:nvSpPr>
      <xdr:spPr bwMode="auto">
        <a:xfrm>
          <a:off x="7181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288635</xdr:colOff>
      <xdr:row>101</xdr:row>
      <xdr:rowOff>47529</xdr:rowOff>
    </xdr:from>
    <xdr:to>
      <xdr:col>26</xdr:col>
      <xdr:colOff>346363</xdr:colOff>
      <xdr:row>102</xdr:row>
      <xdr:rowOff>182804</xdr:rowOff>
    </xdr:to>
    <xdr:sp macro="" textlink="">
      <xdr:nvSpPr>
        <xdr:cNvPr id="2417" name="AutoShape 46">
          <a:extLst>
            <a:ext uri="{FF2B5EF4-FFF2-40B4-BE49-F238E27FC236}">
              <a16:creationId xmlns:a16="http://schemas.microsoft.com/office/drawing/2014/main" id="{5C279D48-3A60-4D75-A957-407C3820A545}"/>
            </a:ext>
          </a:extLst>
        </xdr:cNvPr>
        <xdr:cNvSpPr>
          <a:spLocks noChangeArrowheads="1"/>
        </xdr:cNvSpPr>
      </xdr:nvSpPr>
      <xdr:spPr bwMode="auto">
        <a:xfrm>
          <a:off x="8178029" y="20280938"/>
          <a:ext cx="346364" cy="32769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101</xdr:row>
      <xdr:rowOff>57150</xdr:rowOff>
    </xdr:from>
    <xdr:to>
      <xdr:col>29</xdr:col>
      <xdr:colOff>0</xdr:colOff>
      <xdr:row>103</xdr:row>
      <xdr:rowOff>0</xdr:rowOff>
    </xdr:to>
    <xdr:sp macro="" textlink="">
      <xdr:nvSpPr>
        <xdr:cNvPr id="2418" name="AutoShape 46">
          <a:extLst>
            <a:ext uri="{FF2B5EF4-FFF2-40B4-BE49-F238E27FC236}">
              <a16:creationId xmlns:a16="http://schemas.microsoft.com/office/drawing/2014/main" id="{45116576-967B-4E8E-96AB-97BCA4717D1B}"/>
            </a:ext>
          </a:extLst>
        </xdr:cNvPr>
        <xdr:cNvSpPr>
          <a:spLocks noChangeArrowheads="1"/>
        </xdr:cNvSpPr>
      </xdr:nvSpPr>
      <xdr:spPr bwMode="auto">
        <a:xfrm>
          <a:off x="8382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101</xdr:row>
      <xdr:rowOff>57150</xdr:rowOff>
    </xdr:from>
    <xdr:to>
      <xdr:col>31</xdr:col>
      <xdr:colOff>0</xdr:colOff>
      <xdr:row>103</xdr:row>
      <xdr:rowOff>0</xdr:rowOff>
    </xdr:to>
    <xdr:sp macro="" textlink="">
      <xdr:nvSpPr>
        <xdr:cNvPr id="2419" name="AutoShape 46">
          <a:extLst>
            <a:ext uri="{FF2B5EF4-FFF2-40B4-BE49-F238E27FC236}">
              <a16:creationId xmlns:a16="http://schemas.microsoft.com/office/drawing/2014/main" id="{0F256806-7BA4-4CFE-B732-7C1A2E6D493B}"/>
            </a:ext>
          </a:extLst>
        </xdr:cNvPr>
        <xdr:cNvSpPr>
          <a:spLocks noChangeArrowheads="1"/>
        </xdr:cNvSpPr>
      </xdr:nvSpPr>
      <xdr:spPr bwMode="auto">
        <a:xfrm>
          <a:off x="8953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101</xdr:row>
      <xdr:rowOff>57150</xdr:rowOff>
    </xdr:from>
    <xdr:to>
      <xdr:col>33</xdr:col>
      <xdr:colOff>0</xdr:colOff>
      <xdr:row>103</xdr:row>
      <xdr:rowOff>0</xdr:rowOff>
    </xdr:to>
    <xdr:sp macro="" textlink="">
      <xdr:nvSpPr>
        <xdr:cNvPr id="2420" name="AutoShape 46">
          <a:extLst>
            <a:ext uri="{FF2B5EF4-FFF2-40B4-BE49-F238E27FC236}">
              <a16:creationId xmlns:a16="http://schemas.microsoft.com/office/drawing/2014/main" id="{385DCB88-C1E3-43F5-92F5-D59115F14ED1}"/>
            </a:ext>
          </a:extLst>
        </xdr:cNvPr>
        <xdr:cNvSpPr>
          <a:spLocks noChangeArrowheads="1"/>
        </xdr:cNvSpPr>
      </xdr:nvSpPr>
      <xdr:spPr bwMode="auto">
        <a:xfrm>
          <a:off x="9525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101</xdr:row>
      <xdr:rowOff>57150</xdr:rowOff>
    </xdr:from>
    <xdr:to>
      <xdr:col>35</xdr:col>
      <xdr:colOff>0</xdr:colOff>
      <xdr:row>103</xdr:row>
      <xdr:rowOff>0</xdr:rowOff>
    </xdr:to>
    <xdr:sp macro="" textlink="">
      <xdr:nvSpPr>
        <xdr:cNvPr id="2421" name="AutoShape 46">
          <a:extLst>
            <a:ext uri="{FF2B5EF4-FFF2-40B4-BE49-F238E27FC236}">
              <a16:creationId xmlns:a16="http://schemas.microsoft.com/office/drawing/2014/main" id="{21F7988C-F5E1-4284-B006-7575ADD9B8E4}"/>
            </a:ext>
          </a:extLst>
        </xdr:cNvPr>
        <xdr:cNvSpPr>
          <a:spLocks noChangeArrowheads="1"/>
        </xdr:cNvSpPr>
      </xdr:nvSpPr>
      <xdr:spPr bwMode="auto">
        <a:xfrm>
          <a:off x="10096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101</xdr:row>
      <xdr:rowOff>57150</xdr:rowOff>
    </xdr:from>
    <xdr:to>
      <xdr:col>37</xdr:col>
      <xdr:colOff>0</xdr:colOff>
      <xdr:row>103</xdr:row>
      <xdr:rowOff>0</xdr:rowOff>
    </xdr:to>
    <xdr:sp macro="" textlink="">
      <xdr:nvSpPr>
        <xdr:cNvPr id="2422" name="AutoShape 46">
          <a:extLst>
            <a:ext uri="{FF2B5EF4-FFF2-40B4-BE49-F238E27FC236}">
              <a16:creationId xmlns:a16="http://schemas.microsoft.com/office/drawing/2014/main" id="{92093A0E-EDC2-4A37-8B54-A17D1507CFC7}"/>
            </a:ext>
          </a:extLst>
        </xdr:cNvPr>
        <xdr:cNvSpPr>
          <a:spLocks noChangeArrowheads="1"/>
        </xdr:cNvSpPr>
      </xdr:nvSpPr>
      <xdr:spPr bwMode="auto">
        <a:xfrm>
          <a:off x="10668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101</xdr:row>
      <xdr:rowOff>57150</xdr:rowOff>
    </xdr:from>
    <xdr:to>
      <xdr:col>39</xdr:col>
      <xdr:colOff>0</xdr:colOff>
      <xdr:row>103</xdr:row>
      <xdr:rowOff>0</xdr:rowOff>
    </xdr:to>
    <xdr:sp macro="" textlink="">
      <xdr:nvSpPr>
        <xdr:cNvPr id="2423" name="AutoShape 46">
          <a:extLst>
            <a:ext uri="{FF2B5EF4-FFF2-40B4-BE49-F238E27FC236}">
              <a16:creationId xmlns:a16="http://schemas.microsoft.com/office/drawing/2014/main" id="{96B24CEC-D934-45AF-A6A7-2977A45C43D9}"/>
            </a:ext>
          </a:extLst>
        </xdr:cNvPr>
        <xdr:cNvSpPr>
          <a:spLocks noChangeArrowheads="1"/>
        </xdr:cNvSpPr>
      </xdr:nvSpPr>
      <xdr:spPr bwMode="auto">
        <a:xfrm>
          <a:off x="11239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101</xdr:row>
      <xdr:rowOff>57150</xdr:rowOff>
    </xdr:from>
    <xdr:to>
      <xdr:col>41</xdr:col>
      <xdr:colOff>0</xdr:colOff>
      <xdr:row>103</xdr:row>
      <xdr:rowOff>0</xdr:rowOff>
    </xdr:to>
    <xdr:sp macro="" textlink="">
      <xdr:nvSpPr>
        <xdr:cNvPr id="2424" name="AutoShape 46">
          <a:extLst>
            <a:ext uri="{FF2B5EF4-FFF2-40B4-BE49-F238E27FC236}">
              <a16:creationId xmlns:a16="http://schemas.microsoft.com/office/drawing/2014/main" id="{AF52B916-33F0-48B0-8ECE-938DA537CA9D}"/>
            </a:ext>
          </a:extLst>
        </xdr:cNvPr>
        <xdr:cNvSpPr>
          <a:spLocks noChangeArrowheads="1"/>
        </xdr:cNvSpPr>
      </xdr:nvSpPr>
      <xdr:spPr bwMode="auto">
        <a:xfrm>
          <a:off x="11811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101</xdr:row>
      <xdr:rowOff>57150</xdr:rowOff>
    </xdr:from>
    <xdr:to>
      <xdr:col>43</xdr:col>
      <xdr:colOff>0</xdr:colOff>
      <xdr:row>103</xdr:row>
      <xdr:rowOff>0</xdr:rowOff>
    </xdr:to>
    <xdr:sp macro="" textlink="">
      <xdr:nvSpPr>
        <xdr:cNvPr id="2425" name="AutoShape 46">
          <a:extLst>
            <a:ext uri="{FF2B5EF4-FFF2-40B4-BE49-F238E27FC236}">
              <a16:creationId xmlns:a16="http://schemas.microsoft.com/office/drawing/2014/main" id="{29BAD7FF-6D37-4534-A319-2F4B2AC5B10D}"/>
            </a:ext>
          </a:extLst>
        </xdr:cNvPr>
        <xdr:cNvSpPr>
          <a:spLocks noChangeArrowheads="1"/>
        </xdr:cNvSpPr>
      </xdr:nvSpPr>
      <xdr:spPr bwMode="auto">
        <a:xfrm>
          <a:off x="12382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101</xdr:row>
      <xdr:rowOff>57150</xdr:rowOff>
    </xdr:from>
    <xdr:to>
      <xdr:col>45</xdr:col>
      <xdr:colOff>0</xdr:colOff>
      <xdr:row>103</xdr:row>
      <xdr:rowOff>0</xdr:rowOff>
    </xdr:to>
    <xdr:sp macro="" textlink="">
      <xdr:nvSpPr>
        <xdr:cNvPr id="2426" name="AutoShape 46">
          <a:extLst>
            <a:ext uri="{FF2B5EF4-FFF2-40B4-BE49-F238E27FC236}">
              <a16:creationId xmlns:a16="http://schemas.microsoft.com/office/drawing/2014/main" id="{FDA56C72-4F2C-47E1-9A34-65C3F1CD2627}"/>
            </a:ext>
          </a:extLst>
        </xdr:cNvPr>
        <xdr:cNvSpPr>
          <a:spLocks noChangeArrowheads="1"/>
        </xdr:cNvSpPr>
      </xdr:nvSpPr>
      <xdr:spPr bwMode="auto">
        <a:xfrm>
          <a:off x="12954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101</xdr:row>
      <xdr:rowOff>57150</xdr:rowOff>
    </xdr:from>
    <xdr:to>
      <xdr:col>11</xdr:col>
      <xdr:colOff>0</xdr:colOff>
      <xdr:row>103</xdr:row>
      <xdr:rowOff>0</xdr:rowOff>
    </xdr:to>
    <xdr:sp macro="" textlink="">
      <xdr:nvSpPr>
        <xdr:cNvPr id="2427" name="AutoShape 46">
          <a:extLst>
            <a:ext uri="{FF2B5EF4-FFF2-40B4-BE49-F238E27FC236}">
              <a16:creationId xmlns:a16="http://schemas.microsoft.com/office/drawing/2014/main" id="{C5DEB9B0-8886-4C85-B83B-489A9FA383FA}"/>
            </a:ext>
          </a:extLst>
        </xdr:cNvPr>
        <xdr:cNvSpPr>
          <a:spLocks noChangeArrowheads="1"/>
        </xdr:cNvSpPr>
      </xdr:nvSpPr>
      <xdr:spPr bwMode="auto">
        <a:xfrm>
          <a:off x="3181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101</xdr:row>
      <xdr:rowOff>57150</xdr:rowOff>
    </xdr:from>
    <xdr:to>
      <xdr:col>13</xdr:col>
      <xdr:colOff>0</xdr:colOff>
      <xdr:row>103</xdr:row>
      <xdr:rowOff>0</xdr:rowOff>
    </xdr:to>
    <xdr:sp macro="" textlink="">
      <xdr:nvSpPr>
        <xdr:cNvPr id="2428" name="AutoShape 46">
          <a:extLst>
            <a:ext uri="{FF2B5EF4-FFF2-40B4-BE49-F238E27FC236}">
              <a16:creationId xmlns:a16="http://schemas.microsoft.com/office/drawing/2014/main" id="{8D048CD8-7EEF-439F-890F-1660153F8195}"/>
            </a:ext>
          </a:extLst>
        </xdr:cNvPr>
        <xdr:cNvSpPr>
          <a:spLocks noChangeArrowheads="1"/>
        </xdr:cNvSpPr>
      </xdr:nvSpPr>
      <xdr:spPr bwMode="auto">
        <a:xfrm>
          <a:off x="3752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101</xdr:row>
      <xdr:rowOff>57150</xdr:rowOff>
    </xdr:from>
    <xdr:to>
      <xdr:col>15</xdr:col>
      <xdr:colOff>0</xdr:colOff>
      <xdr:row>103</xdr:row>
      <xdr:rowOff>0</xdr:rowOff>
    </xdr:to>
    <xdr:sp macro="" textlink="">
      <xdr:nvSpPr>
        <xdr:cNvPr id="2429" name="AutoShape 46">
          <a:extLst>
            <a:ext uri="{FF2B5EF4-FFF2-40B4-BE49-F238E27FC236}">
              <a16:creationId xmlns:a16="http://schemas.microsoft.com/office/drawing/2014/main" id="{95EA071C-04BD-4010-802E-BF2E6E99EDE8}"/>
            </a:ext>
          </a:extLst>
        </xdr:cNvPr>
        <xdr:cNvSpPr>
          <a:spLocks noChangeArrowheads="1"/>
        </xdr:cNvSpPr>
      </xdr:nvSpPr>
      <xdr:spPr bwMode="auto">
        <a:xfrm>
          <a:off x="4324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101</xdr:row>
      <xdr:rowOff>57150</xdr:rowOff>
    </xdr:from>
    <xdr:to>
      <xdr:col>9</xdr:col>
      <xdr:colOff>0</xdr:colOff>
      <xdr:row>103</xdr:row>
      <xdr:rowOff>0</xdr:rowOff>
    </xdr:to>
    <xdr:sp macro="" textlink="">
      <xdr:nvSpPr>
        <xdr:cNvPr id="2430" name="AutoShape 46">
          <a:extLst>
            <a:ext uri="{FF2B5EF4-FFF2-40B4-BE49-F238E27FC236}">
              <a16:creationId xmlns:a16="http://schemas.microsoft.com/office/drawing/2014/main" id="{07A1BD05-904C-4735-B571-C69405FB9703}"/>
            </a:ext>
          </a:extLst>
        </xdr:cNvPr>
        <xdr:cNvSpPr>
          <a:spLocks noChangeArrowheads="1"/>
        </xdr:cNvSpPr>
      </xdr:nvSpPr>
      <xdr:spPr bwMode="auto">
        <a:xfrm>
          <a:off x="2409825" y="1934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101</xdr:row>
      <xdr:rowOff>57150</xdr:rowOff>
    </xdr:from>
    <xdr:to>
      <xdr:col>7</xdr:col>
      <xdr:colOff>0</xdr:colOff>
      <xdr:row>103</xdr:row>
      <xdr:rowOff>0</xdr:rowOff>
    </xdr:to>
    <xdr:sp macro="" textlink="">
      <xdr:nvSpPr>
        <xdr:cNvPr id="2431" name="AutoShape 46">
          <a:extLst>
            <a:ext uri="{FF2B5EF4-FFF2-40B4-BE49-F238E27FC236}">
              <a16:creationId xmlns:a16="http://schemas.microsoft.com/office/drawing/2014/main" id="{0FFF7C0B-2B44-4164-9B4E-90542B978F94}"/>
            </a:ext>
          </a:extLst>
        </xdr:cNvPr>
        <xdr:cNvSpPr>
          <a:spLocks noChangeArrowheads="1"/>
        </xdr:cNvSpPr>
      </xdr:nvSpPr>
      <xdr:spPr bwMode="auto">
        <a:xfrm>
          <a:off x="1819275" y="1934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101</xdr:row>
      <xdr:rowOff>57150</xdr:rowOff>
    </xdr:from>
    <xdr:to>
      <xdr:col>5</xdr:col>
      <xdr:colOff>0</xdr:colOff>
      <xdr:row>103</xdr:row>
      <xdr:rowOff>0</xdr:rowOff>
    </xdr:to>
    <xdr:sp macro="" textlink="">
      <xdr:nvSpPr>
        <xdr:cNvPr id="2432" name="AutoShape 46">
          <a:extLst>
            <a:ext uri="{FF2B5EF4-FFF2-40B4-BE49-F238E27FC236}">
              <a16:creationId xmlns:a16="http://schemas.microsoft.com/office/drawing/2014/main" id="{29ECE772-FDD1-485C-A749-B24AA58A73FB}"/>
            </a:ext>
          </a:extLst>
        </xdr:cNvPr>
        <xdr:cNvSpPr>
          <a:spLocks noChangeArrowheads="1"/>
        </xdr:cNvSpPr>
      </xdr:nvSpPr>
      <xdr:spPr bwMode="auto">
        <a:xfrm>
          <a:off x="1095375" y="19345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33" name="Group 1008">
          <a:extLst>
            <a:ext uri="{FF2B5EF4-FFF2-40B4-BE49-F238E27FC236}">
              <a16:creationId xmlns:a16="http://schemas.microsoft.com/office/drawing/2014/main" id="{57252D3A-806C-4DD8-BA28-BB9736095C98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34" name="Straight Connector 2433">
            <a:extLst>
              <a:ext uri="{FF2B5EF4-FFF2-40B4-BE49-F238E27FC236}">
                <a16:creationId xmlns:a16="http://schemas.microsoft.com/office/drawing/2014/main" id="{90E32177-C185-1E2D-18A7-E4052F30F9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35" name="Straight Connector 529">
            <a:extLst>
              <a:ext uri="{FF2B5EF4-FFF2-40B4-BE49-F238E27FC236}">
                <a16:creationId xmlns:a16="http://schemas.microsoft.com/office/drawing/2014/main" id="{00767584-5E7D-F996-0254-BF72002588F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6" name="Straight Connector 531">
            <a:extLst>
              <a:ext uri="{FF2B5EF4-FFF2-40B4-BE49-F238E27FC236}">
                <a16:creationId xmlns:a16="http://schemas.microsoft.com/office/drawing/2014/main" id="{BD52AE45-9FC2-41C0-5A4D-421699168C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7" name="Straight Connector 533">
            <a:extLst>
              <a:ext uri="{FF2B5EF4-FFF2-40B4-BE49-F238E27FC236}">
                <a16:creationId xmlns:a16="http://schemas.microsoft.com/office/drawing/2014/main" id="{73534EB5-D963-D829-BD75-83EA6ECF7EF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8" name="Straight Connector 535">
            <a:extLst>
              <a:ext uri="{FF2B5EF4-FFF2-40B4-BE49-F238E27FC236}">
                <a16:creationId xmlns:a16="http://schemas.microsoft.com/office/drawing/2014/main" id="{70CB32A3-0DFE-C51C-EA2F-414C1BE364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9" name="Straight Connector 537">
            <a:extLst>
              <a:ext uri="{FF2B5EF4-FFF2-40B4-BE49-F238E27FC236}">
                <a16:creationId xmlns:a16="http://schemas.microsoft.com/office/drawing/2014/main" id="{761741EC-F5C6-C131-F238-E78EB1FBB8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40" name="Group 1008">
          <a:extLst>
            <a:ext uri="{FF2B5EF4-FFF2-40B4-BE49-F238E27FC236}">
              <a16:creationId xmlns:a16="http://schemas.microsoft.com/office/drawing/2014/main" id="{6FDB2C5D-666A-4DF2-8697-8B342480AEDF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41" name="Straight Connector 2440">
            <a:extLst>
              <a:ext uri="{FF2B5EF4-FFF2-40B4-BE49-F238E27FC236}">
                <a16:creationId xmlns:a16="http://schemas.microsoft.com/office/drawing/2014/main" id="{C1F6B17C-5126-4F8D-6D0F-8464C577934B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42" name="Straight Connector 529">
            <a:extLst>
              <a:ext uri="{FF2B5EF4-FFF2-40B4-BE49-F238E27FC236}">
                <a16:creationId xmlns:a16="http://schemas.microsoft.com/office/drawing/2014/main" id="{39ABDEC3-B42D-78D7-2662-FEA23A0A53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3" name="Straight Connector 531">
            <a:extLst>
              <a:ext uri="{FF2B5EF4-FFF2-40B4-BE49-F238E27FC236}">
                <a16:creationId xmlns:a16="http://schemas.microsoft.com/office/drawing/2014/main" id="{8E999581-1C54-91E5-DE5A-EA044C1A2AA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4" name="Straight Connector 533">
            <a:extLst>
              <a:ext uri="{FF2B5EF4-FFF2-40B4-BE49-F238E27FC236}">
                <a16:creationId xmlns:a16="http://schemas.microsoft.com/office/drawing/2014/main" id="{22AC0D5A-EC6B-4BAA-BF83-D12EFDFB31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5" name="Straight Connector 535">
            <a:extLst>
              <a:ext uri="{FF2B5EF4-FFF2-40B4-BE49-F238E27FC236}">
                <a16:creationId xmlns:a16="http://schemas.microsoft.com/office/drawing/2014/main" id="{83322ECE-0CCD-B19B-8DAF-8F30936841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6" name="Straight Connector 537">
            <a:extLst>
              <a:ext uri="{FF2B5EF4-FFF2-40B4-BE49-F238E27FC236}">
                <a16:creationId xmlns:a16="http://schemas.microsoft.com/office/drawing/2014/main" id="{76B3D286-7413-225C-E5BE-9C6ED221A22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133350</xdr:rowOff>
    </xdr:from>
    <xdr:to>
      <xdr:col>6</xdr:col>
      <xdr:colOff>0</xdr:colOff>
      <xdr:row>113</xdr:row>
      <xdr:rowOff>47625</xdr:rowOff>
    </xdr:to>
    <xdr:grpSp>
      <xdr:nvGrpSpPr>
        <xdr:cNvPr id="2447" name="Group 1008">
          <a:extLst>
            <a:ext uri="{FF2B5EF4-FFF2-40B4-BE49-F238E27FC236}">
              <a16:creationId xmlns:a16="http://schemas.microsoft.com/office/drawing/2014/main" id="{E4E2CA3D-B991-479A-BF7D-24AD0A0CA12B}"/>
            </a:ext>
          </a:extLst>
        </xdr:cNvPr>
        <xdr:cNvGrpSpPr>
          <a:grpSpLocks/>
        </xdr:cNvGrpSpPr>
      </xdr:nvGrpSpPr>
      <xdr:grpSpPr bwMode="auto">
        <a:xfrm>
          <a:off x="1807806" y="22157483"/>
          <a:ext cx="0" cy="102183"/>
          <a:chOff x="5475762" y="47760700"/>
          <a:chExt cx="314325" cy="230209"/>
        </a:xfrm>
      </xdr:grpSpPr>
      <xdr:cxnSp macro="">
        <xdr:nvCxnSpPr>
          <xdr:cNvPr id="2448" name="Straight Connector 2447">
            <a:extLst>
              <a:ext uri="{FF2B5EF4-FFF2-40B4-BE49-F238E27FC236}">
                <a16:creationId xmlns:a16="http://schemas.microsoft.com/office/drawing/2014/main" id="{DB7E278B-0B62-BF96-E17E-FB184233466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49" name="Straight Connector 529">
            <a:extLst>
              <a:ext uri="{FF2B5EF4-FFF2-40B4-BE49-F238E27FC236}">
                <a16:creationId xmlns:a16="http://schemas.microsoft.com/office/drawing/2014/main" id="{94795F73-4035-0555-A559-51C22A32C99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0" name="Straight Connector 531">
            <a:extLst>
              <a:ext uri="{FF2B5EF4-FFF2-40B4-BE49-F238E27FC236}">
                <a16:creationId xmlns:a16="http://schemas.microsoft.com/office/drawing/2014/main" id="{EF9395DE-8B03-597F-7750-05F6C295DC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1" name="Straight Connector 533">
            <a:extLst>
              <a:ext uri="{FF2B5EF4-FFF2-40B4-BE49-F238E27FC236}">
                <a16:creationId xmlns:a16="http://schemas.microsoft.com/office/drawing/2014/main" id="{1A6E6060-8C03-5868-D3CB-7D5F466BDD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2" name="Straight Connector 535">
            <a:extLst>
              <a:ext uri="{FF2B5EF4-FFF2-40B4-BE49-F238E27FC236}">
                <a16:creationId xmlns:a16="http://schemas.microsoft.com/office/drawing/2014/main" id="{FBB2E5A6-A137-84FF-ABCA-50AB568B98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3" name="Straight Connector 537">
            <a:extLst>
              <a:ext uri="{FF2B5EF4-FFF2-40B4-BE49-F238E27FC236}">
                <a16:creationId xmlns:a16="http://schemas.microsoft.com/office/drawing/2014/main" id="{F050E10E-F116-F554-D9C4-F65B2CBF0B0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133350</xdr:rowOff>
    </xdr:from>
    <xdr:to>
      <xdr:col>6</xdr:col>
      <xdr:colOff>0</xdr:colOff>
      <xdr:row>113</xdr:row>
      <xdr:rowOff>57150</xdr:rowOff>
    </xdr:to>
    <xdr:grpSp>
      <xdr:nvGrpSpPr>
        <xdr:cNvPr id="2454" name="Group 1008">
          <a:extLst>
            <a:ext uri="{FF2B5EF4-FFF2-40B4-BE49-F238E27FC236}">
              <a16:creationId xmlns:a16="http://schemas.microsoft.com/office/drawing/2014/main" id="{BA88D2F1-260B-4C02-8972-96E8D3716B7B}"/>
            </a:ext>
          </a:extLst>
        </xdr:cNvPr>
        <xdr:cNvGrpSpPr>
          <a:grpSpLocks/>
        </xdr:cNvGrpSpPr>
      </xdr:nvGrpSpPr>
      <xdr:grpSpPr bwMode="auto">
        <a:xfrm>
          <a:off x="1807806" y="22157483"/>
          <a:ext cx="0" cy="111708"/>
          <a:chOff x="5475762" y="47760700"/>
          <a:chExt cx="314325" cy="230209"/>
        </a:xfrm>
      </xdr:grpSpPr>
      <xdr:cxnSp macro="">
        <xdr:nvCxnSpPr>
          <xdr:cNvPr id="2455" name="Straight Connector 2454">
            <a:extLst>
              <a:ext uri="{FF2B5EF4-FFF2-40B4-BE49-F238E27FC236}">
                <a16:creationId xmlns:a16="http://schemas.microsoft.com/office/drawing/2014/main" id="{E66D5374-789C-2B8D-98B6-63CF545D4B3D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56" name="Straight Connector 529">
            <a:extLst>
              <a:ext uri="{FF2B5EF4-FFF2-40B4-BE49-F238E27FC236}">
                <a16:creationId xmlns:a16="http://schemas.microsoft.com/office/drawing/2014/main" id="{B0F2C3A7-8555-8192-F3E7-2632FA22FD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7" name="Straight Connector 531">
            <a:extLst>
              <a:ext uri="{FF2B5EF4-FFF2-40B4-BE49-F238E27FC236}">
                <a16:creationId xmlns:a16="http://schemas.microsoft.com/office/drawing/2014/main" id="{36CF08D7-52E9-2648-88D4-BF0850219D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8" name="Straight Connector 533">
            <a:extLst>
              <a:ext uri="{FF2B5EF4-FFF2-40B4-BE49-F238E27FC236}">
                <a16:creationId xmlns:a16="http://schemas.microsoft.com/office/drawing/2014/main" id="{B3A13714-C603-415C-6208-EAEF9551CF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9" name="Straight Connector 535">
            <a:extLst>
              <a:ext uri="{FF2B5EF4-FFF2-40B4-BE49-F238E27FC236}">
                <a16:creationId xmlns:a16="http://schemas.microsoft.com/office/drawing/2014/main" id="{138C01EA-4B5A-CC12-0060-CFB6EA43E1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0" name="Straight Connector 537">
            <a:extLst>
              <a:ext uri="{FF2B5EF4-FFF2-40B4-BE49-F238E27FC236}">
                <a16:creationId xmlns:a16="http://schemas.microsoft.com/office/drawing/2014/main" id="{BF9E4353-A809-DF7D-DACD-703B689CE3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61" name="Group 1008">
          <a:extLst>
            <a:ext uri="{FF2B5EF4-FFF2-40B4-BE49-F238E27FC236}">
              <a16:creationId xmlns:a16="http://schemas.microsoft.com/office/drawing/2014/main" id="{C94C0FF3-7254-42F7-9BBB-B3D7229D9DC5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62" name="Straight Connector 2461">
            <a:extLst>
              <a:ext uri="{FF2B5EF4-FFF2-40B4-BE49-F238E27FC236}">
                <a16:creationId xmlns:a16="http://schemas.microsoft.com/office/drawing/2014/main" id="{9C6347FB-974D-15F1-87C8-68396C4087D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63" name="Straight Connector 529">
            <a:extLst>
              <a:ext uri="{FF2B5EF4-FFF2-40B4-BE49-F238E27FC236}">
                <a16:creationId xmlns:a16="http://schemas.microsoft.com/office/drawing/2014/main" id="{CBF58EFC-DF63-BD20-BCAB-196035C72D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4" name="Straight Connector 531">
            <a:extLst>
              <a:ext uri="{FF2B5EF4-FFF2-40B4-BE49-F238E27FC236}">
                <a16:creationId xmlns:a16="http://schemas.microsoft.com/office/drawing/2014/main" id="{9EF2F14F-9191-ECB1-91F1-6AA583BAAD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5" name="Straight Connector 533">
            <a:extLst>
              <a:ext uri="{FF2B5EF4-FFF2-40B4-BE49-F238E27FC236}">
                <a16:creationId xmlns:a16="http://schemas.microsoft.com/office/drawing/2014/main" id="{CA2889B6-0716-F0BF-7117-50662B8210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6" name="Straight Connector 535">
            <a:extLst>
              <a:ext uri="{FF2B5EF4-FFF2-40B4-BE49-F238E27FC236}">
                <a16:creationId xmlns:a16="http://schemas.microsoft.com/office/drawing/2014/main" id="{3438EE83-E9CD-9C60-C4BE-72AB9BBFE63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7" name="Straight Connector 537">
            <a:extLst>
              <a:ext uri="{FF2B5EF4-FFF2-40B4-BE49-F238E27FC236}">
                <a16:creationId xmlns:a16="http://schemas.microsoft.com/office/drawing/2014/main" id="{FC2A6BFD-1B9A-230D-11F6-4A7A41815D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68" name="Group 1008">
          <a:extLst>
            <a:ext uri="{FF2B5EF4-FFF2-40B4-BE49-F238E27FC236}">
              <a16:creationId xmlns:a16="http://schemas.microsoft.com/office/drawing/2014/main" id="{A77B0D90-10EC-4DE3-AEA5-6A3E8C334301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69" name="Straight Connector 2468">
            <a:extLst>
              <a:ext uri="{FF2B5EF4-FFF2-40B4-BE49-F238E27FC236}">
                <a16:creationId xmlns:a16="http://schemas.microsoft.com/office/drawing/2014/main" id="{95BA6726-AFBE-8671-0A28-21545FE87B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70" name="Straight Connector 529">
            <a:extLst>
              <a:ext uri="{FF2B5EF4-FFF2-40B4-BE49-F238E27FC236}">
                <a16:creationId xmlns:a16="http://schemas.microsoft.com/office/drawing/2014/main" id="{F8065EFD-8062-802D-35BC-DFE2AFCA6B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1" name="Straight Connector 531">
            <a:extLst>
              <a:ext uri="{FF2B5EF4-FFF2-40B4-BE49-F238E27FC236}">
                <a16:creationId xmlns:a16="http://schemas.microsoft.com/office/drawing/2014/main" id="{EB45A4C8-DB7D-5F68-5077-A5EE97D108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2" name="Straight Connector 533">
            <a:extLst>
              <a:ext uri="{FF2B5EF4-FFF2-40B4-BE49-F238E27FC236}">
                <a16:creationId xmlns:a16="http://schemas.microsoft.com/office/drawing/2014/main" id="{B878EE4B-4331-E68F-8186-607A64E8C4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3" name="Straight Connector 535">
            <a:extLst>
              <a:ext uri="{FF2B5EF4-FFF2-40B4-BE49-F238E27FC236}">
                <a16:creationId xmlns:a16="http://schemas.microsoft.com/office/drawing/2014/main" id="{B9E7561D-06D9-5B99-F27C-957810474F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4" name="Straight Connector 537">
            <a:extLst>
              <a:ext uri="{FF2B5EF4-FFF2-40B4-BE49-F238E27FC236}">
                <a16:creationId xmlns:a16="http://schemas.microsoft.com/office/drawing/2014/main" id="{D9C7DCAA-7423-9B85-397F-516A2A185B2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75" name="Group 1008">
          <a:extLst>
            <a:ext uri="{FF2B5EF4-FFF2-40B4-BE49-F238E27FC236}">
              <a16:creationId xmlns:a16="http://schemas.microsoft.com/office/drawing/2014/main" id="{C6AF6EBC-D06F-464F-ACAB-D74DB6554420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76" name="Straight Connector 2475">
            <a:extLst>
              <a:ext uri="{FF2B5EF4-FFF2-40B4-BE49-F238E27FC236}">
                <a16:creationId xmlns:a16="http://schemas.microsoft.com/office/drawing/2014/main" id="{847C4104-943D-0023-6087-E13673591F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77" name="Straight Connector 529">
            <a:extLst>
              <a:ext uri="{FF2B5EF4-FFF2-40B4-BE49-F238E27FC236}">
                <a16:creationId xmlns:a16="http://schemas.microsoft.com/office/drawing/2014/main" id="{2578FBC1-6B9D-0E01-C4B9-A87E417C56C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8" name="Straight Connector 531">
            <a:extLst>
              <a:ext uri="{FF2B5EF4-FFF2-40B4-BE49-F238E27FC236}">
                <a16:creationId xmlns:a16="http://schemas.microsoft.com/office/drawing/2014/main" id="{E116F52F-E9D4-7AB3-5DD9-F786762339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9" name="Straight Connector 533">
            <a:extLst>
              <a:ext uri="{FF2B5EF4-FFF2-40B4-BE49-F238E27FC236}">
                <a16:creationId xmlns:a16="http://schemas.microsoft.com/office/drawing/2014/main" id="{68E75FA0-70CD-40C4-8944-E37309EA94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0" name="Straight Connector 535">
            <a:extLst>
              <a:ext uri="{FF2B5EF4-FFF2-40B4-BE49-F238E27FC236}">
                <a16:creationId xmlns:a16="http://schemas.microsoft.com/office/drawing/2014/main" id="{255BDAD0-F64F-A0C1-F7EC-929A6A432C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1" name="Straight Connector 537">
            <a:extLst>
              <a:ext uri="{FF2B5EF4-FFF2-40B4-BE49-F238E27FC236}">
                <a16:creationId xmlns:a16="http://schemas.microsoft.com/office/drawing/2014/main" id="{9C8D1545-77B1-163B-5F5B-8DC75D2FF3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82" name="Group 1008">
          <a:extLst>
            <a:ext uri="{FF2B5EF4-FFF2-40B4-BE49-F238E27FC236}">
              <a16:creationId xmlns:a16="http://schemas.microsoft.com/office/drawing/2014/main" id="{3BB8C463-FB3F-4CDB-B970-B15562E8A3A2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83" name="Straight Connector 2482">
            <a:extLst>
              <a:ext uri="{FF2B5EF4-FFF2-40B4-BE49-F238E27FC236}">
                <a16:creationId xmlns:a16="http://schemas.microsoft.com/office/drawing/2014/main" id="{1DEDAF6E-E633-BAFA-6991-F3A16604892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84" name="Straight Connector 529">
            <a:extLst>
              <a:ext uri="{FF2B5EF4-FFF2-40B4-BE49-F238E27FC236}">
                <a16:creationId xmlns:a16="http://schemas.microsoft.com/office/drawing/2014/main" id="{D0F35FD9-6E0C-DC93-EA0D-84A86C8BBF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5" name="Straight Connector 531">
            <a:extLst>
              <a:ext uri="{FF2B5EF4-FFF2-40B4-BE49-F238E27FC236}">
                <a16:creationId xmlns:a16="http://schemas.microsoft.com/office/drawing/2014/main" id="{64FE4CBD-D100-7401-CD4A-1D9031D3FA5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6" name="Straight Connector 533">
            <a:extLst>
              <a:ext uri="{FF2B5EF4-FFF2-40B4-BE49-F238E27FC236}">
                <a16:creationId xmlns:a16="http://schemas.microsoft.com/office/drawing/2014/main" id="{CA4C7797-BC29-58B0-77DE-AA1C7C8472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7" name="Straight Connector 535">
            <a:extLst>
              <a:ext uri="{FF2B5EF4-FFF2-40B4-BE49-F238E27FC236}">
                <a16:creationId xmlns:a16="http://schemas.microsoft.com/office/drawing/2014/main" id="{6F6A24CF-6C1E-3C60-588C-254469AD12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8" name="Straight Connector 537">
            <a:extLst>
              <a:ext uri="{FF2B5EF4-FFF2-40B4-BE49-F238E27FC236}">
                <a16:creationId xmlns:a16="http://schemas.microsoft.com/office/drawing/2014/main" id="{7D399FA8-C779-67DF-DA79-0ED514F34D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89" name="Group 1008">
          <a:extLst>
            <a:ext uri="{FF2B5EF4-FFF2-40B4-BE49-F238E27FC236}">
              <a16:creationId xmlns:a16="http://schemas.microsoft.com/office/drawing/2014/main" id="{E5EFCC66-F9BE-460F-B6F6-8944077820FB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90" name="Straight Connector 2489">
            <a:extLst>
              <a:ext uri="{FF2B5EF4-FFF2-40B4-BE49-F238E27FC236}">
                <a16:creationId xmlns:a16="http://schemas.microsoft.com/office/drawing/2014/main" id="{E488CEA0-605E-A3A7-8272-4B0EE466443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91" name="Straight Connector 529">
            <a:extLst>
              <a:ext uri="{FF2B5EF4-FFF2-40B4-BE49-F238E27FC236}">
                <a16:creationId xmlns:a16="http://schemas.microsoft.com/office/drawing/2014/main" id="{A5B219F4-C9F5-4DFF-1D8E-21FF1C97B8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2" name="Straight Connector 531">
            <a:extLst>
              <a:ext uri="{FF2B5EF4-FFF2-40B4-BE49-F238E27FC236}">
                <a16:creationId xmlns:a16="http://schemas.microsoft.com/office/drawing/2014/main" id="{099D889A-A7B5-F3AB-C1E9-658BBCC52BD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3" name="Straight Connector 533">
            <a:extLst>
              <a:ext uri="{FF2B5EF4-FFF2-40B4-BE49-F238E27FC236}">
                <a16:creationId xmlns:a16="http://schemas.microsoft.com/office/drawing/2014/main" id="{4B286EA5-C1FD-D5EF-682E-28D766B174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4" name="Straight Connector 535">
            <a:extLst>
              <a:ext uri="{FF2B5EF4-FFF2-40B4-BE49-F238E27FC236}">
                <a16:creationId xmlns:a16="http://schemas.microsoft.com/office/drawing/2014/main" id="{6824A72B-B7B0-F5AC-F277-42116DA084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5" name="Straight Connector 537">
            <a:extLst>
              <a:ext uri="{FF2B5EF4-FFF2-40B4-BE49-F238E27FC236}">
                <a16:creationId xmlns:a16="http://schemas.microsoft.com/office/drawing/2014/main" id="{6FFFD648-D0F9-01D1-343C-9AF712C653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96" name="Group 1008">
          <a:extLst>
            <a:ext uri="{FF2B5EF4-FFF2-40B4-BE49-F238E27FC236}">
              <a16:creationId xmlns:a16="http://schemas.microsoft.com/office/drawing/2014/main" id="{8CBD69E6-C502-4704-8AD0-69BCB75F9072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97" name="Straight Connector 2496">
            <a:extLst>
              <a:ext uri="{FF2B5EF4-FFF2-40B4-BE49-F238E27FC236}">
                <a16:creationId xmlns:a16="http://schemas.microsoft.com/office/drawing/2014/main" id="{4618D297-AE09-94A8-941F-887A029CF7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98" name="Straight Connector 529">
            <a:extLst>
              <a:ext uri="{FF2B5EF4-FFF2-40B4-BE49-F238E27FC236}">
                <a16:creationId xmlns:a16="http://schemas.microsoft.com/office/drawing/2014/main" id="{9851A2BF-C40F-7016-5B2A-0966ECBDFF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9" name="Straight Connector 531">
            <a:extLst>
              <a:ext uri="{FF2B5EF4-FFF2-40B4-BE49-F238E27FC236}">
                <a16:creationId xmlns:a16="http://schemas.microsoft.com/office/drawing/2014/main" id="{B2512387-4185-8C3E-E330-984FEC8260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0" name="Straight Connector 533">
            <a:extLst>
              <a:ext uri="{FF2B5EF4-FFF2-40B4-BE49-F238E27FC236}">
                <a16:creationId xmlns:a16="http://schemas.microsoft.com/office/drawing/2014/main" id="{1DF7E62D-475E-823A-B978-C3385E6741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1" name="Straight Connector 535">
            <a:extLst>
              <a:ext uri="{FF2B5EF4-FFF2-40B4-BE49-F238E27FC236}">
                <a16:creationId xmlns:a16="http://schemas.microsoft.com/office/drawing/2014/main" id="{C3ACEA06-77E4-A392-AD94-38A4C0BF27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2" name="Straight Connector 537">
            <a:extLst>
              <a:ext uri="{FF2B5EF4-FFF2-40B4-BE49-F238E27FC236}">
                <a16:creationId xmlns:a16="http://schemas.microsoft.com/office/drawing/2014/main" id="{13A7B23E-6D81-51E4-E031-E73EDD2441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03" name="Group 1008">
          <a:extLst>
            <a:ext uri="{FF2B5EF4-FFF2-40B4-BE49-F238E27FC236}">
              <a16:creationId xmlns:a16="http://schemas.microsoft.com/office/drawing/2014/main" id="{41CF90D7-FA0C-427F-8619-B7E2A048FDDF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04" name="Straight Connector 2503">
            <a:extLst>
              <a:ext uri="{FF2B5EF4-FFF2-40B4-BE49-F238E27FC236}">
                <a16:creationId xmlns:a16="http://schemas.microsoft.com/office/drawing/2014/main" id="{0B9A793B-4115-9DFA-B97C-2692FD1E09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05" name="Straight Connector 529">
            <a:extLst>
              <a:ext uri="{FF2B5EF4-FFF2-40B4-BE49-F238E27FC236}">
                <a16:creationId xmlns:a16="http://schemas.microsoft.com/office/drawing/2014/main" id="{D750727D-3660-524B-7ECB-EFBB147CCE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6" name="Straight Connector 531">
            <a:extLst>
              <a:ext uri="{FF2B5EF4-FFF2-40B4-BE49-F238E27FC236}">
                <a16:creationId xmlns:a16="http://schemas.microsoft.com/office/drawing/2014/main" id="{449660D7-FA50-7A8F-BE5D-EE3662E5CA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7" name="Straight Connector 533">
            <a:extLst>
              <a:ext uri="{FF2B5EF4-FFF2-40B4-BE49-F238E27FC236}">
                <a16:creationId xmlns:a16="http://schemas.microsoft.com/office/drawing/2014/main" id="{8C19512E-DD08-F726-264F-E0830E302A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8" name="Straight Connector 535">
            <a:extLst>
              <a:ext uri="{FF2B5EF4-FFF2-40B4-BE49-F238E27FC236}">
                <a16:creationId xmlns:a16="http://schemas.microsoft.com/office/drawing/2014/main" id="{D99A6ED7-B1FE-2BF8-318A-F4FB9B8794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9" name="Straight Connector 537">
            <a:extLst>
              <a:ext uri="{FF2B5EF4-FFF2-40B4-BE49-F238E27FC236}">
                <a16:creationId xmlns:a16="http://schemas.microsoft.com/office/drawing/2014/main" id="{5D72019D-8BCC-8333-7977-9159312BB63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10" name="Group 1008">
          <a:extLst>
            <a:ext uri="{FF2B5EF4-FFF2-40B4-BE49-F238E27FC236}">
              <a16:creationId xmlns:a16="http://schemas.microsoft.com/office/drawing/2014/main" id="{5918180A-BBE9-4633-B537-39411FBE07FB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11" name="Straight Connector 2510">
            <a:extLst>
              <a:ext uri="{FF2B5EF4-FFF2-40B4-BE49-F238E27FC236}">
                <a16:creationId xmlns:a16="http://schemas.microsoft.com/office/drawing/2014/main" id="{174CB4AE-BB63-DC55-97F8-6283A110CEC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12" name="Straight Connector 529">
            <a:extLst>
              <a:ext uri="{FF2B5EF4-FFF2-40B4-BE49-F238E27FC236}">
                <a16:creationId xmlns:a16="http://schemas.microsoft.com/office/drawing/2014/main" id="{063752DF-7D7F-CFFE-4FAE-D4D78C1DE8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3" name="Straight Connector 531">
            <a:extLst>
              <a:ext uri="{FF2B5EF4-FFF2-40B4-BE49-F238E27FC236}">
                <a16:creationId xmlns:a16="http://schemas.microsoft.com/office/drawing/2014/main" id="{EBE80369-A331-90C8-A167-E5FA41CA65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4" name="Straight Connector 533">
            <a:extLst>
              <a:ext uri="{FF2B5EF4-FFF2-40B4-BE49-F238E27FC236}">
                <a16:creationId xmlns:a16="http://schemas.microsoft.com/office/drawing/2014/main" id="{7E29A0CC-A613-4D45-314F-A5203047B2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5" name="Straight Connector 535">
            <a:extLst>
              <a:ext uri="{FF2B5EF4-FFF2-40B4-BE49-F238E27FC236}">
                <a16:creationId xmlns:a16="http://schemas.microsoft.com/office/drawing/2014/main" id="{0A87BF1D-2F2A-76A9-400A-DD24AD2945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6" name="Straight Connector 537">
            <a:extLst>
              <a:ext uri="{FF2B5EF4-FFF2-40B4-BE49-F238E27FC236}">
                <a16:creationId xmlns:a16="http://schemas.microsoft.com/office/drawing/2014/main" id="{A553876E-F308-37FC-7B69-A5643CC651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17" name="Group 1008">
          <a:extLst>
            <a:ext uri="{FF2B5EF4-FFF2-40B4-BE49-F238E27FC236}">
              <a16:creationId xmlns:a16="http://schemas.microsoft.com/office/drawing/2014/main" id="{B95ED6D8-A7B0-4B32-B255-620F350B9174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18" name="Straight Connector 2517">
            <a:extLst>
              <a:ext uri="{FF2B5EF4-FFF2-40B4-BE49-F238E27FC236}">
                <a16:creationId xmlns:a16="http://schemas.microsoft.com/office/drawing/2014/main" id="{0EEE12FF-92D1-EEF7-92A6-AD6EDE103C4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19" name="Straight Connector 529">
            <a:extLst>
              <a:ext uri="{FF2B5EF4-FFF2-40B4-BE49-F238E27FC236}">
                <a16:creationId xmlns:a16="http://schemas.microsoft.com/office/drawing/2014/main" id="{FA27BB6D-4E97-9E3F-C0FF-C56AC72920A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0" name="Straight Connector 531">
            <a:extLst>
              <a:ext uri="{FF2B5EF4-FFF2-40B4-BE49-F238E27FC236}">
                <a16:creationId xmlns:a16="http://schemas.microsoft.com/office/drawing/2014/main" id="{A04AC35C-4E07-0DA5-9C4D-CBA38385DF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1" name="Straight Connector 533">
            <a:extLst>
              <a:ext uri="{FF2B5EF4-FFF2-40B4-BE49-F238E27FC236}">
                <a16:creationId xmlns:a16="http://schemas.microsoft.com/office/drawing/2014/main" id="{615FF742-77A3-521F-202D-ACB1B11730B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2" name="Straight Connector 535">
            <a:extLst>
              <a:ext uri="{FF2B5EF4-FFF2-40B4-BE49-F238E27FC236}">
                <a16:creationId xmlns:a16="http://schemas.microsoft.com/office/drawing/2014/main" id="{6324B8DE-8C26-11F9-EDC7-41DC4D9E25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3" name="Straight Connector 537">
            <a:extLst>
              <a:ext uri="{FF2B5EF4-FFF2-40B4-BE49-F238E27FC236}">
                <a16:creationId xmlns:a16="http://schemas.microsoft.com/office/drawing/2014/main" id="{048C184E-CCF7-4D08-BBFF-A05B9104F8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24" name="Group 1008">
          <a:extLst>
            <a:ext uri="{FF2B5EF4-FFF2-40B4-BE49-F238E27FC236}">
              <a16:creationId xmlns:a16="http://schemas.microsoft.com/office/drawing/2014/main" id="{FB45C436-1675-4D6A-96A6-13A8F15D3EBA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25" name="Straight Connector 2524">
            <a:extLst>
              <a:ext uri="{FF2B5EF4-FFF2-40B4-BE49-F238E27FC236}">
                <a16:creationId xmlns:a16="http://schemas.microsoft.com/office/drawing/2014/main" id="{5F09777E-081E-47CF-D814-684D2E2C19D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26" name="Straight Connector 529">
            <a:extLst>
              <a:ext uri="{FF2B5EF4-FFF2-40B4-BE49-F238E27FC236}">
                <a16:creationId xmlns:a16="http://schemas.microsoft.com/office/drawing/2014/main" id="{1C7F277C-CB54-2FE5-B694-EB29D121624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7" name="Straight Connector 531">
            <a:extLst>
              <a:ext uri="{FF2B5EF4-FFF2-40B4-BE49-F238E27FC236}">
                <a16:creationId xmlns:a16="http://schemas.microsoft.com/office/drawing/2014/main" id="{216C01BD-AD8A-658A-0F47-92735C0603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8" name="Straight Connector 533">
            <a:extLst>
              <a:ext uri="{FF2B5EF4-FFF2-40B4-BE49-F238E27FC236}">
                <a16:creationId xmlns:a16="http://schemas.microsoft.com/office/drawing/2014/main" id="{37F6DD92-0463-2704-698A-B102638294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9" name="Straight Connector 535">
            <a:extLst>
              <a:ext uri="{FF2B5EF4-FFF2-40B4-BE49-F238E27FC236}">
                <a16:creationId xmlns:a16="http://schemas.microsoft.com/office/drawing/2014/main" id="{3CADF333-4E38-4C1E-D8E5-9658B79C6A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0" name="Straight Connector 537">
            <a:extLst>
              <a:ext uri="{FF2B5EF4-FFF2-40B4-BE49-F238E27FC236}">
                <a16:creationId xmlns:a16="http://schemas.microsoft.com/office/drawing/2014/main" id="{4E378754-3093-E8C5-8984-EA40C1C6F9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31" name="Group 1008">
          <a:extLst>
            <a:ext uri="{FF2B5EF4-FFF2-40B4-BE49-F238E27FC236}">
              <a16:creationId xmlns:a16="http://schemas.microsoft.com/office/drawing/2014/main" id="{F89A1C7C-57B5-4944-8BE4-09ACB982B90F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32" name="Straight Connector 2531">
            <a:extLst>
              <a:ext uri="{FF2B5EF4-FFF2-40B4-BE49-F238E27FC236}">
                <a16:creationId xmlns:a16="http://schemas.microsoft.com/office/drawing/2014/main" id="{EEA7EB6A-948F-C39E-537F-62C7F100B89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33" name="Straight Connector 529">
            <a:extLst>
              <a:ext uri="{FF2B5EF4-FFF2-40B4-BE49-F238E27FC236}">
                <a16:creationId xmlns:a16="http://schemas.microsoft.com/office/drawing/2014/main" id="{4E66E01E-71F5-6E72-DC99-8E7D2883689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4" name="Straight Connector 531">
            <a:extLst>
              <a:ext uri="{FF2B5EF4-FFF2-40B4-BE49-F238E27FC236}">
                <a16:creationId xmlns:a16="http://schemas.microsoft.com/office/drawing/2014/main" id="{2AAB8EF3-22E7-A222-2B78-60A7F65CF8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5" name="Straight Connector 533">
            <a:extLst>
              <a:ext uri="{FF2B5EF4-FFF2-40B4-BE49-F238E27FC236}">
                <a16:creationId xmlns:a16="http://schemas.microsoft.com/office/drawing/2014/main" id="{FC84FF42-AAC8-AB40-CD54-DC26DDFB65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6" name="Straight Connector 535">
            <a:extLst>
              <a:ext uri="{FF2B5EF4-FFF2-40B4-BE49-F238E27FC236}">
                <a16:creationId xmlns:a16="http://schemas.microsoft.com/office/drawing/2014/main" id="{94DE8143-6D41-2919-3339-45DA49371D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7" name="Straight Connector 537">
            <a:extLst>
              <a:ext uri="{FF2B5EF4-FFF2-40B4-BE49-F238E27FC236}">
                <a16:creationId xmlns:a16="http://schemas.microsoft.com/office/drawing/2014/main" id="{6EAC9493-8E1C-A94C-669D-D40133D038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38" name="Group 1008">
          <a:extLst>
            <a:ext uri="{FF2B5EF4-FFF2-40B4-BE49-F238E27FC236}">
              <a16:creationId xmlns:a16="http://schemas.microsoft.com/office/drawing/2014/main" id="{41FADE61-6C5A-4155-8420-2C89B745F327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39" name="Straight Connector 2538">
            <a:extLst>
              <a:ext uri="{FF2B5EF4-FFF2-40B4-BE49-F238E27FC236}">
                <a16:creationId xmlns:a16="http://schemas.microsoft.com/office/drawing/2014/main" id="{62E91475-A335-CAA2-64F2-FBF14865216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40" name="Straight Connector 529">
            <a:extLst>
              <a:ext uri="{FF2B5EF4-FFF2-40B4-BE49-F238E27FC236}">
                <a16:creationId xmlns:a16="http://schemas.microsoft.com/office/drawing/2014/main" id="{B80CECDE-B436-B7AA-129E-95A0589958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1" name="Straight Connector 531">
            <a:extLst>
              <a:ext uri="{FF2B5EF4-FFF2-40B4-BE49-F238E27FC236}">
                <a16:creationId xmlns:a16="http://schemas.microsoft.com/office/drawing/2014/main" id="{44343A8C-7C45-DFCF-10C6-09E82FE9CF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2" name="Straight Connector 533">
            <a:extLst>
              <a:ext uri="{FF2B5EF4-FFF2-40B4-BE49-F238E27FC236}">
                <a16:creationId xmlns:a16="http://schemas.microsoft.com/office/drawing/2014/main" id="{48D6309F-4BCD-5F37-F735-FCB44C5AF4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3" name="Straight Connector 535">
            <a:extLst>
              <a:ext uri="{FF2B5EF4-FFF2-40B4-BE49-F238E27FC236}">
                <a16:creationId xmlns:a16="http://schemas.microsoft.com/office/drawing/2014/main" id="{9636D97A-6252-7C2B-8A6B-B9224BF517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4" name="Straight Connector 537">
            <a:extLst>
              <a:ext uri="{FF2B5EF4-FFF2-40B4-BE49-F238E27FC236}">
                <a16:creationId xmlns:a16="http://schemas.microsoft.com/office/drawing/2014/main" id="{E0E43CDC-7913-98E7-A8E7-9063A8F3E5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45" name="Group 1008">
          <a:extLst>
            <a:ext uri="{FF2B5EF4-FFF2-40B4-BE49-F238E27FC236}">
              <a16:creationId xmlns:a16="http://schemas.microsoft.com/office/drawing/2014/main" id="{703A5CE8-7426-4BB7-9D75-BECC79A797BE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46" name="Straight Connector 2545">
            <a:extLst>
              <a:ext uri="{FF2B5EF4-FFF2-40B4-BE49-F238E27FC236}">
                <a16:creationId xmlns:a16="http://schemas.microsoft.com/office/drawing/2014/main" id="{9D480E98-E45C-D966-026A-17DD3838724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47" name="Straight Connector 529">
            <a:extLst>
              <a:ext uri="{FF2B5EF4-FFF2-40B4-BE49-F238E27FC236}">
                <a16:creationId xmlns:a16="http://schemas.microsoft.com/office/drawing/2014/main" id="{556CFB3A-3CC8-2035-8947-CDAD9A68EF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8" name="Straight Connector 531">
            <a:extLst>
              <a:ext uri="{FF2B5EF4-FFF2-40B4-BE49-F238E27FC236}">
                <a16:creationId xmlns:a16="http://schemas.microsoft.com/office/drawing/2014/main" id="{E5138F6A-EC85-14BF-685A-1F21C4A2D9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9" name="Straight Connector 533">
            <a:extLst>
              <a:ext uri="{FF2B5EF4-FFF2-40B4-BE49-F238E27FC236}">
                <a16:creationId xmlns:a16="http://schemas.microsoft.com/office/drawing/2014/main" id="{8E0D45C2-E003-EBE1-71A6-B4384B6540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0" name="Straight Connector 535">
            <a:extLst>
              <a:ext uri="{FF2B5EF4-FFF2-40B4-BE49-F238E27FC236}">
                <a16:creationId xmlns:a16="http://schemas.microsoft.com/office/drawing/2014/main" id="{BF889DE0-A4D1-BF2D-DDB8-DE62EAC2BC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1" name="Straight Connector 537">
            <a:extLst>
              <a:ext uri="{FF2B5EF4-FFF2-40B4-BE49-F238E27FC236}">
                <a16:creationId xmlns:a16="http://schemas.microsoft.com/office/drawing/2014/main" id="{11D44542-8EA9-ACD6-ECB3-38A4C1943C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52" name="Group 1008">
          <a:extLst>
            <a:ext uri="{FF2B5EF4-FFF2-40B4-BE49-F238E27FC236}">
              <a16:creationId xmlns:a16="http://schemas.microsoft.com/office/drawing/2014/main" id="{2311ABB3-3A74-4DDD-AA3C-70EB717E874A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53" name="Straight Connector 2552">
            <a:extLst>
              <a:ext uri="{FF2B5EF4-FFF2-40B4-BE49-F238E27FC236}">
                <a16:creationId xmlns:a16="http://schemas.microsoft.com/office/drawing/2014/main" id="{27FE252E-3C8B-9BBB-7C90-889F7B0947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54" name="Straight Connector 529">
            <a:extLst>
              <a:ext uri="{FF2B5EF4-FFF2-40B4-BE49-F238E27FC236}">
                <a16:creationId xmlns:a16="http://schemas.microsoft.com/office/drawing/2014/main" id="{EEFB2085-A92C-3BA3-F6F9-AFE8C21713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5" name="Straight Connector 531">
            <a:extLst>
              <a:ext uri="{FF2B5EF4-FFF2-40B4-BE49-F238E27FC236}">
                <a16:creationId xmlns:a16="http://schemas.microsoft.com/office/drawing/2014/main" id="{5838BD5A-11DF-05B1-6838-0A04C0CE64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6" name="Straight Connector 533">
            <a:extLst>
              <a:ext uri="{FF2B5EF4-FFF2-40B4-BE49-F238E27FC236}">
                <a16:creationId xmlns:a16="http://schemas.microsoft.com/office/drawing/2014/main" id="{50C79008-5417-1FCF-44A0-6BA9C7623E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7" name="Straight Connector 535">
            <a:extLst>
              <a:ext uri="{FF2B5EF4-FFF2-40B4-BE49-F238E27FC236}">
                <a16:creationId xmlns:a16="http://schemas.microsoft.com/office/drawing/2014/main" id="{4624444F-D296-1E04-46B5-F0E4E2511B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8" name="Straight Connector 537">
            <a:extLst>
              <a:ext uri="{FF2B5EF4-FFF2-40B4-BE49-F238E27FC236}">
                <a16:creationId xmlns:a16="http://schemas.microsoft.com/office/drawing/2014/main" id="{938DE453-DF09-3BDB-542B-5BB0C32E12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59" name="Group 1008">
          <a:extLst>
            <a:ext uri="{FF2B5EF4-FFF2-40B4-BE49-F238E27FC236}">
              <a16:creationId xmlns:a16="http://schemas.microsoft.com/office/drawing/2014/main" id="{46FAEFBB-2724-40EE-A9B4-B2E062DA6B15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60" name="Straight Connector 2559">
            <a:extLst>
              <a:ext uri="{FF2B5EF4-FFF2-40B4-BE49-F238E27FC236}">
                <a16:creationId xmlns:a16="http://schemas.microsoft.com/office/drawing/2014/main" id="{DDAAB0FB-A972-86DC-AAE6-928ED49F0E0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61" name="Straight Connector 529">
            <a:extLst>
              <a:ext uri="{FF2B5EF4-FFF2-40B4-BE49-F238E27FC236}">
                <a16:creationId xmlns:a16="http://schemas.microsoft.com/office/drawing/2014/main" id="{BE3F4C5F-7A41-57B4-CC63-32B122DD02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2" name="Straight Connector 531">
            <a:extLst>
              <a:ext uri="{FF2B5EF4-FFF2-40B4-BE49-F238E27FC236}">
                <a16:creationId xmlns:a16="http://schemas.microsoft.com/office/drawing/2014/main" id="{BD6836B3-60AE-CF1A-6ED5-795BEBA2CB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3" name="Straight Connector 533">
            <a:extLst>
              <a:ext uri="{FF2B5EF4-FFF2-40B4-BE49-F238E27FC236}">
                <a16:creationId xmlns:a16="http://schemas.microsoft.com/office/drawing/2014/main" id="{A54A4164-4026-570A-BFD1-EB6A697400B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4" name="Straight Connector 535">
            <a:extLst>
              <a:ext uri="{FF2B5EF4-FFF2-40B4-BE49-F238E27FC236}">
                <a16:creationId xmlns:a16="http://schemas.microsoft.com/office/drawing/2014/main" id="{C1F2AECF-06E7-122E-2300-C720AEDCB1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5" name="Straight Connector 537">
            <a:extLst>
              <a:ext uri="{FF2B5EF4-FFF2-40B4-BE49-F238E27FC236}">
                <a16:creationId xmlns:a16="http://schemas.microsoft.com/office/drawing/2014/main" id="{277AC618-2A34-F66E-1BA3-74FF4AB132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66" name="Group 1008">
          <a:extLst>
            <a:ext uri="{FF2B5EF4-FFF2-40B4-BE49-F238E27FC236}">
              <a16:creationId xmlns:a16="http://schemas.microsoft.com/office/drawing/2014/main" id="{6ECDE0FC-1B07-4758-BBF7-72EBC4D5B539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67" name="Straight Connector 2566">
            <a:extLst>
              <a:ext uri="{FF2B5EF4-FFF2-40B4-BE49-F238E27FC236}">
                <a16:creationId xmlns:a16="http://schemas.microsoft.com/office/drawing/2014/main" id="{CBF02455-0158-6C0F-6B7C-C20FF04D942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68" name="Straight Connector 529">
            <a:extLst>
              <a:ext uri="{FF2B5EF4-FFF2-40B4-BE49-F238E27FC236}">
                <a16:creationId xmlns:a16="http://schemas.microsoft.com/office/drawing/2014/main" id="{4DAFF7FB-C3D2-D3AE-A516-A31B31DD2D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9" name="Straight Connector 531">
            <a:extLst>
              <a:ext uri="{FF2B5EF4-FFF2-40B4-BE49-F238E27FC236}">
                <a16:creationId xmlns:a16="http://schemas.microsoft.com/office/drawing/2014/main" id="{73EFC035-3AF8-E64F-498E-C0056C06BA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0" name="Straight Connector 533">
            <a:extLst>
              <a:ext uri="{FF2B5EF4-FFF2-40B4-BE49-F238E27FC236}">
                <a16:creationId xmlns:a16="http://schemas.microsoft.com/office/drawing/2014/main" id="{F75A26DD-035B-E6C1-AB0C-4B5FC14F492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1" name="Straight Connector 535">
            <a:extLst>
              <a:ext uri="{FF2B5EF4-FFF2-40B4-BE49-F238E27FC236}">
                <a16:creationId xmlns:a16="http://schemas.microsoft.com/office/drawing/2014/main" id="{DE95AD52-2978-95ED-886E-3BA1978D50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2" name="Straight Connector 537">
            <a:extLst>
              <a:ext uri="{FF2B5EF4-FFF2-40B4-BE49-F238E27FC236}">
                <a16:creationId xmlns:a16="http://schemas.microsoft.com/office/drawing/2014/main" id="{59703FE3-F0F7-2ECD-3DD1-0CD0398CFF9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73" name="Group 1008">
          <a:extLst>
            <a:ext uri="{FF2B5EF4-FFF2-40B4-BE49-F238E27FC236}">
              <a16:creationId xmlns:a16="http://schemas.microsoft.com/office/drawing/2014/main" id="{0FC99F27-6817-4CC7-A03C-1B6808EDD607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74" name="Straight Connector 2573">
            <a:extLst>
              <a:ext uri="{FF2B5EF4-FFF2-40B4-BE49-F238E27FC236}">
                <a16:creationId xmlns:a16="http://schemas.microsoft.com/office/drawing/2014/main" id="{E0A0815C-406D-B28E-3AFE-0D09AC688A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75" name="Straight Connector 529">
            <a:extLst>
              <a:ext uri="{FF2B5EF4-FFF2-40B4-BE49-F238E27FC236}">
                <a16:creationId xmlns:a16="http://schemas.microsoft.com/office/drawing/2014/main" id="{25AD6D82-C327-3D9B-4B0A-3A53FEF6E62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6" name="Straight Connector 531">
            <a:extLst>
              <a:ext uri="{FF2B5EF4-FFF2-40B4-BE49-F238E27FC236}">
                <a16:creationId xmlns:a16="http://schemas.microsoft.com/office/drawing/2014/main" id="{0E1B9893-401E-7F65-8681-DB5FB8D28E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7" name="Straight Connector 533">
            <a:extLst>
              <a:ext uri="{FF2B5EF4-FFF2-40B4-BE49-F238E27FC236}">
                <a16:creationId xmlns:a16="http://schemas.microsoft.com/office/drawing/2014/main" id="{BA02A15D-D27F-45EF-C5A1-DD65C11D57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8" name="Straight Connector 535">
            <a:extLst>
              <a:ext uri="{FF2B5EF4-FFF2-40B4-BE49-F238E27FC236}">
                <a16:creationId xmlns:a16="http://schemas.microsoft.com/office/drawing/2014/main" id="{520ADCAC-5E6C-8791-4AD8-39BD9749EE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9" name="Straight Connector 537">
            <a:extLst>
              <a:ext uri="{FF2B5EF4-FFF2-40B4-BE49-F238E27FC236}">
                <a16:creationId xmlns:a16="http://schemas.microsoft.com/office/drawing/2014/main" id="{8A461B24-B9D2-5B16-AD97-7A82579935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80" name="Group 1008">
          <a:extLst>
            <a:ext uri="{FF2B5EF4-FFF2-40B4-BE49-F238E27FC236}">
              <a16:creationId xmlns:a16="http://schemas.microsoft.com/office/drawing/2014/main" id="{19116BB6-B135-4586-B013-825E4A38E2D7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81" name="Straight Connector 2580">
            <a:extLst>
              <a:ext uri="{FF2B5EF4-FFF2-40B4-BE49-F238E27FC236}">
                <a16:creationId xmlns:a16="http://schemas.microsoft.com/office/drawing/2014/main" id="{725A1A7E-3BCF-EC3E-3200-2C36B65E4AD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82" name="Straight Connector 529">
            <a:extLst>
              <a:ext uri="{FF2B5EF4-FFF2-40B4-BE49-F238E27FC236}">
                <a16:creationId xmlns:a16="http://schemas.microsoft.com/office/drawing/2014/main" id="{92C7764A-C663-00B2-F8E1-AD5A079BC98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3" name="Straight Connector 531">
            <a:extLst>
              <a:ext uri="{FF2B5EF4-FFF2-40B4-BE49-F238E27FC236}">
                <a16:creationId xmlns:a16="http://schemas.microsoft.com/office/drawing/2014/main" id="{DFB18E50-6FA7-11E3-E23E-392CBBEA90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4" name="Straight Connector 533">
            <a:extLst>
              <a:ext uri="{FF2B5EF4-FFF2-40B4-BE49-F238E27FC236}">
                <a16:creationId xmlns:a16="http://schemas.microsoft.com/office/drawing/2014/main" id="{3D61B410-8FA6-0587-B6EC-E9E8EEB8B8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5" name="Straight Connector 535">
            <a:extLst>
              <a:ext uri="{FF2B5EF4-FFF2-40B4-BE49-F238E27FC236}">
                <a16:creationId xmlns:a16="http://schemas.microsoft.com/office/drawing/2014/main" id="{17432B9E-15E3-1B2B-AAC7-969663D96F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6" name="Straight Connector 537">
            <a:extLst>
              <a:ext uri="{FF2B5EF4-FFF2-40B4-BE49-F238E27FC236}">
                <a16:creationId xmlns:a16="http://schemas.microsoft.com/office/drawing/2014/main" id="{211CE001-D059-2AF0-D588-55F338CFB1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87" name="Group 1008">
          <a:extLst>
            <a:ext uri="{FF2B5EF4-FFF2-40B4-BE49-F238E27FC236}">
              <a16:creationId xmlns:a16="http://schemas.microsoft.com/office/drawing/2014/main" id="{F65F8DA7-03A5-47D2-ACAC-CE900633BF5D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88" name="Straight Connector 2587">
            <a:extLst>
              <a:ext uri="{FF2B5EF4-FFF2-40B4-BE49-F238E27FC236}">
                <a16:creationId xmlns:a16="http://schemas.microsoft.com/office/drawing/2014/main" id="{25F9F6E2-2E18-B200-E736-97101B5AC5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89" name="Straight Connector 529">
            <a:extLst>
              <a:ext uri="{FF2B5EF4-FFF2-40B4-BE49-F238E27FC236}">
                <a16:creationId xmlns:a16="http://schemas.microsoft.com/office/drawing/2014/main" id="{8FC4B8A1-C32E-511D-D9EA-B3D07726DD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0" name="Straight Connector 531">
            <a:extLst>
              <a:ext uri="{FF2B5EF4-FFF2-40B4-BE49-F238E27FC236}">
                <a16:creationId xmlns:a16="http://schemas.microsoft.com/office/drawing/2014/main" id="{05EF81F5-09D8-B367-EBA2-80F24C79D07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1" name="Straight Connector 533">
            <a:extLst>
              <a:ext uri="{FF2B5EF4-FFF2-40B4-BE49-F238E27FC236}">
                <a16:creationId xmlns:a16="http://schemas.microsoft.com/office/drawing/2014/main" id="{F3A61BE9-1602-3C81-8A44-71A6386563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2" name="Straight Connector 535">
            <a:extLst>
              <a:ext uri="{FF2B5EF4-FFF2-40B4-BE49-F238E27FC236}">
                <a16:creationId xmlns:a16="http://schemas.microsoft.com/office/drawing/2014/main" id="{AEAE3F70-25B6-F95B-B1B6-8054D8254C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3" name="Straight Connector 537">
            <a:extLst>
              <a:ext uri="{FF2B5EF4-FFF2-40B4-BE49-F238E27FC236}">
                <a16:creationId xmlns:a16="http://schemas.microsoft.com/office/drawing/2014/main" id="{03104ECC-7A53-AD3F-EE7B-4745876F82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94" name="Group 1008">
          <a:extLst>
            <a:ext uri="{FF2B5EF4-FFF2-40B4-BE49-F238E27FC236}">
              <a16:creationId xmlns:a16="http://schemas.microsoft.com/office/drawing/2014/main" id="{7CF2BF46-1C55-4A8C-A330-A0EE0AE9AE10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95" name="Straight Connector 2594">
            <a:extLst>
              <a:ext uri="{FF2B5EF4-FFF2-40B4-BE49-F238E27FC236}">
                <a16:creationId xmlns:a16="http://schemas.microsoft.com/office/drawing/2014/main" id="{2D862E64-A2E5-706D-E823-FEC93A27358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96" name="Straight Connector 529">
            <a:extLst>
              <a:ext uri="{FF2B5EF4-FFF2-40B4-BE49-F238E27FC236}">
                <a16:creationId xmlns:a16="http://schemas.microsoft.com/office/drawing/2014/main" id="{10203A9C-800D-2090-F85F-470D537DD7B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7" name="Straight Connector 531">
            <a:extLst>
              <a:ext uri="{FF2B5EF4-FFF2-40B4-BE49-F238E27FC236}">
                <a16:creationId xmlns:a16="http://schemas.microsoft.com/office/drawing/2014/main" id="{837DE1D4-AB06-9DF7-BE68-62513E3F6C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8" name="Straight Connector 533">
            <a:extLst>
              <a:ext uri="{FF2B5EF4-FFF2-40B4-BE49-F238E27FC236}">
                <a16:creationId xmlns:a16="http://schemas.microsoft.com/office/drawing/2014/main" id="{642D7443-A1A4-6B5F-2511-3270031A77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9" name="Straight Connector 535">
            <a:extLst>
              <a:ext uri="{FF2B5EF4-FFF2-40B4-BE49-F238E27FC236}">
                <a16:creationId xmlns:a16="http://schemas.microsoft.com/office/drawing/2014/main" id="{9DA7355D-E863-C998-603F-F1690EFF82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0" name="Straight Connector 537">
            <a:extLst>
              <a:ext uri="{FF2B5EF4-FFF2-40B4-BE49-F238E27FC236}">
                <a16:creationId xmlns:a16="http://schemas.microsoft.com/office/drawing/2014/main" id="{301D20E8-B930-8ADB-2012-97167C542B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601" name="Group 1008">
          <a:extLst>
            <a:ext uri="{FF2B5EF4-FFF2-40B4-BE49-F238E27FC236}">
              <a16:creationId xmlns:a16="http://schemas.microsoft.com/office/drawing/2014/main" id="{9165268B-5F89-4628-A053-467D822CDD10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602" name="Straight Connector 2601">
            <a:extLst>
              <a:ext uri="{FF2B5EF4-FFF2-40B4-BE49-F238E27FC236}">
                <a16:creationId xmlns:a16="http://schemas.microsoft.com/office/drawing/2014/main" id="{296F3441-8612-C9D7-2E46-3DD4EEEE7F2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03" name="Straight Connector 529">
            <a:extLst>
              <a:ext uri="{FF2B5EF4-FFF2-40B4-BE49-F238E27FC236}">
                <a16:creationId xmlns:a16="http://schemas.microsoft.com/office/drawing/2014/main" id="{9D7C1EB7-333E-FB2E-30FB-EE71FA364B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4" name="Straight Connector 531">
            <a:extLst>
              <a:ext uri="{FF2B5EF4-FFF2-40B4-BE49-F238E27FC236}">
                <a16:creationId xmlns:a16="http://schemas.microsoft.com/office/drawing/2014/main" id="{9AC2E87B-3028-D215-3F0D-5AD2FFB0FBD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5" name="Straight Connector 533">
            <a:extLst>
              <a:ext uri="{FF2B5EF4-FFF2-40B4-BE49-F238E27FC236}">
                <a16:creationId xmlns:a16="http://schemas.microsoft.com/office/drawing/2014/main" id="{FF0ACA9C-3840-5235-996B-E5448AF6A1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6" name="Straight Connector 535">
            <a:extLst>
              <a:ext uri="{FF2B5EF4-FFF2-40B4-BE49-F238E27FC236}">
                <a16:creationId xmlns:a16="http://schemas.microsoft.com/office/drawing/2014/main" id="{27588209-42D4-CB68-3D2A-B9A9F081F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7" name="Straight Connector 537">
            <a:extLst>
              <a:ext uri="{FF2B5EF4-FFF2-40B4-BE49-F238E27FC236}">
                <a16:creationId xmlns:a16="http://schemas.microsoft.com/office/drawing/2014/main" id="{77A83F5A-EBA3-E966-5C6C-79E6C459CF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608" name="Group 1008">
          <a:extLst>
            <a:ext uri="{FF2B5EF4-FFF2-40B4-BE49-F238E27FC236}">
              <a16:creationId xmlns:a16="http://schemas.microsoft.com/office/drawing/2014/main" id="{3547EB93-F5AF-4734-9825-F4C146942C8A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609" name="Straight Connector 2608">
            <a:extLst>
              <a:ext uri="{FF2B5EF4-FFF2-40B4-BE49-F238E27FC236}">
                <a16:creationId xmlns:a16="http://schemas.microsoft.com/office/drawing/2014/main" id="{E6607A44-EC7F-CB78-BE19-F3AE09C27A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10" name="Straight Connector 529">
            <a:extLst>
              <a:ext uri="{FF2B5EF4-FFF2-40B4-BE49-F238E27FC236}">
                <a16:creationId xmlns:a16="http://schemas.microsoft.com/office/drawing/2014/main" id="{B3FFA591-89CB-A712-78FB-20A901D6DC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1" name="Straight Connector 531">
            <a:extLst>
              <a:ext uri="{FF2B5EF4-FFF2-40B4-BE49-F238E27FC236}">
                <a16:creationId xmlns:a16="http://schemas.microsoft.com/office/drawing/2014/main" id="{C41E36EB-098C-F3D3-415F-3637698FB0C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2" name="Straight Connector 533">
            <a:extLst>
              <a:ext uri="{FF2B5EF4-FFF2-40B4-BE49-F238E27FC236}">
                <a16:creationId xmlns:a16="http://schemas.microsoft.com/office/drawing/2014/main" id="{F3F16B5B-BFF8-645F-BFD8-8069E2BF35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3" name="Straight Connector 535">
            <a:extLst>
              <a:ext uri="{FF2B5EF4-FFF2-40B4-BE49-F238E27FC236}">
                <a16:creationId xmlns:a16="http://schemas.microsoft.com/office/drawing/2014/main" id="{2AC10A22-D226-A285-4BE2-5B5E6B1709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4" name="Straight Connector 537">
            <a:extLst>
              <a:ext uri="{FF2B5EF4-FFF2-40B4-BE49-F238E27FC236}">
                <a16:creationId xmlns:a16="http://schemas.microsoft.com/office/drawing/2014/main" id="{0C92F7AD-C8C6-A5FA-33A6-84670FFBCF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109</xdr:row>
      <xdr:rowOff>57150</xdr:rowOff>
    </xdr:from>
    <xdr:to>
      <xdr:col>17</xdr:col>
      <xdr:colOff>0</xdr:colOff>
      <xdr:row>111</xdr:row>
      <xdr:rowOff>0</xdr:rowOff>
    </xdr:to>
    <xdr:sp macro="" textlink="">
      <xdr:nvSpPr>
        <xdr:cNvPr id="2615" name="AutoShape 46">
          <a:extLst>
            <a:ext uri="{FF2B5EF4-FFF2-40B4-BE49-F238E27FC236}">
              <a16:creationId xmlns:a16="http://schemas.microsoft.com/office/drawing/2014/main" id="{26730A4B-281E-4AB5-AD40-34424C4164A2}"/>
            </a:ext>
          </a:extLst>
        </xdr:cNvPr>
        <xdr:cNvSpPr>
          <a:spLocks noChangeArrowheads="1"/>
        </xdr:cNvSpPr>
      </xdr:nvSpPr>
      <xdr:spPr bwMode="auto">
        <a:xfrm>
          <a:off x="4895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109</xdr:row>
      <xdr:rowOff>57150</xdr:rowOff>
    </xdr:from>
    <xdr:to>
      <xdr:col>19</xdr:col>
      <xdr:colOff>0</xdr:colOff>
      <xdr:row>111</xdr:row>
      <xdr:rowOff>0</xdr:rowOff>
    </xdr:to>
    <xdr:sp macro="" textlink="">
      <xdr:nvSpPr>
        <xdr:cNvPr id="2616" name="AutoShape 46">
          <a:extLst>
            <a:ext uri="{FF2B5EF4-FFF2-40B4-BE49-F238E27FC236}">
              <a16:creationId xmlns:a16="http://schemas.microsoft.com/office/drawing/2014/main" id="{84070802-FEFC-408D-86B8-7B6B31C02445}"/>
            </a:ext>
          </a:extLst>
        </xdr:cNvPr>
        <xdr:cNvSpPr>
          <a:spLocks noChangeArrowheads="1"/>
        </xdr:cNvSpPr>
      </xdr:nvSpPr>
      <xdr:spPr bwMode="auto">
        <a:xfrm>
          <a:off x="5467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109</xdr:row>
      <xdr:rowOff>57150</xdr:rowOff>
    </xdr:from>
    <xdr:to>
      <xdr:col>21</xdr:col>
      <xdr:colOff>0</xdr:colOff>
      <xdr:row>111</xdr:row>
      <xdr:rowOff>0</xdr:rowOff>
    </xdr:to>
    <xdr:sp macro="" textlink="">
      <xdr:nvSpPr>
        <xdr:cNvPr id="2617" name="AutoShape 46">
          <a:extLst>
            <a:ext uri="{FF2B5EF4-FFF2-40B4-BE49-F238E27FC236}">
              <a16:creationId xmlns:a16="http://schemas.microsoft.com/office/drawing/2014/main" id="{2B167058-8DDB-4001-92C5-05C33BB58A89}"/>
            </a:ext>
          </a:extLst>
        </xdr:cNvPr>
        <xdr:cNvSpPr>
          <a:spLocks noChangeArrowheads="1"/>
        </xdr:cNvSpPr>
      </xdr:nvSpPr>
      <xdr:spPr bwMode="auto">
        <a:xfrm>
          <a:off x="6038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109</xdr:row>
      <xdr:rowOff>57150</xdr:rowOff>
    </xdr:from>
    <xdr:to>
      <xdr:col>23</xdr:col>
      <xdr:colOff>0</xdr:colOff>
      <xdr:row>111</xdr:row>
      <xdr:rowOff>0</xdr:rowOff>
    </xdr:to>
    <xdr:sp macro="" textlink="">
      <xdr:nvSpPr>
        <xdr:cNvPr id="2618" name="AutoShape 46">
          <a:extLst>
            <a:ext uri="{FF2B5EF4-FFF2-40B4-BE49-F238E27FC236}">
              <a16:creationId xmlns:a16="http://schemas.microsoft.com/office/drawing/2014/main" id="{C36EA021-0B03-4B7E-AC52-2787DF976396}"/>
            </a:ext>
          </a:extLst>
        </xdr:cNvPr>
        <xdr:cNvSpPr>
          <a:spLocks noChangeArrowheads="1"/>
        </xdr:cNvSpPr>
      </xdr:nvSpPr>
      <xdr:spPr bwMode="auto">
        <a:xfrm>
          <a:off x="6610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109</xdr:row>
      <xdr:rowOff>57150</xdr:rowOff>
    </xdr:from>
    <xdr:to>
      <xdr:col>25</xdr:col>
      <xdr:colOff>0</xdr:colOff>
      <xdr:row>111</xdr:row>
      <xdr:rowOff>0</xdr:rowOff>
    </xdr:to>
    <xdr:sp macro="" textlink="">
      <xdr:nvSpPr>
        <xdr:cNvPr id="2619" name="AutoShape 46">
          <a:extLst>
            <a:ext uri="{FF2B5EF4-FFF2-40B4-BE49-F238E27FC236}">
              <a16:creationId xmlns:a16="http://schemas.microsoft.com/office/drawing/2014/main" id="{37072A10-67FE-4486-9EFE-CD8CBF35EFD0}"/>
            </a:ext>
          </a:extLst>
        </xdr:cNvPr>
        <xdr:cNvSpPr>
          <a:spLocks noChangeArrowheads="1"/>
        </xdr:cNvSpPr>
      </xdr:nvSpPr>
      <xdr:spPr bwMode="auto">
        <a:xfrm>
          <a:off x="7181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109</xdr:row>
      <xdr:rowOff>57150</xdr:rowOff>
    </xdr:from>
    <xdr:to>
      <xdr:col>27</xdr:col>
      <xdr:colOff>0</xdr:colOff>
      <xdr:row>111</xdr:row>
      <xdr:rowOff>0</xdr:rowOff>
    </xdr:to>
    <xdr:sp macro="" textlink="">
      <xdr:nvSpPr>
        <xdr:cNvPr id="2620" name="AutoShape 46">
          <a:extLst>
            <a:ext uri="{FF2B5EF4-FFF2-40B4-BE49-F238E27FC236}">
              <a16:creationId xmlns:a16="http://schemas.microsoft.com/office/drawing/2014/main" id="{156D92AD-535C-43EA-9DB4-7D72C4B831F0}"/>
            </a:ext>
          </a:extLst>
        </xdr:cNvPr>
        <xdr:cNvSpPr>
          <a:spLocks noChangeArrowheads="1"/>
        </xdr:cNvSpPr>
      </xdr:nvSpPr>
      <xdr:spPr bwMode="auto">
        <a:xfrm>
          <a:off x="7753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109</xdr:row>
      <xdr:rowOff>57150</xdr:rowOff>
    </xdr:from>
    <xdr:to>
      <xdr:col>29</xdr:col>
      <xdr:colOff>0</xdr:colOff>
      <xdr:row>111</xdr:row>
      <xdr:rowOff>0</xdr:rowOff>
    </xdr:to>
    <xdr:sp macro="" textlink="">
      <xdr:nvSpPr>
        <xdr:cNvPr id="2621" name="AutoShape 46">
          <a:extLst>
            <a:ext uri="{FF2B5EF4-FFF2-40B4-BE49-F238E27FC236}">
              <a16:creationId xmlns:a16="http://schemas.microsoft.com/office/drawing/2014/main" id="{DCEE002D-ACC3-411B-A5EE-114D861D64A6}"/>
            </a:ext>
          </a:extLst>
        </xdr:cNvPr>
        <xdr:cNvSpPr>
          <a:spLocks noChangeArrowheads="1"/>
        </xdr:cNvSpPr>
      </xdr:nvSpPr>
      <xdr:spPr bwMode="auto">
        <a:xfrm>
          <a:off x="8382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109</xdr:row>
      <xdr:rowOff>57150</xdr:rowOff>
    </xdr:from>
    <xdr:to>
      <xdr:col>31</xdr:col>
      <xdr:colOff>0</xdr:colOff>
      <xdr:row>111</xdr:row>
      <xdr:rowOff>0</xdr:rowOff>
    </xdr:to>
    <xdr:sp macro="" textlink="">
      <xdr:nvSpPr>
        <xdr:cNvPr id="2622" name="AutoShape 46">
          <a:extLst>
            <a:ext uri="{FF2B5EF4-FFF2-40B4-BE49-F238E27FC236}">
              <a16:creationId xmlns:a16="http://schemas.microsoft.com/office/drawing/2014/main" id="{06A84809-2D87-4991-A168-11A303FB97FF}"/>
            </a:ext>
          </a:extLst>
        </xdr:cNvPr>
        <xdr:cNvSpPr>
          <a:spLocks noChangeArrowheads="1"/>
        </xdr:cNvSpPr>
      </xdr:nvSpPr>
      <xdr:spPr bwMode="auto">
        <a:xfrm>
          <a:off x="8953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109</xdr:row>
      <xdr:rowOff>57150</xdr:rowOff>
    </xdr:from>
    <xdr:to>
      <xdr:col>33</xdr:col>
      <xdr:colOff>0</xdr:colOff>
      <xdr:row>111</xdr:row>
      <xdr:rowOff>0</xdr:rowOff>
    </xdr:to>
    <xdr:sp macro="" textlink="">
      <xdr:nvSpPr>
        <xdr:cNvPr id="2623" name="AutoShape 46">
          <a:extLst>
            <a:ext uri="{FF2B5EF4-FFF2-40B4-BE49-F238E27FC236}">
              <a16:creationId xmlns:a16="http://schemas.microsoft.com/office/drawing/2014/main" id="{28524194-22E4-4ED7-B466-ABB1840AD0AE}"/>
            </a:ext>
          </a:extLst>
        </xdr:cNvPr>
        <xdr:cNvSpPr>
          <a:spLocks noChangeArrowheads="1"/>
        </xdr:cNvSpPr>
      </xdr:nvSpPr>
      <xdr:spPr bwMode="auto">
        <a:xfrm>
          <a:off x="9525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109</xdr:row>
      <xdr:rowOff>57150</xdr:rowOff>
    </xdr:from>
    <xdr:to>
      <xdr:col>35</xdr:col>
      <xdr:colOff>0</xdr:colOff>
      <xdr:row>111</xdr:row>
      <xdr:rowOff>0</xdr:rowOff>
    </xdr:to>
    <xdr:sp macro="" textlink="">
      <xdr:nvSpPr>
        <xdr:cNvPr id="2624" name="AutoShape 46">
          <a:extLst>
            <a:ext uri="{FF2B5EF4-FFF2-40B4-BE49-F238E27FC236}">
              <a16:creationId xmlns:a16="http://schemas.microsoft.com/office/drawing/2014/main" id="{39D3831D-182E-4110-A9B9-12EF41299D7E}"/>
            </a:ext>
          </a:extLst>
        </xdr:cNvPr>
        <xdr:cNvSpPr>
          <a:spLocks noChangeArrowheads="1"/>
        </xdr:cNvSpPr>
      </xdr:nvSpPr>
      <xdr:spPr bwMode="auto">
        <a:xfrm>
          <a:off x="10096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109</xdr:row>
      <xdr:rowOff>57150</xdr:rowOff>
    </xdr:from>
    <xdr:to>
      <xdr:col>37</xdr:col>
      <xdr:colOff>0</xdr:colOff>
      <xdr:row>111</xdr:row>
      <xdr:rowOff>0</xdr:rowOff>
    </xdr:to>
    <xdr:sp macro="" textlink="">
      <xdr:nvSpPr>
        <xdr:cNvPr id="2625" name="AutoShape 46">
          <a:extLst>
            <a:ext uri="{FF2B5EF4-FFF2-40B4-BE49-F238E27FC236}">
              <a16:creationId xmlns:a16="http://schemas.microsoft.com/office/drawing/2014/main" id="{144FBA33-8F26-439E-A5D5-00F1D9B8AB12}"/>
            </a:ext>
          </a:extLst>
        </xdr:cNvPr>
        <xdr:cNvSpPr>
          <a:spLocks noChangeArrowheads="1"/>
        </xdr:cNvSpPr>
      </xdr:nvSpPr>
      <xdr:spPr bwMode="auto">
        <a:xfrm>
          <a:off x="10668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109</xdr:row>
      <xdr:rowOff>57150</xdr:rowOff>
    </xdr:from>
    <xdr:to>
      <xdr:col>39</xdr:col>
      <xdr:colOff>0</xdr:colOff>
      <xdr:row>111</xdr:row>
      <xdr:rowOff>0</xdr:rowOff>
    </xdr:to>
    <xdr:sp macro="" textlink="">
      <xdr:nvSpPr>
        <xdr:cNvPr id="2626" name="AutoShape 46">
          <a:extLst>
            <a:ext uri="{FF2B5EF4-FFF2-40B4-BE49-F238E27FC236}">
              <a16:creationId xmlns:a16="http://schemas.microsoft.com/office/drawing/2014/main" id="{F502EFF0-97CC-48F3-A41D-BF45CC868636}"/>
            </a:ext>
          </a:extLst>
        </xdr:cNvPr>
        <xdr:cNvSpPr>
          <a:spLocks noChangeArrowheads="1"/>
        </xdr:cNvSpPr>
      </xdr:nvSpPr>
      <xdr:spPr bwMode="auto">
        <a:xfrm>
          <a:off x="11239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109</xdr:row>
      <xdr:rowOff>57150</xdr:rowOff>
    </xdr:from>
    <xdr:to>
      <xdr:col>41</xdr:col>
      <xdr:colOff>0</xdr:colOff>
      <xdr:row>111</xdr:row>
      <xdr:rowOff>0</xdr:rowOff>
    </xdr:to>
    <xdr:sp macro="" textlink="">
      <xdr:nvSpPr>
        <xdr:cNvPr id="2627" name="AutoShape 46">
          <a:extLst>
            <a:ext uri="{FF2B5EF4-FFF2-40B4-BE49-F238E27FC236}">
              <a16:creationId xmlns:a16="http://schemas.microsoft.com/office/drawing/2014/main" id="{779520EA-BB44-4671-A7DF-43773691B8A6}"/>
            </a:ext>
          </a:extLst>
        </xdr:cNvPr>
        <xdr:cNvSpPr>
          <a:spLocks noChangeArrowheads="1"/>
        </xdr:cNvSpPr>
      </xdr:nvSpPr>
      <xdr:spPr bwMode="auto">
        <a:xfrm>
          <a:off x="11811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109</xdr:row>
      <xdr:rowOff>57150</xdr:rowOff>
    </xdr:from>
    <xdr:to>
      <xdr:col>43</xdr:col>
      <xdr:colOff>0</xdr:colOff>
      <xdr:row>111</xdr:row>
      <xdr:rowOff>0</xdr:rowOff>
    </xdr:to>
    <xdr:sp macro="" textlink="">
      <xdr:nvSpPr>
        <xdr:cNvPr id="2628" name="AutoShape 46">
          <a:extLst>
            <a:ext uri="{FF2B5EF4-FFF2-40B4-BE49-F238E27FC236}">
              <a16:creationId xmlns:a16="http://schemas.microsoft.com/office/drawing/2014/main" id="{381CEAC8-C341-4405-8085-9F91D845E814}"/>
            </a:ext>
          </a:extLst>
        </xdr:cNvPr>
        <xdr:cNvSpPr>
          <a:spLocks noChangeArrowheads="1"/>
        </xdr:cNvSpPr>
      </xdr:nvSpPr>
      <xdr:spPr bwMode="auto">
        <a:xfrm>
          <a:off x="12382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109</xdr:row>
      <xdr:rowOff>57150</xdr:rowOff>
    </xdr:from>
    <xdr:to>
      <xdr:col>45</xdr:col>
      <xdr:colOff>0</xdr:colOff>
      <xdr:row>111</xdr:row>
      <xdr:rowOff>0</xdr:rowOff>
    </xdr:to>
    <xdr:sp macro="" textlink="">
      <xdr:nvSpPr>
        <xdr:cNvPr id="2629" name="AutoShape 46">
          <a:extLst>
            <a:ext uri="{FF2B5EF4-FFF2-40B4-BE49-F238E27FC236}">
              <a16:creationId xmlns:a16="http://schemas.microsoft.com/office/drawing/2014/main" id="{8A3EB338-E6B7-4C1E-AEDB-584D0EEBF8DE}"/>
            </a:ext>
          </a:extLst>
        </xdr:cNvPr>
        <xdr:cNvSpPr>
          <a:spLocks noChangeArrowheads="1"/>
        </xdr:cNvSpPr>
      </xdr:nvSpPr>
      <xdr:spPr bwMode="auto">
        <a:xfrm>
          <a:off x="12954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109</xdr:row>
      <xdr:rowOff>57150</xdr:rowOff>
    </xdr:from>
    <xdr:to>
      <xdr:col>11</xdr:col>
      <xdr:colOff>0</xdr:colOff>
      <xdr:row>111</xdr:row>
      <xdr:rowOff>0</xdr:rowOff>
    </xdr:to>
    <xdr:sp macro="" textlink="">
      <xdr:nvSpPr>
        <xdr:cNvPr id="2630" name="AutoShape 46">
          <a:extLst>
            <a:ext uri="{FF2B5EF4-FFF2-40B4-BE49-F238E27FC236}">
              <a16:creationId xmlns:a16="http://schemas.microsoft.com/office/drawing/2014/main" id="{BB464A3B-8F69-4073-A1AA-E3F36ECF2785}"/>
            </a:ext>
          </a:extLst>
        </xdr:cNvPr>
        <xdr:cNvSpPr>
          <a:spLocks noChangeArrowheads="1"/>
        </xdr:cNvSpPr>
      </xdr:nvSpPr>
      <xdr:spPr bwMode="auto">
        <a:xfrm>
          <a:off x="3181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109</xdr:row>
      <xdr:rowOff>57150</xdr:rowOff>
    </xdr:from>
    <xdr:to>
      <xdr:col>13</xdr:col>
      <xdr:colOff>0</xdr:colOff>
      <xdr:row>111</xdr:row>
      <xdr:rowOff>0</xdr:rowOff>
    </xdr:to>
    <xdr:sp macro="" textlink="">
      <xdr:nvSpPr>
        <xdr:cNvPr id="2631" name="AutoShape 46">
          <a:extLst>
            <a:ext uri="{FF2B5EF4-FFF2-40B4-BE49-F238E27FC236}">
              <a16:creationId xmlns:a16="http://schemas.microsoft.com/office/drawing/2014/main" id="{BE06EDAE-5F6B-4B97-BDE5-DAC274029B97}"/>
            </a:ext>
          </a:extLst>
        </xdr:cNvPr>
        <xdr:cNvSpPr>
          <a:spLocks noChangeArrowheads="1"/>
        </xdr:cNvSpPr>
      </xdr:nvSpPr>
      <xdr:spPr bwMode="auto">
        <a:xfrm>
          <a:off x="3752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109</xdr:row>
      <xdr:rowOff>57150</xdr:rowOff>
    </xdr:from>
    <xdr:to>
      <xdr:col>15</xdr:col>
      <xdr:colOff>0</xdr:colOff>
      <xdr:row>111</xdr:row>
      <xdr:rowOff>0</xdr:rowOff>
    </xdr:to>
    <xdr:sp macro="" textlink="">
      <xdr:nvSpPr>
        <xdr:cNvPr id="2632" name="AutoShape 46">
          <a:extLst>
            <a:ext uri="{FF2B5EF4-FFF2-40B4-BE49-F238E27FC236}">
              <a16:creationId xmlns:a16="http://schemas.microsoft.com/office/drawing/2014/main" id="{56AD436A-8E26-4CCA-8999-B513A7BA9D2E}"/>
            </a:ext>
          </a:extLst>
        </xdr:cNvPr>
        <xdr:cNvSpPr>
          <a:spLocks noChangeArrowheads="1"/>
        </xdr:cNvSpPr>
      </xdr:nvSpPr>
      <xdr:spPr bwMode="auto">
        <a:xfrm>
          <a:off x="4324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109</xdr:row>
      <xdr:rowOff>57150</xdr:rowOff>
    </xdr:from>
    <xdr:to>
      <xdr:col>9</xdr:col>
      <xdr:colOff>0</xdr:colOff>
      <xdr:row>111</xdr:row>
      <xdr:rowOff>0</xdr:rowOff>
    </xdr:to>
    <xdr:sp macro="" textlink="">
      <xdr:nvSpPr>
        <xdr:cNvPr id="2633" name="AutoShape 46">
          <a:extLst>
            <a:ext uri="{FF2B5EF4-FFF2-40B4-BE49-F238E27FC236}">
              <a16:creationId xmlns:a16="http://schemas.microsoft.com/office/drawing/2014/main" id="{6C420030-0AEF-4B7C-BE46-EA3439B2E318}"/>
            </a:ext>
          </a:extLst>
        </xdr:cNvPr>
        <xdr:cNvSpPr>
          <a:spLocks noChangeArrowheads="1"/>
        </xdr:cNvSpPr>
      </xdr:nvSpPr>
      <xdr:spPr bwMode="auto">
        <a:xfrm>
          <a:off x="2409825" y="20869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109</xdr:row>
      <xdr:rowOff>57150</xdr:rowOff>
    </xdr:from>
    <xdr:to>
      <xdr:col>7</xdr:col>
      <xdr:colOff>0</xdr:colOff>
      <xdr:row>111</xdr:row>
      <xdr:rowOff>0</xdr:rowOff>
    </xdr:to>
    <xdr:sp macro="" textlink="">
      <xdr:nvSpPr>
        <xdr:cNvPr id="2634" name="AutoShape 46">
          <a:extLst>
            <a:ext uri="{FF2B5EF4-FFF2-40B4-BE49-F238E27FC236}">
              <a16:creationId xmlns:a16="http://schemas.microsoft.com/office/drawing/2014/main" id="{3C9D3BB8-994C-4F2F-B8E9-C72E6286C86A}"/>
            </a:ext>
          </a:extLst>
        </xdr:cNvPr>
        <xdr:cNvSpPr>
          <a:spLocks noChangeArrowheads="1"/>
        </xdr:cNvSpPr>
      </xdr:nvSpPr>
      <xdr:spPr bwMode="auto">
        <a:xfrm>
          <a:off x="1819275" y="20869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109</xdr:row>
      <xdr:rowOff>57150</xdr:rowOff>
    </xdr:from>
    <xdr:to>
      <xdr:col>5</xdr:col>
      <xdr:colOff>0</xdr:colOff>
      <xdr:row>111</xdr:row>
      <xdr:rowOff>0</xdr:rowOff>
    </xdr:to>
    <xdr:sp macro="" textlink="">
      <xdr:nvSpPr>
        <xdr:cNvPr id="2635" name="AutoShape 46">
          <a:extLst>
            <a:ext uri="{FF2B5EF4-FFF2-40B4-BE49-F238E27FC236}">
              <a16:creationId xmlns:a16="http://schemas.microsoft.com/office/drawing/2014/main" id="{2B61315B-F79D-4E14-B028-3D93A4036FE0}"/>
            </a:ext>
          </a:extLst>
        </xdr:cNvPr>
        <xdr:cNvSpPr>
          <a:spLocks noChangeArrowheads="1"/>
        </xdr:cNvSpPr>
      </xdr:nvSpPr>
      <xdr:spPr bwMode="auto">
        <a:xfrm>
          <a:off x="1095375" y="20869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109</xdr:row>
      <xdr:rowOff>57150</xdr:rowOff>
    </xdr:from>
    <xdr:to>
      <xdr:col>3</xdr:col>
      <xdr:colOff>0</xdr:colOff>
      <xdr:row>111</xdr:row>
      <xdr:rowOff>0</xdr:rowOff>
    </xdr:to>
    <xdr:sp macro="" textlink="">
      <xdr:nvSpPr>
        <xdr:cNvPr id="2636" name="AutoShape 46">
          <a:extLst>
            <a:ext uri="{FF2B5EF4-FFF2-40B4-BE49-F238E27FC236}">
              <a16:creationId xmlns:a16="http://schemas.microsoft.com/office/drawing/2014/main" id="{0458EB69-A941-4F92-9281-834B866CBF75}"/>
            </a:ext>
          </a:extLst>
        </xdr:cNvPr>
        <xdr:cNvSpPr>
          <a:spLocks noChangeArrowheads="1"/>
        </xdr:cNvSpPr>
      </xdr:nvSpPr>
      <xdr:spPr bwMode="auto">
        <a:xfrm>
          <a:off x="523875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37" name="Group 1008">
          <a:extLst>
            <a:ext uri="{FF2B5EF4-FFF2-40B4-BE49-F238E27FC236}">
              <a16:creationId xmlns:a16="http://schemas.microsoft.com/office/drawing/2014/main" id="{2C66841B-06E4-486A-A1E6-D4232D298D1C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38" name="Straight Connector 2637">
            <a:extLst>
              <a:ext uri="{FF2B5EF4-FFF2-40B4-BE49-F238E27FC236}">
                <a16:creationId xmlns:a16="http://schemas.microsoft.com/office/drawing/2014/main" id="{3407582F-0B24-7728-D0F1-14AA03103B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39" name="Straight Connector 529">
            <a:extLst>
              <a:ext uri="{FF2B5EF4-FFF2-40B4-BE49-F238E27FC236}">
                <a16:creationId xmlns:a16="http://schemas.microsoft.com/office/drawing/2014/main" id="{7A4647A0-6C53-6F6B-A858-F539477A7B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0" name="Straight Connector 531">
            <a:extLst>
              <a:ext uri="{FF2B5EF4-FFF2-40B4-BE49-F238E27FC236}">
                <a16:creationId xmlns:a16="http://schemas.microsoft.com/office/drawing/2014/main" id="{43679916-BEF5-618A-77FD-275A33CFF1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1" name="Straight Connector 533">
            <a:extLst>
              <a:ext uri="{FF2B5EF4-FFF2-40B4-BE49-F238E27FC236}">
                <a16:creationId xmlns:a16="http://schemas.microsoft.com/office/drawing/2014/main" id="{E515993E-E796-C6D4-1E80-0D21249B347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2" name="Straight Connector 535">
            <a:extLst>
              <a:ext uri="{FF2B5EF4-FFF2-40B4-BE49-F238E27FC236}">
                <a16:creationId xmlns:a16="http://schemas.microsoft.com/office/drawing/2014/main" id="{67675AED-C9A5-2989-1F61-B011D37C555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3" name="Straight Connector 537">
            <a:extLst>
              <a:ext uri="{FF2B5EF4-FFF2-40B4-BE49-F238E27FC236}">
                <a16:creationId xmlns:a16="http://schemas.microsoft.com/office/drawing/2014/main" id="{A78FAFE9-25BB-6F80-ECA2-19D1FA993B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44" name="Group 1008">
          <a:extLst>
            <a:ext uri="{FF2B5EF4-FFF2-40B4-BE49-F238E27FC236}">
              <a16:creationId xmlns:a16="http://schemas.microsoft.com/office/drawing/2014/main" id="{B57138A5-855D-47A7-9E83-EEBDC291B915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45" name="Straight Connector 2644">
            <a:extLst>
              <a:ext uri="{FF2B5EF4-FFF2-40B4-BE49-F238E27FC236}">
                <a16:creationId xmlns:a16="http://schemas.microsoft.com/office/drawing/2014/main" id="{CFEDB3E2-A3CC-2C69-B8AE-35733425A27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46" name="Straight Connector 529">
            <a:extLst>
              <a:ext uri="{FF2B5EF4-FFF2-40B4-BE49-F238E27FC236}">
                <a16:creationId xmlns:a16="http://schemas.microsoft.com/office/drawing/2014/main" id="{4569056D-B389-936C-1CBC-46D63965FC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7" name="Straight Connector 531">
            <a:extLst>
              <a:ext uri="{FF2B5EF4-FFF2-40B4-BE49-F238E27FC236}">
                <a16:creationId xmlns:a16="http://schemas.microsoft.com/office/drawing/2014/main" id="{9AE3211C-44C8-587A-B5B5-27B7A53BAA9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8" name="Straight Connector 533">
            <a:extLst>
              <a:ext uri="{FF2B5EF4-FFF2-40B4-BE49-F238E27FC236}">
                <a16:creationId xmlns:a16="http://schemas.microsoft.com/office/drawing/2014/main" id="{594F48B8-9297-7566-8EA9-4A7E537A16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9" name="Straight Connector 535">
            <a:extLst>
              <a:ext uri="{FF2B5EF4-FFF2-40B4-BE49-F238E27FC236}">
                <a16:creationId xmlns:a16="http://schemas.microsoft.com/office/drawing/2014/main" id="{6F9710DE-4855-CD9A-9247-51350C1044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0" name="Straight Connector 537">
            <a:extLst>
              <a:ext uri="{FF2B5EF4-FFF2-40B4-BE49-F238E27FC236}">
                <a16:creationId xmlns:a16="http://schemas.microsoft.com/office/drawing/2014/main" id="{21116860-732F-5E20-9E7E-92E21659BF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47625</xdr:rowOff>
    </xdr:to>
    <xdr:grpSp>
      <xdr:nvGrpSpPr>
        <xdr:cNvPr id="2651" name="Group 1008">
          <a:extLst>
            <a:ext uri="{FF2B5EF4-FFF2-40B4-BE49-F238E27FC236}">
              <a16:creationId xmlns:a16="http://schemas.microsoft.com/office/drawing/2014/main" id="{12C2E32F-ECE9-472A-A142-97AFC258E53F}"/>
            </a:ext>
          </a:extLst>
        </xdr:cNvPr>
        <xdr:cNvGrpSpPr>
          <a:grpSpLocks/>
        </xdr:cNvGrpSpPr>
      </xdr:nvGrpSpPr>
      <xdr:grpSpPr bwMode="auto">
        <a:xfrm>
          <a:off x="1807806" y="23725544"/>
          <a:ext cx="0" cy="102183"/>
          <a:chOff x="5475762" y="47760700"/>
          <a:chExt cx="314325" cy="230209"/>
        </a:xfrm>
      </xdr:grpSpPr>
      <xdr:cxnSp macro="">
        <xdr:nvCxnSpPr>
          <xdr:cNvPr id="2652" name="Straight Connector 2651">
            <a:extLst>
              <a:ext uri="{FF2B5EF4-FFF2-40B4-BE49-F238E27FC236}">
                <a16:creationId xmlns:a16="http://schemas.microsoft.com/office/drawing/2014/main" id="{34FD4EAA-D166-4A3C-DFB6-DC09AA98491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53" name="Straight Connector 529">
            <a:extLst>
              <a:ext uri="{FF2B5EF4-FFF2-40B4-BE49-F238E27FC236}">
                <a16:creationId xmlns:a16="http://schemas.microsoft.com/office/drawing/2014/main" id="{B1418666-4A53-E4BF-1D8D-0B5E5DE54E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4" name="Straight Connector 531">
            <a:extLst>
              <a:ext uri="{FF2B5EF4-FFF2-40B4-BE49-F238E27FC236}">
                <a16:creationId xmlns:a16="http://schemas.microsoft.com/office/drawing/2014/main" id="{28B06AFA-5EE4-8F58-B0F9-0892ED35AD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5" name="Straight Connector 533">
            <a:extLst>
              <a:ext uri="{FF2B5EF4-FFF2-40B4-BE49-F238E27FC236}">
                <a16:creationId xmlns:a16="http://schemas.microsoft.com/office/drawing/2014/main" id="{5005219F-A14F-AD16-5B13-C6E57EEF5E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6" name="Straight Connector 535">
            <a:extLst>
              <a:ext uri="{FF2B5EF4-FFF2-40B4-BE49-F238E27FC236}">
                <a16:creationId xmlns:a16="http://schemas.microsoft.com/office/drawing/2014/main" id="{449E9982-F988-4088-1D04-1E36E08BBF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7" name="Straight Connector 537">
            <a:extLst>
              <a:ext uri="{FF2B5EF4-FFF2-40B4-BE49-F238E27FC236}">
                <a16:creationId xmlns:a16="http://schemas.microsoft.com/office/drawing/2014/main" id="{095FB27D-A6C5-5C6C-F772-0B92624931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57150</xdr:rowOff>
    </xdr:to>
    <xdr:grpSp>
      <xdr:nvGrpSpPr>
        <xdr:cNvPr id="2658" name="Group 1008">
          <a:extLst>
            <a:ext uri="{FF2B5EF4-FFF2-40B4-BE49-F238E27FC236}">
              <a16:creationId xmlns:a16="http://schemas.microsoft.com/office/drawing/2014/main" id="{26E0CA57-FE36-4097-94CA-A576C59FA778}"/>
            </a:ext>
          </a:extLst>
        </xdr:cNvPr>
        <xdr:cNvGrpSpPr>
          <a:grpSpLocks/>
        </xdr:cNvGrpSpPr>
      </xdr:nvGrpSpPr>
      <xdr:grpSpPr bwMode="auto">
        <a:xfrm>
          <a:off x="1807806" y="23725544"/>
          <a:ext cx="0" cy="111708"/>
          <a:chOff x="5475762" y="47760700"/>
          <a:chExt cx="314325" cy="230209"/>
        </a:xfrm>
      </xdr:grpSpPr>
      <xdr:cxnSp macro="">
        <xdr:nvCxnSpPr>
          <xdr:cNvPr id="2659" name="Straight Connector 2658">
            <a:extLst>
              <a:ext uri="{FF2B5EF4-FFF2-40B4-BE49-F238E27FC236}">
                <a16:creationId xmlns:a16="http://schemas.microsoft.com/office/drawing/2014/main" id="{DA6F1359-4D87-87F9-35C2-49E2661D01B4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60" name="Straight Connector 529">
            <a:extLst>
              <a:ext uri="{FF2B5EF4-FFF2-40B4-BE49-F238E27FC236}">
                <a16:creationId xmlns:a16="http://schemas.microsoft.com/office/drawing/2014/main" id="{97AC9623-74C0-4870-BB8E-73AA73DDB67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1" name="Straight Connector 531">
            <a:extLst>
              <a:ext uri="{FF2B5EF4-FFF2-40B4-BE49-F238E27FC236}">
                <a16:creationId xmlns:a16="http://schemas.microsoft.com/office/drawing/2014/main" id="{8C9FA0E5-B2C0-878B-EFE2-7CC3FBECEF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2" name="Straight Connector 533">
            <a:extLst>
              <a:ext uri="{FF2B5EF4-FFF2-40B4-BE49-F238E27FC236}">
                <a16:creationId xmlns:a16="http://schemas.microsoft.com/office/drawing/2014/main" id="{0F9B5E6B-4D32-60BE-0B55-A23C8EB000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3" name="Straight Connector 535">
            <a:extLst>
              <a:ext uri="{FF2B5EF4-FFF2-40B4-BE49-F238E27FC236}">
                <a16:creationId xmlns:a16="http://schemas.microsoft.com/office/drawing/2014/main" id="{D2088089-90BA-FB39-D64D-8570ADEE37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4" name="Straight Connector 537">
            <a:extLst>
              <a:ext uri="{FF2B5EF4-FFF2-40B4-BE49-F238E27FC236}">
                <a16:creationId xmlns:a16="http://schemas.microsoft.com/office/drawing/2014/main" id="{B45D2319-7A10-EBC5-9C09-80ACC3BBBC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65" name="Group 1008">
          <a:extLst>
            <a:ext uri="{FF2B5EF4-FFF2-40B4-BE49-F238E27FC236}">
              <a16:creationId xmlns:a16="http://schemas.microsoft.com/office/drawing/2014/main" id="{7DE72C6D-FA8D-4A0A-BBD6-9DE75664DC4C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66" name="Straight Connector 2665">
            <a:extLst>
              <a:ext uri="{FF2B5EF4-FFF2-40B4-BE49-F238E27FC236}">
                <a16:creationId xmlns:a16="http://schemas.microsoft.com/office/drawing/2014/main" id="{9949B9CF-F13F-C8FD-C72E-D75162B675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67" name="Straight Connector 529">
            <a:extLst>
              <a:ext uri="{FF2B5EF4-FFF2-40B4-BE49-F238E27FC236}">
                <a16:creationId xmlns:a16="http://schemas.microsoft.com/office/drawing/2014/main" id="{B88C90FA-A4DF-8F25-6E7D-BBCC10FB92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8" name="Straight Connector 531">
            <a:extLst>
              <a:ext uri="{FF2B5EF4-FFF2-40B4-BE49-F238E27FC236}">
                <a16:creationId xmlns:a16="http://schemas.microsoft.com/office/drawing/2014/main" id="{75E78C18-E8FF-903A-8CDE-2CAAD9925E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9" name="Straight Connector 533">
            <a:extLst>
              <a:ext uri="{FF2B5EF4-FFF2-40B4-BE49-F238E27FC236}">
                <a16:creationId xmlns:a16="http://schemas.microsoft.com/office/drawing/2014/main" id="{64094A4C-2004-C722-C2F6-3A755D6F63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0" name="Straight Connector 535">
            <a:extLst>
              <a:ext uri="{FF2B5EF4-FFF2-40B4-BE49-F238E27FC236}">
                <a16:creationId xmlns:a16="http://schemas.microsoft.com/office/drawing/2014/main" id="{D3F5FBC9-87A1-0929-D8F5-E1A8D441A3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1" name="Straight Connector 537">
            <a:extLst>
              <a:ext uri="{FF2B5EF4-FFF2-40B4-BE49-F238E27FC236}">
                <a16:creationId xmlns:a16="http://schemas.microsoft.com/office/drawing/2014/main" id="{BB622B4E-0F90-1CEE-516F-76BDEA7C9B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72" name="Group 1008">
          <a:extLst>
            <a:ext uri="{FF2B5EF4-FFF2-40B4-BE49-F238E27FC236}">
              <a16:creationId xmlns:a16="http://schemas.microsoft.com/office/drawing/2014/main" id="{9158618A-5CAE-4A90-A458-F74FF3536EDF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73" name="Straight Connector 2672">
            <a:extLst>
              <a:ext uri="{FF2B5EF4-FFF2-40B4-BE49-F238E27FC236}">
                <a16:creationId xmlns:a16="http://schemas.microsoft.com/office/drawing/2014/main" id="{05D5A1EC-300F-83C0-0351-79E995AF75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74" name="Straight Connector 529">
            <a:extLst>
              <a:ext uri="{FF2B5EF4-FFF2-40B4-BE49-F238E27FC236}">
                <a16:creationId xmlns:a16="http://schemas.microsoft.com/office/drawing/2014/main" id="{7003F9BF-5C38-834B-4F21-34C92D42A5C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5" name="Straight Connector 531">
            <a:extLst>
              <a:ext uri="{FF2B5EF4-FFF2-40B4-BE49-F238E27FC236}">
                <a16:creationId xmlns:a16="http://schemas.microsoft.com/office/drawing/2014/main" id="{CD0AA2F2-FBBD-1102-36D6-9055612231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6" name="Straight Connector 533">
            <a:extLst>
              <a:ext uri="{FF2B5EF4-FFF2-40B4-BE49-F238E27FC236}">
                <a16:creationId xmlns:a16="http://schemas.microsoft.com/office/drawing/2014/main" id="{040E67AF-7BC8-B556-41D5-98C31440BC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7" name="Straight Connector 535">
            <a:extLst>
              <a:ext uri="{FF2B5EF4-FFF2-40B4-BE49-F238E27FC236}">
                <a16:creationId xmlns:a16="http://schemas.microsoft.com/office/drawing/2014/main" id="{C9BB9A45-05A1-EC07-F47D-0541AB29513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8" name="Straight Connector 537">
            <a:extLst>
              <a:ext uri="{FF2B5EF4-FFF2-40B4-BE49-F238E27FC236}">
                <a16:creationId xmlns:a16="http://schemas.microsoft.com/office/drawing/2014/main" id="{83F8A961-0BB3-F354-51C4-3C257F934F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79" name="Group 1008">
          <a:extLst>
            <a:ext uri="{FF2B5EF4-FFF2-40B4-BE49-F238E27FC236}">
              <a16:creationId xmlns:a16="http://schemas.microsoft.com/office/drawing/2014/main" id="{45916D88-6DA3-46AD-A4FE-264F4A85E34F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80" name="Straight Connector 2679">
            <a:extLst>
              <a:ext uri="{FF2B5EF4-FFF2-40B4-BE49-F238E27FC236}">
                <a16:creationId xmlns:a16="http://schemas.microsoft.com/office/drawing/2014/main" id="{19D87BF9-F70D-5FAB-E38C-50DA7D28664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81" name="Straight Connector 529">
            <a:extLst>
              <a:ext uri="{FF2B5EF4-FFF2-40B4-BE49-F238E27FC236}">
                <a16:creationId xmlns:a16="http://schemas.microsoft.com/office/drawing/2014/main" id="{11400490-EBFE-49FD-131B-57BADE2A49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2" name="Straight Connector 531">
            <a:extLst>
              <a:ext uri="{FF2B5EF4-FFF2-40B4-BE49-F238E27FC236}">
                <a16:creationId xmlns:a16="http://schemas.microsoft.com/office/drawing/2014/main" id="{A0E77FB9-CFB6-8157-B2F5-1AEE3D05AB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3" name="Straight Connector 533">
            <a:extLst>
              <a:ext uri="{FF2B5EF4-FFF2-40B4-BE49-F238E27FC236}">
                <a16:creationId xmlns:a16="http://schemas.microsoft.com/office/drawing/2014/main" id="{97D46CEF-6FEB-E529-E575-D7F39090D2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4" name="Straight Connector 535">
            <a:extLst>
              <a:ext uri="{FF2B5EF4-FFF2-40B4-BE49-F238E27FC236}">
                <a16:creationId xmlns:a16="http://schemas.microsoft.com/office/drawing/2014/main" id="{99142506-4408-9CA3-9593-A12B950F9B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5" name="Straight Connector 537">
            <a:extLst>
              <a:ext uri="{FF2B5EF4-FFF2-40B4-BE49-F238E27FC236}">
                <a16:creationId xmlns:a16="http://schemas.microsoft.com/office/drawing/2014/main" id="{0C5EBB89-E02E-36E2-FE07-E06993E8E3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86" name="Group 1008">
          <a:extLst>
            <a:ext uri="{FF2B5EF4-FFF2-40B4-BE49-F238E27FC236}">
              <a16:creationId xmlns:a16="http://schemas.microsoft.com/office/drawing/2014/main" id="{D141F383-A1A3-4A55-9EBC-BE0E808C73C5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87" name="Straight Connector 2686">
            <a:extLst>
              <a:ext uri="{FF2B5EF4-FFF2-40B4-BE49-F238E27FC236}">
                <a16:creationId xmlns:a16="http://schemas.microsoft.com/office/drawing/2014/main" id="{62C7F723-F64C-B3A8-B90B-56227336109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88" name="Straight Connector 529">
            <a:extLst>
              <a:ext uri="{FF2B5EF4-FFF2-40B4-BE49-F238E27FC236}">
                <a16:creationId xmlns:a16="http://schemas.microsoft.com/office/drawing/2014/main" id="{AB16CC7C-3E16-7C3B-C35B-728A61AC4CF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9" name="Straight Connector 531">
            <a:extLst>
              <a:ext uri="{FF2B5EF4-FFF2-40B4-BE49-F238E27FC236}">
                <a16:creationId xmlns:a16="http://schemas.microsoft.com/office/drawing/2014/main" id="{FC29EB7C-9530-91CD-54A9-E473E77D75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0" name="Straight Connector 533">
            <a:extLst>
              <a:ext uri="{FF2B5EF4-FFF2-40B4-BE49-F238E27FC236}">
                <a16:creationId xmlns:a16="http://schemas.microsoft.com/office/drawing/2014/main" id="{27F5CAF7-1314-CE9B-5C39-63661BF74C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1" name="Straight Connector 535">
            <a:extLst>
              <a:ext uri="{FF2B5EF4-FFF2-40B4-BE49-F238E27FC236}">
                <a16:creationId xmlns:a16="http://schemas.microsoft.com/office/drawing/2014/main" id="{552727DF-B616-DB0E-A534-6023F89120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2" name="Straight Connector 537">
            <a:extLst>
              <a:ext uri="{FF2B5EF4-FFF2-40B4-BE49-F238E27FC236}">
                <a16:creationId xmlns:a16="http://schemas.microsoft.com/office/drawing/2014/main" id="{D5C1C540-9A3F-A85D-28CA-D184A9E7405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93" name="Group 1008">
          <a:extLst>
            <a:ext uri="{FF2B5EF4-FFF2-40B4-BE49-F238E27FC236}">
              <a16:creationId xmlns:a16="http://schemas.microsoft.com/office/drawing/2014/main" id="{D7BE6E44-D5AF-4D03-AB50-B281D91BFDFA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94" name="Straight Connector 2693">
            <a:extLst>
              <a:ext uri="{FF2B5EF4-FFF2-40B4-BE49-F238E27FC236}">
                <a16:creationId xmlns:a16="http://schemas.microsoft.com/office/drawing/2014/main" id="{0ED28A86-1EAE-E2D9-DD44-6F49ED7CC26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95" name="Straight Connector 529">
            <a:extLst>
              <a:ext uri="{FF2B5EF4-FFF2-40B4-BE49-F238E27FC236}">
                <a16:creationId xmlns:a16="http://schemas.microsoft.com/office/drawing/2014/main" id="{57F32656-C75D-36BE-95DA-4FD4363494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6" name="Straight Connector 531">
            <a:extLst>
              <a:ext uri="{FF2B5EF4-FFF2-40B4-BE49-F238E27FC236}">
                <a16:creationId xmlns:a16="http://schemas.microsoft.com/office/drawing/2014/main" id="{2D661608-C6FB-89A4-218C-31F9161AB0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7" name="Straight Connector 533">
            <a:extLst>
              <a:ext uri="{FF2B5EF4-FFF2-40B4-BE49-F238E27FC236}">
                <a16:creationId xmlns:a16="http://schemas.microsoft.com/office/drawing/2014/main" id="{A9C73587-DC97-61CC-9008-2BFC13696E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8" name="Straight Connector 535">
            <a:extLst>
              <a:ext uri="{FF2B5EF4-FFF2-40B4-BE49-F238E27FC236}">
                <a16:creationId xmlns:a16="http://schemas.microsoft.com/office/drawing/2014/main" id="{67FF9FE9-DC4F-53BA-BDD4-8641627EB9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9" name="Straight Connector 537">
            <a:extLst>
              <a:ext uri="{FF2B5EF4-FFF2-40B4-BE49-F238E27FC236}">
                <a16:creationId xmlns:a16="http://schemas.microsoft.com/office/drawing/2014/main" id="{87C1724A-4CB9-4C79-3D65-213B01C2B0A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00" name="Group 1008">
          <a:extLst>
            <a:ext uri="{FF2B5EF4-FFF2-40B4-BE49-F238E27FC236}">
              <a16:creationId xmlns:a16="http://schemas.microsoft.com/office/drawing/2014/main" id="{9D06BAE2-1192-4DE4-B3D7-757D0B7A1E4D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01" name="Straight Connector 2700">
            <a:extLst>
              <a:ext uri="{FF2B5EF4-FFF2-40B4-BE49-F238E27FC236}">
                <a16:creationId xmlns:a16="http://schemas.microsoft.com/office/drawing/2014/main" id="{A486A75B-0FB0-1371-3F4D-685A53D85D5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02" name="Straight Connector 529">
            <a:extLst>
              <a:ext uri="{FF2B5EF4-FFF2-40B4-BE49-F238E27FC236}">
                <a16:creationId xmlns:a16="http://schemas.microsoft.com/office/drawing/2014/main" id="{9433A98D-E481-D8E8-7E56-9D63AF6E06D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3" name="Straight Connector 531">
            <a:extLst>
              <a:ext uri="{FF2B5EF4-FFF2-40B4-BE49-F238E27FC236}">
                <a16:creationId xmlns:a16="http://schemas.microsoft.com/office/drawing/2014/main" id="{306D096B-6175-DBF3-CCF3-38060ADCCE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4" name="Straight Connector 533">
            <a:extLst>
              <a:ext uri="{FF2B5EF4-FFF2-40B4-BE49-F238E27FC236}">
                <a16:creationId xmlns:a16="http://schemas.microsoft.com/office/drawing/2014/main" id="{1FE2BCC8-D19F-8C00-E242-E44110C946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5" name="Straight Connector 535">
            <a:extLst>
              <a:ext uri="{FF2B5EF4-FFF2-40B4-BE49-F238E27FC236}">
                <a16:creationId xmlns:a16="http://schemas.microsoft.com/office/drawing/2014/main" id="{9FC57D6C-FC05-D512-27EE-200F17EEFB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6" name="Straight Connector 537">
            <a:extLst>
              <a:ext uri="{FF2B5EF4-FFF2-40B4-BE49-F238E27FC236}">
                <a16:creationId xmlns:a16="http://schemas.microsoft.com/office/drawing/2014/main" id="{A1050088-6B49-1797-7A8A-B09B0A39C2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07" name="Group 1008">
          <a:extLst>
            <a:ext uri="{FF2B5EF4-FFF2-40B4-BE49-F238E27FC236}">
              <a16:creationId xmlns:a16="http://schemas.microsoft.com/office/drawing/2014/main" id="{EB1AF816-8E78-46E2-AB11-C6BEA44F7B5C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08" name="Straight Connector 2707">
            <a:extLst>
              <a:ext uri="{FF2B5EF4-FFF2-40B4-BE49-F238E27FC236}">
                <a16:creationId xmlns:a16="http://schemas.microsoft.com/office/drawing/2014/main" id="{C446B760-B8C3-8F5A-9587-3172FDFDEC7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09" name="Straight Connector 529">
            <a:extLst>
              <a:ext uri="{FF2B5EF4-FFF2-40B4-BE49-F238E27FC236}">
                <a16:creationId xmlns:a16="http://schemas.microsoft.com/office/drawing/2014/main" id="{30305BB6-B257-D433-4FDD-835CDFF59B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0" name="Straight Connector 531">
            <a:extLst>
              <a:ext uri="{FF2B5EF4-FFF2-40B4-BE49-F238E27FC236}">
                <a16:creationId xmlns:a16="http://schemas.microsoft.com/office/drawing/2014/main" id="{25A8489B-10E0-0AB1-2A12-FE2E7D3EAF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1" name="Straight Connector 533">
            <a:extLst>
              <a:ext uri="{FF2B5EF4-FFF2-40B4-BE49-F238E27FC236}">
                <a16:creationId xmlns:a16="http://schemas.microsoft.com/office/drawing/2014/main" id="{168A69C7-A641-7A4A-2BCC-6051721E59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2" name="Straight Connector 535">
            <a:extLst>
              <a:ext uri="{FF2B5EF4-FFF2-40B4-BE49-F238E27FC236}">
                <a16:creationId xmlns:a16="http://schemas.microsoft.com/office/drawing/2014/main" id="{E7088930-28A3-B7E3-AD51-423344D75C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3" name="Straight Connector 537">
            <a:extLst>
              <a:ext uri="{FF2B5EF4-FFF2-40B4-BE49-F238E27FC236}">
                <a16:creationId xmlns:a16="http://schemas.microsoft.com/office/drawing/2014/main" id="{577C23E7-9720-4C87-ECA2-B1805D34C0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14" name="Group 1008">
          <a:extLst>
            <a:ext uri="{FF2B5EF4-FFF2-40B4-BE49-F238E27FC236}">
              <a16:creationId xmlns:a16="http://schemas.microsoft.com/office/drawing/2014/main" id="{DBF1991B-96BC-4906-8A8D-5A2E7EF0BD8A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15" name="Straight Connector 2714">
            <a:extLst>
              <a:ext uri="{FF2B5EF4-FFF2-40B4-BE49-F238E27FC236}">
                <a16:creationId xmlns:a16="http://schemas.microsoft.com/office/drawing/2014/main" id="{54A7B984-ECB7-6C4A-41EB-39457A9E06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16" name="Straight Connector 529">
            <a:extLst>
              <a:ext uri="{FF2B5EF4-FFF2-40B4-BE49-F238E27FC236}">
                <a16:creationId xmlns:a16="http://schemas.microsoft.com/office/drawing/2014/main" id="{555142D2-8666-45EA-D14E-10CC0615075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7" name="Straight Connector 531">
            <a:extLst>
              <a:ext uri="{FF2B5EF4-FFF2-40B4-BE49-F238E27FC236}">
                <a16:creationId xmlns:a16="http://schemas.microsoft.com/office/drawing/2014/main" id="{38B3F943-5AD4-DA8F-FAAE-B450D90D3B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8" name="Straight Connector 533">
            <a:extLst>
              <a:ext uri="{FF2B5EF4-FFF2-40B4-BE49-F238E27FC236}">
                <a16:creationId xmlns:a16="http://schemas.microsoft.com/office/drawing/2014/main" id="{770EE091-8ACA-1697-20BD-45DB7B499D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9" name="Straight Connector 535">
            <a:extLst>
              <a:ext uri="{FF2B5EF4-FFF2-40B4-BE49-F238E27FC236}">
                <a16:creationId xmlns:a16="http://schemas.microsoft.com/office/drawing/2014/main" id="{A5368F64-ABFD-7783-A9BF-074A23949F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0" name="Straight Connector 537">
            <a:extLst>
              <a:ext uri="{FF2B5EF4-FFF2-40B4-BE49-F238E27FC236}">
                <a16:creationId xmlns:a16="http://schemas.microsoft.com/office/drawing/2014/main" id="{9FB085B6-FF68-02B3-5AEB-7525EBEE0F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21" name="Group 1008">
          <a:extLst>
            <a:ext uri="{FF2B5EF4-FFF2-40B4-BE49-F238E27FC236}">
              <a16:creationId xmlns:a16="http://schemas.microsoft.com/office/drawing/2014/main" id="{11C8329D-F53C-42C4-9570-D7F01DDF1505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22" name="Straight Connector 2721">
            <a:extLst>
              <a:ext uri="{FF2B5EF4-FFF2-40B4-BE49-F238E27FC236}">
                <a16:creationId xmlns:a16="http://schemas.microsoft.com/office/drawing/2014/main" id="{BE4DE581-BDFD-151C-3E02-D8DBD64879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23" name="Straight Connector 529">
            <a:extLst>
              <a:ext uri="{FF2B5EF4-FFF2-40B4-BE49-F238E27FC236}">
                <a16:creationId xmlns:a16="http://schemas.microsoft.com/office/drawing/2014/main" id="{29C543B4-B2AE-4C68-51A5-B443403B667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4" name="Straight Connector 531">
            <a:extLst>
              <a:ext uri="{FF2B5EF4-FFF2-40B4-BE49-F238E27FC236}">
                <a16:creationId xmlns:a16="http://schemas.microsoft.com/office/drawing/2014/main" id="{7C26F8C0-6B8E-D127-8F66-0800124666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5" name="Straight Connector 533">
            <a:extLst>
              <a:ext uri="{FF2B5EF4-FFF2-40B4-BE49-F238E27FC236}">
                <a16:creationId xmlns:a16="http://schemas.microsoft.com/office/drawing/2014/main" id="{0F166323-884E-E846-CD93-88F56FD423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6" name="Straight Connector 535">
            <a:extLst>
              <a:ext uri="{FF2B5EF4-FFF2-40B4-BE49-F238E27FC236}">
                <a16:creationId xmlns:a16="http://schemas.microsoft.com/office/drawing/2014/main" id="{A6BFA5F6-82BB-D7CF-E598-E32347A1161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7" name="Straight Connector 537">
            <a:extLst>
              <a:ext uri="{FF2B5EF4-FFF2-40B4-BE49-F238E27FC236}">
                <a16:creationId xmlns:a16="http://schemas.microsoft.com/office/drawing/2014/main" id="{FD323B74-FA22-9EA7-E25C-1E762B25B8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28" name="Group 1008">
          <a:extLst>
            <a:ext uri="{FF2B5EF4-FFF2-40B4-BE49-F238E27FC236}">
              <a16:creationId xmlns:a16="http://schemas.microsoft.com/office/drawing/2014/main" id="{6B2F0963-DB99-412A-8888-050751A191F6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29" name="Straight Connector 2728">
            <a:extLst>
              <a:ext uri="{FF2B5EF4-FFF2-40B4-BE49-F238E27FC236}">
                <a16:creationId xmlns:a16="http://schemas.microsoft.com/office/drawing/2014/main" id="{76B51249-BF8E-2FA5-B8AC-771FCACF1E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30" name="Straight Connector 529">
            <a:extLst>
              <a:ext uri="{FF2B5EF4-FFF2-40B4-BE49-F238E27FC236}">
                <a16:creationId xmlns:a16="http://schemas.microsoft.com/office/drawing/2014/main" id="{309B7620-EC0D-8B40-7941-00AF621BC4B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1" name="Straight Connector 531">
            <a:extLst>
              <a:ext uri="{FF2B5EF4-FFF2-40B4-BE49-F238E27FC236}">
                <a16:creationId xmlns:a16="http://schemas.microsoft.com/office/drawing/2014/main" id="{044E53FB-4DFA-43B4-C877-5D6A9844AD9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2" name="Straight Connector 533">
            <a:extLst>
              <a:ext uri="{FF2B5EF4-FFF2-40B4-BE49-F238E27FC236}">
                <a16:creationId xmlns:a16="http://schemas.microsoft.com/office/drawing/2014/main" id="{6762418A-4268-61AE-C788-08258A16A8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3" name="Straight Connector 535">
            <a:extLst>
              <a:ext uri="{FF2B5EF4-FFF2-40B4-BE49-F238E27FC236}">
                <a16:creationId xmlns:a16="http://schemas.microsoft.com/office/drawing/2014/main" id="{D4C03A83-9383-10B4-CBFD-A6A3137C24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4" name="Straight Connector 537">
            <a:extLst>
              <a:ext uri="{FF2B5EF4-FFF2-40B4-BE49-F238E27FC236}">
                <a16:creationId xmlns:a16="http://schemas.microsoft.com/office/drawing/2014/main" id="{D00E1CE1-3C98-C58C-9B97-2C342B95B2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35" name="Group 1008">
          <a:extLst>
            <a:ext uri="{FF2B5EF4-FFF2-40B4-BE49-F238E27FC236}">
              <a16:creationId xmlns:a16="http://schemas.microsoft.com/office/drawing/2014/main" id="{819367E4-19B5-4D52-B2DC-6D106CB20DF5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36" name="Straight Connector 2735">
            <a:extLst>
              <a:ext uri="{FF2B5EF4-FFF2-40B4-BE49-F238E27FC236}">
                <a16:creationId xmlns:a16="http://schemas.microsoft.com/office/drawing/2014/main" id="{2438B876-D761-88D5-9BAD-EA8F1D9370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37" name="Straight Connector 529">
            <a:extLst>
              <a:ext uri="{FF2B5EF4-FFF2-40B4-BE49-F238E27FC236}">
                <a16:creationId xmlns:a16="http://schemas.microsoft.com/office/drawing/2014/main" id="{308F58F8-2C5A-E442-339A-8AA64A2715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8" name="Straight Connector 531">
            <a:extLst>
              <a:ext uri="{FF2B5EF4-FFF2-40B4-BE49-F238E27FC236}">
                <a16:creationId xmlns:a16="http://schemas.microsoft.com/office/drawing/2014/main" id="{55FE7931-9837-1CA7-BC59-FAEEE99C47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9" name="Straight Connector 533">
            <a:extLst>
              <a:ext uri="{FF2B5EF4-FFF2-40B4-BE49-F238E27FC236}">
                <a16:creationId xmlns:a16="http://schemas.microsoft.com/office/drawing/2014/main" id="{28332EE1-AE7D-5647-D9EB-2107F0B60F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0" name="Straight Connector 535">
            <a:extLst>
              <a:ext uri="{FF2B5EF4-FFF2-40B4-BE49-F238E27FC236}">
                <a16:creationId xmlns:a16="http://schemas.microsoft.com/office/drawing/2014/main" id="{386D986B-108A-1B5F-DF80-276360FC29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1" name="Straight Connector 537">
            <a:extLst>
              <a:ext uri="{FF2B5EF4-FFF2-40B4-BE49-F238E27FC236}">
                <a16:creationId xmlns:a16="http://schemas.microsoft.com/office/drawing/2014/main" id="{ACEB08B6-BC41-5BD2-84CA-0BDDA3F6C7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42" name="Group 1008">
          <a:extLst>
            <a:ext uri="{FF2B5EF4-FFF2-40B4-BE49-F238E27FC236}">
              <a16:creationId xmlns:a16="http://schemas.microsoft.com/office/drawing/2014/main" id="{50605C30-C06E-4C00-A7D2-C664DA347EA0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43" name="Straight Connector 2742">
            <a:extLst>
              <a:ext uri="{FF2B5EF4-FFF2-40B4-BE49-F238E27FC236}">
                <a16:creationId xmlns:a16="http://schemas.microsoft.com/office/drawing/2014/main" id="{A1070AA6-954E-4335-F8FE-01E5DABFF59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44" name="Straight Connector 529">
            <a:extLst>
              <a:ext uri="{FF2B5EF4-FFF2-40B4-BE49-F238E27FC236}">
                <a16:creationId xmlns:a16="http://schemas.microsoft.com/office/drawing/2014/main" id="{7CBDEFE7-D3DB-C6DC-86CF-D1FEA57CD1A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5" name="Straight Connector 531">
            <a:extLst>
              <a:ext uri="{FF2B5EF4-FFF2-40B4-BE49-F238E27FC236}">
                <a16:creationId xmlns:a16="http://schemas.microsoft.com/office/drawing/2014/main" id="{99169F0D-A00C-A01F-8677-A7240C5E8A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6" name="Straight Connector 533">
            <a:extLst>
              <a:ext uri="{FF2B5EF4-FFF2-40B4-BE49-F238E27FC236}">
                <a16:creationId xmlns:a16="http://schemas.microsoft.com/office/drawing/2014/main" id="{0CFC91A4-5496-F055-F83C-716936CDDA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7" name="Straight Connector 535">
            <a:extLst>
              <a:ext uri="{FF2B5EF4-FFF2-40B4-BE49-F238E27FC236}">
                <a16:creationId xmlns:a16="http://schemas.microsoft.com/office/drawing/2014/main" id="{1A2BC762-8476-88FE-E5DD-23891F237BE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8" name="Straight Connector 537">
            <a:extLst>
              <a:ext uri="{FF2B5EF4-FFF2-40B4-BE49-F238E27FC236}">
                <a16:creationId xmlns:a16="http://schemas.microsoft.com/office/drawing/2014/main" id="{1A45F7FB-CA7C-5BD1-FCC2-F54D6FF591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49" name="Group 1008">
          <a:extLst>
            <a:ext uri="{FF2B5EF4-FFF2-40B4-BE49-F238E27FC236}">
              <a16:creationId xmlns:a16="http://schemas.microsoft.com/office/drawing/2014/main" id="{9D8933E6-82E6-40D0-BFD9-8353736D508E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50" name="Straight Connector 2749">
            <a:extLst>
              <a:ext uri="{FF2B5EF4-FFF2-40B4-BE49-F238E27FC236}">
                <a16:creationId xmlns:a16="http://schemas.microsoft.com/office/drawing/2014/main" id="{513800AE-1AE5-0682-122B-9167F7191C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51" name="Straight Connector 529">
            <a:extLst>
              <a:ext uri="{FF2B5EF4-FFF2-40B4-BE49-F238E27FC236}">
                <a16:creationId xmlns:a16="http://schemas.microsoft.com/office/drawing/2014/main" id="{B0260E21-D1AD-2426-6CB6-54BB3817187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2" name="Straight Connector 531">
            <a:extLst>
              <a:ext uri="{FF2B5EF4-FFF2-40B4-BE49-F238E27FC236}">
                <a16:creationId xmlns:a16="http://schemas.microsoft.com/office/drawing/2014/main" id="{CF1B7550-DE6F-1B0E-AD0B-D0DD1C0EB8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3" name="Straight Connector 533">
            <a:extLst>
              <a:ext uri="{FF2B5EF4-FFF2-40B4-BE49-F238E27FC236}">
                <a16:creationId xmlns:a16="http://schemas.microsoft.com/office/drawing/2014/main" id="{EEA42017-C46A-B5BC-3F7A-F3B658C349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4" name="Straight Connector 535">
            <a:extLst>
              <a:ext uri="{FF2B5EF4-FFF2-40B4-BE49-F238E27FC236}">
                <a16:creationId xmlns:a16="http://schemas.microsoft.com/office/drawing/2014/main" id="{CDF38EB0-86AC-2C25-05E4-DAB8421FEB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5" name="Straight Connector 537">
            <a:extLst>
              <a:ext uri="{FF2B5EF4-FFF2-40B4-BE49-F238E27FC236}">
                <a16:creationId xmlns:a16="http://schemas.microsoft.com/office/drawing/2014/main" id="{06E6EAE1-7808-9321-D5D9-B967A11D4A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56" name="Group 1008">
          <a:extLst>
            <a:ext uri="{FF2B5EF4-FFF2-40B4-BE49-F238E27FC236}">
              <a16:creationId xmlns:a16="http://schemas.microsoft.com/office/drawing/2014/main" id="{5C152CC7-7060-44E3-BDEF-2ACC4C660E52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57" name="Straight Connector 2756">
            <a:extLst>
              <a:ext uri="{FF2B5EF4-FFF2-40B4-BE49-F238E27FC236}">
                <a16:creationId xmlns:a16="http://schemas.microsoft.com/office/drawing/2014/main" id="{933017F3-F465-775C-7154-79D1B05EE61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58" name="Straight Connector 529">
            <a:extLst>
              <a:ext uri="{FF2B5EF4-FFF2-40B4-BE49-F238E27FC236}">
                <a16:creationId xmlns:a16="http://schemas.microsoft.com/office/drawing/2014/main" id="{5D350DFE-40C6-E7F2-8DAD-71C31A1B63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9" name="Straight Connector 531">
            <a:extLst>
              <a:ext uri="{FF2B5EF4-FFF2-40B4-BE49-F238E27FC236}">
                <a16:creationId xmlns:a16="http://schemas.microsoft.com/office/drawing/2014/main" id="{47EE02D0-D6D7-AC1E-F7A2-9AA22F27CA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0" name="Straight Connector 533">
            <a:extLst>
              <a:ext uri="{FF2B5EF4-FFF2-40B4-BE49-F238E27FC236}">
                <a16:creationId xmlns:a16="http://schemas.microsoft.com/office/drawing/2014/main" id="{4E453884-9335-97F1-4D91-7C8FFCE799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1" name="Straight Connector 535">
            <a:extLst>
              <a:ext uri="{FF2B5EF4-FFF2-40B4-BE49-F238E27FC236}">
                <a16:creationId xmlns:a16="http://schemas.microsoft.com/office/drawing/2014/main" id="{19E5A128-6937-7FAD-0632-874F6490CC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2" name="Straight Connector 537">
            <a:extLst>
              <a:ext uri="{FF2B5EF4-FFF2-40B4-BE49-F238E27FC236}">
                <a16:creationId xmlns:a16="http://schemas.microsoft.com/office/drawing/2014/main" id="{5DEBC328-0718-691E-4921-0BF8B8B5E2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63" name="Group 1008">
          <a:extLst>
            <a:ext uri="{FF2B5EF4-FFF2-40B4-BE49-F238E27FC236}">
              <a16:creationId xmlns:a16="http://schemas.microsoft.com/office/drawing/2014/main" id="{AE5A0E77-13E9-4620-B04C-DC2D815DF02E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64" name="Straight Connector 2763">
            <a:extLst>
              <a:ext uri="{FF2B5EF4-FFF2-40B4-BE49-F238E27FC236}">
                <a16:creationId xmlns:a16="http://schemas.microsoft.com/office/drawing/2014/main" id="{AC193430-F76B-BB66-1FA6-56EA4600CED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65" name="Straight Connector 529">
            <a:extLst>
              <a:ext uri="{FF2B5EF4-FFF2-40B4-BE49-F238E27FC236}">
                <a16:creationId xmlns:a16="http://schemas.microsoft.com/office/drawing/2014/main" id="{796E40F1-CB6A-6030-36FD-866DD0F4312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6" name="Straight Connector 531">
            <a:extLst>
              <a:ext uri="{FF2B5EF4-FFF2-40B4-BE49-F238E27FC236}">
                <a16:creationId xmlns:a16="http://schemas.microsoft.com/office/drawing/2014/main" id="{1D6BECCB-C6AE-D65B-C9F2-5C77E49BCA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7" name="Straight Connector 533">
            <a:extLst>
              <a:ext uri="{FF2B5EF4-FFF2-40B4-BE49-F238E27FC236}">
                <a16:creationId xmlns:a16="http://schemas.microsoft.com/office/drawing/2014/main" id="{1B48041E-85D7-C723-8BC2-EDE381BE5F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8" name="Straight Connector 535">
            <a:extLst>
              <a:ext uri="{FF2B5EF4-FFF2-40B4-BE49-F238E27FC236}">
                <a16:creationId xmlns:a16="http://schemas.microsoft.com/office/drawing/2014/main" id="{414F9410-9397-A434-FB05-CDF83C962F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9" name="Straight Connector 537">
            <a:extLst>
              <a:ext uri="{FF2B5EF4-FFF2-40B4-BE49-F238E27FC236}">
                <a16:creationId xmlns:a16="http://schemas.microsoft.com/office/drawing/2014/main" id="{16464B19-411F-360D-E744-2C7054EAEC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70" name="Group 1008">
          <a:extLst>
            <a:ext uri="{FF2B5EF4-FFF2-40B4-BE49-F238E27FC236}">
              <a16:creationId xmlns:a16="http://schemas.microsoft.com/office/drawing/2014/main" id="{2EDD468B-C9DD-4AC3-A5E8-CDB1B25F0696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71" name="Straight Connector 2770">
            <a:extLst>
              <a:ext uri="{FF2B5EF4-FFF2-40B4-BE49-F238E27FC236}">
                <a16:creationId xmlns:a16="http://schemas.microsoft.com/office/drawing/2014/main" id="{78279791-5ACF-4E94-E44A-EF54F2994D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72" name="Straight Connector 529">
            <a:extLst>
              <a:ext uri="{FF2B5EF4-FFF2-40B4-BE49-F238E27FC236}">
                <a16:creationId xmlns:a16="http://schemas.microsoft.com/office/drawing/2014/main" id="{40A49CE4-2EFD-044F-2008-30E00991F04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3" name="Straight Connector 531">
            <a:extLst>
              <a:ext uri="{FF2B5EF4-FFF2-40B4-BE49-F238E27FC236}">
                <a16:creationId xmlns:a16="http://schemas.microsoft.com/office/drawing/2014/main" id="{050B2C31-BB8C-8ACF-4F6E-B083E6B047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4" name="Straight Connector 533">
            <a:extLst>
              <a:ext uri="{FF2B5EF4-FFF2-40B4-BE49-F238E27FC236}">
                <a16:creationId xmlns:a16="http://schemas.microsoft.com/office/drawing/2014/main" id="{CACB8349-7270-452A-17E8-1D1C5DEFB1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5" name="Straight Connector 535">
            <a:extLst>
              <a:ext uri="{FF2B5EF4-FFF2-40B4-BE49-F238E27FC236}">
                <a16:creationId xmlns:a16="http://schemas.microsoft.com/office/drawing/2014/main" id="{751B2AFF-39F0-5588-C4CB-58905CDA2E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6" name="Straight Connector 537">
            <a:extLst>
              <a:ext uri="{FF2B5EF4-FFF2-40B4-BE49-F238E27FC236}">
                <a16:creationId xmlns:a16="http://schemas.microsoft.com/office/drawing/2014/main" id="{C7D7F20D-1F1E-BBB6-7B9F-952CA522D9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77" name="Group 1008">
          <a:extLst>
            <a:ext uri="{FF2B5EF4-FFF2-40B4-BE49-F238E27FC236}">
              <a16:creationId xmlns:a16="http://schemas.microsoft.com/office/drawing/2014/main" id="{61679337-2705-4CC6-8141-3254ED0533A1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78" name="Straight Connector 2777">
            <a:extLst>
              <a:ext uri="{FF2B5EF4-FFF2-40B4-BE49-F238E27FC236}">
                <a16:creationId xmlns:a16="http://schemas.microsoft.com/office/drawing/2014/main" id="{76169EC8-CB5D-122D-A1C3-A0F8371BEC7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79" name="Straight Connector 529">
            <a:extLst>
              <a:ext uri="{FF2B5EF4-FFF2-40B4-BE49-F238E27FC236}">
                <a16:creationId xmlns:a16="http://schemas.microsoft.com/office/drawing/2014/main" id="{30EE6532-8F42-A74E-B8FE-C1D017DFBB5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0" name="Straight Connector 531">
            <a:extLst>
              <a:ext uri="{FF2B5EF4-FFF2-40B4-BE49-F238E27FC236}">
                <a16:creationId xmlns:a16="http://schemas.microsoft.com/office/drawing/2014/main" id="{161EBCDD-91BD-28B3-D9D1-605ED8B8D0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1" name="Straight Connector 533">
            <a:extLst>
              <a:ext uri="{FF2B5EF4-FFF2-40B4-BE49-F238E27FC236}">
                <a16:creationId xmlns:a16="http://schemas.microsoft.com/office/drawing/2014/main" id="{221ED708-74B0-7181-89F3-CAF957C286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2" name="Straight Connector 535">
            <a:extLst>
              <a:ext uri="{FF2B5EF4-FFF2-40B4-BE49-F238E27FC236}">
                <a16:creationId xmlns:a16="http://schemas.microsoft.com/office/drawing/2014/main" id="{547A5C98-00CD-1CF2-0813-EC9C67339B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3" name="Straight Connector 537">
            <a:extLst>
              <a:ext uri="{FF2B5EF4-FFF2-40B4-BE49-F238E27FC236}">
                <a16:creationId xmlns:a16="http://schemas.microsoft.com/office/drawing/2014/main" id="{6CC69CF6-B733-A9CA-0E9D-534A079636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84" name="Group 1008">
          <a:extLst>
            <a:ext uri="{FF2B5EF4-FFF2-40B4-BE49-F238E27FC236}">
              <a16:creationId xmlns:a16="http://schemas.microsoft.com/office/drawing/2014/main" id="{AE3E9810-21BD-4783-94CC-DBFD19FB48BD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85" name="Straight Connector 2784">
            <a:extLst>
              <a:ext uri="{FF2B5EF4-FFF2-40B4-BE49-F238E27FC236}">
                <a16:creationId xmlns:a16="http://schemas.microsoft.com/office/drawing/2014/main" id="{EB7F634B-BBCD-CA3B-2896-C5BBB38C62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86" name="Straight Connector 529">
            <a:extLst>
              <a:ext uri="{FF2B5EF4-FFF2-40B4-BE49-F238E27FC236}">
                <a16:creationId xmlns:a16="http://schemas.microsoft.com/office/drawing/2014/main" id="{36952920-3B60-8218-0469-0F2242067F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7" name="Straight Connector 531">
            <a:extLst>
              <a:ext uri="{FF2B5EF4-FFF2-40B4-BE49-F238E27FC236}">
                <a16:creationId xmlns:a16="http://schemas.microsoft.com/office/drawing/2014/main" id="{1D24B630-6EA7-5F98-34A3-E30D058C95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8" name="Straight Connector 533">
            <a:extLst>
              <a:ext uri="{FF2B5EF4-FFF2-40B4-BE49-F238E27FC236}">
                <a16:creationId xmlns:a16="http://schemas.microsoft.com/office/drawing/2014/main" id="{A0B01EA1-F7D0-578B-92D0-6D9473B195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9" name="Straight Connector 535">
            <a:extLst>
              <a:ext uri="{FF2B5EF4-FFF2-40B4-BE49-F238E27FC236}">
                <a16:creationId xmlns:a16="http://schemas.microsoft.com/office/drawing/2014/main" id="{007641AC-7932-1B64-1ADF-8E6D21042C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0" name="Straight Connector 537">
            <a:extLst>
              <a:ext uri="{FF2B5EF4-FFF2-40B4-BE49-F238E27FC236}">
                <a16:creationId xmlns:a16="http://schemas.microsoft.com/office/drawing/2014/main" id="{E501947B-56A2-39FA-F77D-2766D8D948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91" name="Group 1008">
          <a:extLst>
            <a:ext uri="{FF2B5EF4-FFF2-40B4-BE49-F238E27FC236}">
              <a16:creationId xmlns:a16="http://schemas.microsoft.com/office/drawing/2014/main" id="{1D5DE014-A213-48DC-AC03-42F4A0F85289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92" name="Straight Connector 2791">
            <a:extLst>
              <a:ext uri="{FF2B5EF4-FFF2-40B4-BE49-F238E27FC236}">
                <a16:creationId xmlns:a16="http://schemas.microsoft.com/office/drawing/2014/main" id="{1BA2BD9B-C2B0-7CDC-8E18-52A62DE985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93" name="Straight Connector 529">
            <a:extLst>
              <a:ext uri="{FF2B5EF4-FFF2-40B4-BE49-F238E27FC236}">
                <a16:creationId xmlns:a16="http://schemas.microsoft.com/office/drawing/2014/main" id="{B04ABDB9-9BBC-82D2-B387-5B9A77221F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4" name="Straight Connector 531">
            <a:extLst>
              <a:ext uri="{FF2B5EF4-FFF2-40B4-BE49-F238E27FC236}">
                <a16:creationId xmlns:a16="http://schemas.microsoft.com/office/drawing/2014/main" id="{2FDF3781-C111-6CE3-0EBB-034C1CF4B9A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5" name="Straight Connector 533">
            <a:extLst>
              <a:ext uri="{FF2B5EF4-FFF2-40B4-BE49-F238E27FC236}">
                <a16:creationId xmlns:a16="http://schemas.microsoft.com/office/drawing/2014/main" id="{180FB7CE-D038-2532-6955-AB48A6B806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6" name="Straight Connector 535">
            <a:extLst>
              <a:ext uri="{FF2B5EF4-FFF2-40B4-BE49-F238E27FC236}">
                <a16:creationId xmlns:a16="http://schemas.microsoft.com/office/drawing/2014/main" id="{37070698-3ADB-17F5-B5DB-C1695ABD73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7" name="Straight Connector 537">
            <a:extLst>
              <a:ext uri="{FF2B5EF4-FFF2-40B4-BE49-F238E27FC236}">
                <a16:creationId xmlns:a16="http://schemas.microsoft.com/office/drawing/2014/main" id="{B8EA499C-F957-85E8-AE54-2A77962C2C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98" name="Group 1008">
          <a:extLst>
            <a:ext uri="{FF2B5EF4-FFF2-40B4-BE49-F238E27FC236}">
              <a16:creationId xmlns:a16="http://schemas.microsoft.com/office/drawing/2014/main" id="{ECA60711-C48F-47A4-BED6-D1739E3F113A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99" name="Straight Connector 2798">
            <a:extLst>
              <a:ext uri="{FF2B5EF4-FFF2-40B4-BE49-F238E27FC236}">
                <a16:creationId xmlns:a16="http://schemas.microsoft.com/office/drawing/2014/main" id="{227ED602-8E06-5A7E-0549-13EE46ED90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00" name="Straight Connector 529">
            <a:extLst>
              <a:ext uri="{FF2B5EF4-FFF2-40B4-BE49-F238E27FC236}">
                <a16:creationId xmlns:a16="http://schemas.microsoft.com/office/drawing/2014/main" id="{11197C90-181B-E7D2-AF53-A0458123DC8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1" name="Straight Connector 531">
            <a:extLst>
              <a:ext uri="{FF2B5EF4-FFF2-40B4-BE49-F238E27FC236}">
                <a16:creationId xmlns:a16="http://schemas.microsoft.com/office/drawing/2014/main" id="{4E98AAB9-3BC5-890C-0615-43211EC55CE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2" name="Straight Connector 533">
            <a:extLst>
              <a:ext uri="{FF2B5EF4-FFF2-40B4-BE49-F238E27FC236}">
                <a16:creationId xmlns:a16="http://schemas.microsoft.com/office/drawing/2014/main" id="{D76A0709-55F5-EB80-4689-0C58D348E6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3" name="Straight Connector 535">
            <a:extLst>
              <a:ext uri="{FF2B5EF4-FFF2-40B4-BE49-F238E27FC236}">
                <a16:creationId xmlns:a16="http://schemas.microsoft.com/office/drawing/2014/main" id="{E315D5F9-1CBB-9E6B-BF00-C9DB0DDEB4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4" name="Straight Connector 537">
            <a:extLst>
              <a:ext uri="{FF2B5EF4-FFF2-40B4-BE49-F238E27FC236}">
                <a16:creationId xmlns:a16="http://schemas.microsoft.com/office/drawing/2014/main" id="{1D2B5833-5002-BCB5-A3F4-173BECC324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05" name="Group 1008">
          <a:extLst>
            <a:ext uri="{FF2B5EF4-FFF2-40B4-BE49-F238E27FC236}">
              <a16:creationId xmlns:a16="http://schemas.microsoft.com/office/drawing/2014/main" id="{0F6CE8E1-385B-4156-A77C-4501C01F7062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06" name="Straight Connector 2805">
            <a:extLst>
              <a:ext uri="{FF2B5EF4-FFF2-40B4-BE49-F238E27FC236}">
                <a16:creationId xmlns:a16="http://schemas.microsoft.com/office/drawing/2014/main" id="{C4EDB5C0-2DFF-38FA-46D8-E5C6A005C8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07" name="Straight Connector 529">
            <a:extLst>
              <a:ext uri="{FF2B5EF4-FFF2-40B4-BE49-F238E27FC236}">
                <a16:creationId xmlns:a16="http://schemas.microsoft.com/office/drawing/2014/main" id="{7B93462D-2259-C1BF-93D7-AD07224F5A6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8" name="Straight Connector 531">
            <a:extLst>
              <a:ext uri="{FF2B5EF4-FFF2-40B4-BE49-F238E27FC236}">
                <a16:creationId xmlns:a16="http://schemas.microsoft.com/office/drawing/2014/main" id="{01A785D0-0A89-A13E-EA9A-F024DA3E20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9" name="Straight Connector 533">
            <a:extLst>
              <a:ext uri="{FF2B5EF4-FFF2-40B4-BE49-F238E27FC236}">
                <a16:creationId xmlns:a16="http://schemas.microsoft.com/office/drawing/2014/main" id="{C655E0B0-8AB5-1350-9FA2-0E732FFF92D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0" name="Straight Connector 535">
            <a:extLst>
              <a:ext uri="{FF2B5EF4-FFF2-40B4-BE49-F238E27FC236}">
                <a16:creationId xmlns:a16="http://schemas.microsoft.com/office/drawing/2014/main" id="{2870E58C-6F14-A10C-3B6B-187AB542330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1" name="Straight Connector 537">
            <a:extLst>
              <a:ext uri="{FF2B5EF4-FFF2-40B4-BE49-F238E27FC236}">
                <a16:creationId xmlns:a16="http://schemas.microsoft.com/office/drawing/2014/main" id="{D276E29A-6EC1-FD50-CAFA-3AED9E2DBB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12" name="Group 1008">
          <a:extLst>
            <a:ext uri="{FF2B5EF4-FFF2-40B4-BE49-F238E27FC236}">
              <a16:creationId xmlns:a16="http://schemas.microsoft.com/office/drawing/2014/main" id="{6BB37CBB-0F6B-4460-9441-FDB7FDCE05A6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13" name="Straight Connector 2812">
            <a:extLst>
              <a:ext uri="{FF2B5EF4-FFF2-40B4-BE49-F238E27FC236}">
                <a16:creationId xmlns:a16="http://schemas.microsoft.com/office/drawing/2014/main" id="{26CD2088-FE2F-A1AD-EB95-A2552A63DA1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14" name="Straight Connector 529">
            <a:extLst>
              <a:ext uri="{FF2B5EF4-FFF2-40B4-BE49-F238E27FC236}">
                <a16:creationId xmlns:a16="http://schemas.microsoft.com/office/drawing/2014/main" id="{92784928-78AB-09EA-0E86-D26404A4CD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5" name="Straight Connector 531">
            <a:extLst>
              <a:ext uri="{FF2B5EF4-FFF2-40B4-BE49-F238E27FC236}">
                <a16:creationId xmlns:a16="http://schemas.microsoft.com/office/drawing/2014/main" id="{1959E7C2-4729-E3EC-5F43-3A70ABAC2F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6" name="Straight Connector 533">
            <a:extLst>
              <a:ext uri="{FF2B5EF4-FFF2-40B4-BE49-F238E27FC236}">
                <a16:creationId xmlns:a16="http://schemas.microsoft.com/office/drawing/2014/main" id="{64A1ABCC-5F5F-C9F7-A846-1D6158F905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7" name="Straight Connector 535">
            <a:extLst>
              <a:ext uri="{FF2B5EF4-FFF2-40B4-BE49-F238E27FC236}">
                <a16:creationId xmlns:a16="http://schemas.microsoft.com/office/drawing/2014/main" id="{7194C994-B638-BB12-2A38-A3A138ED90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8" name="Straight Connector 537">
            <a:extLst>
              <a:ext uri="{FF2B5EF4-FFF2-40B4-BE49-F238E27FC236}">
                <a16:creationId xmlns:a16="http://schemas.microsoft.com/office/drawing/2014/main" id="{D617C439-54AA-1EA8-399F-5C27A9C02C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117</xdr:row>
      <xdr:rowOff>57150</xdr:rowOff>
    </xdr:from>
    <xdr:to>
      <xdr:col>7</xdr:col>
      <xdr:colOff>0</xdr:colOff>
      <xdr:row>119</xdr:row>
      <xdr:rowOff>0</xdr:rowOff>
    </xdr:to>
    <xdr:sp macro="" textlink="">
      <xdr:nvSpPr>
        <xdr:cNvPr id="2819" name="AutoShape 46">
          <a:extLst>
            <a:ext uri="{FF2B5EF4-FFF2-40B4-BE49-F238E27FC236}">
              <a16:creationId xmlns:a16="http://schemas.microsoft.com/office/drawing/2014/main" id="{8D68D6F1-8200-40C1-9A60-0800AA5D3DE2}"/>
            </a:ext>
          </a:extLst>
        </xdr:cNvPr>
        <xdr:cNvSpPr>
          <a:spLocks noChangeArrowheads="1"/>
        </xdr:cNvSpPr>
      </xdr:nvSpPr>
      <xdr:spPr bwMode="auto">
        <a:xfrm>
          <a:off x="1819275" y="22393275"/>
          <a:ext cx="352425" cy="323850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117</xdr:row>
      <xdr:rowOff>57150</xdr:rowOff>
    </xdr:from>
    <xdr:to>
      <xdr:col>5</xdr:col>
      <xdr:colOff>0</xdr:colOff>
      <xdr:row>119</xdr:row>
      <xdr:rowOff>0</xdr:rowOff>
    </xdr:to>
    <xdr:sp macro="" textlink="">
      <xdr:nvSpPr>
        <xdr:cNvPr id="2820" name="AutoShape 46">
          <a:extLst>
            <a:ext uri="{FF2B5EF4-FFF2-40B4-BE49-F238E27FC236}">
              <a16:creationId xmlns:a16="http://schemas.microsoft.com/office/drawing/2014/main" id="{7CF43D80-F2A0-404D-95FA-FED3CC45A525}"/>
            </a:ext>
          </a:extLst>
        </xdr:cNvPr>
        <xdr:cNvSpPr>
          <a:spLocks noChangeArrowheads="1"/>
        </xdr:cNvSpPr>
      </xdr:nvSpPr>
      <xdr:spPr bwMode="auto">
        <a:xfrm>
          <a:off x="1095375" y="22393275"/>
          <a:ext cx="4381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117</xdr:row>
      <xdr:rowOff>57150</xdr:rowOff>
    </xdr:from>
    <xdr:to>
      <xdr:col>3</xdr:col>
      <xdr:colOff>0</xdr:colOff>
      <xdr:row>119</xdr:row>
      <xdr:rowOff>0</xdr:rowOff>
    </xdr:to>
    <xdr:sp macro="" textlink="">
      <xdr:nvSpPr>
        <xdr:cNvPr id="2821" name="AutoShape 46">
          <a:extLst>
            <a:ext uri="{FF2B5EF4-FFF2-40B4-BE49-F238E27FC236}">
              <a16:creationId xmlns:a16="http://schemas.microsoft.com/office/drawing/2014/main" id="{B24DEFDF-E809-41B1-9EAF-557F79541A3B}"/>
            </a:ext>
          </a:extLst>
        </xdr:cNvPr>
        <xdr:cNvSpPr>
          <a:spLocks noChangeArrowheads="1"/>
        </xdr:cNvSpPr>
      </xdr:nvSpPr>
      <xdr:spPr bwMode="auto">
        <a:xfrm>
          <a:off x="523875" y="22393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29</xdr:col>
      <xdr:colOff>28576</xdr:colOff>
      <xdr:row>47</xdr:row>
      <xdr:rowOff>161924</xdr:rowOff>
    </xdr:from>
    <xdr:to>
      <xdr:col>29</xdr:col>
      <xdr:colOff>255906</xdr:colOff>
      <xdr:row>49</xdr:row>
      <xdr:rowOff>155120</xdr:rowOff>
    </xdr:to>
    <xdr:pic>
      <xdr:nvPicPr>
        <xdr:cNvPr id="2822" name="Graphic 2264" descr="Road with solid fill">
          <a:extLst>
            <a:ext uri="{FF2B5EF4-FFF2-40B4-BE49-F238E27FC236}">
              <a16:creationId xmlns:a16="http://schemas.microsoft.com/office/drawing/2014/main" id="{F8C0D119-5697-4EE0-9958-048F8189B1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6" y="9163049"/>
          <a:ext cx="228600" cy="428625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 editAs="oneCell">
    <xdr:from>
      <xdr:col>7</xdr:col>
      <xdr:colOff>38100</xdr:colOff>
      <xdr:row>72</xdr:row>
      <xdr:rowOff>0</xdr:rowOff>
    </xdr:from>
    <xdr:to>
      <xdr:col>7</xdr:col>
      <xdr:colOff>266268</xdr:colOff>
      <xdr:row>74</xdr:row>
      <xdr:rowOff>48894</xdr:rowOff>
    </xdr:to>
    <xdr:pic>
      <xdr:nvPicPr>
        <xdr:cNvPr id="2825" name="Graphic 2264" descr="Road with solid fill">
          <a:extLst>
            <a:ext uri="{FF2B5EF4-FFF2-40B4-BE49-F238E27FC236}">
              <a16:creationId xmlns:a16="http://schemas.microsoft.com/office/drawing/2014/main" id="{7EEC9473-CEF7-4C69-9702-DDE7ED7A2C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9800" y="13763625"/>
          <a:ext cx="223308" cy="428625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26" name="Group 1008">
          <a:extLst>
            <a:ext uri="{FF2B5EF4-FFF2-40B4-BE49-F238E27FC236}">
              <a16:creationId xmlns:a16="http://schemas.microsoft.com/office/drawing/2014/main" id="{CFC70E60-504D-4BF9-95E2-E37ED621869E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27" name="Straight Connector 2826">
            <a:extLst>
              <a:ext uri="{FF2B5EF4-FFF2-40B4-BE49-F238E27FC236}">
                <a16:creationId xmlns:a16="http://schemas.microsoft.com/office/drawing/2014/main" id="{ADD11699-C753-4700-1753-BAC7DCAA4E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28" name="Straight Connector 529">
            <a:extLst>
              <a:ext uri="{FF2B5EF4-FFF2-40B4-BE49-F238E27FC236}">
                <a16:creationId xmlns:a16="http://schemas.microsoft.com/office/drawing/2014/main" id="{F6E1F2D9-4A35-76D4-207B-AFAB6508989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29" name="Straight Connector 531">
            <a:extLst>
              <a:ext uri="{FF2B5EF4-FFF2-40B4-BE49-F238E27FC236}">
                <a16:creationId xmlns:a16="http://schemas.microsoft.com/office/drawing/2014/main" id="{9EFB6F5E-5F80-74A3-831B-2C22DF8692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0" name="Straight Connector 533">
            <a:extLst>
              <a:ext uri="{FF2B5EF4-FFF2-40B4-BE49-F238E27FC236}">
                <a16:creationId xmlns:a16="http://schemas.microsoft.com/office/drawing/2014/main" id="{BF1A662E-6862-4C3C-BFAD-B09FD71FB8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1" name="Straight Connector 535">
            <a:extLst>
              <a:ext uri="{FF2B5EF4-FFF2-40B4-BE49-F238E27FC236}">
                <a16:creationId xmlns:a16="http://schemas.microsoft.com/office/drawing/2014/main" id="{3F446CA2-B8AF-06E2-1863-EA27CCC0E9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2" name="Straight Connector 537">
            <a:extLst>
              <a:ext uri="{FF2B5EF4-FFF2-40B4-BE49-F238E27FC236}">
                <a16:creationId xmlns:a16="http://schemas.microsoft.com/office/drawing/2014/main" id="{107A3BA1-700F-679F-1B9B-1E173EF0FF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33" name="Group 1008">
          <a:extLst>
            <a:ext uri="{FF2B5EF4-FFF2-40B4-BE49-F238E27FC236}">
              <a16:creationId xmlns:a16="http://schemas.microsoft.com/office/drawing/2014/main" id="{D008060B-530E-4AC9-A3AD-5509ADF7DAA1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34" name="Straight Connector 2833">
            <a:extLst>
              <a:ext uri="{FF2B5EF4-FFF2-40B4-BE49-F238E27FC236}">
                <a16:creationId xmlns:a16="http://schemas.microsoft.com/office/drawing/2014/main" id="{18EEF984-4ADD-A6AB-8ADA-C028CBE21280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35" name="Straight Connector 529">
            <a:extLst>
              <a:ext uri="{FF2B5EF4-FFF2-40B4-BE49-F238E27FC236}">
                <a16:creationId xmlns:a16="http://schemas.microsoft.com/office/drawing/2014/main" id="{F9E20871-5446-3D1C-B8A7-F73EBF14D5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6" name="Straight Connector 531">
            <a:extLst>
              <a:ext uri="{FF2B5EF4-FFF2-40B4-BE49-F238E27FC236}">
                <a16:creationId xmlns:a16="http://schemas.microsoft.com/office/drawing/2014/main" id="{DD88F881-257C-6E57-CC57-84245B606E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7" name="Straight Connector 533">
            <a:extLst>
              <a:ext uri="{FF2B5EF4-FFF2-40B4-BE49-F238E27FC236}">
                <a16:creationId xmlns:a16="http://schemas.microsoft.com/office/drawing/2014/main" id="{A59FD33C-1C93-962E-1B66-D6042EB3C1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8" name="Straight Connector 535">
            <a:extLst>
              <a:ext uri="{FF2B5EF4-FFF2-40B4-BE49-F238E27FC236}">
                <a16:creationId xmlns:a16="http://schemas.microsoft.com/office/drawing/2014/main" id="{31C76E70-1ED5-2F83-31DD-DFC0B272D6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9" name="Straight Connector 537">
            <a:extLst>
              <a:ext uri="{FF2B5EF4-FFF2-40B4-BE49-F238E27FC236}">
                <a16:creationId xmlns:a16="http://schemas.microsoft.com/office/drawing/2014/main" id="{30B7F072-88A1-F72E-00C5-5CA62DD9561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47625</xdr:rowOff>
    </xdr:to>
    <xdr:grpSp>
      <xdr:nvGrpSpPr>
        <xdr:cNvPr id="2840" name="Group 1008">
          <a:extLst>
            <a:ext uri="{FF2B5EF4-FFF2-40B4-BE49-F238E27FC236}">
              <a16:creationId xmlns:a16="http://schemas.microsoft.com/office/drawing/2014/main" id="{764CB540-D3B6-43AB-9173-9793A1235F5E}"/>
            </a:ext>
          </a:extLst>
        </xdr:cNvPr>
        <xdr:cNvGrpSpPr>
          <a:grpSpLocks/>
        </xdr:cNvGrpSpPr>
      </xdr:nvGrpSpPr>
      <xdr:grpSpPr bwMode="auto">
        <a:xfrm>
          <a:off x="1807806" y="23725544"/>
          <a:ext cx="0" cy="102183"/>
          <a:chOff x="5475762" y="47760700"/>
          <a:chExt cx="314325" cy="230209"/>
        </a:xfrm>
      </xdr:grpSpPr>
      <xdr:cxnSp macro="">
        <xdr:nvCxnSpPr>
          <xdr:cNvPr id="2841" name="Straight Connector 2840">
            <a:extLst>
              <a:ext uri="{FF2B5EF4-FFF2-40B4-BE49-F238E27FC236}">
                <a16:creationId xmlns:a16="http://schemas.microsoft.com/office/drawing/2014/main" id="{D7251D49-3B53-09B3-0906-5C58BBEB9259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42" name="Straight Connector 529">
            <a:extLst>
              <a:ext uri="{FF2B5EF4-FFF2-40B4-BE49-F238E27FC236}">
                <a16:creationId xmlns:a16="http://schemas.microsoft.com/office/drawing/2014/main" id="{AB5F1853-3C3A-A5E7-3A8B-7A718CD92B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3" name="Straight Connector 531">
            <a:extLst>
              <a:ext uri="{FF2B5EF4-FFF2-40B4-BE49-F238E27FC236}">
                <a16:creationId xmlns:a16="http://schemas.microsoft.com/office/drawing/2014/main" id="{B0B032E9-155F-2605-74CE-2963CACC1F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4" name="Straight Connector 533">
            <a:extLst>
              <a:ext uri="{FF2B5EF4-FFF2-40B4-BE49-F238E27FC236}">
                <a16:creationId xmlns:a16="http://schemas.microsoft.com/office/drawing/2014/main" id="{E293F01C-D211-B0A7-2E59-9EB859AA59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5" name="Straight Connector 535">
            <a:extLst>
              <a:ext uri="{FF2B5EF4-FFF2-40B4-BE49-F238E27FC236}">
                <a16:creationId xmlns:a16="http://schemas.microsoft.com/office/drawing/2014/main" id="{DCB86DC9-BD07-720F-0E0E-7B2DFE02F8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6" name="Straight Connector 537">
            <a:extLst>
              <a:ext uri="{FF2B5EF4-FFF2-40B4-BE49-F238E27FC236}">
                <a16:creationId xmlns:a16="http://schemas.microsoft.com/office/drawing/2014/main" id="{7CCE35C3-A83B-FAFA-BFCC-3E4E195E7A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57150</xdr:rowOff>
    </xdr:to>
    <xdr:grpSp>
      <xdr:nvGrpSpPr>
        <xdr:cNvPr id="2847" name="Group 1008">
          <a:extLst>
            <a:ext uri="{FF2B5EF4-FFF2-40B4-BE49-F238E27FC236}">
              <a16:creationId xmlns:a16="http://schemas.microsoft.com/office/drawing/2014/main" id="{2D69E2EB-604C-4A54-971E-143CCD763DFD}"/>
            </a:ext>
          </a:extLst>
        </xdr:cNvPr>
        <xdr:cNvGrpSpPr>
          <a:grpSpLocks/>
        </xdr:cNvGrpSpPr>
      </xdr:nvGrpSpPr>
      <xdr:grpSpPr bwMode="auto">
        <a:xfrm>
          <a:off x="1807806" y="23725544"/>
          <a:ext cx="0" cy="111708"/>
          <a:chOff x="5475762" y="47760700"/>
          <a:chExt cx="314325" cy="230209"/>
        </a:xfrm>
      </xdr:grpSpPr>
      <xdr:cxnSp macro="">
        <xdr:nvCxnSpPr>
          <xdr:cNvPr id="2848" name="Straight Connector 2847">
            <a:extLst>
              <a:ext uri="{FF2B5EF4-FFF2-40B4-BE49-F238E27FC236}">
                <a16:creationId xmlns:a16="http://schemas.microsoft.com/office/drawing/2014/main" id="{6EAB5020-7867-2BED-2BE7-AAC923804AFE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49" name="Straight Connector 529">
            <a:extLst>
              <a:ext uri="{FF2B5EF4-FFF2-40B4-BE49-F238E27FC236}">
                <a16:creationId xmlns:a16="http://schemas.microsoft.com/office/drawing/2014/main" id="{411309A2-9F82-D428-3BBE-F038F155BA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0" name="Straight Connector 531">
            <a:extLst>
              <a:ext uri="{FF2B5EF4-FFF2-40B4-BE49-F238E27FC236}">
                <a16:creationId xmlns:a16="http://schemas.microsoft.com/office/drawing/2014/main" id="{6F680C2A-85B5-3252-E2D3-9EF5726907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1" name="Straight Connector 533">
            <a:extLst>
              <a:ext uri="{FF2B5EF4-FFF2-40B4-BE49-F238E27FC236}">
                <a16:creationId xmlns:a16="http://schemas.microsoft.com/office/drawing/2014/main" id="{04742ABA-B82B-75CD-79CD-5E1F26579E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2" name="Straight Connector 535">
            <a:extLst>
              <a:ext uri="{FF2B5EF4-FFF2-40B4-BE49-F238E27FC236}">
                <a16:creationId xmlns:a16="http://schemas.microsoft.com/office/drawing/2014/main" id="{08E7436D-BAE5-CE53-57D0-6D1385D04F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3" name="Straight Connector 537">
            <a:extLst>
              <a:ext uri="{FF2B5EF4-FFF2-40B4-BE49-F238E27FC236}">
                <a16:creationId xmlns:a16="http://schemas.microsoft.com/office/drawing/2014/main" id="{EE2C9C6B-C144-3505-3340-1591A49D95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54" name="Group 1008">
          <a:extLst>
            <a:ext uri="{FF2B5EF4-FFF2-40B4-BE49-F238E27FC236}">
              <a16:creationId xmlns:a16="http://schemas.microsoft.com/office/drawing/2014/main" id="{717258C6-B907-46B5-9415-2DB49E3A75EA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55" name="Straight Connector 2854">
            <a:extLst>
              <a:ext uri="{FF2B5EF4-FFF2-40B4-BE49-F238E27FC236}">
                <a16:creationId xmlns:a16="http://schemas.microsoft.com/office/drawing/2014/main" id="{6B84853A-16BA-C743-974B-05212EDD2C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56" name="Straight Connector 529">
            <a:extLst>
              <a:ext uri="{FF2B5EF4-FFF2-40B4-BE49-F238E27FC236}">
                <a16:creationId xmlns:a16="http://schemas.microsoft.com/office/drawing/2014/main" id="{12E94406-0C4F-695B-83A2-24477E8D07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7" name="Straight Connector 531">
            <a:extLst>
              <a:ext uri="{FF2B5EF4-FFF2-40B4-BE49-F238E27FC236}">
                <a16:creationId xmlns:a16="http://schemas.microsoft.com/office/drawing/2014/main" id="{E34D795E-7980-3086-8FD7-F3E6FBD118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8" name="Straight Connector 533">
            <a:extLst>
              <a:ext uri="{FF2B5EF4-FFF2-40B4-BE49-F238E27FC236}">
                <a16:creationId xmlns:a16="http://schemas.microsoft.com/office/drawing/2014/main" id="{0C0C99B9-D2B2-6D63-075E-2963EF36D3C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9" name="Straight Connector 535">
            <a:extLst>
              <a:ext uri="{FF2B5EF4-FFF2-40B4-BE49-F238E27FC236}">
                <a16:creationId xmlns:a16="http://schemas.microsoft.com/office/drawing/2014/main" id="{25B33BBF-EDA1-E7DF-F1B7-BF5FC3E888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0" name="Straight Connector 537">
            <a:extLst>
              <a:ext uri="{FF2B5EF4-FFF2-40B4-BE49-F238E27FC236}">
                <a16:creationId xmlns:a16="http://schemas.microsoft.com/office/drawing/2014/main" id="{82931B40-5DC9-4DCC-D7CF-FD89A8BDC4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61" name="Group 1008">
          <a:extLst>
            <a:ext uri="{FF2B5EF4-FFF2-40B4-BE49-F238E27FC236}">
              <a16:creationId xmlns:a16="http://schemas.microsoft.com/office/drawing/2014/main" id="{05A4882B-1AE6-4AB7-A09D-BC805E3A542B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62" name="Straight Connector 2861">
            <a:extLst>
              <a:ext uri="{FF2B5EF4-FFF2-40B4-BE49-F238E27FC236}">
                <a16:creationId xmlns:a16="http://schemas.microsoft.com/office/drawing/2014/main" id="{2F8F82BF-FB7A-DEA2-9649-EF97FEAD89E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63" name="Straight Connector 529">
            <a:extLst>
              <a:ext uri="{FF2B5EF4-FFF2-40B4-BE49-F238E27FC236}">
                <a16:creationId xmlns:a16="http://schemas.microsoft.com/office/drawing/2014/main" id="{A2DC5F7F-836D-D294-83AA-83DC5C12C0E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4" name="Straight Connector 531">
            <a:extLst>
              <a:ext uri="{FF2B5EF4-FFF2-40B4-BE49-F238E27FC236}">
                <a16:creationId xmlns:a16="http://schemas.microsoft.com/office/drawing/2014/main" id="{A0FDB30D-CD26-D2D0-E26A-8078871C37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5" name="Straight Connector 533">
            <a:extLst>
              <a:ext uri="{FF2B5EF4-FFF2-40B4-BE49-F238E27FC236}">
                <a16:creationId xmlns:a16="http://schemas.microsoft.com/office/drawing/2014/main" id="{7A62F5BE-A467-1331-79D9-4EEAB05EF0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6" name="Straight Connector 535">
            <a:extLst>
              <a:ext uri="{FF2B5EF4-FFF2-40B4-BE49-F238E27FC236}">
                <a16:creationId xmlns:a16="http://schemas.microsoft.com/office/drawing/2014/main" id="{41D5CB3A-C1BD-8F39-A5A7-0E9B1767FE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7" name="Straight Connector 537">
            <a:extLst>
              <a:ext uri="{FF2B5EF4-FFF2-40B4-BE49-F238E27FC236}">
                <a16:creationId xmlns:a16="http://schemas.microsoft.com/office/drawing/2014/main" id="{BEDD3989-20D8-E5A0-C796-7593ABD84D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68" name="Group 1008">
          <a:extLst>
            <a:ext uri="{FF2B5EF4-FFF2-40B4-BE49-F238E27FC236}">
              <a16:creationId xmlns:a16="http://schemas.microsoft.com/office/drawing/2014/main" id="{6C952D19-E1C5-47C4-BC44-9D4B0D225621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69" name="Straight Connector 2868">
            <a:extLst>
              <a:ext uri="{FF2B5EF4-FFF2-40B4-BE49-F238E27FC236}">
                <a16:creationId xmlns:a16="http://schemas.microsoft.com/office/drawing/2014/main" id="{70BD7E86-4BED-8981-3B6A-80C44FAEBF4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70" name="Straight Connector 529">
            <a:extLst>
              <a:ext uri="{FF2B5EF4-FFF2-40B4-BE49-F238E27FC236}">
                <a16:creationId xmlns:a16="http://schemas.microsoft.com/office/drawing/2014/main" id="{38980C74-3360-617F-3B06-F0D0BBA9350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1" name="Straight Connector 531">
            <a:extLst>
              <a:ext uri="{FF2B5EF4-FFF2-40B4-BE49-F238E27FC236}">
                <a16:creationId xmlns:a16="http://schemas.microsoft.com/office/drawing/2014/main" id="{6369F61E-9506-3BBB-1DB4-02E02784D0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2" name="Straight Connector 533">
            <a:extLst>
              <a:ext uri="{FF2B5EF4-FFF2-40B4-BE49-F238E27FC236}">
                <a16:creationId xmlns:a16="http://schemas.microsoft.com/office/drawing/2014/main" id="{7E3E0C69-7D94-C9F5-8E7B-EF13F2BF7A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3" name="Straight Connector 535">
            <a:extLst>
              <a:ext uri="{FF2B5EF4-FFF2-40B4-BE49-F238E27FC236}">
                <a16:creationId xmlns:a16="http://schemas.microsoft.com/office/drawing/2014/main" id="{983B34FE-1F7A-93A6-15A8-821E8DBA16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4" name="Straight Connector 537">
            <a:extLst>
              <a:ext uri="{FF2B5EF4-FFF2-40B4-BE49-F238E27FC236}">
                <a16:creationId xmlns:a16="http://schemas.microsoft.com/office/drawing/2014/main" id="{9B3F45D9-C5C4-56F0-007A-3AA37EA949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75" name="Group 1008">
          <a:extLst>
            <a:ext uri="{FF2B5EF4-FFF2-40B4-BE49-F238E27FC236}">
              <a16:creationId xmlns:a16="http://schemas.microsoft.com/office/drawing/2014/main" id="{BC13133C-2069-41BA-A5F3-23C66DB3D0F4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76" name="Straight Connector 2875">
            <a:extLst>
              <a:ext uri="{FF2B5EF4-FFF2-40B4-BE49-F238E27FC236}">
                <a16:creationId xmlns:a16="http://schemas.microsoft.com/office/drawing/2014/main" id="{830F92C0-9C90-2040-1797-FFF782DD274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77" name="Straight Connector 529">
            <a:extLst>
              <a:ext uri="{FF2B5EF4-FFF2-40B4-BE49-F238E27FC236}">
                <a16:creationId xmlns:a16="http://schemas.microsoft.com/office/drawing/2014/main" id="{1A2F38E6-4502-9FC3-6845-CFE856E714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8" name="Straight Connector 531">
            <a:extLst>
              <a:ext uri="{FF2B5EF4-FFF2-40B4-BE49-F238E27FC236}">
                <a16:creationId xmlns:a16="http://schemas.microsoft.com/office/drawing/2014/main" id="{A6D790ED-4148-AB03-A7A8-123B8047A9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9" name="Straight Connector 533">
            <a:extLst>
              <a:ext uri="{FF2B5EF4-FFF2-40B4-BE49-F238E27FC236}">
                <a16:creationId xmlns:a16="http://schemas.microsoft.com/office/drawing/2014/main" id="{787FFFD0-8E49-DDB0-68D3-47A70BEB98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0" name="Straight Connector 535">
            <a:extLst>
              <a:ext uri="{FF2B5EF4-FFF2-40B4-BE49-F238E27FC236}">
                <a16:creationId xmlns:a16="http://schemas.microsoft.com/office/drawing/2014/main" id="{623621B8-5A61-8DF3-C217-2F1F0A4FE1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1" name="Straight Connector 537">
            <a:extLst>
              <a:ext uri="{FF2B5EF4-FFF2-40B4-BE49-F238E27FC236}">
                <a16:creationId xmlns:a16="http://schemas.microsoft.com/office/drawing/2014/main" id="{A069C779-065E-70CC-F7A3-3FA5B630EA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82" name="Group 1008">
          <a:extLst>
            <a:ext uri="{FF2B5EF4-FFF2-40B4-BE49-F238E27FC236}">
              <a16:creationId xmlns:a16="http://schemas.microsoft.com/office/drawing/2014/main" id="{D4F2D081-1C0A-47A4-866D-9E9F6923BC97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83" name="Straight Connector 2882">
            <a:extLst>
              <a:ext uri="{FF2B5EF4-FFF2-40B4-BE49-F238E27FC236}">
                <a16:creationId xmlns:a16="http://schemas.microsoft.com/office/drawing/2014/main" id="{1248D6CF-B854-83F8-3505-8CE38EC8670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84" name="Straight Connector 529">
            <a:extLst>
              <a:ext uri="{FF2B5EF4-FFF2-40B4-BE49-F238E27FC236}">
                <a16:creationId xmlns:a16="http://schemas.microsoft.com/office/drawing/2014/main" id="{70456236-2006-A1D3-1695-22A3FBDAC2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5" name="Straight Connector 531">
            <a:extLst>
              <a:ext uri="{FF2B5EF4-FFF2-40B4-BE49-F238E27FC236}">
                <a16:creationId xmlns:a16="http://schemas.microsoft.com/office/drawing/2014/main" id="{042CDE4C-4F6C-589A-4EB4-952514D5DD3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6" name="Straight Connector 533">
            <a:extLst>
              <a:ext uri="{FF2B5EF4-FFF2-40B4-BE49-F238E27FC236}">
                <a16:creationId xmlns:a16="http://schemas.microsoft.com/office/drawing/2014/main" id="{673628D3-2558-EADB-43B0-7C0F56FE9D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7" name="Straight Connector 535">
            <a:extLst>
              <a:ext uri="{FF2B5EF4-FFF2-40B4-BE49-F238E27FC236}">
                <a16:creationId xmlns:a16="http://schemas.microsoft.com/office/drawing/2014/main" id="{F2890877-93E2-9C99-4617-13513F79D2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8" name="Straight Connector 537">
            <a:extLst>
              <a:ext uri="{FF2B5EF4-FFF2-40B4-BE49-F238E27FC236}">
                <a16:creationId xmlns:a16="http://schemas.microsoft.com/office/drawing/2014/main" id="{BFE1999C-4368-3941-DBBF-A1BE5457844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89" name="Group 1008">
          <a:extLst>
            <a:ext uri="{FF2B5EF4-FFF2-40B4-BE49-F238E27FC236}">
              <a16:creationId xmlns:a16="http://schemas.microsoft.com/office/drawing/2014/main" id="{C8948C64-797F-4A32-8916-AE65309EE15A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90" name="Straight Connector 2889">
            <a:extLst>
              <a:ext uri="{FF2B5EF4-FFF2-40B4-BE49-F238E27FC236}">
                <a16:creationId xmlns:a16="http://schemas.microsoft.com/office/drawing/2014/main" id="{496C0206-3629-8333-3EDA-E5D71C8764F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91" name="Straight Connector 529">
            <a:extLst>
              <a:ext uri="{FF2B5EF4-FFF2-40B4-BE49-F238E27FC236}">
                <a16:creationId xmlns:a16="http://schemas.microsoft.com/office/drawing/2014/main" id="{3270A127-D509-5683-7AB2-51ABE09DD5C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2" name="Straight Connector 531">
            <a:extLst>
              <a:ext uri="{FF2B5EF4-FFF2-40B4-BE49-F238E27FC236}">
                <a16:creationId xmlns:a16="http://schemas.microsoft.com/office/drawing/2014/main" id="{ED712703-2500-0B10-AF22-8626026AF5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3" name="Straight Connector 533">
            <a:extLst>
              <a:ext uri="{FF2B5EF4-FFF2-40B4-BE49-F238E27FC236}">
                <a16:creationId xmlns:a16="http://schemas.microsoft.com/office/drawing/2014/main" id="{CCE2D7F1-DD57-CCAF-BB6A-FE8459CCD3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4" name="Straight Connector 535">
            <a:extLst>
              <a:ext uri="{FF2B5EF4-FFF2-40B4-BE49-F238E27FC236}">
                <a16:creationId xmlns:a16="http://schemas.microsoft.com/office/drawing/2014/main" id="{5809F921-32EF-FC31-FD64-2B0A1F548D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5" name="Straight Connector 537">
            <a:extLst>
              <a:ext uri="{FF2B5EF4-FFF2-40B4-BE49-F238E27FC236}">
                <a16:creationId xmlns:a16="http://schemas.microsoft.com/office/drawing/2014/main" id="{4169A52B-1CD7-AD74-848C-109917182C2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96" name="Group 1008">
          <a:extLst>
            <a:ext uri="{FF2B5EF4-FFF2-40B4-BE49-F238E27FC236}">
              <a16:creationId xmlns:a16="http://schemas.microsoft.com/office/drawing/2014/main" id="{4ACEFE98-84DC-4C34-A5F5-DCD0C72C4619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97" name="Straight Connector 2896">
            <a:extLst>
              <a:ext uri="{FF2B5EF4-FFF2-40B4-BE49-F238E27FC236}">
                <a16:creationId xmlns:a16="http://schemas.microsoft.com/office/drawing/2014/main" id="{5A50D6BD-2EA1-0045-7F76-6D87212645E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98" name="Straight Connector 529">
            <a:extLst>
              <a:ext uri="{FF2B5EF4-FFF2-40B4-BE49-F238E27FC236}">
                <a16:creationId xmlns:a16="http://schemas.microsoft.com/office/drawing/2014/main" id="{089555D9-37A7-85C1-8C3B-49A4B329EA5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9" name="Straight Connector 531">
            <a:extLst>
              <a:ext uri="{FF2B5EF4-FFF2-40B4-BE49-F238E27FC236}">
                <a16:creationId xmlns:a16="http://schemas.microsoft.com/office/drawing/2014/main" id="{504AA38C-7969-4935-1250-C95DE00A82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0" name="Straight Connector 533">
            <a:extLst>
              <a:ext uri="{FF2B5EF4-FFF2-40B4-BE49-F238E27FC236}">
                <a16:creationId xmlns:a16="http://schemas.microsoft.com/office/drawing/2014/main" id="{14FC9EBD-C902-60D4-2DD0-8FD4C8FF4A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1" name="Straight Connector 535">
            <a:extLst>
              <a:ext uri="{FF2B5EF4-FFF2-40B4-BE49-F238E27FC236}">
                <a16:creationId xmlns:a16="http://schemas.microsoft.com/office/drawing/2014/main" id="{746604B0-56E1-095B-F459-B806956234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2" name="Straight Connector 537">
            <a:extLst>
              <a:ext uri="{FF2B5EF4-FFF2-40B4-BE49-F238E27FC236}">
                <a16:creationId xmlns:a16="http://schemas.microsoft.com/office/drawing/2014/main" id="{DE6F47D0-2876-F60C-40A6-FA5D7936D1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03" name="Group 1008">
          <a:extLst>
            <a:ext uri="{FF2B5EF4-FFF2-40B4-BE49-F238E27FC236}">
              <a16:creationId xmlns:a16="http://schemas.microsoft.com/office/drawing/2014/main" id="{67A167A2-27B0-4CD0-815D-2A65F94AD9D0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04" name="Straight Connector 2903">
            <a:extLst>
              <a:ext uri="{FF2B5EF4-FFF2-40B4-BE49-F238E27FC236}">
                <a16:creationId xmlns:a16="http://schemas.microsoft.com/office/drawing/2014/main" id="{61D8FE5F-0E60-1053-9EF5-FEA8A0ABA16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05" name="Straight Connector 529">
            <a:extLst>
              <a:ext uri="{FF2B5EF4-FFF2-40B4-BE49-F238E27FC236}">
                <a16:creationId xmlns:a16="http://schemas.microsoft.com/office/drawing/2014/main" id="{EBA879DC-886E-5822-28FE-9B669E16107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6" name="Straight Connector 531">
            <a:extLst>
              <a:ext uri="{FF2B5EF4-FFF2-40B4-BE49-F238E27FC236}">
                <a16:creationId xmlns:a16="http://schemas.microsoft.com/office/drawing/2014/main" id="{9969D0FE-44AE-19FF-11B0-5C9A9B93DA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7" name="Straight Connector 533">
            <a:extLst>
              <a:ext uri="{FF2B5EF4-FFF2-40B4-BE49-F238E27FC236}">
                <a16:creationId xmlns:a16="http://schemas.microsoft.com/office/drawing/2014/main" id="{C7F9F7A8-14D5-30BC-21C0-FD0F8B67565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8" name="Straight Connector 535">
            <a:extLst>
              <a:ext uri="{FF2B5EF4-FFF2-40B4-BE49-F238E27FC236}">
                <a16:creationId xmlns:a16="http://schemas.microsoft.com/office/drawing/2014/main" id="{367BE2ED-E340-5FA6-2A0B-CE63C65E4B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9" name="Straight Connector 537">
            <a:extLst>
              <a:ext uri="{FF2B5EF4-FFF2-40B4-BE49-F238E27FC236}">
                <a16:creationId xmlns:a16="http://schemas.microsoft.com/office/drawing/2014/main" id="{6E9712BB-6589-0242-6FA9-83994AE56A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10" name="Group 1008">
          <a:extLst>
            <a:ext uri="{FF2B5EF4-FFF2-40B4-BE49-F238E27FC236}">
              <a16:creationId xmlns:a16="http://schemas.microsoft.com/office/drawing/2014/main" id="{2FD75260-80CC-4CFB-BCF0-7C95AF49C450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11" name="Straight Connector 2910">
            <a:extLst>
              <a:ext uri="{FF2B5EF4-FFF2-40B4-BE49-F238E27FC236}">
                <a16:creationId xmlns:a16="http://schemas.microsoft.com/office/drawing/2014/main" id="{F6DF8A26-2E6D-764A-7575-632E37931D8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12" name="Straight Connector 529">
            <a:extLst>
              <a:ext uri="{FF2B5EF4-FFF2-40B4-BE49-F238E27FC236}">
                <a16:creationId xmlns:a16="http://schemas.microsoft.com/office/drawing/2014/main" id="{169CB88E-4FBF-ECF8-7BCC-7F711EF2EB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3" name="Straight Connector 531">
            <a:extLst>
              <a:ext uri="{FF2B5EF4-FFF2-40B4-BE49-F238E27FC236}">
                <a16:creationId xmlns:a16="http://schemas.microsoft.com/office/drawing/2014/main" id="{3C41BCFA-CA25-3298-DBC0-6C03ACE515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4" name="Straight Connector 533">
            <a:extLst>
              <a:ext uri="{FF2B5EF4-FFF2-40B4-BE49-F238E27FC236}">
                <a16:creationId xmlns:a16="http://schemas.microsoft.com/office/drawing/2014/main" id="{4BF3CCE5-F557-22CD-D886-60A8A7FFD5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5" name="Straight Connector 535">
            <a:extLst>
              <a:ext uri="{FF2B5EF4-FFF2-40B4-BE49-F238E27FC236}">
                <a16:creationId xmlns:a16="http://schemas.microsoft.com/office/drawing/2014/main" id="{2C2EED6E-E8DB-F8BD-E77B-9B8FAC690D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6" name="Straight Connector 537">
            <a:extLst>
              <a:ext uri="{FF2B5EF4-FFF2-40B4-BE49-F238E27FC236}">
                <a16:creationId xmlns:a16="http://schemas.microsoft.com/office/drawing/2014/main" id="{19E2A8B2-FB50-82E0-AD91-AD462D7383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17" name="Group 1008">
          <a:extLst>
            <a:ext uri="{FF2B5EF4-FFF2-40B4-BE49-F238E27FC236}">
              <a16:creationId xmlns:a16="http://schemas.microsoft.com/office/drawing/2014/main" id="{FD545E2B-BE1D-4813-AD90-91255A9E7613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18" name="Straight Connector 2917">
            <a:extLst>
              <a:ext uri="{FF2B5EF4-FFF2-40B4-BE49-F238E27FC236}">
                <a16:creationId xmlns:a16="http://schemas.microsoft.com/office/drawing/2014/main" id="{80ABC93E-F675-0021-DA5B-A4E2241F360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19" name="Straight Connector 529">
            <a:extLst>
              <a:ext uri="{FF2B5EF4-FFF2-40B4-BE49-F238E27FC236}">
                <a16:creationId xmlns:a16="http://schemas.microsoft.com/office/drawing/2014/main" id="{2C246C42-C9F4-C3FF-70CE-46F84DFD077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0" name="Straight Connector 531">
            <a:extLst>
              <a:ext uri="{FF2B5EF4-FFF2-40B4-BE49-F238E27FC236}">
                <a16:creationId xmlns:a16="http://schemas.microsoft.com/office/drawing/2014/main" id="{C8A82610-A683-BB51-91A1-6DC2B706F28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1" name="Straight Connector 533">
            <a:extLst>
              <a:ext uri="{FF2B5EF4-FFF2-40B4-BE49-F238E27FC236}">
                <a16:creationId xmlns:a16="http://schemas.microsoft.com/office/drawing/2014/main" id="{B20E3B56-E710-CF4D-666F-64FCC93849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2" name="Straight Connector 535">
            <a:extLst>
              <a:ext uri="{FF2B5EF4-FFF2-40B4-BE49-F238E27FC236}">
                <a16:creationId xmlns:a16="http://schemas.microsoft.com/office/drawing/2014/main" id="{14A2E378-E2C6-7096-6890-8753362A01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3" name="Straight Connector 537">
            <a:extLst>
              <a:ext uri="{FF2B5EF4-FFF2-40B4-BE49-F238E27FC236}">
                <a16:creationId xmlns:a16="http://schemas.microsoft.com/office/drawing/2014/main" id="{7AC615BE-8E4E-23E5-D8AB-D16259C039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24" name="Group 1008">
          <a:extLst>
            <a:ext uri="{FF2B5EF4-FFF2-40B4-BE49-F238E27FC236}">
              <a16:creationId xmlns:a16="http://schemas.microsoft.com/office/drawing/2014/main" id="{9C6B379C-AFCE-4E08-90F5-95659F802423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25" name="Straight Connector 2924">
            <a:extLst>
              <a:ext uri="{FF2B5EF4-FFF2-40B4-BE49-F238E27FC236}">
                <a16:creationId xmlns:a16="http://schemas.microsoft.com/office/drawing/2014/main" id="{E84CACA3-F2EE-5352-E477-ECA7AD2E19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26" name="Straight Connector 529">
            <a:extLst>
              <a:ext uri="{FF2B5EF4-FFF2-40B4-BE49-F238E27FC236}">
                <a16:creationId xmlns:a16="http://schemas.microsoft.com/office/drawing/2014/main" id="{6B1E4CC3-74C8-E1A5-A06A-46029BD34B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7" name="Straight Connector 531">
            <a:extLst>
              <a:ext uri="{FF2B5EF4-FFF2-40B4-BE49-F238E27FC236}">
                <a16:creationId xmlns:a16="http://schemas.microsoft.com/office/drawing/2014/main" id="{92C17548-6E02-B1FA-C01E-81DD418166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8" name="Straight Connector 533">
            <a:extLst>
              <a:ext uri="{FF2B5EF4-FFF2-40B4-BE49-F238E27FC236}">
                <a16:creationId xmlns:a16="http://schemas.microsoft.com/office/drawing/2014/main" id="{97018488-B99C-5BF7-1053-2192EFA97A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9" name="Straight Connector 535">
            <a:extLst>
              <a:ext uri="{FF2B5EF4-FFF2-40B4-BE49-F238E27FC236}">
                <a16:creationId xmlns:a16="http://schemas.microsoft.com/office/drawing/2014/main" id="{7FC39D1E-9C27-C59F-37F0-76D63EB311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0" name="Straight Connector 537">
            <a:extLst>
              <a:ext uri="{FF2B5EF4-FFF2-40B4-BE49-F238E27FC236}">
                <a16:creationId xmlns:a16="http://schemas.microsoft.com/office/drawing/2014/main" id="{8F16A91E-7030-D95F-8E11-795B5C8D10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31" name="Group 1008">
          <a:extLst>
            <a:ext uri="{FF2B5EF4-FFF2-40B4-BE49-F238E27FC236}">
              <a16:creationId xmlns:a16="http://schemas.microsoft.com/office/drawing/2014/main" id="{0F2F9537-B50D-46CB-BFB7-07F866F32235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32" name="Straight Connector 2931">
            <a:extLst>
              <a:ext uri="{FF2B5EF4-FFF2-40B4-BE49-F238E27FC236}">
                <a16:creationId xmlns:a16="http://schemas.microsoft.com/office/drawing/2014/main" id="{42B04FAB-3B85-5154-A2EA-235E29E9150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33" name="Straight Connector 529">
            <a:extLst>
              <a:ext uri="{FF2B5EF4-FFF2-40B4-BE49-F238E27FC236}">
                <a16:creationId xmlns:a16="http://schemas.microsoft.com/office/drawing/2014/main" id="{0FDFF17D-52DB-9875-044E-DBEFBC8C338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4" name="Straight Connector 531">
            <a:extLst>
              <a:ext uri="{FF2B5EF4-FFF2-40B4-BE49-F238E27FC236}">
                <a16:creationId xmlns:a16="http://schemas.microsoft.com/office/drawing/2014/main" id="{3F7FE563-1654-F44B-FFB3-164D51677E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5" name="Straight Connector 533">
            <a:extLst>
              <a:ext uri="{FF2B5EF4-FFF2-40B4-BE49-F238E27FC236}">
                <a16:creationId xmlns:a16="http://schemas.microsoft.com/office/drawing/2014/main" id="{8B630F8C-58B4-A5DE-463B-3925A6C0C2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6" name="Straight Connector 535">
            <a:extLst>
              <a:ext uri="{FF2B5EF4-FFF2-40B4-BE49-F238E27FC236}">
                <a16:creationId xmlns:a16="http://schemas.microsoft.com/office/drawing/2014/main" id="{1E08CE6A-2000-0545-7C23-F4598435DE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7" name="Straight Connector 537">
            <a:extLst>
              <a:ext uri="{FF2B5EF4-FFF2-40B4-BE49-F238E27FC236}">
                <a16:creationId xmlns:a16="http://schemas.microsoft.com/office/drawing/2014/main" id="{D38DA9C6-F384-7381-6C5C-2D9A4FCDEA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38" name="Group 1008">
          <a:extLst>
            <a:ext uri="{FF2B5EF4-FFF2-40B4-BE49-F238E27FC236}">
              <a16:creationId xmlns:a16="http://schemas.microsoft.com/office/drawing/2014/main" id="{ABC21A3A-156A-49C6-87CE-B84BD8B6A461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39" name="Straight Connector 2938">
            <a:extLst>
              <a:ext uri="{FF2B5EF4-FFF2-40B4-BE49-F238E27FC236}">
                <a16:creationId xmlns:a16="http://schemas.microsoft.com/office/drawing/2014/main" id="{AB10734B-DC39-5E23-8FC8-4D4100D7959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40" name="Straight Connector 529">
            <a:extLst>
              <a:ext uri="{FF2B5EF4-FFF2-40B4-BE49-F238E27FC236}">
                <a16:creationId xmlns:a16="http://schemas.microsoft.com/office/drawing/2014/main" id="{F02A104E-E403-1C91-15C6-C712FD7E71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1" name="Straight Connector 531">
            <a:extLst>
              <a:ext uri="{FF2B5EF4-FFF2-40B4-BE49-F238E27FC236}">
                <a16:creationId xmlns:a16="http://schemas.microsoft.com/office/drawing/2014/main" id="{49161700-5F62-610C-14C5-5A4C838019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2" name="Straight Connector 533">
            <a:extLst>
              <a:ext uri="{FF2B5EF4-FFF2-40B4-BE49-F238E27FC236}">
                <a16:creationId xmlns:a16="http://schemas.microsoft.com/office/drawing/2014/main" id="{F893307E-13EA-5186-E6CC-1074DC1A0F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3" name="Straight Connector 535">
            <a:extLst>
              <a:ext uri="{FF2B5EF4-FFF2-40B4-BE49-F238E27FC236}">
                <a16:creationId xmlns:a16="http://schemas.microsoft.com/office/drawing/2014/main" id="{E3B2BA61-C8E2-EE63-0B9C-73E91D87D36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4" name="Straight Connector 537">
            <a:extLst>
              <a:ext uri="{FF2B5EF4-FFF2-40B4-BE49-F238E27FC236}">
                <a16:creationId xmlns:a16="http://schemas.microsoft.com/office/drawing/2014/main" id="{FC68D39B-3C87-8480-F605-3ADB219ADA8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45" name="Group 1008">
          <a:extLst>
            <a:ext uri="{FF2B5EF4-FFF2-40B4-BE49-F238E27FC236}">
              <a16:creationId xmlns:a16="http://schemas.microsoft.com/office/drawing/2014/main" id="{C1710F4B-4AA4-4EDB-8B82-15064C8C9143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46" name="Straight Connector 2945">
            <a:extLst>
              <a:ext uri="{FF2B5EF4-FFF2-40B4-BE49-F238E27FC236}">
                <a16:creationId xmlns:a16="http://schemas.microsoft.com/office/drawing/2014/main" id="{224DBCEB-4773-3153-5742-AC4456C42D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47" name="Straight Connector 529">
            <a:extLst>
              <a:ext uri="{FF2B5EF4-FFF2-40B4-BE49-F238E27FC236}">
                <a16:creationId xmlns:a16="http://schemas.microsoft.com/office/drawing/2014/main" id="{70E4381E-FEB1-D99B-8962-51729CBB45C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8" name="Straight Connector 531">
            <a:extLst>
              <a:ext uri="{FF2B5EF4-FFF2-40B4-BE49-F238E27FC236}">
                <a16:creationId xmlns:a16="http://schemas.microsoft.com/office/drawing/2014/main" id="{FBF50351-3CA1-9D46-8C23-A99FE4EC91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9" name="Straight Connector 533">
            <a:extLst>
              <a:ext uri="{FF2B5EF4-FFF2-40B4-BE49-F238E27FC236}">
                <a16:creationId xmlns:a16="http://schemas.microsoft.com/office/drawing/2014/main" id="{B8EF7AA0-BCE5-E520-BD93-868D0393C4C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0" name="Straight Connector 535">
            <a:extLst>
              <a:ext uri="{FF2B5EF4-FFF2-40B4-BE49-F238E27FC236}">
                <a16:creationId xmlns:a16="http://schemas.microsoft.com/office/drawing/2014/main" id="{D775CAE5-F2AB-3E1F-4712-FE8FAAF6BA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1" name="Straight Connector 537">
            <a:extLst>
              <a:ext uri="{FF2B5EF4-FFF2-40B4-BE49-F238E27FC236}">
                <a16:creationId xmlns:a16="http://schemas.microsoft.com/office/drawing/2014/main" id="{3642459C-C477-41CB-2A3C-9BB80F7808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52" name="Group 1008">
          <a:extLst>
            <a:ext uri="{FF2B5EF4-FFF2-40B4-BE49-F238E27FC236}">
              <a16:creationId xmlns:a16="http://schemas.microsoft.com/office/drawing/2014/main" id="{CC4A30B3-91BD-47C1-B267-6D8D2CB8C1DF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53" name="Straight Connector 2952">
            <a:extLst>
              <a:ext uri="{FF2B5EF4-FFF2-40B4-BE49-F238E27FC236}">
                <a16:creationId xmlns:a16="http://schemas.microsoft.com/office/drawing/2014/main" id="{4140D0E2-1CE1-0390-0B7C-8E7BB72792B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54" name="Straight Connector 529">
            <a:extLst>
              <a:ext uri="{FF2B5EF4-FFF2-40B4-BE49-F238E27FC236}">
                <a16:creationId xmlns:a16="http://schemas.microsoft.com/office/drawing/2014/main" id="{EE66F60E-20C0-3DD4-5896-3888A4C634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5" name="Straight Connector 531">
            <a:extLst>
              <a:ext uri="{FF2B5EF4-FFF2-40B4-BE49-F238E27FC236}">
                <a16:creationId xmlns:a16="http://schemas.microsoft.com/office/drawing/2014/main" id="{BAD99086-A903-E8B7-58EF-3601E010C5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6" name="Straight Connector 533">
            <a:extLst>
              <a:ext uri="{FF2B5EF4-FFF2-40B4-BE49-F238E27FC236}">
                <a16:creationId xmlns:a16="http://schemas.microsoft.com/office/drawing/2014/main" id="{74E1DCEB-CEB6-CA49-C4DC-858CA8C0365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7" name="Straight Connector 535">
            <a:extLst>
              <a:ext uri="{FF2B5EF4-FFF2-40B4-BE49-F238E27FC236}">
                <a16:creationId xmlns:a16="http://schemas.microsoft.com/office/drawing/2014/main" id="{2D8984F9-AED7-14DF-9BC9-44DD52CD33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8" name="Straight Connector 537">
            <a:extLst>
              <a:ext uri="{FF2B5EF4-FFF2-40B4-BE49-F238E27FC236}">
                <a16:creationId xmlns:a16="http://schemas.microsoft.com/office/drawing/2014/main" id="{C2347D9E-0335-C69F-2C66-7C2DBDD92F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59" name="Group 1008">
          <a:extLst>
            <a:ext uri="{FF2B5EF4-FFF2-40B4-BE49-F238E27FC236}">
              <a16:creationId xmlns:a16="http://schemas.microsoft.com/office/drawing/2014/main" id="{69C1A858-5A5C-470E-A1AA-3CC1BC87DA29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60" name="Straight Connector 2959">
            <a:extLst>
              <a:ext uri="{FF2B5EF4-FFF2-40B4-BE49-F238E27FC236}">
                <a16:creationId xmlns:a16="http://schemas.microsoft.com/office/drawing/2014/main" id="{CBE17610-F4F0-D6E5-27F7-65E4251FE8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61" name="Straight Connector 529">
            <a:extLst>
              <a:ext uri="{FF2B5EF4-FFF2-40B4-BE49-F238E27FC236}">
                <a16:creationId xmlns:a16="http://schemas.microsoft.com/office/drawing/2014/main" id="{47E2D9AB-157A-CFF8-36D8-C9A42FF465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2" name="Straight Connector 531">
            <a:extLst>
              <a:ext uri="{FF2B5EF4-FFF2-40B4-BE49-F238E27FC236}">
                <a16:creationId xmlns:a16="http://schemas.microsoft.com/office/drawing/2014/main" id="{DA93CE2D-1138-44C6-0806-B8AA17BCBC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3" name="Straight Connector 533">
            <a:extLst>
              <a:ext uri="{FF2B5EF4-FFF2-40B4-BE49-F238E27FC236}">
                <a16:creationId xmlns:a16="http://schemas.microsoft.com/office/drawing/2014/main" id="{226FAA3E-AFED-5A79-67E3-F24805DEC1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4" name="Straight Connector 535">
            <a:extLst>
              <a:ext uri="{FF2B5EF4-FFF2-40B4-BE49-F238E27FC236}">
                <a16:creationId xmlns:a16="http://schemas.microsoft.com/office/drawing/2014/main" id="{A6B9C118-0923-1B1C-ACEF-08857D43432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5" name="Straight Connector 537">
            <a:extLst>
              <a:ext uri="{FF2B5EF4-FFF2-40B4-BE49-F238E27FC236}">
                <a16:creationId xmlns:a16="http://schemas.microsoft.com/office/drawing/2014/main" id="{9F438454-5851-42B2-6F13-4272B8E220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66" name="Group 1008">
          <a:extLst>
            <a:ext uri="{FF2B5EF4-FFF2-40B4-BE49-F238E27FC236}">
              <a16:creationId xmlns:a16="http://schemas.microsoft.com/office/drawing/2014/main" id="{2975B95B-2A32-47DA-858C-F4D7173B346C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67" name="Straight Connector 2966">
            <a:extLst>
              <a:ext uri="{FF2B5EF4-FFF2-40B4-BE49-F238E27FC236}">
                <a16:creationId xmlns:a16="http://schemas.microsoft.com/office/drawing/2014/main" id="{508BA83B-A655-FC0A-626E-529FA2C101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68" name="Straight Connector 529">
            <a:extLst>
              <a:ext uri="{FF2B5EF4-FFF2-40B4-BE49-F238E27FC236}">
                <a16:creationId xmlns:a16="http://schemas.microsoft.com/office/drawing/2014/main" id="{163081F3-0539-E26E-B37A-0164CB43D79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9" name="Straight Connector 531">
            <a:extLst>
              <a:ext uri="{FF2B5EF4-FFF2-40B4-BE49-F238E27FC236}">
                <a16:creationId xmlns:a16="http://schemas.microsoft.com/office/drawing/2014/main" id="{75FE88CA-B60E-D5E5-F0F8-E3583B1EB0A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0" name="Straight Connector 533">
            <a:extLst>
              <a:ext uri="{FF2B5EF4-FFF2-40B4-BE49-F238E27FC236}">
                <a16:creationId xmlns:a16="http://schemas.microsoft.com/office/drawing/2014/main" id="{23F5A93C-BD07-D3A9-F896-3CDE8CB240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1" name="Straight Connector 535">
            <a:extLst>
              <a:ext uri="{FF2B5EF4-FFF2-40B4-BE49-F238E27FC236}">
                <a16:creationId xmlns:a16="http://schemas.microsoft.com/office/drawing/2014/main" id="{237415E0-14F9-EF14-66DA-C6474F010C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2" name="Straight Connector 537">
            <a:extLst>
              <a:ext uri="{FF2B5EF4-FFF2-40B4-BE49-F238E27FC236}">
                <a16:creationId xmlns:a16="http://schemas.microsoft.com/office/drawing/2014/main" id="{4E644B40-7824-2A9A-ECD7-20E671F521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73" name="Group 1008">
          <a:extLst>
            <a:ext uri="{FF2B5EF4-FFF2-40B4-BE49-F238E27FC236}">
              <a16:creationId xmlns:a16="http://schemas.microsoft.com/office/drawing/2014/main" id="{A9AA6366-8A74-4B30-AD2D-C6C30C4DB37B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74" name="Straight Connector 2973">
            <a:extLst>
              <a:ext uri="{FF2B5EF4-FFF2-40B4-BE49-F238E27FC236}">
                <a16:creationId xmlns:a16="http://schemas.microsoft.com/office/drawing/2014/main" id="{D6700186-21F4-6EBA-C426-AFB111A81AF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75" name="Straight Connector 529">
            <a:extLst>
              <a:ext uri="{FF2B5EF4-FFF2-40B4-BE49-F238E27FC236}">
                <a16:creationId xmlns:a16="http://schemas.microsoft.com/office/drawing/2014/main" id="{57DD9658-BC20-6F49-FBDD-0EB7847AF96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6" name="Straight Connector 531">
            <a:extLst>
              <a:ext uri="{FF2B5EF4-FFF2-40B4-BE49-F238E27FC236}">
                <a16:creationId xmlns:a16="http://schemas.microsoft.com/office/drawing/2014/main" id="{716CC5DA-B213-BE19-592F-E095B5CE16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7" name="Straight Connector 533">
            <a:extLst>
              <a:ext uri="{FF2B5EF4-FFF2-40B4-BE49-F238E27FC236}">
                <a16:creationId xmlns:a16="http://schemas.microsoft.com/office/drawing/2014/main" id="{14AC43CE-2737-4B57-DD7D-1CACDE0328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8" name="Straight Connector 535">
            <a:extLst>
              <a:ext uri="{FF2B5EF4-FFF2-40B4-BE49-F238E27FC236}">
                <a16:creationId xmlns:a16="http://schemas.microsoft.com/office/drawing/2014/main" id="{B0487880-A69C-5930-989E-E2434B54BA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9" name="Straight Connector 537">
            <a:extLst>
              <a:ext uri="{FF2B5EF4-FFF2-40B4-BE49-F238E27FC236}">
                <a16:creationId xmlns:a16="http://schemas.microsoft.com/office/drawing/2014/main" id="{E1410CBD-D60E-E8CF-961F-06E1E0E6DB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80" name="Group 1008">
          <a:extLst>
            <a:ext uri="{FF2B5EF4-FFF2-40B4-BE49-F238E27FC236}">
              <a16:creationId xmlns:a16="http://schemas.microsoft.com/office/drawing/2014/main" id="{1F1E05E9-F859-44E6-8137-7EF67277F0DE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81" name="Straight Connector 2980">
            <a:extLst>
              <a:ext uri="{FF2B5EF4-FFF2-40B4-BE49-F238E27FC236}">
                <a16:creationId xmlns:a16="http://schemas.microsoft.com/office/drawing/2014/main" id="{8AA487AD-2DA3-E0F2-3191-8CC71548486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82" name="Straight Connector 529">
            <a:extLst>
              <a:ext uri="{FF2B5EF4-FFF2-40B4-BE49-F238E27FC236}">
                <a16:creationId xmlns:a16="http://schemas.microsoft.com/office/drawing/2014/main" id="{758D0642-1AF5-4A41-657B-EDA59CE7A1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3" name="Straight Connector 531">
            <a:extLst>
              <a:ext uri="{FF2B5EF4-FFF2-40B4-BE49-F238E27FC236}">
                <a16:creationId xmlns:a16="http://schemas.microsoft.com/office/drawing/2014/main" id="{231C52D1-08FA-1E8A-EF8C-A450D25A23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4" name="Straight Connector 533">
            <a:extLst>
              <a:ext uri="{FF2B5EF4-FFF2-40B4-BE49-F238E27FC236}">
                <a16:creationId xmlns:a16="http://schemas.microsoft.com/office/drawing/2014/main" id="{EC391412-A126-2003-83B1-791CE7958E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5" name="Straight Connector 535">
            <a:extLst>
              <a:ext uri="{FF2B5EF4-FFF2-40B4-BE49-F238E27FC236}">
                <a16:creationId xmlns:a16="http://schemas.microsoft.com/office/drawing/2014/main" id="{CF77F016-DB09-A193-B357-0CB45F029D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6" name="Straight Connector 537">
            <a:extLst>
              <a:ext uri="{FF2B5EF4-FFF2-40B4-BE49-F238E27FC236}">
                <a16:creationId xmlns:a16="http://schemas.microsoft.com/office/drawing/2014/main" id="{3879D0F4-6655-8D5F-54A1-91097D5D7A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87" name="Group 1008">
          <a:extLst>
            <a:ext uri="{FF2B5EF4-FFF2-40B4-BE49-F238E27FC236}">
              <a16:creationId xmlns:a16="http://schemas.microsoft.com/office/drawing/2014/main" id="{E74A9C67-AF8F-4982-BC81-C24A30991BCD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88" name="Straight Connector 2987">
            <a:extLst>
              <a:ext uri="{FF2B5EF4-FFF2-40B4-BE49-F238E27FC236}">
                <a16:creationId xmlns:a16="http://schemas.microsoft.com/office/drawing/2014/main" id="{0D7E08FC-3130-50C6-8B84-6C35630116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89" name="Straight Connector 529">
            <a:extLst>
              <a:ext uri="{FF2B5EF4-FFF2-40B4-BE49-F238E27FC236}">
                <a16:creationId xmlns:a16="http://schemas.microsoft.com/office/drawing/2014/main" id="{F7712B12-917E-2124-1251-CE164788403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0" name="Straight Connector 531">
            <a:extLst>
              <a:ext uri="{FF2B5EF4-FFF2-40B4-BE49-F238E27FC236}">
                <a16:creationId xmlns:a16="http://schemas.microsoft.com/office/drawing/2014/main" id="{8BBA50EB-CE3A-CAAB-BB62-3C6B365240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1" name="Straight Connector 533">
            <a:extLst>
              <a:ext uri="{FF2B5EF4-FFF2-40B4-BE49-F238E27FC236}">
                <a16:creationId xmlns:a16="http://schemas.microsoft.com/office/drawing/2014/main" id="{6B516572-279D-6499-6D54-CD6BA1F609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2" name="Straight Connector 535">
            <a:extLst>
              <a:ext uri="{FF2B5EF4-FFF2-40B4-BE49-F238E27FC236}">
                <a16:creationId xmlns:a16="http://schemas.microsoft.com/office/drawing/2014/main" id="{9E151666-0DA3-4345-FE6D-CDE5D2806B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3" name="Straight Connector 537">
            <a:extLst>
              <a:ext uri="{FF2B5EF4-FFF2-40B4-BE49-F238E27FC236}">
                <a16:creationId xmlns:a16="http://schemas.microsoft.com/office/drawing/2014/main" id="{519E02C8-C073-654A-F7C8-873BEBBB31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94" name="Group 1008">
          <a:extLst>
            <a:ext uri="{FF2B5EF4-FFF2-40B4-BE49-F238E27FC236}">
              <a16:creationId xmlns:a16="http://schemas.microsoft.com/office/drawing/2014/main" id="{519A18D2-30FA-4A58-9B8D-6110762E1D24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95" name="Straight Connector 2994">
            <a:extLst>
              <a:ext uri="{FF2B5EF4-FFF2-40B4-BE49-F238E27FC236}">
                <a16:creationId xmlns:a16="http://schemas.microsoft.com/office/drawing/2014/main" id="{69CC0B08-6591-859B-EB1F-946D4AD4D62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96" name="Straight Connector 529">
            <a:extLst>
              <a:ext uri="{FF2B5EF4-FFF2-40B4-BE49-F238E27FC236}">
                <a16:creationId xmlns:a16="http://schemas.microsoft.com/office/drawing/2014/main" id="{C1E398F6-CC49-BE15-5D99-2A78DFE0BDC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7" name="Straight Connector 531">
            <a:extLst>
              <a:ext uri="{FF2B5EF4-FFF2-40B4-BE49-F238E27FC236}">
                <a16:creationId xmlns:a16="http://schemas.microsoft.com/office/drawing/2014/main" id="{94765740-BB83-B112-1AD5-8D01B6B440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8" name="Straight Connector 533">
            <a:extLst>
              <a:ext uri="{FF2B5EF4-FFF2-40B4-BE49-F238E27FC236}">
                <a16:creationId xmlns:a16="http://schemas.microsoft.com/office/drawing/2014/main" id="{F63C2AFD-FD3F-39A8-C1E5-A82740704F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9" name="Straight Connector 535">
            <a:extLst>
              <a:ext uri="{FF2B5EF4-FFF2-40B4-BE49-F238E27FC236}">
                <a16:creationId xmlns:a16="http://schemas.microsoft.com/office/drawing/2014/main" id="{A30E354D-9DA7-FBB0-355A-36867D9AB3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0" name="Straight Connector 537">
            <a:extLst>
              <a:ext uri="{FF2B5EF4-FFF2-40B4-BE49-F238E27FC236}">
                <a16:creationId xmlns:a16="http://schemas.microsoft.com/office/drawing/2014/main" id="{19EF97C2-8337-0560-8EC7-E87A3EDCE1C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3001" name="Group 1008">
          <a:extLst>
            <a:ext uri="{FF2B5EF4-FFF2-40B4-BE49-F238E27FC236}">
              <a16:creationId xmlns:a16="http://schemas.microsoft.com/office/drawing/2014/main" id="{C2A75560-EAD2-4A4A-924E-48AA5186785D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3002" name="Straight Connector 3001">
            <a:extLst>
              <a:ext uri="{FF2B5EF4-FFF2-40B4-BE49-F238E27FC236}">
                <a16:creationId xmlns:a16="http://schemas.microsoft.com/office/drawing/2014/main" id="{56D71C49-9E7B-3D55-CC33-18BB3693AE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03" name="Straight Connector 529">
            <a:extLst>
              <a:ext uri="{FF2B5EF4-FFF2-40B4-BE49-F238E27FC236}">
                <a16:creationId xmlns:a16="http://schemas.microsoft.com/office/drawing/2014/main" id="{248CACF6-6CAC-206C-A395-178B453A35B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4" name="Straight Connector 531">
            <a:extLst>
              <a:ext uri="{FF2B5EF4-FFF2-40B4-BE49-F238E27FC236}">
                <a16:creationId xmlns:a16="http://schemas.microsoft.com/office/drawing/2014/main" id="{A7B7FB0F-67EB-5ADB-F415-BA83B49B65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5" name="Straight Connector 533">
            <a:extLst>
              <a:ext uri="{FF2B5EF4-FFF2-40B4-BE49-F238E27FC236}">
                <a16:creationId xmlns:a16="http://schemas.microsoft.com/office/drawing/2014/main" id="{89A6D9D9-5610-8E57-00CF-8B5FA996C3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6" name="Straight Connector 535">
            <a:extLst>
              <a:ext uri="{FF2B5EF4-FFF2-40B4-BE49-F238E27FC236}">
                <a16:creationId xmlns:a16="http://schemas.microsoft.com/office/drawing/2014/main" id="{0730C60B-9659-F8F4-BF83-FFD0A164FC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7" name="Straight Connector 537">
            <a:extLst>
              <a:ext uri="{FF2B5EF4-FFF2-40B4-BE49-F238E27FC236}">
                <a16:creationId xmlns:a16="http://schemas.microsoft.com/office/drawing/2014/main" id="{F9E1ACE4-EE51-2068-9AFD-EDDBC1BC332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117</xdr:row>
      <xdr:rowOff>57150</xdr:rowOff>
    </xdr:from>
    <xdr:to>
      <xdr:col>17</xdr:col>
      <xdr:colOff>0</xdr:colOff>
      <xdr:row>119</xdr:row>
      <xdr:rowOff>0</xdr:rowOff>
    </xdr:to>
    <xdr:sp macro="" textlink="">
      <xdr:nvSpPr>
        <xdr:cNvPr id="3008" name="AutoShape 46">
          <a:extLst>
            <a:ext uri="{FF2B5EF4-FFF2-40B4-BE49-F238E27FC236}">
              <a16:creationId xmlns:a16="http://schemas.microsoft.com/office/drawing/2014/main" id="{89788C02-7D4F-4EA9-AF6B-ECB48BBC2CF5}"/>
            </a:ext>
          </a:extLst>
        </xdr:cNvPr>
        <xdr:cNvSpPr>
          <a:spLocks noChangeArrowheads="1"/>
        </xdr:cNvSpPr>
      </xdr:nvSpPr>
      <xdr:spPr bwMode="auto">
        <a:xfrm>
          <a:off x="4895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117</xdr:row>
      <xdr:rowOff>57150</xdr:rowOff>
    </xdr:from>
    <xdr:to>
      <xdr:col>19</xdr:col>
      <xdr:colOff>0</xdr:colOff>
      <xdr:row>119</xdr:row>
      <xdr:rowOff>0</xdr:rowOff>
    </xdr:to>
    <xdr:sp macro="" textlink="">
      <xdr:nvSpPr>
        <xdr:cNvPr id="3009" name="AutoShape 46">
          <a:extLst>
            <a:ext uri="{FF2B5EF4-FFF2-40B4-BE49-F238E27FC236}">
              <a16:creationId xmlns:a16="http://schemas.microsoft.com/office/drawing/2014/main" id="{BF4832D6-BA93-476E-8AC4-028D4399750D}"/>
            </a:ext>
          </a:extLst>
        </xdr:cNvPr>
        <xdr:cNvSpPr>
          <a:spLocks noChangeArrowheads="1"/>
        </xdr:cNvSpPr>
      </xdr:nvSpPr>
      <xdr:spPr bwMode="auto">
        <a:xfrm>
          <a:off x="5467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117</xdr:row>
      <xdr:rowOff>57150</xdr:rowOff>
    </xdr:from>
    <xdr:to>
      <xdr:col>21</xdr:col>
      <xdr:colOff>0</xdr:colOff>
      <xdr:row>119</xdr:row>
      <xdr:rowOff>0</xdr:rowOff>
    </xdr:to>
    <xdr:sp macro="" textlink="">
      <xdr:nvSpPr>
        <xdr:cNvPr id="3010" name="AutoShape 46">
          <a:extLst>
            <a:ext uri="{FF2B5EF4-FFF2-40B4-BE49-F238E27FC236}">
              <a16:creationId xmlns:a16="http://schemas.microsoft.com/office/drawing/2014/main" id="{5C79B5A8-C2E5-4B2E-9E20-7FB56C9144CE}"/>
            </a:ext>
          </a:extLst>
        </xdr:cNvPr>
        <xdr:cNvSpPr>
          <a:spLocks noChangeArrowheads="1"/>
        </xdr:cNvSpPr>
      </xdr:nvSpPr>
      <xdr:spPr bwMode="auto">
        <a:xfrm>
          <a:off x="6038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117</xdr:row>
      <xdr:rowOff>57150</xdr:rowOff>
    </xdr:from>
    <xdr:to>
      <xdr:col>23</xdr:col>
      <xdr:colOff>0</xdr:colOff>
      <xdr:row>119</xdr:row>
      <xdr:rowOff>0</xdr:rowOff>
    </xdr:to>
    <xdr:sp macro="" textlink="">
      <xdr:nvSpPr>
        <xdr:cNvPr id="3011" name="AutoShape 46">
          <a:extLst>
            <a:ext uri="{FF2B5EF4-FFF2-40B4-BE49-F238E27FC236}">
              <a16:creationId xmlns:a16="http://schemas.microsoft.com/office/drawing/2014/main" id="{1BCE8990-E6E1-4A08-954B-2541F421ED47}"/>
            </a:ext>
          </a:extLst>
        </xdr:cNvPr>
        <xdr:cNvSpPr>
          <a:spLocks noChangeArrowheads="1"/>
        </xdr:cNvSpPr>
      </xdr:nvSpPr>
      <xdr:spPr bwMode="auto">
        <a:xfrm>
          <a:off x="6610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117</xdr:row>
      <xdr:rowOff>57150</xdr:rowOff>
    </xdr:from>
    <xdr:to>
      <xdr:col>25</xdr:col>
      <xdr:colOff>0</xdr:colOff>
      <xdr:row>119</xdr:row>
      <xdr:rowOff>0</xdr:rowOff>
    </xdr:to>
    <xdr:sp macro="" textlink="">
      <xdr:nvSpPr>
        <xdr:cNvPr id="3012" name="AutoShape 46">
          <a:extLst>
            <a:ext uri="{FF2B5EF4-FFF2-40B4-BE49-F238E27FC236}">
              <a16:creationId xmlns:a16="http://schemas.microsoft.com/office/drawing/2014/main" id="{0254ACBC-5566-463F-AF25-D9E9F56C567E}"/>
            </a:ext>
          </a:extLst>
        </xdr:cNvPr>
        <xdr:cNvSpPr>
          <a:spLocks noChangeArrowheads="1"/>
        </xdr:cNvSpPr>
      </xdr:nvSpPr>
      <xdr:spPr bwMode="auto">
        <a:xfrm>
          <a:off x="7181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27</xdr:col>
      <xdr:colOff>323979</xdr:colOff>
      <xdr:row>117</xdr:row>
      <xdr:rowOff>32398</xdr:rowOff>
    </xdr:from>
    <xdr:to>
      <xdr:col>29</xdr:col>
      <xdr:colOff>0</xdr:colOff>
      <xdr:row>119</xdr:row>
      <xdr:rowOff>1977</xdr:rowOff>
    </xdr:to>
    <xdr:sp macro="" textlink="">
      <xdr:nvSpPr>
        <xdr:cNvPr id="3013" name="AutoShape 46">
          <a:extLst>
            <a:ext uri="{FF2B5EF4-FFF2-40B4-BE49-F238E27FC236}">
              <a16:creationId xmlns:a16="http://schemas.microsoft.com/office/drawing/2014/main" id="{4371949B-D37D-4505-BFA4-B62DB0A8F5C9}"/>
            </a:ext>
          </a:extLst>
        </xdr:cNvPr>
        <xdr:cNvSpPr>
          <a:spLocks noChangeArrowheads="1"/>
        </xdr:cNvSpPr>
      </xdr:nvSpPr>
      <xdr:spPr bwMode="auto">
        <a:xfrm>
          <a:off x="9363010" y="22996071"/>
          <a:ext cx="369337" cy="34539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117</xdr:row>
      <xdr:rowOff>57150</xdr:rowOff>
    </xdr:from>
    <xdr:to>
      <xdr:col>31</xdr:col>
      <xdr:colOff>0</xdr:colOff>
      <xdr:row>119</xdr:row>
      <xdr:rowOff>0</xdr:rowOff>
    </xdr:to>
    <xdr:sp macro="" textlink="">
      <xdr:nvSpPr>
        <xdr:cNvPr id="3014" name="AutoShape 46">
          <a:extLst>
            <a:ext uri="{FF2B5EF4-FFF2-40B4-BE49-F238E27FC236}">
              <a16:creationId xmlns:a16="http://schemas.microsoft.com/office/drawing/2014/main" id="{345486F5-7261-409C-9E1D-CAF5D2640966}"/>
            </a:ext>
          </a:extLst>
        </xdr:cNvPr>
        <xdr:cNvSpPr>
          <a:spLocks noChangeArrowheads="1"/>
        </xdr:cNvSpPr>
      </xdr:nvSpPr>
      <xdr:spPr bwMode="auto">
        <a:xfrm>
          <a:off x="8953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117</xdr:row>
      <xdr:rowOff>57150</xdr:rowOff>
    </xdr:from>
    <xdr:to>
      <xdr:col>33</xdr:col>
      <xdr:colOff>0</xdr:colOff>
      <xdr:row>119</xdr:row>
      <xdr:rowOff>0</xdr:rowOff>
    </xdr:to>
    <xdr:sp macro="" textlink="">
      <xdr:nvSpPr>
        <xdr:cNvPr id="3015" name="AutoShape 46">
          <a:extLst>
            <a:ext uri="{FF2B5EF4-FFF2-40B4-BE49-F238E27FC236}">
              <a16:creationId xmlns:a16="http://schemas.microsoft.com/office/drawing/2014/main" id="{E7B00F43-F572-4F01-AF45-3E5D9FD4F67B}"/>
            </a:ext>
          </a:extLst>
        </xdr:cNvPr>
        <xdr:cNvSpPr>
          <a:spLocks noChangeArrowheads="1"/>
        </xdr:cNvSpPr>
      </xdr:nvSpPr>
      <xdr:spPr bwMode="auto">
        <a:xfrm>
          <a:off x="9525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117</xdr:row>
      <xdr:rowOff>57150</xdr:rowOff>
    </xdr:from>
    <xdr:to>
      <xdr:col>35</xdr:col>
      <xdr:colOff>0</xdr:colOff>
      <xdr:row>119</xdr:row>
      <xdr:rowOff>0</xdr:rowOff>
    </xdr:to>
    <xdr:sp macro="" textlink="">
      <xdr:nvSpPr>
        <xdr:cNvPr id="3016" name="AutoShape 46">
          <a:extLst>
            <a:ext uri="{FF2B5EF4-FFF2-40B4-BE49-F238E27FC236}">
              <a16:creationId xmlns:a16="http://schemas.microsoft.com/office/drawing/2014/main" id="{9B877FBA-EB0B-4383-9AA9-984F70C3B160}"/>
            </a:ext>
          </a:extLst>
        </xdr:cNvPr>
        <xdr:cNvSpPr>
          <a:spLocks noChangeArrowheads="1"/>
        </xdr:cNvSpPr>
      </xdr:nvSpPr>
      <xdr:spPr bwMode="auto">
        <a:xfrm>
          <a:off x="10096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117</xdr:row>
      <xdr:rowOff>57150</xdr:rowOff>
    </xdr:from>
    <xdr:to>
      <xdr:col>37</xdr:col>
      <xdr:colOff>0</xdr:colOff>
      <xdr:row>119</xdr:row>
      <xdr:rowOff>0</xdr:rowOff>
    </xdr:to>
    <xdr:sp macro="" textlink="">
      <xdr:nvSpPr>
        <xdr:cNvPr id="3017" name="AutoShape 46">
          <a:extLst>
            <a:ext uri="{FF2B5EF4-FFF2-40B4-BE49-F238E27FC236}">
              <a16:creationId xmlns:a16="http://schemas.microsoft.com/office/drawing/2014/main" id="{A51E1425-D2B4-4D49-A073-034994743A7F}"/>
            </a:ext>
          </a:extLst>
        </xdr:cNvPr>
        <xdr:cNvSpPr>
          <a:spLocks noChangeArrowheads="1"/>
        </xdr:cNvSpPr>
      </xdr:nvSpPr>
      <xdr:spPr bwMode="auto">
        <a:xfrm>
          <a:off x="10668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117</xdr:row>
      <xdr:rowOff>57150</xdr:rowOff>
    </xdr:from>
    <xdr:to>
      <xdr:col>39</xdr:col>
      <xdr:colOff>0</xdr:colOff>
      <xdr:row>119</xdr:row>
      <xdr:rowOff>0</xdr:rowOff>
    </xdr:to>
    <xdr:sp macro="" textlink="">
      <xdr:nvSpPr>
        <xdr:cNvPr id="3018" name="AutoShape 46">
          <a:extLst>
            <a:ext uri="{FF2B5EF4-FFF2-40B4-BE49-F238E27FC236}">
              <a16:creationId xmlns:a16="http://schemas.microsoft.com/office/drawing/2014/main" id="{80678B77-D05E-43D7-B8D9-AF8734E9EF5F}"/>
            </a:ext>
          </a:extLst>
        </xdr:cNvPr>
        <xdr:cNvSpPr>
          <a:spLocks noChangeArrowheads="1"/>
        </xdr:cNvSpPr>
      </xdr:nvSpPr>
      <xdr:spPr bwMode="auto">
        <a:xfrm>
          <a:off x="11239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117</xdr:row>
      <xdr:rowOff>57150</xdr:rowOff>
    </xdr:from>
    <xdr:to>
      <xdr:col>41</xdr:col>
      <xdr:colOff>0</xdr:colOff>
      <xdr:row>119</xdr:row>
      <xdr:rowOff>0</xdr:rowOff>
    </xdr:to>
    <xdr:sp macro="" textlink="">
      <xdr:nvSpPr>
        <xdr:cNvPr id="3019" name="AutoShape 46">
          <a:extLst>
            <a:ext uri="{FF2B5EF4-FFF2-40B4-BE49-F238E27FC236}">
              <a16:creationId xmlns:a16="http://schemas.microsoft.com/office/drawing/2014/main" id="{427B73EE-2715-4242-87C7-D3E25303F48D}"/>
            </a:ext>
          </a:extLst>
        </xdr:cNvPr>
        <xdr:cNvSpPr>
          <a:spLocks noChangeArrowheads="1"/>
        </xdr:cNvSpPr>
      </xdr:nvSpPr>
      <xdr:spPr bwMode="auto">
        <a:xfrm>
          <a:off x="11811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117</xdr:row>
      <xdr:rowOff>57150</xdr:rowOff>
    </xdr:from>
    <xdr:to>
      <xdr:col>11</xdr:col>
      <xdr:colOff>0</xdr:colOff>
      <xdr:row>119</xdr:row>
      <xdr:rowOff>0</xdr:rowOff>
    </xdr:to>
    <xdr:sp macro="" textlink="">
      <xdr:nvSpPr>
        <xdr:cNvPr id="3020" name="AutoShape 46">
          <a:extLst>
            <a:ext uri="{FF2B5EF4-FFF2-40B4-BE49-F238E27FC236}">
              <a16:creationId xmlns:a16="http://schemas.microsoft.com/office/drawing/2014/main" id="{C5D9C872-97FC-4930-8120-69F5D4BC16D9}"/>
            </a:ext>
          </a:extLst>
        </xdr:cNvPr>
        <xdr:cNvSpPr>
          <a:spLocks noChangeArrowheads="1"/>
        </xdr:cNvSpPr>
      </xdr:nvSpPr>
      <xdr:spPr bwMode="auto">
        <a:xfrm>
          <a:off x="3181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117</xdr:row>
      <xdr:rowOff>57150</xdr:rowOff>
    </xdr:from>
    <xdr:to>
      <xdr:col>13</xdr:col>
      <xdr:colOff>0</xdr:colOff>
      <xdr:row>119</xdr:row>
      <xdr:rowOff>0</xdr:rowOff>
    </xdr:to>
    <xdr:sp macro="" textlink="">
      <xdr:nvSpPr>
        <xdr:cNvPr id="3021" name="AutoShape 46">
          <a:extLst>
            <a:ext uri="{FF2B5EF4-FFF2-40B4-BE49-F238E27FC236}">
              <a16:creationId xmlns:a16="http://schemas.microsoft.com/office/drawing/2014/main" id="{42D83CFA-713E-40A0-89D8-B0A9E1DF17A8}"/>
            </a:ext>
          </a:extLst>
        </xdr:cNvPr>
        <xdr:cNvSpPr>
          <a:spLocks noChangeArrowheads="1"/>
        </xdr:cNvSpPr>
      </xdr:nvSpPr>
      <xdr:spPr bwMode="auto">
        <a:xfrm>
          <a:off x="3752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117</xdr:row>
      <xdr:rowOff>57150</xdr:rowOff>
    </xdr:from>
    <xdr:to>
      <xdr:col>15</xdr:col>
      <xdr:colOff>0</xdr:colOff>
      <xdr:row>119</xdr:row>
      <xdr:rowOff>0</xdr:rowOff>
    </xdr:to>
    <xdr:sp macro="" textlink="">
      <xdr:nvSpPr>
        <xdr:cNvPr id="3022" name="AutoShape 46">
          <a:extLst>
            <a:ext uri="{FF2B5EF4-FFF2-40B4-BE49-F238E27FC236}">
              <a16:creationId xmlns:a16="http://schemas.microsoft.com/office/drawing/2014/main" id="{B1455CBF-A951-47E8-96AB-C0874A029794}"/>
            </a:ext>
          </a:extLst>
        </xdr:cNvPr>
        <xdr:cNvSpPr>
          <a:spLocks noChangeArrowheads="1"/>
        </xdr:cNvSpPr>
      </xdr:nvSpPr>
      <xdr:spPr bwMode="auto">
        <a:xfrm>
          <a:off x="4324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117</xdr:row>
      <xdr:rowOff>57150</xdr:rowOff>
    </xdr:from>
    <xdr:to>
      <xdr:col>9</xdr:col>
      <xdr:colOff>0</xdr:colOff>
      <xdr:row>119</xdr:row>
      <xdr:rowOff>0</xdr:rowOff>
    </xdr:to>
    <xdr:sp macro="" textlink="">
      <xdr:nvSpPr>
        <xdr:cNvPr id="3023" name="AutoShape 46">
          <a:extLst>
            <a:ext uri="{FF2B5EF4-FFF2-40B4-BE49-F238E27FC236}">
              <a16:creationId xmlns:a16="http://schemas.microsoft.com/office/drawing/2014/main" id="{89E170B9-8AE5-443F-B066-A6CEF95FD7F5}"/>
            </a:ext>
          </a:extLst>
        </xdr:cNvPr>
        <xdr:cNvSpPr>
          <a:spLocks noChangeArrowheads="1"/>
        </xdr:cNvSpPr>
      </xdr:nvSpPr>
      <xdr:spPr bwMode="auto">
        <a:xfrm>
          <a:off x="2409825" y="2239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117</xdr:row>
      <xdr:rowOff>57150</xdr:rowOff>
    </xdr:from>
    <xdr:to>
      <xdr:col>7</xdr:col>
      <xdr:colOff>0</xdr:colOff>
      <xdr:row>119</xdr:row>
      <xdr:rowOff>0</xdr:rowOff>
    </xdr:to>
    <xdr:sp macro="" textlink="">
      <xdr:nvSpPr>
        <xdr:cNvPr id="3024" name="AutoShape 46">
          <a:extLst>
            <a:ext uri="{FF2B5EF4-FFF2-40B4-BE49-F238E27FC236}">
              <a16:creationId xmlns:a16="http://schemas.microsoft.com/office/drawing/2014/main" id="{39FF777A-550B-4B07-AE63-0CC807AC5554}"/>
            </a:ext>
          </a:extLst>
        </xdr:cNvPr>
        <xdr:cNvSpPr>
          <a:spLocks noChangeArrowheads="1"/>
        </xdr:cNvSpPr>
      </xdr:nvSpPr>
      <xdr:spPr bwMode="auto">
        <a:xfrm>
          <a:off x="1819275" y="2239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117</xdr:row>
      <xdr:rowOff>57150</xdr:rowOff>
    </xdr:from>
    <xdr:to>
      <xdr:col>5</xdr:col>
      <xdr:colOff>0</xdr:colOff>
      <xdr:row>119</xdr:row>
      <xdr:rowOff>0</xdr:rowOff>
    </xdr:to>
    <xdr:sp macro="" textlink="">
      <xdr:nvSpPr>
        <xdr:cNvPr id="3025" name="AutoShape 46">
          <a:extLst>
            <a:ext uri="{FF2B5EF4-FFF2-40B4-BE49-F238E27FC236}">
              <a16:creationId xmlns:a16="http://schemas.microsoft.com/office/drawing/2014/main" id="{70D02FC1-BE90-4A50-8F0B-B322673C10C6}"/>
            </a:ext>
          </a:extLst>
        </xdr:cNvPr>
        <xdr:cNvSpPr>
          <a:spLocks noChangeArrowheads="1"/>
        </xdr:cNvSpPr>
      </xdr:nvSpPr>
      <xdr:spPr bwMode="auto">
        <a:xfrm>
          <a:off x="1095375" y="2239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117</xdr:row>
      <xdr:rowOff>57150</xdr:rowOff>
    </xdr:from>
    <xdr:to>
      <xdr:col>3</xdr:col>
      <xdr:colOff>0</xdr:colOff>
      <xdr:row>119</xdr:row>
      <xdr:rowOff>0</xdr:rowOff>
    </xdr:to>
    <xdr:sp macro="" textlink="">
      <xdr:nvSpPr>
        <xdr:cNvPr id="3026" name="AutoShape 46">
          <a:extLst>
            <a:ext uri="{FF2B5EF4-FFF2-40B4-BE49-F238E27FC236}">
              <a16:creationId xmlns:a16="http://schemas.microsoft.com/office/drawing/2014/main" id="{C86CF7B9-234F-4EC0-AAF4-A9F44B2BADE7}"/>
            </a:ext>
          </a:extLst>
        </xdr:cNvPr>
        <xdr:cNvSpPr>
          <a:spLocks noChangeArrowheads="1"/>
        </xdr:cNvSpPr>
      </xdr:nvSpPr>
      <xdr:spPr bwMode="auto">
        <a:xfrm>
          <a:off x="523875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23446</xdr:colOff>
      <xdr:row>8</xdr:row>
      <xdr:rowOff>188624</xdr:rowOff>
    </xdr:from>
    <xdr:to>
      <xdr:col>36</xdr:col>
      <xdr:colOff>121374</xdr:colOff>
      <xdr:row>9</xdr:row>
      <xdr:rowOff>167457</xdr:rowOff>
    </xdr:to>
    <xdr:cxnSp macro="">
      <xdr:nvCxnSpPr>
        <xdr:cNvPr id="3027" name="Elbow Connector 55">
          <a:extLst>
            <a:ext uri="{FF2B5EF4-FFF2-40B4-BE49-F238E27FC236}">
              <a16:creationId xmlns:a16="http://schemas.microsoft.com/office/drawing/2014/main" id="{48A2AB95-3B0F-4D0E-B3BC-1EFB07100D2A}"/>
            </a:ext>
          </a:extLst>
        </xdr:cNvPr>
        <xdr:cNvCxnSpPr/>
      </xdr:nvCxnSpPr>
      <xdr:spPr>
        <a:xfrm rot="16200000" flipH="1">
          <a:off x="11812006" y="1817051"/>
          <a:ext cx="171744" cy="9792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114302</xdr:colOff>
      <xdr:row>11</xdr:row>
      <xdr:rowOff>74085</xdr:rowOff>
    </xdr:from>
    <xdr:to>
      <xdr:col>2</xdr:col>
      <xdr:colOff>201083</xdr:colOff>
      <xdr:row>13</xdr:row>
      <xdr:rowOff>31751</xdr:rowOff>
    </xdr:to>
    <xdr:sp macro="" textlink="">
      <xdr:nvSpPr>
        <xdr:cNvPr id="3029" name="Rectangle 3028">
          <a:extLst>
            <a:ext uri="{FF2B5EF4-FFF2-40B4-BE49-F238E27FC236}">
              <a16:creationId xmlns:a16="http://schemas.microsoft.com/office/drawing/2014/main" id="{FBD7A0C6-3D7F-4C5B-896A-E36D31B9CAAD}"/>
            </a:ext>
          </a:extLst>
        </xdr:cNvPr>
        <xdr:cNvSpPr/>
      </xdr:nvSpPr>
      <xdr:spPr>
        <a:xfrm>
          <a:off x="352427" y="2217210"/>
          <a:ext cx="372531" cy="338666"/>
        </a:xfrm>
        <a:prstGeom prst="rect">
          <a:avLst/>
        </a:prstGeom>
        <a:noFill/>
        <a:ln w="28575">
          <a:solidFill>
            <a:srgbClr val="FF0000"/>
          </a:solidFill>
          <a:prstDash val="sysDot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44</xdr:col>
      <xdr:colOff>0</xdr:colOff>
      <xdr:row>85</xdr:row>
      <xdr:rowOff>115137</xdr:rowOff>
    </xdr:from>
    <xdr:to>
      <xdr:col>45</xdr:col>
      <xdr:colOff>0</xdr:colOff>
      <xdr:row>86</xdr:row>
      <xdr:rowOff>186259</xdr:rowOff>
    </xdr:to>
    <xdr:sp macro="" textlink="">
      <xdr:nvSpPr>
        <xdr:cNvPr id="3044" name="AutoShape 46">
          <a:extLst>
            <a:ext uri="{FF2B5EF4-FFF2-40B4-BE49-F238E27FC236}">
              <a16:creationId xmlns:a16="http://schemas.microsoft.com/office/drawing/2014/main" id="{A9E0F7D0-B7E3-4F23-A7BF-AB56735BBFA3}"/>
            </a:ext>
          </a:extLst>
        </xdr:cNvPr>
        <xdr:cNvSpPr>
          <a:spLocks noChangeArrowheads="1"/>
        </xdr:cNvSpPr>
      </xdr:nvSpPr>
      <xdr:spPr bwMode="auto">
        <a:xfrm>
          <a:off x="14036291" y="16841456"/>
          <a:ext cx="366346" cy="25952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864</xdr:colOff>
      <xdr:row>101</xdr:row>
      <xdr:rowOff>61771</xdr:rowOff>
    </xdr:from>
    <xdr:to>
      <xdr:col>3</xdr:col>
      <xdr:colOff>864</xdr:colOff>
      <xdr:row>103</xdr:row>
      <xdr:rowOff>734</xdr:rowOff>
    </xdr:to>
    <xdr:sp macro="" textlink="">
      <xdr:nvSpPr>
        <xdr:cNvPr id="3045" name="AutoShape 46">
          <a:extLst>
            <a:ext uri="{FF2B5EF4-FFF2-40B4-BE49-F238E27FC236}">
              <a16:creationId xmlns:a16="http://schemas.microsoft.com/office/drawing/2014/main" id="{BBE996C6-277D-46C0-A572-E3EB60B0F36E}"/>
            </a:ext>
          </a:extLst>
        </xdr:cNvPr>
        <xdr:cNvSpPr>
          <a:spLocks noChangeArrowheads="1"/>
        </xdr:cNvSpPr>
      </xdr:nvSpPr>
      <xdr:spPr bwMode="auto">
        <a:xfrm>
          <a:off x="525711" y="19733812"/>
          <a:ext cx="340179" cy="327738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117</xdr:row>
      <xdr:rowOff>61768</xdr:rowOff>
    </xdr:from>
    <xdr:to>
      <xdr:col>27</xdr:col>
      <xdr:colOff>0</xdr:colOff>
      <xdr:row>119</xdr:row>
      <xdr:rowOff>730</xdr:rowOff>
    </xdr:to>
    <xdr:sp macro="" textlink="">
      <xdr:nvSpPr>
        <xdr:cNvPr id="3046" name="AutoShape 46">
          <a:extLst>
            <a:ext uri="{FF2B5EF4-FFF2-40B4-BE49-F238E27FC236}">
              <a16:creationId xmlns:a16="http://schemas.microsoft.com/office/drawing/2014/main" id="{B86E67E6-0011-4EBC-8E9A-2CBFB49BE937}"/>
            </a:ext>
          </a:extLst>
        </xdr:cNvPr>
        <xdr:cNvSpPr>
          <a:spLocks noChangeArrowheads="1"/>
        </xdr:cNvSpPr>
      </xdr:nvSpPr>
      <xdr:spPr bwMode="auto">
        <a:xfrm>
          <a:off x="8319796" y="23679880"/>
          <a:ext cx="340178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117</xdr:row>
      <xdr:rowOff>52916</xdr:rowOff>
    </xdr:from>
    <xdr:to>
      <xdr:col>42</xdr:col>
      <xdr:colOff>357187</xdr:colOff>
      <xdr:row>119</xdr:row>
      <xdr:rowOff>0</xdr:rowOff>
    </xdr:to>
    <xdr:sp macro="" textlink="">
      <xdr:nvSpPr>
        <xdr:cNvPr id="3047" name="AutoShape 46">
          <a:extLst>
            <a:ext uri="{FF2B5EF4-FFF2-40B4-BE49-F238E27FC236}">
              <a16:creationId xmlns:a16="http://schemas.microsoft.com/office/drawing/2014/main" id="{DE4AB1DB-83F8-4250-B465-9F7F83D1F332}"/>
            </a:ext>
          </a:extLst>
        </xdr:cNvPr>
        <xdr:cNvSpPr>
          <a:spLocks noChangeArrowheads="1"/>
        </xdr:cNvSpPr>
      </xdr:nvSpPr>
      <xdr:spPr bwMode="auto">
        <a:xfrm>
          <a:off x="14069219" y="23395781"/>
          <a:ext cx="357187" cy="33072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146437</xdr:colOff>
      <xdr:row>39</xdr:row>
      <xdr:rowOff>96115</xdr:rowOff>
    </xdr:from>
    <xdr:to>
      <xdr:col>32</xdr:col>
      <xdr:colOff>241688</xdr:colOff>
      <xdr:row>41</xdr:row>
      <xdr:rowOff>864</xdr:rowOff>
    </xdr:to>
    <xdr:cxnSp macro="">
      <xdr:nvCxnSpPr>
        <xdr:cNvPr id="3048" name="Elbow Connector 55">
          <a:extLst>
            <a:ext uri="{FF2B5EF4-FFF2-40B4-BE49-F238E27FC236}">
              <a16:creationId xmlns:a16="http://schemas.microsoft.com/office/drawing/2014/main" id="{C7C86620-EEA7-48F2-AFC6-2DF62350CD9E}"/>
            </a:ext>
          </a:extLst>
        </xdr:cNvPr>
        <xdr:cNvCxnSpPr/>
      </xdr:nvCxnSpPr>
      <xdr:spPr>
        <a:xfrm rot="16200000" flipH="1">
          <a:off x="10262377" y="8029078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122682</xdr:colOff>
      <xdr:row>39</xdr:row>
      <xdr:rowOff>84665</xdr:rowOff>
    </xdr:from>
    <xdr:to>
      <xdr:col>34</xdr:col>
      <xdr:colOff>260264</xdr:colOff>
      <xdr:row>41</xdr:row>
      <xdr:rowOff>10584</xdr:rowOff>
    </xdr:to>
    <xdr:cxnSp macro="">
      <xdr:nvCxnSpPr>
        <xdr:cNvPr id="3049" name="Elbow Connector 55">
          <a:extLst>
            <a:ext uri="{FF2B5EF4-FFF2-40B4-BE49-F238E27FC236}">
              <a16:creationId xmlns:a16="http://schemas.microsoft.com/office/drawing/2014/main" id="{5BD508B8-CA81-4CC7-AE47-7B24EE15BD49}"/>
            </a:ext>
          </a:extLst>
        </xdr:cNvPr>
        <xdr:cNvCxnSpPr/>
      </xdr:nvCxnSpPr>
      <xdr:spPr>
        <a:xfrm rot="16200000" flipH="1">
          <a:off x="10871243" y="8007048"/>
          <a:ext cx="373011" cy="137582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116420</xdr:colOff>
      <xdr:row>39</xdr:row>
      <xdr:rowOff>74083</xdr:rowOff>
    </xdr:from>
    <xdr:to>
      <xdr:col>36</xdr:col>
      <xdr:colOff>254003</xdr:colOff>
      <xdr:row>41</xdr:row>
      <xdr:rowOff>10586</xdr:rowOff>
    </xdr:to>
    <xdr:cxnSp macro="">
      <xdr:nvCxnSpPr>
        <xdr:cNvPr id="3050" name="Elbow Connector 55">
          <a:extLst>
            <a:ext uri="{FF2B5EF4-FFF2-40B4-BE49-F238E27FC236}">
              <a16:creationId xmlns:a16="http://schemas.microsoft.com/office/drawing/2014/main" id="{DB427F3B-3D21-4E27-BC58-C6F117567287}"/>
            </a:ext>
          </a:extLst>
        </xdr:cNvPr>
        <xdr:cNvCxnSpPr/>
      </xdr:nvCxnSpPr>
      <xdr:spPr>
        <a:xfrm rot="16200000" flipH="1">
          <a:off x="10694460" y="7641168"/>
          <a:ext cx="317503" cy="13758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155299</xdr:colOff>
      <xdr:row>158</xdr:row>
      <xdr:rowOff>103532</xdr:rowOff>
    </xdr:from>
    <xdr:to>
      <xdr:col>44</xdr:col>
      <xdr:colOff>1</xdr:colOff>
      <xdr:row>160</xdr:row>
      <xdr:rowOff>63453</xdr:rowOff>
    </xdr:to>
    <xdr:sp macro="" textlink="">
      <xdr:nvSpPr>
        <xdr:cNvPr id="3051" name="TextBox 5">
          <a:extLst>
            <a:ext uri="{FF2B5EF4-FFF2-40B4-BE49-F238E27FC236}">
              <a16:creationId xmlns:a16="http://schemas.microsoft.com/office/drawing/2014/main" id="{A61848D4-1C93-460F-9222-B020951B9F59}"/>
            </a:ext>
          </a:extLst>
        </xdr:cNvPr>
        <xdr:cNvSpPr txBox="1"/>
      </xdr:nvSpPr>
      <xdr:spPr>
        <a:xfrm>
          <a:off x="10537549" y="27849857"/>
          <a:ext cx="2416452" cy="283771"/>
        </a:xfrm>
        <a:prstGeom prst="rect">
          <a:avLst/>
        </a:prstGeom>
        <a:solidFill>
          <a:srgbClr val="F2F2F2">
            <a:alpha val="20000"/>
          </a:srgbClr>
        </a:solidFill>
      </xdr:spPr>
      <xdr:txBody>
        <a:bodyPr wrap="square" rtlCol="0">
          <a:noAutofit/>
        </a:bodyPr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9pPr>
        </a:lstStyle>
        <a:p>
          <a:pPr algn="ctr" defTabSz="914377">
            <a:defRPr/>
          </a:pPr>
          <a:r>
            <a:rPr lang="en-US">
              <a:solidFill>
                <a:srgbClr val="C00000"/>
              </a:solidFill>
            </a:rPr>
            <a:t>Global Footprint in </a:t>
          </a:r>
          <a:r>
            <a:rPr lang="en-US">
              <a:solidFill>
                <a:srgbClr val="C00000"/>
              </a:solidFill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</a:rPr>
            <a:t>110+ countries* </a:t>
          </a:r>
          <a:endParaRPr lang="en-US" sz="2000">
            <a:solidFill>
              <a:srgbClr val="C00000"/>
            </a:solidFill>
            <a:effectLst>
              <a:outerShdw blurRad="38100" dist="38100" dir="2700000" algn="tl">
                <a:srgbClr val="000000">
                  <a:alpha val="43137"/>
                </a:srgbClr>
              </a:outerShdw>
            </a:effectLst>
          </a:endParaRPr>
        </a:p>
      </xdr:txBody>
    </xdr:sp>
    <xdr:clientData/>
  </xdr:twoCellAnchor>
  <xdr:twoCellAnchor>
    <xdr:from>
      <xdr:col>39</xdr:col>
      <xdr:colOff>4140</xdr:colOff>
      <xdr:row>160</xdr:row>
      <xdr:rowOff>0</xdr:rowOff>
    </xdr:from>
    <xdr:to>
      <xdr:col>41</xdr:col>
      <xdr:colOff>20705</xdr:colOff>
      <xdr:row>162</xdr:row>
      <xdr:rowOff>118176</xdr:rowOff>
    </xdr:to>
    <xdr:grpSp>
      <xdr:nvGrpSpPr>
        <xdr:cNvPr id="3052" name="Group 3051">
          <a:extLst>
            <a:ext uri="{FF2B5EF4-FFF2-40B4-BE49-F238E27FC236}">
              <a16:creationId xmlns:a16="http://schemas.microsoft.com/office/drawing/2014/main" id="{8A3BB8BA-6AAF-4166-9273-FA96F5D4A4C2}"/>
            </a:ext>
          </a:extLst>
        </xdr:cNvPr>
        <xdr:cNvGrpSpPr>
          <a:grpSpLocks/>
        </xdr:cNvGrpSpPr>
      </xdr:nvGrpSpPr>
      <xdr:grpSpPr bwMode="auto">
        <a:xfrm>
          <a:off x="13125313" y="30907653"/>
          <a:ext cx="709882" cy="442156"/>
          <a:chOff x="10" y="10"/>
          <a:chExt cx="920" cy="558"/>
        </a:xfrm>
      </xdr:grpSpPr>
      <xdr:sp macro="" textlink="">
        <xdr:nvSpPr>
          <xdr:cNvPr id="3053" name="Freeform 2">
            <a:extLst>
              <a:ext uri="{FF2B5EF4-FFF2-40B4-BE49-F238E27FC236}">
                <a16:creationId xmlns:a16="http://schemas.microsoft.com/office/drawing/2014/main" id="{2F0DB850-0403-5175-8001-485845E6DECB}"/>
              </a:ext>
            </a:extLst>
          </xdr:cNvPr>
          <xdr:cNvSpPr>
            <a:spLocks/>
          </xdr:cNvSpPr>
        </xdr:nvSpPr>
        <xdr:spPr bwMode="auto">
          <a:xfrm>
            <a:off x="10" y="10"/>
            <a:ext cx="20" cy="558"/>
          </a:xfrm>
          <a:custGeom>
            <a:avLst/>
            <a:gdLst>
              <a:gd name="T0" fmla="*/ 0 w 20"/>
              <a:gd name="T1" fmla="*/ 558 h 558"/>
              <a:gd name="T2" fmla="*/ 0 w 20"/>
              <a:gd name="T3" fmla="*/ 0 h 558"/>
              <a:gd name="T4" fmla="*/ 0 w 20"/>
              <a:gd name="T5" fmla="*/ 558 h 558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" h="558">
                <a:moveTo>
                  <a:pt x="0" y="558"/>
                </a:moveTo>
                <a:lnTo>
                  <a:pt x="0" y="0"/>
                </a:lnTo>
                <a:lnTo>
                  <a:pt x="0" y="558"/>
                </a:lnTo>
              </a:path>
            </a:pathLst>
          </a:custGeom>
          <a:solidFill>
            <a:srgbClr val="8A8C8E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grpSp>
        <xdr:nvGrpSpPr>
          <xdr:cNvPr id="3054" name="Group 1389">
            <a:extLst>
              <a:ext uri="{FF2B5EF4-FFF2-40B4-BE49-F238E27FC236}">
                <a16:creationId xmlns:a16="http://schemas.microsoft.com/office/drawing/2014/main" id="{B7296AAE-3A80-8013-A2CC-F1C8319048FD}"/>
              </a:ext>
            </a:extLst>
          </xdr:cNvPr>
          <xdr:cNvGrpSpPr>
            <a:grpSpLocks/>
          </xdr:cNvGrpSpPr>
        </xdr:nvGrpSpPr>
        <xdr:grpSpPr bwMode="auto">
          <a:xfrm>
            <a:off x="37" y="47"/>
            <a:ext cx="304" cy="490"/>
            <a:chOff x="37" y="47"/>
            <a:chExt cx="304" cy="490"/>
          </a:xfrm>
        </xdr:grpSpPr>
        <xdr:sp macro="" textlink="">
          <xdr:nvSpPr>
            <xdr:cNvPr id="3062" name="Freeform 4">
              <a:extLst>
                <a:ext uri="{FF2B5EF4-FFF2-40B4-BE49-F238E27FC236}">
                  <a16:creationId xmlns:a16="http://schemas.microsoft.com/office/drawing/2014/main" id="{11E6BE88-97B5-BD85-F129-53E3A6A6262F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124 w 304"/>
                <a:gd name="T1" fmla="*/ 0 h 490"/>
                <a:gd name="T2" fmla="*/ 0 w 304"/>
                <a:gd name="T3" fmla="*/ 0 h 490"/>
                <a:gd name="T4" fmla="*/ 0 w 304"/>
                <a:gd name="T5" fmla="*/ 490 h 490"/>
                <a:gd name="T6" fmla="*/ 124 w 304"/>
                <a:gd name="T7" fmla="*/ 490 h 490"/>
                <a:gd name="T8" fmla="*/ 124 w 304"/>
                <a:gd name="T9" fmla="*/ 280 h 490"/>
                <a:gd name="T10" fmla="*/ 242 w 304"/>
                <a:gd name="T11" fmla="*/ 280 h 490"/>
                <a:gd name="T12" fmla="*/ 225 w 304"/>
                <a:gd name="T13" fmla="*/ 221 h 490"/>
                <a:gd name="T14" fmla="*/ 235 w 304"/>
                <a:gd name="T15" fmla="*/ 190 h 490"/>
                <a:gd name="T16" fmla="*/ 124 w 304"/>
                <a:gd name="T17" fmla="*/ 190 h 490"/>
                <a:gd name="T18" fmla="*/ 124 w 304"/>
                <a:gd name="T19" fmla="*/ 0 h 490"/>
                <a:gd name="T20" fmla="*/ 0 60000 65536"/>
                <a:gd name="T21" fmla="*/ 0 60000 65536"/>
                <a:gd name="T22" fmla="*/ 0 60000 65536"/>
                <a:gd name="T23" fmla="*/ 0 60000 65536"/>
                <a:gd name="T24" fmla="*/ 0 60000 65536"/>
                <a:gd name="T25" fmla="*/ 0 60000 65536"/>
                <a:gd name="T26" fmla="*/ 0 60000 65536"/>
                <a:gd name="T27" fmla="*/ 0 60000 65536"/>
                <a:gd name="T28" fmla="*/ 0 60000 65536"/>
                <a:gd name="T29" fmla="*/ 0 60000 65536"/>
              </a:gdLst>
              <a:ahLst/>
              <a:cxnLst>
                <a:cxn ang="T20">
                  <a:pos x="T0" y="T1"/>
                </a:cxn>
                <a:cxn ang="T21">
                  <a:pos x="T2" y="T3"/>
                </a:cxn>
                <a:cxn ang="T22">
                  <a:pos x="T4" y="T5"/>
                </a:cxn>
                <a:cxn ang="T23">
                  <a:pos x="T6" y="T7"/>
                </a:cxn>
                <a:cxn ang="T24">
                  <a:pos x="T8" y="T9"/>
                </a:cxn>
                <a:cxn ang="T25">
                  <a:pos x="T10" y="T11"/>
                </a:cxn>
                <a:cxn ang="T26">
                  <a:pos x="T12" y="T13"/>
                </a:cxn>
                <a:cxn ang="T27">
                  <a:pos x="T14" y="T15"/>
                </a:cxn>
                <a:cxn ang="T28">
                  <a:pos x="T16" y="T17"/>
                </a:cxn>
                <a:cxn ang="T29">
                  <a:pos x="T18" y="T19"/>
                </a:cxn>
              </a:cxnLst>
              <a:rect l="0" t="0" r="r" b="b"/>
              <a:pathLst>
                <a:path w="304" h="490">
                  <a:moveTo>
                    <a:pt x="124" y="0"/>
                  </a:moveTo>
                  <a:lnTo>
                    <a:pt x="0" y="0"/>
                  </a:lnTo>
                  <a:lnTo>
                    <a:pt x="0" y="490"/>
                  </a:lnTo>
                  <a:lnTo>
                    <a:pt x="124" y="490"/>
                  </a:lnTo>
                  <a:lnTo>
                    <a:pt x="124" y="280"/>
                  </a:lnTo>
                  <a:lnTo>
                    <a:pt x="242" y="280"/>
                  </a:lnTo>
                  <a:lnTo>
                    <a:pt x="225" y="221"/>
                  </a:lnTo>
                  <a:lnTo>
                    <a:pt x="235" y="190"/>
                  </a:lnTo>
                  <a:lnTo>
                    <a:pt x="124" y="190"/>
                  </a:lnTo>
                  <a:lnTo>
                    <a:pt x="124" y="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063" name="Freeform 5">
              <a:extLst>
                <a:ext uri="{FF2B5EF4-FFF2-40B4-BE49-F238E27FC236}">
                  <a16:creationId xmlns:a16="http://schemas.microsoft.com/office/drawing/2014/main" id="{40DE1520-8596-9809-D34D-D95B55BB1FD8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242 w 304"/>
                <a:gd name="T1" fmla="*/ 280 h 490"/>
                <a:gd name="T2" fmla="*/ 124 w 304"/>
                <a:gd name="T3" fmla="*/ 280 h 490"/>
                <a:gd name="T4" fmla="*/ 175 w 304"/>
                <a:gd name="T5" fmla="*/ 490 h 490"/>
                <a:gd name="T6" fmla="*/ 303 w 304"/>
                <a:gd name="T7" fmla="*/ 490 h 490"/>
                <a:gd name="T8" fmla="*/ 242 w 304"/>
                <a:gd name="T9" fmla="*/ 280 h 490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0" t="0" r="r" b="b"/>
              <a:pathLst>
                <a:path w="304" h="490">
                  <a:moveTo>
                    <a:pt x="242" y="280"/>
                  </a:moveTo>
                  <a:lnTo>
                    <a:pt x="124" y="280"/>
                  </a:lnTo>
                  <a:lnTo>
                    <a:pt x="175" y="490"/>
                  </a:lnTo>
                  <a:lnTo>
                    <a:pt x="303" y="490"/>
                  </a:lnTo>
                  <a:lnTo>
                    <a:pt x="242" y="28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064" name="Freeform 6">
              <a:extLst>
                <a:ext uri="{FF2B5EF4-FFF2-40B4-BE49-F238E27FC236}">
                  <a16:creationId xmlns:a16="http://schemas.microsoft.com/office/drawing/2014/main" id="{D626BA41-204A-C54B-9123-A6C12F6B410D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297 w 304"/>
                <a:gd name="T1" fmla="*/ 0 h 490"/>
                <a:gd name="T2" fmla="*/ 180 w 304"/>
                <a:gd name="T3" fmla="*/ 0 h 490"/>
                <a:gd name="T4" fmla="*/ 124 w 304"/>
                <a:gd name="T5" fmla="*/ 190 h 490"/>
                <a:gd name="T6" fmla="*/ 235 w 304"/>
                <a:gd name="T7" fmla="*/ 190 h 490"/>
                <a:gd name="T8" fmla="*/ 297 w 304"/>
                <a:gd name="T9" fmla="*/ 0 h 490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0" t="0" r="r" b="b"/>
              <a:pathLst>
                <a:path w="304" h="490">
                  <a:moveTo>
                    <a:pt x="297" y="0"/>
                  </a:moveTo>
                  <a:lnTo>
                    <a:pt x="180" y="0"/>
                  </a:lnTo>
                  <a:lnTo>
                    <a:pt x="124" y="190"/>
                  </a:lnTo>
                  <a:lnTo>
                    <a:pt x="235" y="190"/>
                  </a:lnTo>
                  <a:lnTo>
                    <a:pt x="297" y="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sp macro="" textlink="">
        <xdr:nvSpPr>
          <xdr:cNvPr id="3055" name="Freeform 7">
            <a:extLst>
              <a:ext uri="{FF2B5EF4-FFF2-40B4-BE49-F238E27FC236}">
                <a16:creationId xmlns:a16="http://schemas.microsoft.com/office/drawing/2014/main" id="{8B3B21AE-85B7-BD06-CD82-D73F6A1D2CCF}"/>
              </a:ext>
            </a:extLst>
          </xdr:cNvPr>
          <xdr:cNvSpPr>
            <a:spLocks/>
          </xdr:cNvSpPr>
        </xdr:nvSpPr>
        <xdr:spPr bwMode="auto">
          <a:xfrm>
            <a:off x="363" y="47"/>
            <a:ext cx="216" cy="490"/>
          </a:xfrm>
          <a:custGeom>
            <a:avLst/>
            <a:gdLst>
              <a:gd name="T0" fmla="*/ 207 w 216"/>
              <a:gd name="T1" fmla="*/ 0 h 490"/>
              <a:gd name="T2" fmla="*/ 0 w 216"/>
              <a:gd name="T3" fmla="*/ 0 h 490"/>
              <a:gd name="T4" fmla="*/ 0 w 216"/>
              <a:gd name="T5" fmla="*/ 490 h 490"/>
              <a:gd name="T6" fmla="*/ 215 w 216"/>
              <a:gd name="T7" fmla="*/ 490 h 490"/>
              <a:gd name="T8" fmla="*/ 215 w 216"/>
              <a:gd name="T9" fmla="*/ 391 h 490"/>
              <a:gd name="T10" fmla="*/ 124 w 216"/>
              <a:gd name="T11" fmla="*/ 391 h 490"/>
              <a:gd name="T12" fmla="*/ 124 w 216"/>
              <a:gd name="T13" fmla="*/ 284 h 490"/>
              <a:gd name="T14" fmla="*/ 202 w 216"/>
              <a:gd name="T15" fmla="*/ 284 h 490"/>
              <a:gd name="T16" fmla="*/ 202 w 216"/>
              <a:gd name="T17" fmla="*/ 191 h 490"/>
              <a:gd name="T18" fmla="*/ 124 w 216"/>
              <a:gd name="T19" fmla="*/ 191 h 490"/>
              <a:gd name="T20" fmla="*/ 124 w 216"/>
              <a:gd name="T21" fmla="*/ 98 h 490"/>
              <a:gd name="T22" fmla="*/ 207 w 216"/>
              <a:gd name="T23" fmla="*/ 98 h 490"/>
              <a:gd name="T24" fmla="*/ 207 w 216"/>
              <a:gd name="T25" fmla="*/ 0 h 490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0" t="0" r="r" b="b"/>
            <a:pathLst>
              <a:path w="216" h="490">
                <a:moveTo>
                  <a:pt x="207" y="0"/>
                </a:moveTo>
                <a:lnTo>
                  <a:pt x="0" y="0"/>
                </a:lnTo>
                <a:lnTo>
                  <a:pt x="0" y="490"/>
                </a:lnTo>
                <a:lnTo>
                  <a:pt x="215" y="490"/>
                </a:lnTo>
                <a:lnTo>
                  <a:pt x="215" y="391"/>
                </a:lnTo>
                <a:lnTo>
                  <a:pt x="124" y="391"/>
                </a:lnTo>
                <a:lnTo>
                  <a:pt x="124" y="284"/>
                </a:lnTo>
                <a:lnTo>
                  <a:pt x="202" y="284"/>
                </a:lnTo>
                <a:lnTo>
                  <a:pt x="202" y="191"/>
                </a:lnTo>
                <a:lnTo>
                  <a:pt x="124" y="191"/>
                </a:lnTo>
                <a:lnTo>
                  <a:pt x="124" y="98"/>
                </a:lnTo>
                <a:lnTo>
                  <a:pt x="207" y="98"/>
                </a:lnTo>
                <a:lnTo>
                  <a:pt x="20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6" name="Rectangle 3055">
            <a:extLst>
              <a:ext uri="{FF2B5EF4-FFF2-40B4-BE49-F238E27FC236}">
                <a16:creationId xmlns:a16="http://schemas.microsoft.com/office/drawing/2014/main" id="{5C7CF35E-BC37-D073-1335-32B921CF4159}"/>
              </a:ext>
            </a:extLst>
          </xdr:cNvPr>
          <xdr:cNvSpPr>
            <a:spLocks/>
          </xdr:cNvSpPr>
        </xdr:nvSpPr>
        <xdr:spPr bwMode="auto">
          <a:xfrm>
            <a:off x="426" y="237"/>
            <a:ext cx="181" cy="100"/>
          </a:xfrm>
          <a:prstGeom prst="rect">
            <a:avLst/>
          </a:prstGeom>
          <a:solidFill>
            <a:srgbClr val="FEDC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7" name="Rectangle 3056">
            <a:extLst>
              <a:ext uri="{FF2B5EF4-FFF2-40B4-BE49-F238E27FC236}">
                <a16:creationId xmlns:a16="http://schemas.microsoft.com/office/drawing/2014/main" id="{A931825A-0BD3-CFD2-5BF0-245E99F448C4}"/>
              </a:ext>
            </a:extLst>
          </xdr:cNvPr>
          <xdr:cNvSpPr>
            <a:spLocks/>
          </xdr:cNvSpPr>
        </xdr:nvSpPr>
        <xdr:spPr bwMode="auto">
          <a:xfrm>
            <a:off x="426" y="436"/>
            <a:ext cx="181" cy="100"/>
          </a:xfrm>
          <a:prstGeom prst="rect">
            <a:avLst/>
          </a:prstGeom>
          <a:solidFill>
            <a:srgbClr val="0F91D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8" name="Rectangle 3057">
            <a:extLst>
              <a:ext uri="{FF2B5EF4-FFF2-40B4-BE49-F238E27FC236}">
                <a16:creationId xmlns:a16="http://schemas.microsoft.com/office/drawing/2014/main" id="{861F43D2-BF07-208B-283F-DB5FB98C2105}"/>
              </a:ext>
            </a:extLst>
          </xdr:cNvPr>
          <xdr:cNvSpPr>
            <a:spLocks/>
          </xdr:cNvSpPr>
        </xdr:nvSpPr>
        <xdr:spPr bwMode="auto">
          <a:xfrm>
            <a:off x="426" y="47"/>
            <a:ext cx="181" cy="100"/>
          </a:xfrm>
          <a:prstGeom prst="rect">
            <a:avLst/>
          </a:prstGeom>
          <a:solidFill>
            <a:srgbClr val="E01F26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9" name="Freeform 11">
            <a:extLst>
              <a:ext uri="{FF2B5EF4-FFF2-40B4-BE49-F238E27FC236}">
                <a16:creationId xmlns:a16="http://schemas.microsoft.com/office/drawing/2014/main" id="{5B2F48A3-E858-0235-45C0-6584D903B7B2}"/>
              </a:ext>
            </a:extLst>
          </xdr:cNvPr>
          <xdr:cNvSpPr>
            <a:spLocks/>
          </xdr:cNvSpPr>
        </xdr:nvSpPr>
        <xdr:spPr bwMode="auto">
          <a:xfrm>
            <a:off x="636" y="37"/>
            <a:ext cx="284" cy="510"/>
          </a:xfrm>
          <a:custGeom>
            <a:avLst/>
            <a:gdLst>
              <a:gd name="T0" fmla="*/ 142 w 284"/>
              <a:gd name="T1" fmla="*/ 0 h 510"/>
              <a:gd name="T2" fmla="*/ 123 w 284"/>
              <a:gd name="T3" fmla="*/ 1 h 510"/>
              <a:gd name="T4" fmla="*/ 104 w 284"/>
              <a:gd name="T5" fmla="*/ 4 h 510"/>
              <a:gd name="T6" fmla="*/ 85 w 284"/>
              <a:gd name="T7" fmla="*/ 9 h 510"/>
              <a:gd name="T8" fmla="*/ 64 w 284"/>
              <a:gd name="T9" fmla="*/ 18 h 510"/>
              <a:gd name="T10" fmla="*/ 48 w 284"/>
              <a:gd name="T11" fmla="*/ 28 h 510"/>
              <a:gd name="T12" fmla="*/ 34 w 284"/>
              <a:gd name="T13" fmla="*/ 41 h 510"/>
              <a:gd name="T14" fmla="*/ 20 w 284"/>
              <a:gd name="T15" fmla="*/ 59 h 510"/>
              <a:gd name="T16" fmla="*/ 12 w 284"/>
              <a:gd name="T17" fmla="*/ 74 h 510"/>
              <a:gd name="T18" fmla="*/ 6 w 284"/>
              <a:gd name="T19" fmla="*/ 93 h 510"/>
              <a:gd name="T20" fmla="*/ 1 w 284"/>
              <a:gd name="T21" fmla="*/ 118 h 510"/>
              <a:gd name="T22" fmla="*/ 0 w 284"/>
              <a:gd name="T23" fmla="*/ 136 h 510"/>
              <a:gd name="T24" fmla="*/ 0 w 284"/>
              <a:gd name="T25" fmla="*/ 158 h 510"/>
              <a:gd name="T26" fmla="*/ 0 w 284"/>
              <a:gd name="T27" fmla="*/ 332 h 510"/>
              <a:gd name="T28" fmla="*/ 0 w 284"/>
              <a:gd name="T29" fmla="*/ 354 h 510"/>
              <a:gd name="T30" fmla="*/ 1 w 284"/>
              <a:gd name="T31" fmla="*/ 374 h 510"/>
              <a:gd name="T32" fmla="*/ 4 w 284"/>
              <a:gd name="T33" fmla="*/ 394 h 510"/>
              <a:gd name="T34" fmla="*/ 7 w 284"/>
              <a:gd name="T35" fmla="*/ 412 h 510"/>
              <a:gd name="T36" fmla="*/ 12 w 284"/>
              <a:gd name="T37" fmla="*/ 431 h 510"/>
              <a:gd name="T38" fmla="*/ 18 w 284"/>
              <a:gd name="T39" fmla="*/ 450 h 510"/>
              <a:gd name="T40" fmla="*/ 29 w 284"/>
              <a:gd name="T41" fmla="*/ 466 h 510"/>
              <a:gd name="T42" fmla="*/ 44 w 284"/>
              <a:gd name="T43" fmla="*/ 480 h 510"/>
              <a:gd name="T44" fmla="*/ 64 w 284"/>
              <a:gd name="T45" fmla="*/ 493 h 510"/>
              <a:gd name="T46" fmla="*/ 79 w 284"/>
              <a:gd name="T47" fmla="*/ 499 h 510"/>
              <a:gd name="T48" fmla="*/ 96 w 284"/>
              <a:gd name="T49" fmla="*/ 504 h 510"/>
              <a:gd name="T50" fmla="*/ 115 w 284"/>
              <a:gd name="T51" fmla="*/ 507 h 510"/>
              <a:gd name="T52" fmla="*/ 138 w 284"/>
              <a:gd name="T53" fmla="*/ 509 h 510"/>
              <a:gd name="T54" fmla="*/ 165 w 284"/>
              <a:gd name="T55" fmla="*/ 509 h 510"/>
              <a:gd name="T56" fmla="*/ 186 w 284"/>
              <a:gd name="T57" fmla="*/ 506 h 510"/>
              <a:gd name="T58" fmla="*/ 205 w 284"/>
              <a:gd name="T59" fmla="*/ 501 h 510"/>
              <a:gd name="T60" fmla="*/ 223 w 284"/>
              <a:gd name="T61" fmla="*/ 493 h 510"/>
              <a:gd name="T62" fmla="*/ 241 w 284"/>
              <a:gd name="T63" fmla="*/ 483 h 510"/>
              <a:gd name="T64" fmla="*/ 255 w 284"/>
              <a:gd name="T65" fmla="*/ 471 h 510"/>
              <a:gd name="T66" fmla="*/ 268 w 284"/>
              <a:gd name="T67" fmla="*/ 456 h 510"/>
              <a:gd name="T68" fmla="*/ 278 w 284"/>
              <a:gd name="T69" fmla="*/ 438 h 510"/>
              <a:gd name="T70" fmla="*/ 283 w 284"/>
              <a:gd name="T71" fmla="*/ 426 h 510"/>
              <a:gd name="T72" fmla="*/ 137 w 284"/>
              <a:gd name="T73" fmla="*/ 426 h 510"/>
              <a:gd name="T74" fmla="*/ 131 w 284"/>
              <a:gd name="T75" fmla="*/ 423 h 510"/>
              <a:gd name="T76" fmla="*/ 127 w 284"/>
              <a:gd name="T77" fmla="*/ 412 h 510"/>
              <a:gd name="T78" fmla="*/ 125 w 284"/>
              <a:gd name="T79" fmla="*/ 395 h 510"/>
              <a:gd name="T80" fmla="*/ 124 w 284"/>
              <a:gd name="T81" fmla="*/ 374 h 510"/>
              <a:gd name="T82" fmla="*/ 124 w 284"/>
              <a:gd name="T83" fmla="*/ 130 h 510"/>
              <a:gd name="T84" fmla="*/ 125 w 284"/>
              <a:gd name="T85" fmla="*/ 108 h 510"/>
              <a:gd name="T86" fmla="*/ 128 w 284"/>
              <a:gd name="T87" fmla="*/ 94 h 510"/>
              <a:gd name="T88" fmla="*/ 131 w 284"/>
              <a:gd name="T89" fmla="*/ 86 h 510"/>
              <a:gd name="T90" fmla="*/ 137 w 284"/>
              <a:gd name="T91" fmla="*/ 83 h 510"/>
              <a:gd name="T92" fmla="*/ 284 w 284"/>
              <a:gd name="T93" fmla="*/ 83 h 510"/>
              <a:gd name="T94" fmla="*/ 281 w 284"/>
              <a:gd name="T95" fmla="*/ 72 h 510"/>
              <a:gd name="T96" fmla="*/ 273 w 284"/>
              <a:gd name="T97" fmla="*/ 57 h 510"/>
              <a:gd name="T98" fmla="*/ 262 w 284"/>
              <a:gd name="T99" fmla="*/ 43 h 510"/>
              <a:gd name="T100" fmla="*/ 245 w 284"/>
              <a:gd name="T101" fmla="*/ 29 h 510"/>
              <a:gd name="T102" fmla="*/ 223 w 284"/>
              <a:gd name="T103" fmla="*/ 15 h 510"/>
              <a:gd name="T104" fmla="*/ 206 w 284"/>
              <a:gd name="T105" fmla="*/ 8 h 510"/>
              <a:gd name="T106" fmla="*/ 187 w 284"/>
              <a:gd name="T107" fmla="*/ 3 h 510"/>
              <a:gd name="T108" fmla="*/ 166 w 284"/>
              <a:gd name="T109" fmla="*/ 0 h 510"/>
              <a:gd name="T110" fmla="*/ 142 w 284"/>
              <a:gd name="T111" fmla="*/ 0 h 510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</a:gdLst>
            <a:ahLst/>
            <a:cxnLst>
              <a:cxn ang="T112">
                <a:pos x="T0" y="T1"/>
              </a:cxn>
              <a:cxn ang="T113">
                <a:pos x="T2" y="T3"/>
              </a:cxn>
              <a:cxn ang="T114">
                <a:pos x="T4" y="T5"/>
              </a:cxn>
              <a:cxn ang="T115">
                <a:pos x="T6" y="T7"/>
              </a:cxn>
              <a:cxn ang="T116">
                <a:pos x="T8" y="T9"/>
              </a:cxn>
              <a:cxn ang="T117">
                <a:pos x="T10" y="T11"/>
              </a:cxn>
              <a:cxn ang="T118">
                <a:pos x="T12" y="T13"/>
              </a:cxn>
              <a:cxn ang="T119">
                <a:pos x="T14" y="T15"/>
              </a:cxn>
              <a:cxn ang="T120">
                <a:pos x="T16" y="T17"/>
              </a:cxn>
              <a:cxn ang="T121">
                <a:pos x="T18" y="T19"/>
              </a:cxn>
              <a:cxn ang="T122">
                <a:pos x="T20" y="T21"/>
              </a:cxn>
              <a:cxn ang="T123">
                <a:pos x="T22" y="T23"/>
              </a:cxn>
              <a:cxn ang="T124">
                <a:pos x="T24" y="T25"/>
              </a:cxn>
              <a:cxn ang="T125">
                <a:pos x="T26" y="T27"/>
              </a:cxn>
              <a:cxn ang="T126">
                <a:pos x="T28" y="T29"/>
              </a:cxn>
              <a:cxn ang="T127">
                <a:pos x="T30" y="T31"/>
              </a:cxn>
              <a:cxn ang="T128">
                <a:pos x="T32" y="T33"/>
              </a:cxn>
              <a:cxn ang="T129">
                <a:pos x="T34" y="T35"/>
              </a:cxn>
              <a:cxn ang="T130">
                <a:pos x="T36" y="T37"/>
              </a:cxn>
              <a:cxn ang="T131">
                <a:pos x="T38" y="T39"/>
              </a:cxn>
              <a:cxn ang="T132">
                <a:pos x="T40" y="T41"/>
              </a:cxn>
              <a:cxn ang="T133">
                <a:pos x="T42" y="T43"/>
              </a:cxn>
              <a:cxn ang="T134">
                <a:pos x="T44" y="T45"/>
              </a:cxn>
              <a:cxn ang="T135">
                <a:pos x="T46" y="T47"/>
              </a:cxn>
              <a:cxn ang="T136">
                <a:pos x="T48" y="T49"/>
              </a:cxn>
              <a:cxn ang="T137">
                <a:pos x="T50" y="T51"/>
              </a:cxn>
              <a:cxn ang="T138">
                <a:pos x="T52" y="T53"/>
              </a:cxn>
              <a:cxn ang="T139">
                <a:pos x="T54" y="T55"/>
              </a:cxn>
              <a:cxn ang="T140">
                <a:pos x="T56" y="T57"/>
              </a:cxn>
              <a:cxn ang="T141">
                <a:pos x="T58" y="T59"/>
              </a:cxn>
              <a:cxn ang="T142">
                <a:pos x="T60" y="T61"/>
              </a:cxn>
              <a:cxn ang="T143">
                <a:pos x="T62" y="T63"/>
              </a:cxn>
              <a:cxn ang="T144">
                <a:pos x="T64" y="T65"/>
              </a:cxn>
              <a:cxn ang="T145">
                <a:pos x="T66" y="T67"/>
              </a:cxn>
              <a:cxn ang="T146">
                <a:pos x="T68" y="T69"/>
              </a:cxn>
              <a:cxn ang="T147">
                <a:pos x="T70" y="T71"/>
              </a:cxn>
              <a:cxn ang="T148">
                <a:pos x="T72" y="T73"/>
              </a:cxn>
              <a:cxn ang="T149">
                <a:pos x="T74" y="T75"/>
              </a:cxn>
              <a:cxn ang="T150">
                <a:pos x="T76" y="T77"/>
              </a:cxn>
              <a:cxn ang="T151">
                <a:pos x="T78" y="T79"/>
              </a:cxn>
              <a:cxn ang="T152">
                <a:pos x="T80" y="T81"/>
              </a:cxn>
              <a:cxn ang="T153">
                <a:pos x="T82" y="T83"/>
              </a:cxn>
              <a:cxn ang="T154">
                <a:pos x="T84" y="T85"/>
              </a:cxn>
              <a:cxn ang="T155">
                <a:pos x="T86" y="T87"/>
              </a:cxn>
              <a:cxn ang="T156">
                <a:pos x="T88" y="T89"/>
              </a:cxn>
              <a:cxn ang="T157">
                <a:pos x="T90" y="T91"/>
              </a:cxn>
              <a:cxn ang="T158">
                <a:pos x="T92" y="T93"/>
              </a:cxn>
              <a:cxn ang="T159">
                <a:pos x="T94" y="T95"/>
              </a:cxn>
              <a:cxn ang="T160">
                <a:pos x="T96" y="T97"/>
              </a:cxn>
              <a:cxn ang="T161">
                <a:pos x="T98" y="T99"/>
              </a:cxn>
              <a:cxn ang="T162">
                <a:pos x="T100" y="T101"/>
              </a:cxn>
              <a:cxn ang="T163">
                <a:pos x="T102" y="T103"/>
              </a:cxn>
              <a:cxn ang="T164">
                <a:pos x="T104" y="T105"/>
              </a:cxn>
              <a:cxn ang="T165">
                <a:pos x="T106" y="T107"/>
              </a:cxn>
              <a:cxn ang="T166">
                <a:pos x="T108" y="T109"/>
              </a:cxn>
              <a:cxn ang="T167">
                <a:pos x="T110" y="T111"/>
              </a:cxn>
            </a:cxnLst>
            <a:rect l="0" t="0" r="r" b="b"/>
            <a:pathLst>
              <a:path w="284" h="510">
                <a:moveTo>
                  <a:pt x="142" y="0"/>
                </a:moveTo>
                <a:lnTo>
                  <a:pt x="123" y="1"/>
                </a:lnTo>
                <a:lnTo>
                  <a:pt x="104" y="4"/>
                </a:lnTo>
                <a:lnTo>
                  <a:pt x="85" y="9"/>
                </a:lnTo>
                <a:lnTo>
                  <a:pt x="64" y="18"/>
                </a:lnTo>
                <a:lnTo>
                  <a:pt x="48" y="28"/>
                </a:lnTo>
                <a:lnTo>
                  <a:pt x="34" y="41"/>
                </a:lnTo>
                <a:lnTo>
                  <a:pt x="20" y="59"/>
                </a:lnTo>
                <a:lnTo>
                  <a:pt x="12" y="74"/>
                </a:lnTo>
                <a:lnTo>
                  <a:pt x="6" y="93"/>
                </a:lnTo>
                <a:lnTo>
                  <a:pt x="1" y="118"/>
                </a:lnTo>
                <a:lnTo>
                  <a:pt x="0" y="136"/>
                </a:lnTo>
                <a:lnTo>
                  <a:pt x="0" y="158"/>
                </a:lnTo>
                <a:lnTo>
                  <a:pt x="0" y="332"/>
                </a:lnTo>
                <a:lnTo>
                  <a:pt x="0" y="354"/>
                </a:lnTo>
                <a:lnTo>
                  <a:pt x="1" y="374"/>
                </a:lnTo>
                <a:lnTo>
                  <a:pt x="4" y="394"/>
                </a:lnTo>
                <a:lnTo>
                  <a:pt x="7" y="412"/>
                </a:lnTo>
                <a:lnTo>
                  <a:pt x="12" y="431"/>
                </a:lnTo>
                <a:lnTo>
                  <a:pt x="18" y="450"/>
                </a:lnTo>
                <a:lnTo>
                  <a:pt x="29" y="466"/>
                </a:lnTo>
                <a:lnTo>
                  <a:pt x="44" y="480"/>
                </a:lnTo>
                <a:lnTo>
                  <a:pt x="64" y="493"/>
                </a:lnTo>
                <a:lnTo>
                  <a:pt x="79" y="499"/>
                </a:lnTo>
                <a:lnTo>
                  <a:pt x="96" y="504"/>
                </a:lnTo>
                <a:lnTo>
                  <a:pt x="115" y="507"/>
                </a:lnTo>
                <a:lnTo>
                  <a:pt x="138" y="509"/>
                </a:lnTo>
                <a:lnTo>
                  <a:pt x="165" y="509"/>
                </a:lnTo>
                <a:lnTo>
                  <a:pt x="186" y="506"/>
                </a:lnTo>
                <a:lnTo>
                  <a:pt x="205" y="501"/>
                </a:lnTo>
                <a:lnTo>
                  <a:pt x="223" y="493"/>
                </a:lnTo>
                <a:lnTo>
                  <a:pt x="241" y="483"/>
                </a:lnTo>
                <a:lnTo>
                  <a:pt x="255" y="471"/>
                </a:lnTo>
                <a:lnTo>
                  <a:pt x="268" y="456"/>
                </a:lnTo>
                <a:lnTo>
                  <a:pt x="278" y="438"/>
                </a:lnTo>
                <a:lnTo>
                  <a:pt x="283" y="426"/>
                </a:lnTo>
                <a:lnTo>
                  <a:pt x="137" y="426"/>
                </a:lnTo>
                <a:lnTo>
                  <a:pt x="131" y="423"/>
                </a:lnTo>
                <a:lnTo>
                  <a:pt x="127" y="412"/>
                </a:lnTo>
                <a:lnTo>
                  <a:pt x="125" y="395"/>
                </a:lnTo>
                <a:lnTo>
                  <a:pt x="124" y="374"/>
                </a:lnTo>
                <a:lnTo>
                  <a:pt x="124" y="130"/>
                </a:lnTo>
                <a:lnTo>
                  <a:pt x="125" y="108"/>
                </a:lnTo>
                <a:lnTo>
                  <a:pt x="128" y="94"/>
                </a:lnTo>
                <a:lnTo>
                  <a:pt x="131" y="86"/>
                </a:lnTo>
                <a:lnTo>
                  <a:pt x="137" y="83"/>
                </a:lnTo>
                <a:lnTo>
                  <a:pt x="284" y="83"/>
                </a:lnTo>
                <a:lnTo>
                  <a:pt x="281" y="72"/>
                </a:lnTo>
                <a:lnTo>
                  <a:pt x="273" y="57"/>
                </a:lnTo>
                <a:lnTo>
                  <a:pt x="262" y="43"/>
                </a:lnTo>
                <a:lnTo>
                  <a:pt x="245" y="29"/>
                </a:lnTo>
                <a:lnTo>
                  <a:pt x="223" y="15"/>
                </a:lnTo>
                <a:lnTo>
                  <a:pt x="206" y="8"/>
                </a:lnTo>
                <a:lnTo>
                  <a:pt x="187" y="3"/>
                </a:lnTo>
                <a:lnTo>
                  <a:pt x="166" y="0"/>
                </a:lnTo>
                <a:lnTo>
                  <a:pt x="142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60" name="Freeform 12">
            <a:extLst>
              <a:ext uri="{FF2B5EF4-FFF2-40B4-BE49-F238E27FC236}">
                <a16:creationId xmlns:a16="http://schemas.microsoft.com/office/drawing/2014/main" id="{59C9CEBE-4879-D088-0395-78784552E12F}"/>
              </a:ext>
            </a:extLst>
          </xdr:cNvPr>
          <xdr:cNvSpPr>
            <a:spLocks/>
          </xdr:cNvSpPr>
        </xdr:nvSpPr>
        <xdr:spPr bwMode="auto">
          <a:xfrm>
            <a:off x="792" y="369"/>
            <a:ext cx="138" cy="95"/>
          </a:xfrm>
          <a:custGeom>
            <a:avLst/>
            <a:gdLst>
              <a:gd name="T0" fmla="*/ 137 w 138"/>
              <a:gd name="T1" fmla="*/ 0 h 95"/>
              <a:gd name="T2" fmla="*/ 13 w 138"/>
              <a:gd name="T3" fmla="*/ 0 h 95"/>
              <a:gd name="T4" fmla="*/ 12 w 138"/>
              <a:gd name="T5" fmla="*/ 49 h 95"/>
              <a:gd name="T6" fmla="*/ 11 w 138"/>
              <a:gd name="T7" fmla="*/ 71 h 95"/>
              <a:gd name="T8" fmla="*/ 8 w 138"/>
              <a:gd name="T9" fmla="*/ 84 h 95"/>
              <a:gd name="T10" fmla="*/ 6 w 138"/>
              <a:gd name="T11" fmla="*/ 91 h 95"/>
              <a:gd name="T12" fmla="*/ 0 w 138"/>
              <a:gd name="T13" fmla="*/ 95 h 95"/>
              <a:gd name="T14" fmla="*/ 126 w 138"/>
              <a:gd name="T15" fmla="*/ 95 h 95"/>
              <a:gd name="T16" fmla="*/ 130 w 138"/>
              <a:gd name="T17" fmla="*/ 85 h 95"/>
              <a:gd name="T18" fmla="*/ 133 w 138"/>
              <a:gd name="T19" fmla="*/ 69 h 95"/>
              <a:gd name="T20" fmla="*/ 135 w 138"/>
              <a:gd name="T21" fmla="*/ 49 h 95"/>
              <a:gd name="T22" fmla="*/ 136 w 138"/>
              <a:gd name="T23" fmla="*/ 26 h 95"/>
              <a:gd name="T24" fmla="*/ 137 w 138"/>
              <a:gd name="T25" fmla="*/ 0 h 95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0" t="0" r="r" b="b"/>
            <a:pathLst>
              <a:path w="138" h="95">
                <a:moveTo>
                  <a:pt x="137" y="0"/>
                </a:moveTo>
                <a:lnTo>
                  <a:pt x="13" y="0"/>
                </a:lnTo>
                <a:lnTo>
                  <a:pt x="12" y="49"/>
                </a:lnTo>
                <a:lnTo>
                  <a:pt x="11" y="71"/>
                </a:lnTo>
                <a:lnTo>
                  <a:pt x="8" y="84"/>
                </a:lnTo>
                <a:lnTo>
                  <a:pt x="6" y="91"/>
                </a:lnTo>
                <a:lnTo>
                  <a:pt x="0" y="95"/>
                </a:lnTo>
                <a:lnTo>
                  <a:pt x="126" y="95"/>
                </a:lnTo>
                <a:lnTo>
                  <a:pt x="130" y="85"/>
                </a:lnTo>
                <a:lnTo>
                  <a:pt x="133" y="69"/>
                </a:lnTo>
                <a:lnTo>
                  <a:pt x="135" y="49"/>
                </a:lnTo>
                <a:lnTo>
                  <a:pt x="136" y="26"/>
                </a:lnTo>
                <a:lnTo>
                  <a:pt x="13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61" name="Freeform 13">
            <a:extLst>
              <a:ext uri="{FF2B5EF4-FFF2-40B4-BE49-F238E27FC236}">
                <a16:creationId xmlns:a16="http://schemas.microsoft.com/office/drawing/2014/main" id="{705826C1-3614-412C-3D56-9028DE064880}"/>
              </a:ext>
            </a:extLst>
          </xdr:cNvPr>
          <xdr:cNvSpPr>
            <a:spLocks/>
          </xdr:cNvSpPr>
        </xdr:nvSpPr>
        <xdr:spPr bwMode="auto">
          <a:xfrm>
            <a:off x="793" y="120"/>
            <a:ext cx="137" cy="103"/>
          </a:xfrm>
          <a:custGeom>
            <a:avLst/>
            <a:gdLst>
              <a:gd name="T0" fmla="*/ 127 w 137"/>
              <a:gd name="T1" fmla="*/ 0 h 103"/>
              <a:gd name="T2" fmla="*/ 0 w 137"/>
              <a:gd name="T3" fmla="*/ 0 h 103"/>
              <a:gd name="T4" fmla="*/ 5 w 137"/>
              <a:gd name="T5" fmla="*/ 3 h 103"/>
              <a:gd name="T6" fmla="*/ 9 w 137"/>
              <a:gd name="T7" fmla="*/ 12 h 103"/>
              <a:gd name="T8" fmla="*/ 11 w 137"/>
              <a:gd name="T9" fmla="*/ 28 h 103"/>
              <a:gd name="T10" fmla="*/ 12 w 137"/>
              <a:gd name="T11" fmla="*/ 53 h 103"/>
              <a:gd name="T12" fmla="*/ 12 w 137"/>
              <a:gd name="T13" fmla="*/ 102 h 103"/>
              <a:gd name="T14" fmla="*/ 136 w 137"/>
              <a:gd name="T15" fmla="*/ 102 h 103"/>
              <a:gd name="T16" fmla="*/ 136 w 137"/>
              <a:gd name="T17" fmla="*/ 86 h 103"/>
              <a:gd name="T18" fmla="*/ 136 w 137"/>
              <a:gd name="T19" fmla="*/ 62 h 103"/>
              <a:gd name="T20" fmla="*/ 134 w 137"/>
              <a:gd name="T21" fmla="*/ 41 h 103"/>
              <a:gd name="T22" fmla="*/ 132 w 137"/>
              <a:gd name="T23" fmla="*/ 21 h 103"/>
              <a:gd name="T24" fmla="*/ 128 w 137"/>
              <a:gd name="T25" fmla="*/ 4 h 103"/>
              <a:gd name="T26" fmla="*/ 127 w 137"/>
              <a:gd name="T27" fmla="*/ 0 h 103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</a:gdLst>
            <a:ahLst/>
            <a:cxnLst>
              <a:cxn ang="T28">
                <a:pos x="T0" y="T1"/>
              </a:cxn>
              <a:cxn ang="T29">
                <a:pos x="T2" y="T3"/>
              </a:cxn>
              <a:cxn ang="T30">
                <a:pos x="T4" y="T5"/>
              </a:cxn>
              <a:cxn ang="T31">
                <a:pos x="T6" y="T7"/>
              </a:cxn>
              <a:cxn ang="T32">
                <a:pos x="T8" y="T9"/>
              </a:cxn>
              <a:cxn ang="T33">
                <a:pos x="T10" y="T11"/>
              </a:cxn>
              <a:cxn ang="T34">
                <a:pos x="T12" y="T13"/>
              </a:cxn>
              <a:cxn ang="T35">
                <a:pos x="T14" y="T15"/>
              </a:cxn>
              <a:cxn ang="T36">
                <a:pos x="T16" y="T17"/>
              </a:cxn>
              <a:cxn ang="T37">
                <a:pos x="T18" y="T19"/>
              </a:cxn>
              <a:cxn ang="T38">
                <a:pos x="T20" y="T21"/>
              </a:cxn>
              <a:cxn ang="T39">
                <a:pos x="T22" y="T23"/>
              </a:cxn>
              <a:cxn ang="T40">
                <a:pos x="T24" y="T25"/>
              </a:cxn>
              <a:cxn ang="T41">
                <a:pos x="T26" y="T27"/>
              </a:cxn>
            </a:cxnLst>
            <a:rect l="0" t="0" r="r" b="b"/>
            <a:pathLst>
              <a:path w="137" h="103">
                <a:moveTo>
                  <a:pt x="127" y="0"/>
                </a:moveTo>
                <a:lnTo>
                  <a:pt x="0" y="0"/>
                </a:lnTo>
                <a:lnTo>
                  <a:pt x="5" y="3"/>
                </a:lnTo>
                <a:lnTo>
                  <a:pt x="9" y="12"/>
                </a:lnTo>
                <a:lnTo>
                  <a:pt x="11" y="28"/>
                </a:lnTo>
                <a:lnTo>
                  <a:pt x="12" y="53"/>
                </a:lnTo>
                <a:lnTo>
                  <a:pt x="12" y="102"/>
                </a:lnTo>
                <a:lnTo>
                  <a:pt x="136" y="102"/>
                </a:lnTo>
                <a:lnTo>
                  <a:pt x="136" y="86"/>
                </a:lnTo>
                <a:lnTo>
                  <a:pt x="136" y="62"/>
                </a:lnTo>
                <a:lnTo>
                  <a:pt x="134" y="41"/>
                </a:lnTo>
                <a:lnTo>
                  <a:pt x="132" y="21"/>
                </a:lnTo>
                <a:lnTo>
                  <a:pt x="128" y="4"/>
                </a:lnTo>
                <a:lnTo>
                  <a:pt x="12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</xdr:grpSp>
    <xdr:clientData/>
  </xdr:twoCellAnchor>
  <xdr:twoCellAnchor>
    <xdr:from>
      <xdr:col>39</xdr:col>
      <xdr:colOff>0</xdr:colOff>
      <xdr:row>163</xdr:row>
      <xdr:rowOff>0</xdr:rowOff>
    </xdr:from>
    <xdr:to>
      <xdr:col>44</xdr:col>
      <xdr:colOff>123714</xdr:colOff>
      <xdr:row>164</xdr:row>
      <xdr:rowOff>57478</xdr:rowOff>
    </xdr:to>
    <xdr:sp macro="" textlink="">
      <xdr:nvSpPr>
        <xdr:cNvPr id="3065" name="Rectangle 3064">
          <a:extLst>
            <a:ext uri="{FF2B5EF4-FFF2-40B4-BE49-F238E27FC236}">
              <a16:creationId xmlns:a16="http://schemas.microsoft.com/office/drawing/2014/main" id="{5E5EB0DC-FB2A-457B-910D-22D8504F61B0}"/>
            </a:ext>
          </a:extLst>
        </xdr:cNvPr>
        <xdr:cNvSpPr/>
      </xdr:nvSpPr>
      <xdr:spPr>
        <a:xfrm>
          <a:off x="11525250" y="28555950"/>
          <a:ext cx="1552464" cy="219403"/>
        </a:xfrm>
        <a:prstGeom prst="rect">
          <a:avLst/>
        </a:prstGeom>
      </xdr:spPr>
      <xdr:txBody>
        <a:bodyPr wrap="square">
          <a:spAutoFit/>
        </a:bodyPr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9pPr>
        </a:lstStyle>
        <a:p>
          <a:pPr defTabSz="914377">
            <a:defRPr/>
          </a:pPr>
          <a:r>
            <a:rPr lang="en-US" sz="900">
              <a:solidFill>
                <a:prstClr val="black"/>
              </a:solidFill>
            </a:rPr>
            <a:t>*Includes EPC and Supply</a:t>
          </a:r>
        </a:p>
      </xdr:txBody>
    </xdr:sp>
    <xdr:clientData/>
  </xdr:twoCellAnchor>
  <xdr:twoCellAnchor>
    <xdr:from>
      <xdr:col>26</xdr:col>
      <xdr:colOff>113883</xdr:colOff>
      <xdr:row>39</xdr:row>
      <xdr:rowOff>134589</xdr:rowOff>
    </xdr:from>
    <xdr:to>
      <xdr:col>26</xdr:col>
      <xdr:colOff>209134</xdr:colOff>
      <xdr:row>41</xdr:row>
      <xdr:rowOff>39338</xdr:rowOff>
    </xdr:to>
    <xdr:cxnSp macro="">
      <xdr:nvCxnSpPr>
        <xdr:cNvPr id="3066" name="Elbow Connector 55">
          <a:extLst>
            <a:ext uri="{FF2B5EF4-FFF2-40B4-BE49-F238E27FC236}">
              <a16:creationId xmlns:a16="http://schemas.microsoft.com/office/drawing/2014/main" id="{8E2962FA-39FE-49E5-871F-9809F1F6CA18}"/>
            </a:ext>
          </a:extLst>
        </xdr:cNvPr>
        <xdr:cNvCxnSpPr/>
      </xdr:nvCxnSpPr>
      <xdr:spPr>
        <a:xfrm rot="16200000" flipH="1">
          <a:off x="7653129" y="7566158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103530</xdr:colOff>
      <xdr:row>39</xdr:row>
      <xdr:rowOff>82824</xdr:rowOff>
    </xdr:from>
    <xdr:to>
      <xdr:col>28</xdr:col>
      <xdr:colOff>198781</xdr:colOff>
      <xdr:row>40</xdr:row>
      <xdr:rowOff>173931</xdr:rowOff>
    </xdr:to>
    <xdr:cxnSp macro="">
      <xdr:nvCxnSpPr>
        <xdr:cNvPr id="3067" name="Elbow Connector 55">
          <a:extLst>
            <a:ext uri="{FF2B5EF4-FFF2-40B4-BE49-F238E27FC236}">
              <a16:creationId xmlns:a16="http://schemas.microsoft.com/office/drawing/2014/main" id="{D207B1C0-71F6-4013-B1E5-F4A8FF7AC387}"/>
            </a:ext>
          </a:extLst>
        </xdr:cNvPr>
        <xdr:cNvCxnSpPr/>
      </xdr:nvCxnSpPr>
      <xdr:spPr>
        <a:xfrm rot="16200000" flipH="1">
          <a:off x="8274325" y="7514393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113883</xdr:colOff>
      <xdr:row>39</xdr:row>
      <xdr:rowOff>93177</xdr:rowOff>
    </xdr:from>
    <xdr:to>
      <xdr:col>30</xdr:col>
      <xdr:colOff>209134</xdr:colOff>
      <xdr:row>40</xdr:row>
      <xdr:rowOff>184284</xdr:rowOff>
    </xdr:to>
    <xdr:cxnSp macro="">
      <xdr:nvCxnSpPr>
        <xdr:cNvPr id="3068" name="Elbow Connector 55">
          <a:extLst>
            <a:ext uri="{FF2B5EF4-FFF2-40B4-BE49-F238E27FC236}">
              <a16:creationId xmlns:a16="http://schemas.microsoft.com/office/drawing/2014/main" id="{3232DABC-9AC3-457D-A43D-065FBCA27BCB}"/>
            </a:ext>
          </a:extLst>
        </xdr:cNvPr>
        <xdr:cNvCxnSpPr/>
      </xdr:nvCxnSpPr>
      <xdr:spPr>
        <a:xfrm rot="16200000" flipH="1">
          <a:off x="8864461" y="7524746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103532</xdr:colOff>
      <xdr:row>47</xdr:row>
      <xdr:rowOff>113887</xdr:rowOff>
    </xdr:from>
    <xdr:to>
      <xdr:col>4</xdr:col>
      <xdr:colOff>198783</xdr:colOff>
      <xdr:row>49</xdr:row>
      <xdr:rowOff>18636</xdr:rowOff>
    </xdr:to>
    <xdr:cxnSp macro="">
      <xdr:nvCxnSpPr>
        <xdr:cNvPr id="3036" name="Elbow Connector 55">
          <a:extLst>
            <a:ext uri="{FF2B5EF4-FFF2-40B4-BE49-F238E27FC236}">
              <a16:creationId xmlns:a16="http://schemas.microsoft.com/office/drawing/2014/main" id="{5D508FD6-8300-48E7-A02A-B33073AE1EE1}"/>
            </a:ext>
          </a:extLst>
        </xdr:cNvPr>
        <xdr:cNvCxnSpPr/>
      </xdr:nvCxnSpPr>
      <xdr:spPr>
        <a:xfrm rot="16200000" flipH="1">
          <a:off x="1120224" y="9036326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144946</xdr:colOff>
      <xdr:row>47</xdr:row>
      <xdr:rowOff>93179</xdr:rowOff>
    </xdr:from>
    <xdr:to>
      <xdr:col>6</xdr:col>
      <xdr:colOff>240197</xdr:colOff>
      <xdr:row>48</xdr:row>
      <xdr:rowOff>184287</xdr:rowOff>
    </xdr:to>
    <xdr:cxnSp macro="">
      <xdr:nvCxnSpPr>
        <xdr:cNvPr id="3069" name="Elbow Connector 55">
          <a:extLst>
            <a:ext uri="{FF2B5EF4-FFF2-40B4-BE49-F238E27FC236}">
              <a16:creationId xmlns:a16="http://schemas.microsoft.com/office/drawing/2014/main" id="{A573014E-E7C7-466A-8C23-22227FEE5341}"/>
            </a:ext>
          </a:extLst>
        </xdr:cNvPr>
        <xdr:cNvCxnSpPr/>
      </xdr:nvCxnSpPr>
      <xdr:spPr>
        <a:xfrm rot="16200000" flipH="1">
          <a:off x="1782834" y="9015618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116628</xdr:colOff>
      <xdr:row>23</xdr:row>
      <xdr:rowOff>68033</xdr:rowOff>
    </xdr:from>
    <xdr:to>
      <xdr:col>44</xdr:col>
      <xdr:colOff>211879</xdr:colOff>
      <xdr:row>24</xdr:row>
      <xdr:rowOff>167170</xdr:rowOff>
    </xdr:to>
    <xdr:cxnSp macro="">
      <xdr:nvCxnSpPr>
        <xdr:cNvPr id="3074" name="Elbow Connector 55">
          <a:extLst>
            <a:ext uri="{FF2B5EF4-FFF2-40B4-BE49-F238E27FC236}">
              <a16:creationId xmlns:a16="http://schemas.microsoft.com/office/drawing/2014/main" id="{DC52408A-3B37-4874-A825-B8E46E27BD7B}"/>
            </a:ext>
          </a:extLst>
        </xdr:cNvPr>
        <xdr:cNvCxnSpPr/>
      </xdr:nvCxnSpPr>
      <xdr:spPr>
        <a:xfrm rot="16200000" flipH="1">
          <a:off x="13070629" y="467696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126351</xdr:colOff>
      <xdr:row>31</xdr:row>
      <xdr:rowOff>68033</xdr:rowOff>
    </xdr:from>
    <xdr:to>
      <xdr:col>4</xdr:col>
      <xdr:colOff>221602</xdr:colOff>
      <xdr:row>32</xdr:row>
      <xdr:rowOff>167170</xdr:rowOff>
    </xdr:to>
    <xdr:cxnSp macro="">
      <xdr:nvCxnSpPr>
        <xdr:cNvPr id="3075" name="Elbow Connector 55">
          <a:extLst>
            <a:ext uri="{FF2B5EF4-FFF2-40B4-BE49-F238E27FC236}">
              <a16:creationId xmlns:a16="http://schemas.microsoft.com/office/drawing/2014/main" id="{0DDD5E99-534A-4D5F-99DC-EE3A9BE0C4B7}"/>
            </a:ext>
          </a:extLst>
        </xdr:cNvPr>
        <xdr:cNvCxnSpPr/>
      </xdr:nvCxnSpPr>
      <xdr:spPr>
        <a:xfrm rot="16200000" flipH="1">
          <a:off x="1174102" y="6232068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136073</xdr:colOff>
      <xdr:row>31</xdr:row>
      <xdr:rowOff>87471</xdr:rowOff>
    </xdr:from>
    <xdr:to>
      <xdr:col>12</xdr:col>
      <xdr:colOff>231324</xdr:colOff>
      <xdr:row>32</xdr:row>
      <xdr:rowOff>186608</xdr:rowOff>
    </xdr:to>
    <xdr:cxnSp macro="">
      <xdr:nvCxnSpPr>
        <xdr:cNvPr id="3076" name="Elbow Connector 55">
          <a:extLst>
            <a:ext uri="{FF2B5EF4-FFF2-40B4-BE49-F238E27FC236}">
              <a16:creationId xmlns:a16="http://schemas.microsoft.com/office/drawing/2014/main" id="{A09A7C21-FC50-4C4D-BF28-1FD55A0293B2}"/>
            </a:ext>
          </a:extLst>
        </xdr:cNvPr>
        <xdr:cNvCxnSpPr/>
      </xdr:nvCxnSpPr>
      <xdr:spPr>
        <a:xfrm rot="16200000" flipH="1">
          <a:off x="3730303" y="625150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136067</xdr:colOff>
      <xdr:row>39</xdr:row>
      <xdr:rowOff>97190</xdr:rowOff>
    </xdr:from>
    <xdr:to>
      <xdr:col>8</xdr:col>
      <xdr:colOff>231318</xdr:colOff>
      <xdr:row>41</xdr:row>
      <xdr:rowOff>1939</xdr:rowOff>
    </xdr:to>
    <xdr:cxnSp macro="">
      <xdr:nvCxnSpPr>
        <xdr:cNvPr id="3077" name="Elbow Connector 55">
          <a:extLst>
            <a:ext uri="{FF2B5EF4-FFF2-40B4-BE49-F238E27FC236}">
              <a16:creationId xmlns:a16="http://schemas.microsoft.com/office/drawing/2014/main" id="{C14BDD77-B09F-40C1-8E04-731958D7149C}"/>
            </a:ext>
          </a:extLst>
        </xdr:cNvPr>
        <xdr:cNvCxnSpPr/>
      </xdr:nvCxnSpPr>
      <xdr:spPr>
        <a:xfrm rot="16200000" flipH="1">
          <a:off x="2457058" y="7816327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126347</xdr:colOff>
      <xdr:row>31</xdr:row>
      <xdr:rowOff>87471</xdr:rowOff>
    </xdr:from>
    <xdr:to>
      <xdr:col>10</xdr:col>
      <xdr:colOff>221598</xdr:colOff>
      <xdr:row>32</xdr:row>
      <xdr:rowOff>186608</xdr:rowOff>
    </xdr:to>
    <xdr:cxnSp macro="">
      <xdr:nvCxnSpPr>
        <xdr:cNvPr id="3041" name="Elbow Connector 55">
          <a:extLst>
            <a:ext uri="{FF2B5EF4-FFF2-40B4-BE49-F238E27FC236}">
              <a16:creationId xmlns:a16="http://schemas.microsoft.com/office/drawing/2014/main" id="{CF565FC2-4D73-4B5D-8AE7-43B27E94D6D5}"/>
            </a:ext>
          </a:extLst>
        </xdr:cNvPr>
        <xdr:cNvCxnSpPr/>
      </xdr:nvCxnSpPr>
      <xdr:spPr>
        <a:xfrm rot="16200000" flipH="1">
          <a:off x="3079098" y="640701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145785</xdr:colOff>
      <xdr:row>31</xdr:row>
      <xdr:rowOff>97190</xdr:rowOff>
    </xdr:from>
    <xdr:to>
      <xdr:col>30</xdr:col>
      <xdr:colOff>241036</xdr:colOff>
      <xdr:row>33</xdr:row>
      <xdr:rowOff>1940</xdr:rowOff>
    </xdr:to>
    <xdr:cxnSp macro="">
      <xdr:nvCxnSpPr>
        <xdr:cNvPr id="3071" name="Elbow Connector 55">
          <a:extLst>
            <a:ext uri="{FF2B5EF4-FFF2-40B4-BE49-F238E27FC236}">
              <a16:creationId xmlns:a16="http://schemas.microsoft.com/office/drawing/2014/main" id="{02D54750-1F12-46E0-B4D8-E25D92926D3D}"/>
            </a:ext>
          </a:extLst>
        </xdr:cNvPr>
        <xdr:cNvCxnSpPr/>
      </xdr:nvCxnSpPr>
      <xdr:spPr>
        <a:xfrm rot="16200000" flipH="1">
          <a:off x="9610526" y="6416735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126347</xdr:colOff>
      <xdr:row>31</xdr:row>
      <xdr:rowOff>126347</xdr:rowOff>
    </xdr:from>
    <xdr:to>
      <xdr:col>32</xdr:col>
      <xdr:colOff>221598</xdr:colOff>
      <xdr:row>33</xdr:row>
      <xdr:rowOff>31097</xdr:rowOff>
    </xdr:to>
    <xdr:cxnSp macro="">
      <xdr:nvCxnSpPr>
        <xdr:cNvPr id="3078" name="Elbow Connector 55">
          <a:extLst>
            <a:ext uri="{FF2B5EF4-FFF2-40B4-BE49-F238E27FC236}">
              <a16:creationId xmlns:a16="http://schemas.microsoft.com/office/drawing/2014/main" id="{FA321D06-3973-45B1-A819-48672D8E70E8}"/>
            </a:ext>
          </a:extLst>
        </xdr:cNvPr>
        <xdr:cNvCxnSpPr/>
      </xdr:nvCxnSpPr>
      <xdr:spPr>
        <a:xfrm rot="16200000" flipH="1">
          <a:off x="9698001" y="6290382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126348</xdr:colOff>
      <xdr:row>39</xdr:row>
      <xdr:rowOff>126349</xdr:rowOff>
    </xdr:from>
    <xdr:to>
      <xdr:col>10</xdr:col>
      <xdr:colOff>221599</xdr:colOff>
      <xdr:row>41</xdr:row>
      <xdr:rowOff>31098</xdr:rowOff>
    </xdr:to>
    <xdr:cxnSp macro="">
      <xdr:nvCxnSpPr>
        <xdr:cNvPr id="3079" name="Elbow Connector 55">
          <a:extLst>
            <a:ext uri="{FF2B5EF4-FFF2-40B4-BE49-F238E27FC236}">
              <a16:creationId xmlns:a16="http://schemas.microsoft.com/office/drawing/2014/main" id="{43167463-4495-43F5-917B-740DADDC3F71}"/>
            </a:ext>
          </a:extLst>
        </xdr:cNvPr>
        <xdr:cNvCxnSpPr/>
      </xdr:nvCxnSpPr>
      <xdr:spPr>
        <a:xfrm rot="16200000" flipH="1">
          <a:off x="3088818" y="784548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145793</xdr:colOff>
      <xdr:row>23</xdr:row>
      <xdr:rowOff>68035</xdr:rowOff>
    </xdr:from>
    <xdr:to>
      <xdr:col>40</xdr:col>
      <xdr:colOff>241044</xdr:colOff>
      <xdr:row>24</xdr:row>
      <xdr:rowOff>167172</xdr:rowOff>
    </xdr:to>
    <xdr:cxnSp macro="">
      <xdr:nvCxnSpPr>
        <xdr:cNvPr id="3081" name="Elbow Connector 55">
          <a:extLst>
            <a:ext uri="{FF2B5EF4-FFF2-40B4-BE49-F238E27FC236}">
              <a16:creationId xmlns:a16="http://schemas.microsoft.com/office/drawing/2014/main" id="{F3FC129A-A8EE-413E-8623-3DEC68A2CF25}"/>
            </a:ext>
          </a:extLst>
        </xdr:cNvPr>
        <xdr:cNvCxnSpPr/>
      </xdr:nvCxnSpPr>
      <xdr:spPr>
        <a:xfrm rot="16200000" flipH="1">
          <a:off x="12069539" y="4676968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155505</xdr:colOff>
      <xdr:row>23</xdr:row>
      <xdr:rowOff>58314</xdr:rowOff>
    </xdr:from>
    <xdr:to>
      <xdr:col>42</xdr:col>
      <xdr:colOff>250756</xdr:colOff>
      <xdr:row>24</xdr:row>
      <xdr:rowOff>157451</xdr:rowOff>
    </xdr:to>
    <xdr:cxnSp macro="">
      <xdr:nvCxnSpPr>
        <xdr:cNvPr id="3082" name="Elbow Connector 55">
          <a:extLst>
            <a:ext uri="{FF2B5EF4-FFF2-40B4-BE49-F238E27FC236}">
              <a16:creationId xmlns:a16="http://schemas.microsoft.com/office/drawing/2014/main" id="{23E2B2D8-8F2F-4ACF-810D-72331501EB5E}"/>
            </a:ext>
          </a:extLst>
        </xdr:cNvPr>
        <xdr:cNvCxnSpPr/>
      </xdr:nvCxnSpPr>
      <xdr:spPr>
        <a:xfrm rot="16200000" flipH="1">
          <a:off x="12672133" y="4667247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145792</xdr:colOff>
      <xdr:row>23</xdr:row>
      <xdr:rowOff>77756</xdr:rowOff>
    </xdr:from>
    <xdr:to>
      <xdr:col>22</xdr:col>
      <xdr:colOff>223546</xdr:colOff>
      <xdr:row>24</xdr:row>
      <xdr:rowOff>174952</xdr:rowOff>
    </xdr:to>
    <xdr:cxnSp macro="">
      <xdr:nvCxnSpPr>
        <xdr:cNvPr id="3034" name="Elbow Connector 55">
          <a:extLst>
            <a:ext uri="{FF2B5EF4-FFF2-40B4-BE49-F238E27FC236}">
              <a16:creationId xmlns:a16="http://schemas.microsoft.com/office/drawing/2014/main" id="{4E7DBD78-86EC-4316-BDA7-1D9E7A1E10FB}"/>
            </a:ext>
          </a:extLst>
        </xdr:cNvPr>
        <xdr:cNvCxnSpPr/>
      </xdr:nvCxnSpPr>
      <xdr:spPr>
        <a:xfrm rot="16200000" flipH="1">
          <a:off x="6784132" y="4791661"/>
          <a:ext cx="349900" cy="7775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155510</xdr:colOff>
      <xdr:row>23</xdr:row>
      <xdr:rowOff>116632</xdr:rowOff>
    </xdr:from>
    <xdr:to>
      <xdr:col>24</xdr:col>
      <xdr:colOff>250761</xdr:colOff>
      <xdr:row>25</xdr:row>
      <xdr:rowOff>21382</xdr:rowOff>
    </xdr:to>
    <xdr:cxnSp macro="">
      <xdr:nvCxnSpPr>
        <xdr:cNvPr id="3080" name="Elbow Connector 55">
          <a:extLst>
            <a:ext uri="{FF2B5EF4-FFF2-40B4-BE49-F238E27FC236}">
              <a16:creationId xmlns:a16="http://schemas.microsoft.com/office/drawing/2014/main" id="{FA29D139-E7EB-442D-94CC-469C5914D17D}"/>
            </a:ext>
          </a:extLst>
        </xdr:cNvPr>
        <xdr:cNvCxnSpPr/>
      </xdr:nvCxnSpPr>
      <xdr:spPr>
        <a:xfrm rot="16200000" flipH="1">
          <a:off x="7423669" y="4822759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184673</xdr:colOff>
      <xdr:row>31</xdr:row>
      <xdr:rowOff>77754</xdr:rowOff>
    </xdr:from>
    <xdr:to>
      <xdr:col>14</xdr:col>
      <xdr:colOff>279924</xdr:colOff>
      <xdr:row>32</xdr:row>
      <xdr:rowOff>176891</xdr:rowOff>
    </xdr:to>
    <xdr:cxnSp macro="">
      <xdr:nvCxnSpPr>
        <xdr:cNvPr id="3097" name="Elbow Connector 55">
          <a:extLst>
            <a:ext uri="{FF2B5EF4-FFF2-40B4-BE49-F238E27FC236}">
              <a16:creationId xmlns:a16="http://schemas.microsoft.com/office/drawing/2014/main" id="{18F628D6-E7DC-46B4-A7A9-F27858962821}"/>
            </a:ext>
          </a:extLst>
        </xdr:cNvPr>
        <xdr:cNvCxnSpPr/>
      </xdr:nvCxnSpPr>
      <xdr:spPr>
        <a:xfrm rot="16200000" flipH="1">
          <a:off x="4540971" y="6254333"/>
          <a:ext cx="353876" cy="95251"/>
        </a:xfrm>
        <a:prstGeom prst="bentConnector3">
          <a:avLst>
            <a:gd name="adj1" fmla="val 56818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145795</xdr:colOff>
      <xdr:row>39</xdr:row>
      <xdr:rowOff>58314</xdr:rowOff>
    </xdr:from>
    <xdr:to>
      <xdr:col>12</xdr:col>
      <xdr:colOff>241046</xdr:colOff>
      <xdr:row>40</xdr:row>
      <xdr:rowOff>157451</xdr:rowOff>
    </xdr:to>
    <xdr:cxnSp macro="">
      <xdr:nvCxnSpPr>
        <xdr:cNvPr id="3099" name="Elbow Connector 55">
          <a:extLst>
            <a:ext uri="{FF2B5EF4-FFF2-40B4-BE49-F238E27FC236}">
              <a16:creationId xmlns:a16="http://schemas.microsoft.com/office/drawing/2014/main" id="{1A24C430-A724-4D45-9B5D-839A20C4643F}"/>
            </a:ext>
          </a:extLst>
        </xdr:cNvPr>
        <xdr:cNvCxnSpPr/>
      </xdr:nvCxnSpPr>
      <xdr:spPr>
        <a:xfrm rot="16200000" flipH="1">
          <a:off x="3681709" y="7991277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165231</xdr:colOff>
      <xdr:row>39</xdr:row>
      <xdr:rowOff>68033</xdr:rowOff>
    </xdr:from>
    <xdr:to>
      <xdr:col>14</xdr:col>
      <xdr:colOff>260482</xdr:colOff>
      <xdr:row>40</xdr:row>
      <xdr:rowOff>167170</xdr:rowOff>
    </xdr:to>
    <xdr:cxnSp macro="">
      <xdr:nvCxnSpPr>
        <xdr:cNvPr id="3100" name="Elbow Connector 55">
          <a:extLst>
            <a:ext uri="{FF2B5EF4-FFF2-40B4-BE49-F238E27FC236}">
              <a16:creationId xmlns:a16="http://schemas.microsoft.com/office/drawing/2014/main" id="{C43DA68F-C29E-46EA-ACB6-5D550A216CDB}"/>
            </a:ext>
          </a:extLst>
        </xdr:cNvPr>
        <xdr:cNvCxnSpPr/>
      </xdr:nvCxnSpPr>
      <xdr:spPr>
        <a:xfrm rot="16200000" flipH="1">
          <a:off x="4323186" y="800099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126356</xdr:colOff>
      <xdr:row>39</xdr:row>
      <xdr:rowOff>77757</xdr:rowOff>
    </xdr:from>
    <xdr:to>
      <xdr:col>6</xdr:col>
      <xdr:colOff>223546</xdr:colOff>
      <xdr:row>40</xdr:row>
      <xdr:rowOff>184668</xdr:rowOff>
    </xdr:to>
    <xdr:cxnSp macro="">
      <xdr:nvCxnSpPr>
        <xdr:cNvPr id="3101" name="Elbow Connector 55">
          <a:extLst>
            <a:ext uri="{FF2B5EF4-FFF2-40B4-BE49-F238E27FC236}">
              <a16:creationId xmlns:a16="http://schemas.microsoft.com/office/drawing/2014/main" id="{A1EBB067-17D5-4C89-863B-077A2584D1C7}"/>
            </a:ext>
          </a:extLst>
        </xdr:cNvPr>
        <xdr:cNvCxnSpPr/>
      </xdr:nvCxnSpPr>
      <xdr:spPr>
        <a:xfrm rot="16200000" flipH="1">
          <a:off x="1764072" y="8013638"/>
          <a:ext cx="35961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116628</xdr:colOff>
      <xdr:row>31</xdr:row>
      <xdr:rowOff>38876</xdr:rowOff>
    </xdr:from>
    <xdr:to>
      <xdr:col>16</xdr:col>
      <xdr:colOff>211879</xdr:colOff>
      <xdr:row>32</xdr:row>
      <xdr:rowOff>138013</xdr:rowOff>
    </xdr:to>
    <xdr:cxnSp macro="">
      <xdr:nvCxnSpPr>
        <xdr:cNvPr id="3086" name="Elbow Connector 55">
          <a:extLst>
            <a:ext uri="{FF2B5EF4-FFF2-40B4-BE49-F238E27FC236}">
              <a16:creationId xmlns:a16="http://schemas.microsoft.com/office/drawing/2014/main" id="{2A29B838-0742-4CCC-B671-D1F86673E62F}"/>
            </a:ext>
          </a:extLst>
        </xdr:cNvPr>
        <xdr:cNvCxnSpPr/>
      </xdr:nvCxnSpPr>
      <xdr:spPr>
        <a:xfrm rot="16200000" flipH="1">
          <a:off x="4896624" y="635842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145785</xdr:colOff>
      <xdr:row>31</xdr:row>
      <xdr:rowOff>38876</xdr:rowOff>
    </xdr:from>
    <xdr:to>
      <xdr:col>20</xdr:col>
      <xdr:colOff>241036</xdr:colOff>
      <xdr:row>32</xdr:row>
      <xdr:rowOff>138013</xdr:rowOff>
    </xdr:to>
    <xdr:cxnSp macro="">
      <xdr:nvCxnSpPr>
        <xdr:cNvPr id="3089" name="Elbow Connector 55">
          <a:extLst>
            <a:ext uri="{FF2B5EF4-FFF2-40B4-BE49-F238E27FC236}">
              <a16:creationId xmlns:a16="http://schemas.microsoft.com/office/drawing/2014/main" id="{AF28924B-A856-4E92-90CF-69AD1609908E}"/>
            </a:ext>
          </a:extLst>
        </xdr:cNvPr>
        <xdr:cNvCxnSpPr/>
      </xdr:nvCxnSpPr>
      <xdr:spPr>
        <a:xfrm rot="16200000" flipH="1">
          <a:off x="6169862" y="635842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145786</xdr:colOff>
      <xdr:row>31</xdr:row>
      <xdr:rowOff>87471</xdr:rowOff>
    </xdr:from>
    <xdr:to>
      <xdr:col>26</xdr:col>
      <xdr:colOff>241037</xdr:colOff>
      <xdr:row>32</xdr:row>
      <xdr:rowOff>186608</xdr:rowOff>
    </xdr:to>
    <xdr:cxnSp macro="">
      <xdr:nvCxnSpPr>
        <xdr:cNvPr id="3091" name="Elbow Connector 55">
          <a:extLst>
            <a:ext uri="{FF2B5EF4-FFF2-40B4-BE49-F238E27FC236}">
              <a16:creationId xmlns:a16="http://schemas.microsoft.com/office/drawing/2014/main" id="{DB986407-9D2E-4C3C-9F47-D72FD7343DC4}"/>
            </a:ext>
          </a:extLst>
        </xdr:cNvPr>
        <xdr:cNvCxnSpPr/>
      </xdr:nvCxnSpPr>
      <xdr:spPr>
        <a:xfrm rot="16200000" flipH="1">
          <a:off x="8035986" y="640701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155506</xdr:colOff>
      <xdr:row>31</xdr:row>
      <xdr:rowOff>87471</xdr:rowOff>
    </xdr:from>
    <xdr:to>
      <xdr:col>28</xdr:col>
      <xdr:colOff>250757</xdr:colOff>
      <xdr:row>32</xdr:row>
      <xdr:rowOff>186608</xdr:rowOff>
    </xdr:to>
    <xdr:cxnSp macro="">
      <xdr:nvCxnSpPr>
        <xdr:cNvPr id="3092" name="Elbow Connector 55">
          <a:extLst>
            <a:ext uri="{FF2B5EF4-FFF2-40B4-BE49-F238E27FC236}">
              <a16:creationId xmlns:a16="http://schemas.microsoft.com/office/drawing/2014/main" id="{2D4B4509-F890-4FEE-966D-CCC1292D6F2E}"/>
            </a:ext>
          </a:extLst>
        </xdr:cNvPr>
        <xdr:cNvCxnSpPr/>
      </xdr:nvCxnSpPr>
      <xdr:spPr>
        <a:xfrm rot="16200000" flipH="1">
          <a:off x="8726063" y="640701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155505</xdr:colOff>
      <xdr:row>31</xdr:row>
      <xdr:rowOff>97190</xdr:rowOff>
    </xdr:from>
    <xdr:to>
      <xdr:col>36</xdr:col>
      <xdr:colOff>250756</xdr:colOff>
      <xdr:row>33</xdr:row>
      <xdr:rowOff>1939</xdr:rowOff>
    </xdr:to>
    <xdr:cxnSp macro="">
      <xdr:nvCxnSpPr>
        <xdr:cNvPr id="3093" name="Elbow Connector 55">
          <a:extLst>
            <a:ext uri="{FF2B5EF4-FFF2-40B4-BE49-F238E27FC236}">
              <a16:creationId xmlns:a16="http://schemas.microsoft.com/office/drawing/2014/main" id="{35E5EC13-20A3-4A37-AAD9-30B02685FF3C}"/>
            </a:ext>
          </a:extLst>
        </xdr:cNvPr>
        <xdr:cNvCxnSpPr/>
      </xdr:nvCxnSpPr>
      <xdr:spPr>
        <a:xfrm rot="16200000" flipH="1">
          <a:off x="11243383" y="6416735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126347</xdr:colOff>
      <xdr:row>31</xdr:row>
      <xdr:rowOff>48595</xdr:rowOff>
    </xdr:from>
    <xdr:to>
      <xdr:col>40</xdr:col>
      <xdr:colOff>221598</xdr:colOff>
      <xdr:row>32</xdr:row>
      <xdr:rowOff>147732</xdr:rowOff>
    </xdr:to>
    <xdr:cxnSp macro="">
      <xdr:nvCxnSpPr>
        <xdr:cNvPr id="3094" name="Elbow Connector 55">
          <a:extLst>
            <a:ext uri="{FF2B5EF4-FFF2-40B4-BE49-F238E27FC236}">
              <a16:creationId xmlns:a16="http://schemas.microsoft.com/office/drawing/2014/main" id="{FD210ECA-7567-433B-9005-7F53915A9B00}"/>
            </a:ext>
          </a:extLst>
        </xdr:cNvPr>
        <xdr:cNvCxnSpPr/>
      </xdr:nvCxnSpPr>
      <xdr:spPr>
        <a:xfrm rot="16200000" flipH="1">
          <a:off x="12458307" y="6368140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116628</xdr:colOff>
      <xdr:row>23</xdr:row>
      <xdr:rowOff>58315</xdr:rowOff>
    </xdr:from>
    <xdr:to>
      <xdr:col>16</xdr:col>
      <xdr:colOff>211879</xdr:colOff>
      <xdr:row>24</xdr:row>
      <xdr:rowOff>157452</xdr:rowOff>
    </xdr:to>
    <xdr:cxnSp macro="">
      <xdr:nvCxnSpPr>
        <xdr:cNvPr id="3095" name="Elbow Connector 55">
          <a:extLst>
            <a:ext uri="{FF2B5EF4-FFF2-40B4-BE49-F238E27FC236}">
              <a16:creationId xmlns:a16="http://schemas.microsoft.com/office/drawing/2014/main" id="{F7C1002E-F911-49A0-92F1-54D9580FECAC}"/>
            </a:ext>
          </a:extLst>
        </xdr:cNvPr>
        <xdr:cNvCxnSpPr/>
      </xdr:nvCxnSpPr>
      <xdr:spPr>
        <a:xfrm rot="16200000" flipH="1">
          <a:off x="4896624" y="476444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126349</xdr:colOff>
      <xdr:row>23</xdr:row>
      <xdr:rowOff>58315</xdr:rowOff>
    </xdr:from>
    <xdr:to>
      <xdr:col>36</xdr:col>
      <xdr:colOff>221600</xdr:colOff>
      <xdr:row>24</xdr:row>
      <xdr:rowOff>157452</xdr:rowOff>
    </xdr:to>
    <xdr:cxnSp macro="">
      <xdr:nvCxnSpPr>
        <xdr:cNvPr id="3096" name="Elbow Connector 55">
          <a:extLst>
            <a:ext uri="{FF2B5EF4-FFF2-40B4-BE49-F238E27FC236}">
              <a16:creationId xmlns:a16="http://schemas.microsoft.com/office/drawing/2014/main" id="{7A3D2B4E-28FE-4571-BB31-1F52AA665A12}"/>
            </a:ext>
          </a:extLst>
        </xdr:cNvPr>
        <xdr:cNvCxnSpPr/>
      </xdr:nvCxnSpPr>
      <xdr:spPr>
        <a:xfrm rot="16200000" flipH="1">
          <a:off x="11214227" y="476444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145790</xdr:colOff>
      <xdr:row>23</xdr:row>
      <xdr:rowOff>48595</xdr:rowOff>
    </xdr:from>
    <xdr:to>
      <xdr:col>32</xdr:col>
      <xdr:colOff>241041</xdr:colOff>
      <xdr:row>24</xdr:row>
      <xdr:rowOff>147732</xdr:rowOff>
    </xdr:to>
    <xdr:cxnSp macro="">
      <xdr:nvCxnSpPr>
        <xdr:cNvPr id="3098" name="Elbow Connector 55">
          <a:extLst>
            <a:ext uri="{FF2B5EF4-FFF2-40B4-BE49-F238E27FC236}">
              <a16:creationId xmlns:a16="http://schemas.microsoft.com/office/drawing/2014/main" id="{E9C2BF15-FA82-4853-B66D-AF62EB552947}"/>
            </a:ext>
          </a:extLst>
        </xdr:cNvPr>
        <xdr:cNvCxnSpPr/>
      </xdr:nvCxnSpPr>
      <xdr:spPr>
        <a:xfrm rot="16200000" flipH="1">
          <a:off x="9989587" y="475472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136067</xdr:colOff>
      <xdr:row>23</xdr:row>
      <xdr:rowOff>48595</xdr:rowOff>
    </xdr:from>
    <xdr:to>
      <xdr:col>34</xdr:col>
      <xdr:colOff>231318</xdr:colOff>
      <xdr:row>24</xdr:row>
      <xdr:rowOff>147732</xdr:rowOff>
    </xdr:to>
    <xdr:cxnSp macro="">
      <xdr:nvCxnSpPr>
        <xdr:cNvPr id="3102" name="Elbow Connector 55">
          <a:extLst>
            <a:ext uri="{FF2B5EF4-FFF2-40B4-BE49-F238E27FC236}">
              <a16:creationId xmlns:a16="http://schemas.microsoft.com/office/drawing/2014/main" id="{E6C7B029-D1CA-4078-8700-28BC479D627E}"/>
            </a:ext>
          </a:extLst>
        </xdr:cNvPr>
        <xdr:cNvCxnSpPr/>
      </xdr:nvCxnSpPr>
      <xdr:spPr>
        <a:xfrm rot="16200000" flipH="1">
          <a:off x="10601905" y="475472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145785</xdr:colOff>
      <xdr:row>47</xdr:row>
      <xdr:rowOff>38876</xdr:rowOff>
    </xdr:from>
    <xdr:to>
      <xdr:col>42</xdr:col>
      <xdr:colOff>241036</xdr:colOff>
      <xdr:row>48</xdr:row>
      <xdr:rowOff>129984</xdr:rowOff>
    </xdr:to>
    <xdr:cxnSp macro="">
      <xdr:nvCxnSpPr>
        <xdr:cNvPr id="3103" name="Elbow Connector 55">
          <a:extLst>
            <a:ext uri="{FF2B5EF4-FFF2-40B4-BE49-F238E27FC236}">
              <a16:creationId xmlns:a16="http://schemas.microsoft.com/office/drawing/2014/main" id="{1FFF3A3D-8D06-425B-AAAA-2EA846AC27BC}"/>
            </a:ext>
          </a:extLst>
        </xdr:cNvPr>
        <xdr:cNvCxnSpPr/>
      </xdr:nvCxnSpPr>
      <xdr:spPr>
        <a:xfrm rot="16200000" flipH="1">
          <a:off x="13103801" y="9581243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136066</xdr:colOff>
      <xdr:row>47</xdr:row>
      <xdr:rowOff>38876</xdr:rowOff>
    </xdr:from>
    <xdr:to>
      <xdr:col>44</xdr:col>
      <xdr:colOff>231317</xdr:colOff>
      <xdr:row>48</xdr:row>
      <xdr:rowOff>129984</xdr:rowOff>
    </xdr:to>
    <xdr:cxnSp macro="">
      <xdr:nvCxnSpPr>
        <xdr:cNvPr id="3104" name="Elbow Connector 55">
          <a:extLst>
            <a:ext uri="{FF2B5EF4-FFF2-40B4-BE49-F238E27FC236}">
              <a16:creationId xmlns:a16="http://schemas.microsoft.com/office/drawing/2014/main" id="{55B9CEA6-1F61-45F8-9A98-96416FD3ED1A}"/>
            </a:ext>
          </a:extLst>
        </xdr:cNvPr>
        <xdr:cNvCxnSpPr/>
      </xdr:nvCxnSpPr>
      <xdr:spPr>
        <a:xfrm rot="16200000" flipH="1">
          <a:off x="13832755" y="9581243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126347</xdr:colOff>
      <xdr:row>55</xdr:row>
      <xdr:rowOff>38876</xdr:rowOff>
    </xdr:from>
    <xdr:to>
      <xdr:col>2</xdr:col>
      <xdr:colOff>221598</xdr:colOff>
      <xdr:row>56</xdr:row>
      <xdr:rowOff>129984</xdr:rowOff>
    </xdr:to>
    <xdr:cxnSp macro="">
      <xdr:nvCxnSpPr>
        <xdr:cNvPr id="3105" name="Elbow Connector 55">
          <a:extLst>
            <a:ext uri="{FF2B5EF4-FFF2-40B4-BE49-F238E27FC236}">
              <a16:creationId xmlns:a16="http://schemas.microsoft.com/office/drawing/2014/main" id="{D0345C01-434E-4037-80D4-39551AA270BE}"/>
            </a:ext>
          </a:extLst>
        </xdr:cNvPr>
        <xdr:cNvCxnSpPr/>
      </xdr:nvCxnSpPr>
      <xdr:spPr>
        <a:xfrm rot="16200000" flipH="1">
          <a:off x="526914" y="11194661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145791</xdr:colOff>
      <xdr:row>55</xdr:row>
      <xdr:rowOff>77752</xdr:rowOff>
    </xdr:from>
    <xdr:to>
      <xdr:col>6</xdr:col>
      <xdr:colOff>241042</xdr:colOff>
      <xdr:row>56</xdr:row>
      <xdr:rowOff>168860</xdr:rowOff>
    </xdr:to>
    <xdr:cxnSp macro="">
      <xdr:nvCxnSpPr>
        <xdr:cNvPr id="3106" name="Elbow Connector 55">
          <a:extLst>
            <a:ext uri="{FF2B5EF4-FFF2-40B4-BE49-F238E27FC236}">
              <a16:creationId xmlns:a16="http://schemas.microsoft.com/office/drawing/2014/main" id="{BB11E20E-8D45-48B0-B617-07217F51B4E2}"/>
            </a:ext>
          </a:extLst>
        </xdr:cNvPr>
        <xdr:cNvCxnSpPr/>
      </xdr:nvCxnSpPr>
      <xdr:spPr>
        <a:xfrm rot="16200000" flipH="1">
          <a:off x="1790440" y="11233537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116628</xdr:colOff>
      <xdr:row>55</xdr:row>
      <xdr:rowOff>38876</xdr:rowOff>
    </xdr:from>
    <xdr:to>
      <xdr:col>12</xdr:col>
      <xdr:colOff>211879</xdr:colOff>
      <xdr:row>56</xdr:row>
      <xdr:rowOff>129983</xdr:rowOff>
    </xdr:to>
    <xdr:cxnSp macro="">
      <xdr:nvCxnSpPr>
        <xdr:cNvPr id="3107" name="Elbow Connector 55">
          <a:extLst>
            <a:ext uri="{FF2B5EF4-FFF2-40B4-BE49-F238E27FC236}">
              <a16:creationId xmlns:a16="http://schemas.microsoft.com/office/drawing/2014/main" id="{EFF454D0-E625-4397-8E4E-B3A8C4794212}"/>
            </a:ext>
          </a:extLst>
        </xdr:cNvPr>
        <xdr:cNvCxnSpPr/>
      </xdr:nvCxnSpPr>
      <xdr:spPr>
        <a:xfrm rot="16200000" flipH="1">
          <a:off x="3656557" y="11194661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116630</xdr:colOff>
      <xdr:row>55</xdr:row>
      <xdr:rowOff>48595</xdr:rowOff>
    </xdr:from>
    <xdr:to>
      <xdr:col>16</xdr:col>
      <xdr:colOff>211881</xdr:colOff>
      <xdr:row>56</xdr:row>
      <xdr:rowOff>139702</xdr:rowOff>
    </xdr:to>
    <xdr:cxnSp macro="">
      <xdr:nvCxnSpPr>
        <xdr:cNvPr id="3108" name="Elbow Connector 55">
          <a:extLst>
            <a:ext uri="{FF2B5EF4-FFF2-40B4-BE49-F238E27FC236}">
              <a16:creationId xmlns:a16="http://schemas.microsoft.com/office/drawing/2014/main" id="{11AEBB84-7C8C-4A91-B442-34A10DE62686}"/>
            </a:ext>
          </a:extLst>
        </xdr:cNvPr>
        <xdr:cNvCxnSpPr/>
      </xdr:nvCxnSpPr>
      <xdr:spPr>
        <a:xfrm rot="16200000" flipH="1">
          <a:off x="4900641" y="11204380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126349</xdr:colOff>
      <xdr:row>55</xdr:row>
      <xdr:rowOff>58315</xdr:rowOff>
    </xdr:from>
    <xdr:to>
      <xdr:col>10</xdr:col>
      <xdr:colOff>221600</xdr:colOff>
      <xdr:row>56</xdr:row>
      <xdr:rowOff>149422</xdr:rowOff>
    </xdr:to>
    <xdr:cxnSp macro="">
      <xdr:nvCxnSpPr>
        <xdr:cNvPr id="3109" name="Elbow Connector 55">
          <a:extLst>
            <a:ext uri="{FF2B5EF4-FFF2-40B4-BE49-F238E27FC236}">
              <a16:creationId xmlns:a16="http://schemas.microsoft.com/office/drawing/2014/main" id="{1774A601-FDE2-4EDC-9C27-12F6AEA422FD}"/>
            </a:ext>
          </a:extLst>
        </xdr:cNvPr>
        <xdr:cNvCxnSpPr/>
      </xdr:nvCxnSpPr>
      <xdr:spPr>
        <a:xfrm rot="16200000" flipH="1">
          <a:off x="3044237" y="11214100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116628</xdr:colOff>
      <xdr:row>55</xdr:row>
      <xdr:rowOff>77754</xdr:rowOff>
    </xdr:from>
    <xdr:to>
      <xdr:col>8</xdr:col>
      <xdr:colOff>211879</xdr:colOff>
      <xdr:row>56</xdr:row>
      <xdr:rowOff>168861</xdr:rowOff>
    </xdr:to>
    <xdr:cxnSp macro="">
      <xdr:nvCxnSpPr>
        <xdr:cNvPr id="3110" name="Elbow Connector 55">
          <a:extLst>
            <a:ext uri="{FF2B5EF4-FFF2-40B4-BE49-F238E27FC236}">
              <a16:creationId xmlns:a16="http://schemas.microsoft.com/office/drawing/2014/main" id="{A94ED1BB-8C7A-4DF4-8239-A5ABAF625D76}"/>
            </a:ext>
          </a:extLst>
        </xdr:cNvPr>
        <xdr:cNvCxnSpPr/>
      </xdr:nvCxnSpPr>
      <xdr:spPr>
        <a:xfrm rot="16200000" flipH="1">
          <a:off x="2412476" y="11233539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126347</xdr:colOff>
      <xdr:row>55</xdr:row>
      <xdr:rowOff>38876</xdr:rowOff>
    </xdr:from>
    <xdr:to>
      <xdr:col>4</xdr:col>
      <xdr:colOff>221598</xdr:colOff>
      <xdr:row>56</xdr:row>
      <xdr:rowOff>129983</xdr:rowOff>
    </xdr:to>
    <xdr:cxnSp macro="">
      <xdr:nvCxnSpPr>
        <xdr:cNvPr id="3111" name="Elbow Connector 55">
          <a:extLst>
            <a:ext uri="{FF2B5EF4-FFF2-40B4-BE49-F238E27FC236}">
              <a16:creationId xmlns:a16="http://schemas.microsoft.com/office/drawing/2014/main" id="{7BB830AE-D6C1-4411-BE88-D7546C9AEB5C}"/>
            </a:ext>
          </a:extLst>
        </xdr:cNvPr>
        <xdr:cNvCxnSpPr/>
      </xdr:nvCxnSpPr>
      <xdr:spPr>
        <a:xfrm rot="16200000" flipH="1">
          <a:off x="1148955" y="11194661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136068</xdr:colOff>
      <xdr:row>71</xdr:row>
      <xdr:rowOff>38876</xdr:rowOff>
    </xdr:from>
    <xdr:to>
      <xdr:col>4</xdr:col>
      <xdr:colOff>231319</xdr:colOff>
      <xdr:row>72</xdr:row>
      <xdr:rowOff>129983</xdr:rowOff>
    </xdr:to>
    <xdr:cxnSp macro="">
      <xdr:nvCxnSpPr>
        <xdr:cNvPr id="3112" name="Elbow Connector 55">
          <a:extLst>
            <a:ext uri="{FF2B5EF4-FFF2-40B4-BE49-F238E27FC236}">
              <a16:creationId xmlns:a16="http://schemas.microsoft.com/office/drawing/2014/main" id="{8102BBC2-4A3B-444B-8CEB-5C5F7F2E00C6}"/>
            </a:ext>
          </a:extLst>
        </xdr:cNvPr>
        <xdr:cNvCxnSpPr/>
      </xdr:nvCxnSpPr>
      <xdr:spPr>
        <a:xfrm rot="16200000" flipH="1">
          <a:off x="1158676" y="14421498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145790</xdr:colOff>
      <xdr:row>71</xdr:row>
      <xdr:rowOff>48595</xdr:rowOff>
    </xdr:from>
    <xdr:to>
      <xdr:col>36</xdr:col>
      <xdr:colOff>241041</xdr:colOff>
      <xdr:row>72</xdr:row>
      <xdr:rowOff>139702</xdr:rowOff>
    </xdr:to>
    <xdr:cxnSp macro="">
      <xdr:nvCxnSpPr>
        <xdr:cNvPr id="3113" name="Elbow Connector 55">
          <a:extLst>
            <a:ext uri="{FF2B5EF4-FFF2-40B4-BE49-F238E27FC236}">
              <a16:creationId xmlns:a16="http://schemas.microsoft.com/office/drawing/2014/main" id="{A301004D-8B18-4615-99A1-DE255EDF3F7D}"/>
            </a:ext>
          </a:extLst>
        </xdr:cNvPr>
        <xdr:cNvCxnSpPr/>
      </xdr:nvCxnSpPr>
      <xdr:spPr>
        <a:xfrm rot="16200000" flipH="1">
          <a:off x="11237683" y="14431217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155510</xdr:colOff>
      <xdr:row>63</xdr:row>
      <xdr:rowOff>48595</xdr:rowOff>
    </xdr:from>
    <xdr:to>
      <xdr:col>38</xdr:col>
      <xdr:colOff>250761</xdr:colOff>
      <xdr:row>64</xdr:row>
      <xdr:rowOff>147731</xdr:rowOff>
    </xdr:to>
    <xdr:cxnSp macro="">
      <xdr:nvCxnSpPr>
        <xdr:cNvPr id="3114" name="Elbow Connector 55">
          <a:extLst>
            <a:ext uri="{FF2B5EF4-FFF2-40B4-BE49-F238E27FC236}">
              <a16:creationId xmlns:a16="http://schemas.microsoft.com/office/drawing/2014/main" id="{247C84EC-F2CB-4C53-B89E-62B332429399}"/>
            </a:ext>
          </a:extLst>
        </xdr:cNvPr>
        <xdr:cNvCxnSpPr/>
      </xdr:nvCxnSpPr>
      <xdr:spPr>
        <a:xfrm rot="16200000" flipH="1">
          <a:off x="11865429" y="128218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145785</xdr:colOff>
      <xdr:row>63</xdr:row>
      <xdr:rowOff>48595</xdr:rowOff>
    </xdr:from>
    <xdr:to>
      <xdr:col>40</xdr:col>
      <xdr:colOff>241036</xdr:colOff>
      <xdr:row>64</xdr:row>
      <xdr:rowOff>147731</xdr:rowOff>
    </xdr:to>
    <xdr:cxnSp macro="">
      <xdr:nvCxnSpPr>
        <xdr:cNvPr id="3115" name="Elbow Connector 55">
          <a:extLst>
            <a:ext uri="{FF2B5EF4-FFF2-40B4-BE49-F238E27FC236}">
              <a16:creationId xmlns:a16="http://schemas.microsoft.com/office/drawing/2014/main" id="{AF9D5302-45F4-45F2-B04B-3364B902065F}"/>
            </a:ext>
          </a:extLst>
        </xdr:cNvPr>
        <xdr:cNvCxnSpPr/>
      </xdr:nvCxnSpPr>
      <xdr:spPr>
        <a:xfrm rot="16200000" flipH="1">
          <a:off x="12477745" y="128218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145787</xdr:colOff>
      <xdr:row>63</xdr:row>
      <xdr:rowOff>77753</xdr:rowOff>
    </xdr:from>
    <xdr:to>
      <xdr:col>42</xdr:col>
      <xdr:colOff>241038</xdr:colOff>
      <xdr:row>64</xdr:row>
      <xdr:rowOff>176889</xdr:rowOff>
    </xdr:to>
    <xdr:cxnSp macro="">
      <xdr:nvCxnSpPr>
        <xdr:cNvPr id="3116" name="Elbow Connector 55">
          <a:extLst>
            <a:ext uri="{FF2B5EF4-FFF2-40B4-BE49-F238E27FC236}">
              <a16:creationId xmlns:a16="http://schemas.microsoft.com/office/drawing/2014/main" id="{3FF0A8A8-C053-4004-BBED-55AE3629B8FE}"/>
            </a:ext>
          </a:extLst>
        </xdr:cNvPr>
        <xdr:cNvCxnSpPr/>
      </xdr:nvCxnSpPr>
      <xdr:spPr>
        <a:xfrm rot="16200000" flipH="1">
          <a:off x="13099788" y="1285097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145786</xdr:colOff>
      <xdr:row>63</xdr:row>
      <xdr:rowOff>126351</xdr:rowOff>
    </xdr:from>
    <xdr:to>
      <xdr:col>44</xdr:col>
      <xdr:colOff>241037</xdr:colOff>
      <xdr:row>65</xdr:row>
      <xdr:rowOff>31100</xdr:rowOff>
    </xdr:to>
    <xdr:cxnSp macro="">
      <xdr:nvCxnSpPr>
        <xdr:cNvPr id="3117" name="Elbow Connector 55">
          <a:extLst>
            <a:ext uri="{FF2B5EF4-FFF2-40B4-BE49-F238E27FC236}">
              <a16:creationId xmlns:a16="http://schemas.microsoft.com/office/drawing/2014/main" id="{15FE2938-B520-4E2D-89C7-8514FF8F2777}"/>
            </a:ext>
          </a:extLst>
        </xdr:cNvPr>
        <xdr:cNvCxnSpPr/>
      </xdr:nvCxnSpPr>
      <xdr:spPr>
        <a:xfrm rot="16200000" flipH="1">
          <a:off x="13838460" y="12899569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106909</xdr:colOff>
      <xdr:row>71</xdr:row>
      <xdr:rowOff>68033</xdr:rowOff>
    </xdr:from>
    <xdr:to>
      <xdr:col>2</xdr:col>
      <xdr:colOff>202160</xdr:colOff>
      <xdr:row>72</xdr:row>
      <xdr:rowOff>167170</xdr:rowOff>
    </xdr:to>
    <xdr:cxnSp macro="">
      <xdr:nvCxnSpPr>
        <xdr:cNvPr id="3118" name="Elbow Connector 55">
          <a:extLst>
            <a:ext uri="{FF2B5EF4-FFF2-40B4-BE49-F238E27FC236}">
              <a16:creationId xmlns:a16="http://schemas.microsoft.com/office/drawing/2014/main" id="{13738EFE-47A7-4201-8187-EFDFFADDAE1D}"/>
            </a:ext>
          </a:extLst>
        </xdr:cNvPr>
        <xdr:cNvCxnSpPr/>
      </xdr:nvCxnSpPr>
      <xdr:spPr>
        <a:xfrm rot="16200000" flipH="1">
          <a:off x="503461" y="14454670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116629</xdr:colOff>
      <xdr:row>71</xdr:row>
      <xdr:rowOff>38876</xdr:rowOff>
    </xdr:from>
    <xdr:to>
      <xdr:col>10</xdr:col>
      <xdr:colOff>211880</xdr:colOff>
      <xdr:row>72</xdr:row>
      <xdr:rowOff>138013</xdr:rowOff>
    </xdr:to>
    <xdr:cxnSp macro="">
      <xdr:nvCxnSpPr>
        <xdr:cNvPr id="3119" name="Elbow Connector 55">
          <a:extLst>
            <a:ext uri="{FF2B5EF4-FFF2-40B4-BE49-F238E27FC236}">
              <a16:creationId xmlns:a16="http://schemas.microsoft.com/office/drawing/2014/main" id="{82289A77-BA46-498D-8430-6605E604C760}"/>
            </a:ext>
          </a:extLst>
        </xdr:cNvPr>
        <xdr:cNvCxnSpPr/>
      </xdr:nvCxnSpPr>
      <xdr:spPr>
        <a:xfrm rot="16200000" flipH="1">
          <a:off x="3030502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126347</xdr:colOff>
      <xdr:row>71</xdr:row>
      <xdr:rowOff>48595</xdr:rowOff>
    </xdr:from>
    <xdr:to>
      <xdr:col>14</xdr:col>
      <xdr:colOff>221598</xdr:colOff>
      <xdr:row>72</xdr:row>
      <xdr:rowOff>147732</xdr:rowOff>
    </xdr:to>
    <xdr:cxnSp macro="">
      <xdr:nvCxnSpPr>
        <xdr:cNvPr id="3087" name="Elbow Connector 55">
          <a:extLst>
            <a:ext uri="{FF2B5EF4-FFF2-40B4-BE49-F238E27FC236}">
              <a16:creationId xmlns:a16="http://schemas.microsoft.com/office/drawing/2014/main" id="{77E08341-B2B9-4A6E-BE46-3E959D9EBCB0}"/>
            </a:ext>
          </a:extLst>
        </xdr:cNvPr>
        <xdr:cNvCxnSpPr/>
      </xdr:nvCxnSpPr>
      <xdr:spPr>
        <a:xfrm rot="16200000" flipH="1">
          <a:off x="4284302" y="1443523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145793</xdr:colOff>
      <xdr:row>71</xdr:row>
      <xdr:rowOff>48595</xdr:rowOff>
    </xdr:from>
    <xdr:to>
      <xdr:col>16</xdr:col>
      <xdr:colOff>241044</xdr:colOff>
      <xdr:row>72</xdr:row>
      <xdr:rowOff>147732</xdr:rowOff>
    </xdr:to>
    <xdr:cxnSp macro="">
      <xdr:nvCxnSpPr>
        <xdr:cNvPr id="3120" name="Elbow Connector 55">
          <a:extLst>
            <a:ext uri="{FF2B5EF4-FFF2-40B4-BE49-F238E27FC236}">
              <a16:creationId xmlns:a16="http://schemas.microsoft.com/office/drawing/2014/main" id="{F110F543-C4AA-448C-B5C7-B70AB4280EE3}"/>
            </a:ext>
          </a:extLst>
        </xdr:cNvPr>
        <xdr:cNvCxnSpPr/>
      </xdr:nvCxnSpPr>
      <xdr:spPr>
        <a:xfrm rot="16200000" flipH="1">
          <a:off x="4925789" y="1443523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145787</xdr:colOff>
      <xdr:row>71</xdr:row>
      <xdr:rowOff>38876</xdr:rowOff>
    </xdr:from>
    <xdr:to>
      <xdr:col>18</xdr:col>
      <xdr:colOff>241038</xdr:colOff>
      <xdr:row>72</xdr:row>
      <xdr:rowOff>138013</xdr:rowOff>
    </xdr:to>
    <xdr:cxnSp macro="">
      <xdr:nvCxnSpPr>
        <xdr:cNvPr id="3121" name="Elbow Connector 55">
          <a:extLst>
            <a:ext uri="{FF2B5EF4-FFF2-40B4-BE49-F238E27FC236}">
              <a16:creationId xmlns:a16="http://schemas.microsoft.com/office/drawing/2014/main" id="{297E663C-5D1F-4B19-A73B-8075248CB8F4}"/>
            </a:ext>
          </a:extLst>
        </xdr:cNvPr>
        <xdr:cNvCxnSpPr/>
      </xdr:nvCxnSpPr>
      <xdr:spPr>
        <a:xfrm rot="16200000" flipH="1">
          <a:off x="5547824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145785</xdr:colOff>
      <xdr:row>71</xdr:row>
      <xdr:rowOff>38876</xdr:rowOff>
    </xdr:from>
    <xdr:to>
      <xdr:col>24</xdr:col>
      <xdr:colOff>241036</xdr:colOff>
      <xdr:row>72</xdr:row>
      <xdr:rowOff>138013</xdr:rowOff>
    </xdr:to>
    <xdr:cxnSp macro="">
      <xdr:nvCxnSpPr>
        <xdr:cNvPr id="3122" name="Elbow Connector 55">
          <a:extLst>
            <a:ext uri="{FF2B5EF4-FFF2-40B4-BE49-F238E27FC236}">
              <a16:creationId xmlns:a16="http://schemas.microsoft.com/office/drawing/2014/main" id="{CE9B1EC0-F2CE-4AC7-ADCF-A0664382B5C8}"/>
            </a:ext>
          </a:extLst>
        </xdr:cNvPr>
        <xdr:cNvCxnSpPr/>
      </xdr:nvCxnSpPr>
      <xdr:spPr>
        <a:xfrm rot="16200000" flipH="1">
          <a:off x="7413944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165224</xdr:colOff>
      <xdr:row>71</xdr:row>
      <xdr:rowOff>38876</xdr:rowOff>
    </xdr:from>
    <xdr:to>
      <xdr:col>28</xdr:col>
      <xdr:colOff>260475</xdr:colOff>
      <xdr:row>72</xdr:row>
      <xdr:rowOff>138013</xdr:rowOff>
    </xdr:to>
    <xdr:cxnSp macro="">
      <xdr:nvCxnSpPr>
        <xdr:cNvPr id="3123" name="Elbow Connector 55">
          <a:extLst>
            <a:ext uri="{FF2B5EF4-FFF2-40B4-BE49-F238E27FC236}">
              <a16:creationId xmlns:a16="http://schemas.microsoft.com/office/drawing/2014/main" id="{B04705B2-2AFA-4508-8E5C-EEEE425E330B}"/>
            </a:ext>
          </a:extLst>
        </xdr:cNvPr>
        <xdr:cNvCxnSpPr/>
      </xdr:nvCxnSpPr>
      <xdr:spPr>
        <a:xfrm rot="16200000" flipH="1">
          <a:off x="8735781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155508</xdr:colOff>
      <xdr:row>71</xdr:row>
      <xdr:rowOff>48595</xdr:rowOff>
    </xdr:from>
    <xdr:to>
      <xdr:col>26</xdr:col>
      <xdr:colOff>250759</xdr:colOff>
      <xdr:row>72</xdr:row>
      <xdr:rowOff>147732</xdr:rowOff>
    </xdr:to>
    <xdr:cxnSp macro="">
      <xdr:nvCxnSpPr>
        <xdr:cNvPr id="3085" name="Elbow Connector 55">
          <a:extLst>
            <a:ext uri="{FF2B5EF4-FFF2-40B4-BE49-F238E27FC236}">
              <a16:creationId xmlns:a16="http://schemas.microsoft.com/office/drawing/2014/main" id="{84862637-A88F-46DA-A7E2-D471BC4556C7}"/>
            </a:ext>
          </a:extLst>
        </xdr:cNvPr>
        <xdr:cNvCxnSpPr/>
      </xdr:nvCxnSpPr>
      <xdr:spPr>
        <a:xfrm rot="16200000" flipH="1">
          <a:off x="8045708" y="14435232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145788</xdr:colOff>
      <xdr:row>71</xdr:row>
      <xdr:rowOff>77754</xdr:rowOff>
    </xdr:from>
    <xdr:to>
      <xdr:col>30</xdr:col>
      <xdr:colOff>241039</xdr:colOff>
      <xdr:row>72</xdr:row>
      <xdr:rowOff>176891</xdr:rowOff>
    </xdr:to>
    <xdr:cxnSp macro="">
      <xdr:nvCxnSpPr>
        <xdr:cNvPr id="3124" name="Elbow Connector 55">
          <a:extLst>
            <a:ext uri="{FF2B5EF4-FFF2-40B4-BE49-F238E27FC236}">
              <a16:creationId xmlns:a16="http://schemas.microsoft.com/office/drawing/2014/main" id="{212F705B-F650-41FF-8810-C0DD808B192A}"/>
            </a:ext>
          </a:extLst>
        </xdr:cNvPr>
        <xdr:cNvCxnSpPr/>
      </xdr:nvCxnSpPr>
      <xdr:spPr>
        <a:xfrm rot="16200000" flipH="1">
          <a:off x="9309228" y="14464391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126351</xdr:colOff>
      <xdr:row>79</xdr:row>
      <xdr:rowOff>77752</xdr:rowOff>
    </xdr:from>
    <xdr:to>
      <xdr:col>18</xdr:col>
      <xdr:colOff>221602</xdr:colOff>
      <xdr:row>80</xdr:row>
      <xdr:rowOff>176889</xdr:rowOff>
    </xdr:to>
    <xdr:cxnSp macro="">
      <xdr:nvCxnSpPr>
        <xdr:cNvPr id="3125" name="Elbow Connector 55">
          <a:extLst>
            <a:ext uri="{FF2B5EF4-FFF2-40B4-BE49-F238E27FC236}">
              <a16:creationId xmlns:a16="http://schemas.microsoft.com/office/drawing/2014/main" id="{E77CB468-1740-434F-AAF5-5284F59DEADB}"/>
            </a:ext>
          </a:extLst>
        </xdr:cNvPr>
        <xdr:cNvCxnSpPr/>
      </xdr:nvCxnSpPr>
      <xdr:spPr>
        <a:xfrm rot="16200000" flipH="1">
          <a:off x="5528388" y="16077807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155507</xdr:colOff>
      <xdr:row>79</xdr:row>
      <xdr:rowOff>97191</xdr:rowOff>
    </xdr:from>
    <xdr:to>
      <xdr:col>24</xdr:col>
      <xdr:colOff>250758</xdr:colOff>
      <xdr:row>81</xdr:row>
      <xdr:rowOff>1940</xdr:rowOff>
    </xdr:to>
    <xdr:cxnSp macro="">
      <xdr:nvCxnSpPr>
        <xdr:cNvPr id="3126" name="Elbow Connector 55">
          <a:extLst>
            <a:ext uri="{FF2B5EF4-FFF2-40B4-BE49-F238E27FC236}">
              <a16:creationId xmlns:a16="http://schemas.microsoft.com/office/drawing/2014/main" id="{65B735BE-2257-4711-AF65-34609C333314}"/>
            </a:ext>
          </a:extLst>
        </xdr:cNvPr>
        <xdr:cNvCxnSpPr/>
      </xdr:nvCxnSpPr>
      <xdr:spPr>
        <a:xfrm rot="16200000" flipH="1">
          <a:off x="7423666" y="16097246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155504</xdr:colOff>
      <xdr:row>79</xdr:row>
      <xdr:rowOff>106910</xdr:rowOff>
    </xdr:from>
    <xdr:to>
      <xdr:col>28</xdr:col>
      <xdr:colOff>250755</xdr:colOff>
      <xdr:row>81</xdr:row>
      <xdr:rowOff>11659</xdr:rowOff>
    </xdr:to>
    <xdr:cxnSp macro="">
      <xdr:nvCxnSpPr>
        <xdr:cNvPr id="3127" name="Elbow Connector 55">
          <a:extLst>
            <a:ext uri="{FF2B5EF4-FFF2-40B4-BE49-F238E27FC236}">
              <a16:creationId xmlns:a16="http://schemas.microsoft.com/office/drawing/2014/main" id="{645DD8F4-760B-426E-A38A-059C8F37D190}"/>
            </a:ext>
          </a:extLst>
        </xdr:cNvPr>
        <xdr:cNvCxnSpPr/>
      </xdr:nvCxnSpPr>
      <xdr:spPr>
        <a:xfrm rot="16200000" flipH="1">
          <a:off x="8696903" y="1610696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126351</xdr:colOff>
      <xdr:row>79</xdr:row>
      <xdr:rowOff>97190</xdr:rowOff>
    </xdr:from>
    <xdr:to>
      <xdr:col>26</xdr:col>
      <xdr:colOff>221602</xdr:colOff>
      <xdr:row>81</xdr:row>
      <xdr:rowOff>1939</xdr:rowOff>
    </xdr:to>
    <xdr:cxnSp macro="">
      <xdr:nvCxnSpPr>
        <xdr:cNvPr id="3128" name="Elbow Connector 55">
          <a:extLst>
            <a:ext uri="{FF2B5EF4-FFF2-40B4-BE49-F238E27FC236}">
              <a16:creationId xmlns:a16="http://schemas.microsoft.com/office/drawing/2014/main" id="{724245F9-570C-485C-A9C6-8F6D94658877}"/>
            </a:ext>
          </a:extLst>
        </xdr:cNvPr>
        <xdr:cNvCxnSpPr/>
      </xdr:nvCxnSpPr>
      <xdr:spPr>
        <a:xfrm rot="16200000" flipH="1">
          <a:off x="8016551" y="1609724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126349</xdr:colOff>
      <xdr:row>79</xdr:row>
      <xdr:rowOff>77753</xdr:rowOff>
    </xdr:from>
    <xdr:to>
      <xdr:col>30</xdr:col>
      <xdr:colOff>221600</xdr:colOff>
      <xdr:row>80</xdr:row>
      <xdr:rowOff>176890</xdr:rowOff>
    </xdr:to>
    <xdr:cxnSp macro="">
      <xdr:nvCxnSpPr>
        <xdr:cNvPr id="3129" name="Elbow Connector 55">
          <a:extLst>
            <a:ext uri="{FF2B5EF4-FFF2-40B4-BE49-F238E27FC236}">
              <a16:creationId xmlns:a16="http://schemas.microsoft.com/office/drawing/2014/main" id="{AA10223B-9F2F-4FFD-8504-72108966F4CC}"/>
            </a:ext>
          </a:extLst>
        </xdr:cNvPr>
        <xdr:cNvCxnSpPr/>
      </xdr:nvCxnSpPr>
      <xdr:spPr>
        <a:xfrm rot="16200000" flipH="1">
          <a:off x="9289789" y="16077808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145794</xdr:colOff>
      <xdr:row>79</xdr:row>
      <xdr:rowOff>116635</xdr:rowOff>
    </xdr:from>
    <xdr:to>
      <xdr:col>40</xdr:col>
      <xdr:colOff>260477</xdr:colOff>
      <xdr:row>81</xdr:row>
      <xdr:rowOff>1940</xdr:rowOff>
    </xdr:to>
    <xdr:cxnSp macro="">
      <xdr:nvCxnSpPr>
        <xdr:cNvPr id="3130" name="Elbow Connector 55">
          <a:extLst>
            <a:ext uri="{FF2B5EF4-FFF2-40B4-BE49-F238E27FC236}">
              <a16:creationId xmlns:a16="http://schemas.microsoft.com/office/drawing/2014/main" id="{01C835D6-65EE-403C-AE38-E77DDF71508E}"/>
            </a:ext>
          </a:extLst>
        </xdr:cNvPr>
        <xdr:cNvCxnSpPr/>
      </xdr:nvCxnSpPr>
      <xdr:spPr>
        <a:xfrm rot="16200000" flipH="1">
          <a:off x="12468034" y="16097252"/>
          <a:ext cx="332397" cy="11468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186122</xdr:colOff>
      <xdr:row>87</xdr:row>
      <xdr:rowOff>109482</xdr:rowOff>
    </xdr:from>
    <xdr:to>
      <xdr:col>32</xdr:col>
      <xdr:colOff>260480</xdr:colOff>
      <xdr:row>88</xdr:row>
      <xdr:rowOff>157451</xdr:rowOff>
    </xdr:to>
    <xdr:cxnSp macro="">
      <xdr:nvCxnSpPr>
        <xdr:cNvPr id="3131" name="Elbow Connector 55">
          <a:extLst>
            <a:ext uri="{FF2B5EF4-FFF2-40B4-BE49-F238E27FC236}">
              <a16:creationId xmlns:a16="http://schemas.microsoft.com/office/drawing/2014/main" id="{AACE5735-2890-495D-8685-1F4880954D11}"/>
            </a:ext>
          </a:extLst>
        </xdr:cNvPr>
        <xdr:cNvCxnSpPr/>
      </xdr:nvCxnSpPr>
      <xdr:spPr>
        <a:xfrm rot="16200000" flipH="1">
          <a:off x="10353842" y="17159176"/>
          <a:ext cx="299779" cy="7435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136071</xdr:colOff>
      <xdr:row>87</xdr:row>
      <xdr:rowOff>145790</xdr:rowOff>
    </xdr:from>
    <xdr:to>
      <xdr:col>16</xdr:col>
      <xdr:colOff>211879</xdr:colOff>
      <xdr:row>89</xdr:row>
      <xdr:rowOff>1941</xdr:rowOff>
    </xdr:to>
    <xdr:cxnSp macro="">
      <xdr:nvCxnSpPr>
        <xdr:cNvPr id="3132" name="Elbow Connector 55">
          <a:extLst>
            <a:ext uri="{FF2B5EF4-FFF2-40B4-BE49-F238E27FC236}">
              <a16:creationId xmlns:a16="http://schemas.microsoft.com/office/drawing/2014/main" id="{4B162469-11A9-41B3-AA9B-ABB15B99A9CA}"/>
            </a:ext>
          </a:extLst>
        </xdr:cNvPr>
        <xdr:cNvCxnSpPr/>
      </xdr:nvCxnSpPr>
      <xdr:spPr>
        <a:xfrm rot="16200000" flipH="1">
          <a:off x="4930645" y="17744686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184667</xdr:colOff>
      <xdr:row>87</xdr:row>
      <xdr:rowOff>97193</xdr:rowOff>
    </xdr:from>
    <xdr:to>
      <xdr:col>18</xdr:col>
      <xdr:colOff>260475</xdr:colOff>
      <xdr:row>88</xdr:row>
      <xdr:rowOff>147731</xdr:rowOff>
    </xdr:to>
    <xdr:cxnSp macro="">
      <xdr:nvCxnSpPr>
        <xdr:cNvPr id="3134" name="Elbow Connector 55">
          <a:extLst>
            <a:ext uri="{FF2B5EF4-FFF2-40B4-BE49-F238E27FC236}">
              <a16:creationId xmlns:a16="http://schemas.microsoft.com/office/drawing/2014/main" id="{43655ACF-6C01-440F-A797-8647AA3DE3D2}"/>
            </a:ext>
          </a:extLst>
        </xdr:cNvPr>
        <xdr:cNvCxnSpPr/>
      </xdr:nvCxnSpPr>
      <xdr:spPr>
        <a:xfrm rot="16200000" flipH="1">
          <a:off x="5601282" y="17696089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165228</xdr:colOff>
      <xdr:row>87</xdr:row>
      <xdr:rowOff>116631</xdr:rowOff>
    </xdr:from>
    <xdr:to>
      <xdr:col>22</xdr:col>
      <xdr:colOff>241036</xdr:colOff>
      <xdr:row>88</xdr:row>
      <xdr:rowOff>167169</xdr:rowOff>
    </xdr:to>
    <xdr:cxnSp macro="">
      <xdr:nvCxnSpPr>
        <xdr:cNvPr id="3135" name="Elbow Connector 55">
          <a:extLst>
            <a:ext uri="{FF2B5EF4-FFF2-40B4-BE49-F238E27FC236}">
              <a16:creationId xmlns:a16="http://schemas.microsoft.com/office/drawing/2014/main" id="{7A9335BC-FB3A-4A58-99AF-6EFD428FC0D1}"/>
            </a:ext>
          </a:extLst>
        </xdr:cNvPr>
        <xdr:cNvCxnSpPr/>
      </xdr:nvCxnSpPr>
      <xdr:spPr>
        <a:xfrm rot="16200000" flipH="1">
          <a:off x="6825924" y="1771552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165226</xdr:colOff>
      <xdr:row>87</xdr:row>
      <xdr:rowOff>126351</xdr:rowOff>
    </xdr:from>
    <xdr:to>
      <xdr:col>24</xdr:col>
      <xdr:colOff>241034</xdr:colOff>
      <xdr:row>88</xdr:row>
      <xdr:rowOff>176889</xdr:rowOff>
    </xdr:to>
    <xdr:cxnSp macro="">
      <xdr:nvCxnSpPr>
        <xdr:cNvPr id="3136" name="Elbow Connector 55">
          <a:extLst>
            <a:ext uri="{FF2B5EF4-FFF2-40B4-BE49-F238E27FC236}">
              <a16:creationId xmlns:a16="http://schemas.microsoft.com/office/drawing/2014/main" id="{AEFF1040-DB00-4260-87AE-5B58C54FF8FE}"/>
            </a:ext>
          </a:extLst>
        </xdr:cNvPr>
        <xdr:cNvCxnSpPr/>
      </xdr:nvCxnSpPr>
      <xdr:spPr>
        <a:xfrm rot="16200000" flipH="1">
          <a:off x="7447963" y="1772524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120431</xdr:colOff>
      <xdr:row>87</xdr:row>
      <xdr:rowOff>87585</xdr:rowOff>
    </xdr:from>
    <xdr:to>
      <xdr:col>34</xdr:col>
      <xdr:colOff>241038</xdr:colOff>
      <xdr:row>88</xdr:row>
      <xdr:rowOff>138012</xdr:rowOff>
    </xdr:to>
    <xdr:cxnSp macro="">
      <xdr:nvCxnSpPr>
        <xdr:cNvPr id="3033" name="Elbow Connector 55">
          <a:extLst>
            <a:ext uri="{FF2B5EF4-FFF2-40B4-BE49-F238E27FC236}">
              <a16:creationId xmlns:a16="http://schemas.microsoft.com/office/drawing/2014/main" id="{BDC48E8F-A33A-4F4C-9F03-4798245D6AD7}"/>
            </a:ext>
          </a:extLst>
        </xdr:cNvPr>
        <xdr:cNvCxnSpPr/>
      </xdr:nvCxnSpPr>
      <xdr:spPr>
        <a:xfrm rot="16200000" flipH="1">
          <a:off x="10934099" y="17115383"/>
          <a:ext cx="302237" cy="120607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109484</xdr:colOff>
      <xdr:row>87</xdr:row>
      <xdr:rowOff>98533</xdr:rowOff>
    </xdr:from>
    <xdr:to>
      <xdr:col>36</xdr:col>
      <xdr:colOff>231320</xdr:colOff>
      <xdr:row>88</xdr:row>
      <xdr:rowOff>157450</xdr:rowOff>
    </xdr:to>
    <xdr:cxnSp macro="">
      <xdr:nvCxnSpPr>
        <xdr:cNvPr id="3133" name="Elbow Connector 55">
          <a:extLst>
            <a:ext uri="{FF2B5EF4-FFF2-40B4-BE49-F238E27FC236}">
              <a16:creationId xmlns:a16="http://schemas.microsoft.com/office/drawing/2014/main" id="{9EAD2E55-4BB1-420A-BF6E-5488D5010E36}"/>
            </a:ext>
          </a:extLst>
        </xdr:cNvPr>
        <xdr:cNvCxnSpPr/>
      </xdr:nvCxnSpPr>
      <xdr:spPr>
        <a:xfrm rot="16200000" flipH="1">
          <a:off x="11543572" y="17129962"/>
          <a:ext cx="310727" cy="12183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153276</xdr:colOff>
      <xdr:row>87</xdr:row>
      <xdr:rowOff>98534</xdr:rowOff>
    </xdr:from>
    <xdr:to>
      <xdr:col>38</xdr:col>
      <xdr:colOff>250758</xdr:colOff>
      <xdr:row>88</xdr:row>
      <xdr:rowOff>167170</xdr:rowOff>
    </xdr:to>
    <xdr:cxnSp macro="">
      <xdr:nvCxnSpPr>
        <xdr:cNvPr id="3137" name="Elbow Connector 55">
          <a:extLst>
            <a:ext uri="{FF2B5EF4-FFF2-40B4-BE49-F238E27FC236}">
              <a16:creationId xmlns:a16="http://schemas.microsoft.com/office/drawing/2014/main" id="{18EC81C7-BE1B-4916-8999-730B599FF50C}"/>
            </a:ext>
          </a:extLst>
        </xdr:cNvPr>
        <xdr:cNvCxnSpPr/>
      </xdr:nvCxnSpPr>
      <xdr:spPr>
        <a:xfrm rot="16200000" flipH="1">
          <a:off x="12238173" y="17146999"/>
          <a:ext cx="320446" cy="97482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136070</xdr:colOff>
      <xdr:row>87</xdr:row>
      <xdr:rowOff>60772</xdr:rowOff>
    </xdr:from>
    <xdr:to>
      <xdr:col>42</xdr:col>
      <xdr:colOff>211878</xdr:colOff>
      <xdr:row>88</xdr:row>
      <xdr:rowOff>111310</xdr:rowOff>
    </xdr:to>
    <xdr:cxnSp macro="">
      <xdr:nvCxnSpPr>
        <xdr:cNvPr id="3073" name="Elbow Connector 55">
          <a:extLst>
            <a:ext uri="{FF2B5EF4-FFF2-40B4-BE49-F238E27FC236}">
              <a16:creationId xmlns:a16="http://schemas.microsoft.com/office/drawing/2014/main" id="{A8963802-3D69-4693-875D-9E020B6B1651}"/>
            </a:ext>
          </a:extLst>
        </xdr:cNvPr>
        <xdr:cNvCxnSpPr/>
      </xdr:nvCxnSpPr>
      <xdr:spPr>
        <a:xfrm rot="16200000" flipH="1">
          <a:off x="13467283" y="17111025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145789</xdr:colOff>
      <xdr:row>87</xdr:row>
      <xdr:rowOff>77754</xdr:rowOff>
    </xdr:from>
    <xdr:to>
      <xdr:col>44</xdr:col>
      <xdr:colOff>221597</xdr:colOff>
      <xdr:row>88</xdr:row>
      <xdr:rowOff>128292</xdr:rowOff>
    </xdr:to>
    <xdr:cxnSp macro="">
      <xdr:nvCxnSpPr>
        <xdr:cNvPr id="3138" name="Elbow Connector 55">
          <a:extLst>
            <a:ext uri="{FF2B5EF4-FFF2-40B4-BE49-F238E27FC236}">
              <a16:creationId xmlns:a16="http://schemas.microsoft.com/office/drawing/2014/main" id="{AE94496A-835F-42DD-A9CE-4AEE6FFF67BF}"/>
            </a:ext>
          </a:extLst>
        </xdr:cNvPr>
        <xdr:cNvCxnSpPr/>
      </xdr:nvCxnSpPr>
      <xdr:spPr>
        <a:xfrm rot="16200000" flipH="1">
          <a:off x="13823883" y="17676650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126348</xdr:colOff>
      <xdr:row>95</xdr:row>
      <xdr:rowOff>29157</xdr:rowOff>
    </xdr:from>
    <xdr:to>
      <xdr:col>4</xdr:col>
      <xdr:colOff>202156</xdr:colOff>
      <xdr:row>96</xdr:row>
      <xdr:rowOff>79695</xdr:rowOff>
    </xdr:to>
    <xdr:cxnSp macro="">
      <xdr:nvCxnSpPr>
        <xdr:cNvPr id="3139" name="Elbow Connector 55">
          <a:extLst>
            <a:ext uri="{FF2B5EF4-FFF2-40B4-BE49-F238E27FC236}">
              <a16:creationId xmlns:a16="http://schemas.microsoft.com/office/drawing/2014/main" id="{2AB50425-E02D-419B-A705-39C1789790FE}"/>
            </a:ext>
          </a:extLst>
        </xdr:cNvPr>
        <xdr:cNvCxnSpPr/>
      </xdr:nvCxnSpPr>
      <xdr:spPr>
        <a:xfrm rot="16200000" flipH="1">
          <a:off x="1159519" y="19241471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145789</xdr:colOff>
      <xdr:row>95</xdr:row>
      <xdr:rowOff>77754</xdr:rowOff>
    </xdr:from>
    <xdr:to>
      <xdr:col>8</xdr:col>
      <xdr:colOff>221597</xdr:colOff>
      <xdr:row>96</xdr:row>
      <xdr:rowOff>128292</xdr:rowOff>
    </xdr:to>
    <xdr:cxnSp macro="">
      <xdr:nvCxnSpPr>
        <xdr:cNvPr id="3140" name="Elbow Connector 55">
          <a:extLst>
            <a:ext uri="{FF2B5EF4-FFF2-40B4-BE49-F238E27FC236}">
              <a16:creationId xmlns:a16="http://schemas.microsoft.com/office/drawing/2014/main" id="{A7738753-812C-456A-9538-53E46D30B65F}"/>
            </a:ext>
          </a:extLst>
        </xdr:cNvPr>
        <xdr:cNvCxnSpPr/>
      </xdr:nvCxnSpPr>
      <xdr:spPr>
        <a:xfrm rot="16200000" flipH="1">
          <a:off x="2452200" y="19290068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155507</xdr:colOff>
      <xdr:row>95</xdr:row>
      <xdr:rowOff>97193</xdr:rowOff>
    </xdr:from>
    <xdr:to>
      <xdr:col>10</xdr:col>
      <xdr:colOff>231315</xdr:colOff>
      <xdr:row>96</xdr:row>
      <xdr:rowOff>147731</xdr:rowOff>
    </xdr:to>
    <xdr:cxnSp macro="">
      <xdr:nvCxnSpPr>
        <xdr:cNvPr id="3141" name="Elbow Connector 55">
          <a:extLst>
            <a:ext uri="{FF2B5EF4-FFF2-40B4-BE49-F238E27FC236}">
              <a16:creationId xmlns:a16="http://schemas.microsoft.com/office/drawing/2014/main" id="{9057EFF9-7EA9-471B-8CAE-7EA58CA76DF9}"/>
            </a:ext>
          </a:extLst>
        </xdr:cNvPr>
        <xdr:cNvCxnSpPr/>
      </xdr:nvCxnSpPr>
      <xdr:spPr>
        <a:xfrm rot="16200000" flipH="1">
          <a:off x="3083958" y="1930950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136070</xdr:colOff>
      <xdr:row>95</xdr:row>
      <xdr:rowOff>77754</xdr:rowOff>
    </xdr:from>
    <xdr:to>
      <xdr:col>14</xdr:col>
      <xdr:colOff>211878</xdr:colOff>
      <xdr:row>96</xdr:row>
      <xdr:rowOff>128292</xdr:rowOff>
    </xdr:to>
    <xdr:cxnSp macro="">
      <xdr:nvCxnSpPr>
        <xdr:cNvPr id="3142" name="Elbow Connector 55">
          <a:extLst>
            <a:ext uri="{FF2B5EF4-FFF2-40B4-BE49-F238E27FC236}">
              <a16:creationId xmlns:a16="http://schemas.microsoft.com/office/drawing/2014/main" id="{447FC0C7-D669-45DA-8F88-241B79C643BA}"/>
            </a:ext>
          </a:extLst>
        </xdr:cNvPr>
        <xdr:cNvCxnSpPr/>
      </xdr:nvCxnSpPr>
      <xdr:spPr>
        <a:xfrm rot="16200000" flipH="1">
          <a:off x="4308603" y="19290068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145789</xdr:colOff>
      <xdr:row>95</xdr:row>
      <xdr:rowOff>97193</xdr:rowOff>
    </xdr:from>
    <xdr:to>
      <xdr:col>22</xdr:col>
      <xdr:colOff>221597</xdr:colOff>
      <xdr:row>96</xdr:row>
      <xdr:rowOff>147731</xdr:rowOff>
    </xdr:to>
    <xdr:cxnSp macro="">
      <xdr:nvCxnSpPr>
        <xdr:cNvPr id="3143" name="Elbow Connector 55">
          <a:extLst>
            <a:ext uri="{FF2B5EF4-FFF2-40B4-BE49-F238E27FC236}">
              <a16:creationId xmlns:a16="http://schemas.microsoft.com/office/drawing/2014/main" id="{785E2C70-6A45-4842-ABB6-37A351531B00}"/>
            </a:ext>
          </a:extLst>
        </xdr:cNvPr>
        <xdr:cNvCxnSpPr/>
      </xdr:nvCxnSpPr>
      <xdr:spPr>
        <a:xfrm rot="16200000" flipH="1">
          <a:off x="6806485" y="1930950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145788</xdr:colOff>
      <xdr:row>95</xdr:row>
      <xdr:rowOff>102385</xdr:rowOff>
    </xdr:from>
    <xdr:to>
      <xdr:col>24</xdr:col>
      <xdr:colOff>221596</xdr:colOff>
      <xdr:row>96</xdr:row>
      <xdr:rowOff>152923</xdr:rowOff>
    </xdr:to>
    <xdr:cxnSp macro="">
      <xdr:nvCxnSpPr>
        <xdr:cNvPr id="3144" name="Elbow Connector 55">
          <a:extLst>
            <a:ext uri="{FF2B5EF4-FFF2-40B4-BE49-F238E27FC236}">
              <a16:creationId xmlns:a16="http://schemas.microsoft.com/office/drawing/2014/main" id="{0402B6B3-AAF9-46AA-B6A3-40F4183CEFEC}"/>
            </a:ext>
          </a:extLst>
        </xdr:cNvPr>
        <xdr:cNvCxnSpPr/>
      </xdr:nvCxnSpPr>
      <xdr:spPr>
        <a:xfrm rot="16200000" flipH="1">
          <a:off x="7697741" y="18825985"/>
          <a:ext cx="301550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136069</xdr:colOff>
      <xdr:row>95</xdr:row>
      <xdr:rowOff>58316</xdr:rowOff>
    </xdr:from>
    <xdr:to>
      <xdr:col>26</xdr:col>
      <xdr:colOff>211877</xdr:colOff>
      <xdr:row>96</xdr:row>
      <xdr:rowOff>108854</xdr:rowOff>
    </xdr:to>
    <xdr:cxnSp macro="">
      <xdr:nvCxnSpPr>
        <xdr:cNvPr id="3145" name="Elbow Connector 55">
          <a:extLst>
            <a:ext uri="{FF2B5EF4-FFF2-40B4-BE49-F238E27FC236}">
              <a16:creationId xmlns:a16="http://schemas.microsoft.com/office/drawing/2014/main" id="{B106D9B4-73A9-422F-84FA-AA8B82605E7B}"/>
            </a:ext>
          </a:extLst>
        </xdr:cNvPr>
        <xdr:cNvCxnSpPr/>
      </xdr:nvCxnSpPr>
      <xdr:spPr>
        <a:xfrm rot="16200000" flipH="1">
          <a:off x="8040847" y="19270630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145791</xdr:colOff>
      <xdr:row>79</xdr:row>
      <xdr:rowOff>116633</xdr:rowOff>
    </xdr:from>
    <xdr:to>
      <xdr:col>42</xdr:col>
      <xdr:colOff>241035</xdr:colOff>
      <xdr:row>80</xdr:row>
      <xdr:rowOff>176887</xdr:rowOff>
    </xdr:to>
    <xdr:cxnSp macro="">
      <xdr:nvCxnSpPr>
        <xdr:cNvPr id="3146" name="Elbow Connector 55">
          <a:extLst>
            <a:ext uri="{FF2B5EF4-FFF2-40B4-BE49-F238E27FC236}">
              <a16:creationId xmlns:a16="http://schemas.microsoft.com/office/drawing/2014/main" id="{A7C469A7-AB9C-4B19-B197-B53FD47432DB}"/>
            </a:ext>
          </a:extLst>
        </xdr:cNvPr>
        <xdr:cNvCxnSpPr/>
      </xdr:nvCxnSpPr>
      <xdr:spPr>
        <a:xfrm rot="16200000" flipH="1">
          <a:off x="13090072" y="16097250"/>
          <a:ext cx="312958" cy="952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132184</xdr:colOff>
      <xdr:row>31</xdr:row>
      <xdr:rowOff>77755</xdr:rowOff>
    </xdr:from>
    <xdr:to>
      <xdr:col>8</xdr:col>
      <xdr:colOff>227435</xdr:colOff>
      <xdr:row>32</xdr:row>
      <xdr:rowOff>176892</xdr:rowOff>
    </xdr:to>
    <xdr:cxnSp macro="">
      <xdr:nvCxnSpPr>
        <xdr:cNvPr id="3147" name="Elbow Connector 55">
          <a:extLst>
            <a:ext uri="{FF2B5EF4-FFF2-40B4-BE49-F238E27FC236}">
              <a16:creationId xmlns:a16="http://schemas.microsoft.com/office/drawing/2014/main" id="{9AC73010-F393-4BDF-A254-D7ECEF6210D1}"/>
            </a:ext>
          </a:extLst>
        </xdr:cNvPr>
        <xdr:cNvCxnSpPr/>
      </xdr:nvCxnSpPr>
      <xdr:spPr>
        <a:xfrm rot="16200000" flipH="1">
          <a:off x="2501772" y="6393412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101081</xdr:colOff>
      <xdr:row>31</xdr:row>
      <xdr:rowOff>77755</xdr:rowOff>
    </xdr:from>
    <xdr:to>
      <xdr:col>2</xdr:col>
      <xdr:colOff>196332</xdr:colOff>
      <xdr:row>32</xdr:row>
      <xdr:rowOff>176892</xdr:rowOff>
    </xdr:to>
    <xdr:cxnSp macro="">
      <xdr:nvCxnSpPr>
        <xdr:cNvPr id="3148" name="Elbow Connector 55">
          <a:extLst>
            <a:ext uri="{FF2B5EF4-FFF2-40B4-BE49-F238E27FC236}">
              <a16:creationId xmlns:a16="http://schemas.microsoft.com/office/drawing/2014/main" id="{0047AF7E-8851-4314-8CAD-7C89FD87194B}"/>
            </a:ext>
          </a:extLst>
        </xdr:cNvPr>
        <xdr:cNvCxnSpPr/>
      </xdr:nvCxnSpPr>
      <xdr:spPr>
        <a:xfrm rot="16200000" flipH="1">
          <a:off x="511240" y="6393412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124408</xdr:colOff>
      <xdr:row>23</xdr:row>
      <xdr:rowOff>69980</xdr:rowOff>
    </xdr:from>
    <xdr:to>
      <xdr:col>14</xdr:col>
      <xdr:colOff>219659</xdr:colOff>
      <xdr:row>24</xdr:row>
      <xdr:rowOff>169117</xdr:rowOff>
    </xdr:to>
    <xdr:cxnSp macro="">
      <xdr:nvCxnSpPr>
        <xdr:cNvPr id="3149" name="Elbow Connector 55">
          <a:extLst>
            <a:ext uri="{FF2B5EF4-FFF2-40B4-BE49-F238E27FC236}">
              <a16:creationId xmlns:a16="http://schemas.microsoft.com/office/drawing/2014/main" id="{EF6060F0-3E62-4291-8E1A-068C65ED1D67}"/>
            </a:ext>
          </a:extLst>
        </xdr:cNvPr>
        <xdr:cNvCxnSpPr/>
      </xdr:nvCxnSpPr>
      <xdr:spPr>
        <a:xfrm rot="16200000" flipH="1">
          <a:off x="4430098" y="4776107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116633</xdr:colOff>
      <xdr:row>71</xdr:row>
      <xdr:rowOff>62205</xdr:rowOff>
    </xdr:from>
    <xdr:to>
      <xdr:col>22</xdr:col>
      <xdr:colOff>211884</xdr:colOff>
      <xdr:row>72</xdr:row>
      <xdr:rowOff>161342</xdr:rowOff>
    </xdr:to>
    <xdr:cxnSp macro="">
      <xdr:nvCxnSpPr>
        <xdr:cNvPr id="3150" name="Elbow Connector 55">
          <a:extLst>
            <a:ext uri="{FF2B5EF4-FFF2-40B4-BE49-F238E27FC236}">
              <a16:creationId xmlns:a16="http://schemas.microsoft.com/office/drawing/2014/main" id="{55C14B83-E9FE-42EF-B062-B8B297546CDC}"/>
            </a:ext>
          </a:extLst>
        </xdr:cNvPr>
        <xdr:cNvCxnSpPr/>
      </xdr:nvCxnSpPr>
      <xdr:spPr>
        <a:xfrm rot="16200000" flipH="1">
          <a:off x="7003792" y="14425515"/>
          <a:ext cx="347954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101083</xdr:colOff>
      <xdr:row>79</xdr:row>
      <xdr:rowOff>85532</xdr:rowOff>
    </xdr:from>
    <xdr:to>
      <xdr:col>32</xdr:col>
      <xdr:colOff>196334</xdr:colOff>
      <xdr:row>80</xdr:row>
      <xdr:rowOff>184670</xdr:rowOff>
    </xdr:to>
    <xdr:cxnSp macro="">
      <xdr:nvCxnSpPr>
        <xdr:cNvPr id="3152" name="Elbow Connector 55">
          <a:extLst>
            <a:ext uri="{FF2B5EF4-FFF2-40B4-BE49-F238E27FC236}">
              <a16:creationId xmlns:a16="http://schemas.microsoft.com/office/drawing/2014/main" id="{5FFC46B1-9885-4DD7-AACC-9ECDD6468C3B}"/>
            </a:ext>
          </a:extLst>
        </xdr:cNvPr>
        <xdr:cNvCxnSpPr/>
      </xdr:nvCxnSpPr>
      <xdr:spPr>
        <a:xfrm rot="16200000" flipH="1">
          <a:off x="10261732" y="16058373"/>
          <a:ext cx="347954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120431</xdr:colOff>
      <xdr:row>87</xdr:row>
      <xdr:rowOff>109482</xdr:rowOff>
    </xdr:from>
    <xdr:to>
      <xdr:col>40</xdr:col>
      <xdr:colOff>219660</xdr:colOff>
      <xdr:row>88</xdr:row>
      <xdr:rowOff>161341</xdr:rowOff>
    </xdr:to>
    <xdr:cxnSp macro="">
      <xdr:nvCxnSpPr>
        <xdr:cNvPr id="3153" name="Elbow Connector 55">
          <a:extLst>
            <a:ext uri="{FF2B5EF4-FFF2-40B4-BE49-F238E27FC236}">
              <a16:creationId xmlns:a16="http://schemas.microsoft.com/office/drawing/2014/main" id="{3AC57F57-4ADC-436A-938C-7AE419C53B91}"/>
            </a:ext>
          </a:extLst>
        </xdr:cNvPr>
        <xdr:cNvCxnSpPr/>
      </xdr:nvCxnSpPr>
      <xdr:spPr>
        <a:xfrm rot="16200000" flipH="1">
          <a:off x="12838642" y="17148685"/>
          <a:ext cx="303669" cy="9922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108858</xdr:colOff>
      <xdr:row>71</xdr:row>
      <xdr:rowOff>93307</xdr:rowOff>
    </xdr:from>
    <xdr:to>
      <xdr:col>32</xdr:col>
      <xdr:colOff>204109</xdr:colOff>
      <xdr:row>72</xdr:row>
      <xdr:rowOff>192444</xdr:rowOff>
    </xdr:to>
    <xdr:cxnSp macro="">
      <xdr:nvCxnSpPr>
        <xdr:cNvPr id="3154" name="Elbow Connector 55">
          <a:extLst>
            <a:ext uri="{FF2B5EF4-FFF2-40B4-BE49-F238E27FC236}">
              <a16:creationId xmlns:a16="http://schemas.microsoft.com/office/drawing/2014/main" id="{D817F1CA-92BF-447A-9588-5D1DC0983CDE}"/>
            </a:ext>
          </a:extLst>
        </xdr:cNvPr>
        <xdr:cNvCxnSpPr/>
      </xdr:nvCxnSpPr>
      <xdr:spPr>
        <a:xfrm rot="16200000" flipH="1">
          <a:off x="10269507" y="14456617"/>
          <a:ext cx="347954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188406</xdr:colOff>
      <xdr:row>55</xdr:row>
      <xdr:rowOff>104670</xdr:rowOff>
    </xdr:from>
    <xdr:to>
      <xdr:col>22</xdr:col>
      <xdr:colOff>283657</xdr:colOff>
      <xdr:row>57</xdr:row>
      <xdr:rowOff>7371</xdr:rowOff>
    </xdr:to>
    <xdr:cxnSp macro="">
      <xdr:nvCxnSpPr>
        <xdr:cNvPr id="3037" name="Elbow Connector 55">
          <a:extLst>
            <a:ext uri="{FF2B5EF4-FFF2-40B4-BE49-F238E27FC236}">
              <a16:creationId xmlns:a16="http://schemas.microsoft.com/office/drawing/2014/main" id="{766F488D-A5BA-45F1-BBE3-2927095D4E32}"/>
            </a:ext>
          </a:extLst>
        </xdr:cNvPr>
        <xdr:cNvCxnSpPr/>
      </xdr:nvCxnSpPr>
      <xdr:spPr>
        <a:xfrm rot="16200000" flipH="1">
          <a:off x="6978349" y="11014480"/>
          <a:ext cx="35278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188406</xdr:colOff>
      <xdr:row>55</xdr:row>
      <xdr:rowOff>104670</xdr:rowOff>
    </xdr:from>
    <xdr:to>
      <xdr:col>26</xdr:col>
      <xdr:colOff>283657</xdr:colOff>
      <xdr:row>57</xdr:row>
      <xdr:rowOff>15401</xdr:rowOff>
    </xdr:to>
    <xdr:cxnSp macro="">
      <xdr:nvCxnSpPr>
        <xdr:cNvPr id="3039" name="Elbow Connector 55">
          <a:extLst>
            <a:ext uri="{FF2B5EF4-FFF2-40B4-BE49-F238E27FC236}">
              <a16:creationId xmlns:a16="http://schemas.microsoft.com/office/drawing/2014/main" id="{4B7202F9-7869-43BB-A0DC-C450B82A95A6}"/>
            </a:ext>
          </a:extLst>
        </xdr:cNvPr>
        <xdr:cNvCxnSpPr/>
      </xdr:nvCxnSpPr>
      <xdr:spPr>
        <a:xfrm rot="16200000" flipH="1">
          <a:off x="8230378" y="11018495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188406</xdr:colOff>
      <xdr:row>55</xdr:row>
      <xdr:rowOff>125604</xdr:rowOff>
    </xdr:from>
    <xdr:to>
      <xdr:col>28</xdr:col>
      <xdr:colOff>283657</xdr:colOff>
      <xdr:row>57</xdr:row>
      <xdr:rowOff>36335</xdr:rowOff>
    </xdr:to>
    <xdr:cxnSp macro="">
      <xdr:nvCxnSpPr>
        <xdr:cNvPr id="3070" name="Elbow Connector 55">
          <a:extLst>
            <a:ext uri="{FF2B5EF4-FFF2-40B4-BE49-F238E27FC236}">
              <a16:creationId xmlns:a16="http://schemas.microsoft.com/office/drawing/2014/main" id="{41985BAF-339F-4A8F-9144-D73F8BCEE33F}"/>
            </a:ext>
          </a:extLst>
        </xdr:cNvPr>
        <xdr:cNvCxnSpPr/>
      </xdr:nvCxnSpPr>
      <xdr:spPr>
        <a:xfrm rot="16200000" flipH="1">
          <a:off x="8889801" y="11039429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167472</xdr:colOff>
      <xdr:row>55</xdr:row>
      <xdr:rowOff>115137</xdr:rowOff>
    </xdr:from>
    <xdr:to>
      <xdr:col>30</xdr:col>
      <xdr:colOff>262723</xdr:colOff>
      <xdr:row>57</xdr:row>
      <xdr:rowOff>25868</xdr:rowOff>
    </xdr:to>
    <xdr:cxnSp macro="">
      <xdr:nvCxnSpPr>
        <xdr:cNvPr id="3072" name="Elbow Connector 55">
          <a:extLst>
            <a:ext uri="{FF2B5EF4-FFF2-40B4-BE49-F238E27FC236}">
              <a16:creationId xmlns:a16="http://schemas.microsoft.com/office/drawing/2014/main" id="{6D99E741-B7AF-40F9-9B86-3C2D4B78A9F3}"/>
            </a:ext>
          </a:extLst>
        </xdr:cNvPr>
        <xdr:cNvCxnSpPr/>
      </xdr:nvCxnSpPr>
      <xdr:spPr>
        <a:xfrm rot="16200000" flipH="1">
          <a:off x="9496889" y="11028962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167472</xdr:colOff>
      <xdr:row>55</xdr:row>
      <xdr:rowOff>125604</xdr:rowOff>
    </xdr:from>
    <xdr:to>
      <xdr:col>32</xdr:col>
      <xdr:colOff>243280</xdr:colOff>
      <xdr:row>56</xdr:row>
      <xdr:rowOff>176142</xdr:rowOff>
    </xdr:to>
    <xdr:cxnSp macro="">
      <xdr:nvCxnSpPr>
        <xdr:cNvPr id="3035" name="Elbow Connector 55">
          <a:extLst>
            <a:ext uri="{FF2B5EF4-FFF2-40B4-BE49-F238E27FC236}">
              <a16:creationId xmlns:a16="http://schemas.microsoft.com/office/drawing/2014/main" id="{A61DFE2E-2B75-4C1F-984F-74F31F117B32}"/>
            </a:ext>
          </a:extLst>
        </xdr:cNvPr>
        <xdr:cNvCxnSpPr/>
      </xdr:nvCxnSpPr>
      <xdr:spPr>
        <a:xfrm rot="16200000" flipH="1">
          <a:off x="10170890" y="11024851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146538</xdr:colOff>
      <xdr:row>55</xdr:row>
      <xdr:rowOff>115137</xdr:rowOff>
    </xdr:from>
    <xdr:to>
      <xdr:col>34</xdr:col>
      <xdr:colOff>222346</xdr:colOff>
      <xdr:row>56</xdr:row>
      <xdr:rowOff>165675</xdr:rowOff>
    </xdr:to>
    <xdr:cxnSp macro="">
      <xdr:nvCxnSpPr>
        <xdr:cNvPr id="3088" name="Elbow Connector 55">
          <a:extLst>
            <a:ext uri="{FF2B5EF4-FFF2-40B4-BE49-F238E27FC236}">
              <a16:creationId xmlns:a16="http://schemas.microsoft.com/office/drawing/2014/main" id="{C92B9F49-E6E0-45F1-B966-AA65F531AE12}"/>
            </a:ext>
          </a:extLst>
        </xdr:cNvPr>
        <xdr:cNvCxnSpPr/>
      </xdr:nvCxnSpPr>
      <xdr:spPr>
        <a:xfrm rot="16200000" flipH="1">
          <a:off x="10777978" y="11014384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136071</xdr:colOff>
      <xdr:row>55</xdr:row>
      <xdr:rowOff>104670</xdr:rowOff>
    </xdr:from>
    <xdr:to>
      <xdr:col>24</xdr:col>
      <xdr:colOff>211879</xdr:colOff>
      <xdr:row>56</xdr:row>
      <xdr:rowOff>155208</xdr:rowOff>
    </xdr:to>
    <xdr:cxnSp macro="">
      <xdr:nvCxnSpPr>
        <xdr:cNvPr id="3156" name="Elbow Connector 55">
          <a:extLst>
            <a:ext uri="{FF2B5EF4-FFF2-40B4-BE49-F238E27FC236}">
              <a16:creationId xmlns:a16="http://schemas.microsoft.com/office/drawing/2014/main" id="{08BDFAA6-017C-40E4-B134-1C056851D850}"/>
            </a:ext>
          </a:extLst>
        </xdr:cNvPr>
        <xdr:cNvCxnSpPr/>
      </xdr:nvCxnSpPr>
      <xdr:spPr>
        <a:xfrm rot="16200000" flipH="1">
          <a:off x="7564599" y="1100391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146538</xdr:colOff>
      <xdr:row>103</xdr:row>
      <xdr:rowOff>125604</xdr:rowOff>
    </xdr:from>
    <xdr:to>
      <xdr:col>28</xdr:col>
      <xdr:colOff>241789</xdr:colOff>
      <xdr:row>105</xdr:row>
      <xdr:rowOff>30353</xdr:rowOff>
    </xdr:to>
    <xdr:cxnSp macro="">
      <xdr:nvCxnSpPr>
        <xdr:cNvPr id="3090" name="Elbow Connector 55">
          <a:extLst>
            <a:ext uri="{FF2B5EF4-FFF2-40B4-BE49-F238E27FC236}">
              <a16:creationId xmlns:a16="http://schemas.microsoft.com/office/drawing/2014/main" id="{7A6712AA-2E7E-4B0C-851F-8A82BBE159D5}"/>
            </a:ext>
          </a:extLst>
        </xdr:cNvPr>
        <xdr:cNvCxnSpPr/>
      </xdr:nvCxnSpPr>
      <xdr:spPr>
        <a:xfrm rot="16200000" flipH="1">
          <a:off x="8850924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167472</xdr:colOff>
      <xdr:row>103</xdr:row>
      <xdr:rowOff>125604</xdr:rowOff>
    </xdr:from>
    <xdr:to>
      <xdr:col>30</xdr:col>
      <xdr:colOff>262723</xdr:colOff>
      <xdr:row>105</xdr:row>
      <xdr:rowOff>30353</xdr:rowOff>
    </xdr:to>
    <xdr:cxnSp macro="">
      <xdr:nvCxnSpPr>
        <xdr:cNvPr id="3159" name="Elbow Connector 55">
          <a:extLst>
            <a:ext uri="{FF2B5EF4-FFF2-40B4-BE49-F238E27FC236}">
              <a16:creationId xmlns:a16="http://schemas.microsoft.com/office/drawing/2014/main" id="{73ACD6D3-1DDE-4965-A770-BDA0C252719D}"/>
            </a:ext>
          </a:extLst>
        </xdr:cNvPr>
        <xdr:cNvCxnSpPr/>
      </xdr:nvCxnSpPr>
      <xdr:spPr>
        <a:xfrm rot="16200000" flipH="1">
          <a:off x="9499880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167472</xdr:colOff>
      <xdr:row>103</xdr:row>
      <xdr:rowOff>115137</xdr:rowOff>
    </xdr:from>
    <xdr:to>
      <xdr:col>36</xdr:col>
      <xdr:colOff>262723</xdr:colOff>
      <xdr:row>105</xdr:row>
      <xdr:rowOff>19886</xdr:rowOff>
    </xdr:to>
    <xdr:cxnSp macro="">
      <xdr:nvCxnSpPr>
        <xdr:cNvPr id="3160" name="Elbow Connector 55">
          <a:extLst>
            <a:ext uri="{FF2B5EF4-FFF2-40B4-BE49-F238E27FC236}">
              <a16:creationId xmlns:a16="http://schemas.microsoft.com/office/drawing/2014/main" id="{B4A7F0E9-8CAD-487E-8683-2EFD31472974}"/>
            </a:ext>
          </a:extLst>
        </xdr:cNvPr>
        <xdr:cNvCxnSpPr/>
      </xdr:nvCxnSpPr>
      <xdr:spPr>
        <a:xfrm rot="16200000" flipH="1">
          <a:off x="11415347" y="20509103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157005</xdr:colOff>
      <xdr:row>103</xdr:row>
      <xdr:rowOff>125604</xdr:rowOff>
    </xdr:from>
    <xdr:to>
      <xdr:col>38</xdr:col>
      <xdr:colOff>252256</xdr:colOff>
      <xdr:row>105</xdr:row>
      <xdr:rowOff>30353</xdr:rowOff>
    </xdr:to>
    <xdr:cxnSp macro="">
      <xdr:nvCxnSpPr>
        <xdr:cNvPr id="3161" name="Elbow Connector 55">
          <a:extLst>
            <a:ext uri="{FF2B5EF4-FFF2-40B4-BE49-F238E27FC236}">
              <a16:creationId xmlns:a16="http://schemas.microsoft.com/office/drawing/2014/main" id="{BF2545E4-55F6-4AC8-A369-CF75F4BBEE36}"/>
            </a:ext>
          </a:extLst>
        </xdr:cNvPr>
        <xdr:cNvCxnSpPr/>
      </xdr:nvCxnSpPr>
      <xdr:spPr>
        <a:xfrm rot="16200000" flipH="1">
          <a:off x="12064303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136071</xdr:colOff>
      <xdr:row>103</xdr:row>
      <xdr:rowOff>73269</xdr:rowOff>
    </xdr:from>
    <xdr:to>
      <xdr:col>40</xdr:col>
      <xdr:colOff>231322</xdr:colOff>
      <xdr:row>104</xdr:row>
      <xdr:rowOff>166424</xdr:rowOff>
    </xdr:to>
    <xdr:cxnSp macro="">
      <xdr:nvCxnSpPr>
        <xdr:cNvPr id="3031" name="Elbow Connector 55">
          <a:extLst>
            <a:ext uri="{FF2B5EF4-FFF2-40B4-BE49-F238E27FC236}">
              <a16:creationId xmlns:a16="http://schemas.microsoft.com/office/drawing/2014/main" id="{DF7E3294-B537-46ED-91A8-BDC2FB8EAE4F}"/>
            </a:ext>
          </a:extLst>
        </xdr:cNvPr>
        <xdr:cNvCxnSpPr/>
      </xdr:nvCxnSpPr>
      <xdr:spPr>
        <a:xfrm rot="16200000" flipH="1">
          <a:off x="12671391" y="20467235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177939</xdr:colOff>
      <xdr:row>103</xdr:row>
      <xdr:rowOff>83736</xdr:rowOff>
    </xdr:from>
    <xdr:to>
      <xdr:col>42</xdr:col>
      <xdr:colOff>273190</xdr:colOff>
      <xdr:row>104</xdr:row>
      <xdr:rowOff>176891</xdr:rowOff>
    </xdr:to>
    <xdr:cxnSp macro="">
      <xdr:nvCxnSpPr>
        <xdr:cNvPr id="3032" name="Elbow Connector 55">
          <a:extLst>
            <a:ext uri="{FF2B5EF4-FFF2-40B4-BE49-F238E27FC236}">
              <a16:creationId xmlns:a16="http://schemas.microsoft.com/office/drawing/2014/main" id="{29CE0663-8B80-45EC-820C-FDF220C0C709}"/>
            </a:ext>
          </a:extLst>
        </xdr:cNvPr>
        <xdr:cNvCxnSpPr/>
      </xdr:nvCxnSpPr>
      <xdr:spPr>
        <a:xfrm rot="16200000" flipH="1">
          <a:off x="13341281" y="2047770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146538</xdr:colOff>
      <xdr:row>103</xdr:row>
      <xdr:rowOff>83736</xdr:rowOff>
    </xdr:from>
    <xdr:to>
      <xdr:col>44</xdr:col>
      <xdr:colOff>241789</xdr:colOff>
      <xdr:row>104</xdr:row>
      <xdr:rowOff>176891</xdr:rowOff>
    </xdr:to>
    <xdr:cxnSp macro="">
      <xdr:nvCxnSpPr>
        <xdr:cNvPr id="3162" name="Elbow Connector 55">
          <a:extLst>
            <a:ext uri="{FF2B5EF4-FFF2-40B4-BE49-F238E27FC236}">
              <a16:creationId xmlns:a16="http://schemas.microsoft.com/office/drawing/2014/main" id="{1A59D9B7-7910-4CBD-98F4-8ECBEDEE6045}"/>
            </a:ext>
          </a:extLst>
        </xdr:cNvPr>
        <xdr:cNvCxnSpPr/>
      </xdr:nvCxnSpPr>
      <xdr:spPr>
        <a:xfrm rot="16200000" flipH="1">
          <a:off x="14053039" y="2047770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115137</xdr:colOff>
      <xdr:row>111</xdr:row>
      <xdr:rowOff>104670</xdr:rowOff>
    </xdr:from>
    <xdr:to>
      <xdr:col>2</xdr:col>
      <xdr:colOff>210388</xdr:colOff>
      <xdr:row>113</xdr:row>
      <xdr:rowOff>9419</xdr:rowOff>
    </xdr:to>
    <xdr:cxnSp macro="">
      <xdr:nvCxnSpPr>
        <xdr:cNvPr id="3163" name="Elbow Connector 55">
          <a:extLst>
            <a:ext uri="{FF2B5EF4-FFF2-40B4-BE49-F238E27FC236}">
              <a16:creationId xmlns:a16="http://schemas.microsoft.com/office/drawing/2014/main" id="{A0E08814-0100-4951-88F8-310AD16744CC}"/>
            </a:ext>
          </a:extLst>
        </xdr:cNvPr>
        <xdr:cNvCxnSpPr/>
      </xdr:nvCxnSpPr>
      <xdr:spPr>
        <a:xfrm rot="16200000" flipH="1">
          <a:off x="508699" y="22079158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125604</xdr:colOff>
      <xdr:row>111</xdr:row>
      <xdr:rowOff>83736</xdr:rowOff>
    </xdr:from>
    <xdr:to>
      <xdr:col>4</xdr:col>
      <xdr:colOff>201412</xdr:colOff>
      <xdr:row>112</xdr:row>
      <xdr:rowOff>134274</xdr:rowOff>
    </xdr:to>
    <xdr:cxnSp macro="">
      <xdr:nvCxnSpPr>
        <xdr:cNvPr id="3164" name="Elbow Connector 55">
          <a:extLst>
            <a:ext uri="{FF2B5EF4-FFF2-40B4-BE49-F238E27FC236}">
              <a16:creationId xmlns:a16="http://schemas.microsoft.com/office/drawing/2014/main" id="{29100956-3984-4413-9FBB-81E0F7CB8E6A}"/>
            </a:ext>
          </a:extLst>
        </xdr:cNvPr>
        <xdr:cNvCxnSpPr/>
      </xdr:nvCxnSpPr>
      <xdr:spPr>
        <a:xfrm rot="16200000" flipH="1">
          <a:off x="1158775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157005</xdr:colOff>
      <xdr:row>111</xdr:row>
      <xdr:rowOff>83736</xdr:rowOff>
    </xdr:from>
    <xdr:to>
      <xdr:col>6</xdr:col>
      <xdr:colOff>232813</xdr:colOff>
      <xdr:row>112</xdr:row>
      <xdr:rowOff>134274</xdr:rowOff>
    </xdr:to>
    <xdr:cxnSp macro="">
      <xdr:nvCxnSpPr>
        <xdr:cNvPr id="3165" name="Elbow Connector 55">
          <a:extLst>
            <a:ext uri="{FF2B5EF4-FFF2-40B4-BE49-F238E27FC236}">
              <a16:creationId xmlns:a16="http://schemas.microsoft.com/office/drawing/2014/main" id="{87C1E84F-6DAA-4E2F-A1E9-E9D800F9976B}"/>
            </a:ext>
          </a:extLst>
        </xdr:cNvPr>
        <xdr:cNvCxnSpPr/>
      </xdr:nvCxnSpPr>
      <xdr:spPr>
        <a:xfrm rot="16200000" flipH="1">
          <a:off x="1818198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136071</xdr:colOff>
      <xdr:row>111</xdr:row>
      <xdr:rowOff>94203</xdr:rowOff>
    </xdr:from>
    <xdr:to>
      <xdr:col>8</xdr:col>
      <xdr:colOff>211879</xdr:colOff>
      <xdr:row>112</xdr:row>
      <xdr:rowOff>144741</xdr:rowOff>
    </xdr:to>
    <xdr:cxnSp macro="">
      <xdr:nvCxnSpPr>
        <xdr:cNvPr id="3166" name="Elbow Connector 55">
          <a:extLst>
            <a:ext uri="{FF2B5EF4-FFF2-40B4-BE49-F238E27FC236}">
              <a16:creationId xmlns:a16="http://schemas.microsoft.com/office/drawing/2014/main" id="{6A49B945-CBC4-42B3-8E61-8059DD7EF853}"/>
            </a:ext>
          </a:extLst>
        </xdr:cNvPr>
        <xdr:cNvCxnSpPr/>
      </xdr:nvCxnSpPr>
      <xdr:spPr>
        <a:xfrm rot="16200000" flipH="1">
          <a:off x="2456687" y="22057104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198873</xdr:colOff>
      <xdr:row>31</xdr:row>
      <xdr:rowOff>94203</xdr:rowOff>
    </xdr:from>
    <xdr:to>
      <xdr:col>34</xdr:col>
      <xdr:colOff>294124</xdr:colOff>
      <xdr:row>32</xdr:row>
      <xdr:rowOff>187359</xdr:rowOff>
    </xdr:to>
    <xdr:cxnSp macro="">
      <xdr:nvCxnSpPr>
        <xdr:cNvPr id="3167" name="Elbow Connector 55">
          <a:extLst>
            <a:ext uri="{FF2B5EF4-FFF2-40B4-BE49-F238E27FC236}">
              <a16:creationId xmlns:a16="http://schemas.microsoft.com/office/drawing/2014/main" id="{53E58060-9C4F-4336-9EA0-9A80377CAD08}"/>
            </a:ext>
          </a:extLst>
        </xdr:cNvPr>
        <xdr:cNvCxnSpPr/>
      </xdr:nvCxnSpPr>
      <xdr:spPr>
        <a:xfrm rot="16200000" flipH="1">
          <a:off x="10818726" y="6263471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167472</xdr:colOff>
      <xdr:row>31</xdr:row>
      <xdr:rowOff>104670</xdr:rowOff>
    </xdr:from>
    <xdr:to>
      <xdr:col>38</xdr:col>
      <xdr:colOff>262723</xdr:colOff>
      <xdr:row>33</xdr:row>
      <xdr:rowOff>9420</xdr:rowOff>
    </xdr:to>
    <xdr:cxnSp macro="">
      <xdr:nvCxnSpPr>
        <xdr:cNvPr id="3168" name="Elbow Connector 55">
          <a:extLst>
            <a:ext uri="{FF2B5EF4-FFF2-40B4-BE49-F238E27FC236}">
              <a16:creationId xmlns:a16="http://schemas.microsoft.com/office/drawing/2014/main" id="{7C06881B-B549-47C2-9591-83E953662BCA}"/>
            </a:ext>
          </a:extLst>
        </xdr:cNvPr>
        <xdr:cNvCxnSpPr/>
      </xdr:nvCxnSpPr>
      <xdr:spPr>
        <a:xfrm rot="16200000" flipH="1">
          <a:off x="12074770" y="6273938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177939</xdr:colOff>
      <xdr:row>31</xdr:row>
      <xdr:rowOff>115137</xdr:rowOff>
    </xdr:from>
    <xdr:to>
      <xdr:col>42</xdr:col>
      <xdr:colOff>273190</xdr:colOff>
      <xdr:row>33</xdr:row>
      <xdr:rowOff>19887</xdr:rowOff>
    </xdr:to>
    <xdr:cxnSp macro="">
      <xdr:nvCxnSpPr>
        <xdr:cNvPr id="3169" name="Elbow Connector 55">
          <a:extLst>
            <a:ext uri="{FF2B5EF4-FFF2-40B4-BE49-F238E27FC236}">
              <a16:creationId xmlns:a16="http://schemas.microsoft.com/office/drawing/2014/main" id="{DEB192AB-8B19-4560-B8F6-A78342C5CD6E}"/>
            </a:ext>
          </a:extLst>
        </xdr:cNvPr>
        <xdr:cNvCxnSpPr/>
      </xdr:nvCxnSpPr>
      <xdr:spPr>
        <a:xfrm rot="16200000" flipH="1">
          <a:off x="13341281" y="6284405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146538</xdr:colOff>
      <xdr:row>31</xdr:row>
      <xdr:rowOff>115137</xdr:rowOff>
    </xdr:from>
    <xdr:to>
      <xdr:col>44</xdr:col>
      <xdr:colOff>241789</xdr:colOff>
      <xdr:row>33</xdr:row>
      <xdr:rowOff>19887</xdr:rowOff>
    </xdr:to>
    <xdr:cxnSp macro="">
      <xdr:nvCxnSpPr>
        <xdr:cNvPr id="3170" name="Elbow Connector 55">
          <a:extLst>
            <a:ext uri="{FF2B5EF4-FFF2-40B4-BE49-F238E27FC236}">
              <a16:creationId xmlns:a16="http://schemas.microsoft.com/office/drawing/2014/main" id="{A550FB18-FFD5-490D-BA4B-FF0C92246573}"/>
            </a:ext>
          </a:extLst>
        </xdr:cNvPr>
        <xdr:cNvCxnSpPr/>
      </xdr:nvCxnSpPr>
      <xdr:spPr>
        <a:xfrm rot="16200000" flipH="1">
          <a:off x="14053039" y="6284405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157005</xdr:colOff>
      <xdr:row>39</xdr:row>
      <xdr:rowOff>115137</xdr:rowOff>
    </xdr:from>
    <xdr:to>
      <xdr:col>18</xdr:col>
      <xdr:colOff>252256</xdr:colOff>
      <xdr:row>41</xdr:row>
      <xdr:rowOff>19887</xdr:rowOff>
    </xdr:to>
    <xdr:cxnSp macro="">
      <xdr:nvCxnSpPr>
        <xdr:cNvPr id="3171" name="Elbow Connector 55">
          <a:extLst>
            <a:ext uri="{FF2B5EF4-FFF2-40B4-BE49-F238E27FC236}">
              <a16:creationId xmlns:a16="http://schemas.microsoft.com/office/drawing/2014/main" id="{8B893301-2244-495E-B48D-97749E7EEEAB}"/>
            </a:ext>
          </a:extLst>
        </xdr:cNvPr>
        <xdr:cNvCxnSpPr/>
      </xdr:nvCxnSpPr>
      <xdr:spPr>
        <a:xfrm rot="16200000" flipH="1">
          <a:off x="5689880" y="7864927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39</xdr:row>
      <xdr:rowOff>115137</xdr:rowOff>
    </xdr:from>
    <xdr:to>
      <xdr:col>20</xdr:col>
      <xdr:colOff>252256</xdr:colOff>
      <xdr:row>41</xdr:row>
      <xdr:rowOff>19887</xdr:rowOff>
    </xdr:to>
    <xdr:cxnSp macro="">
      <xdr:nvCxnSpPr>
        <xdr:cNvPr id="3172" name="Elbow Connector 55">
          <a:extLst>
            <a:ext uri="{FF2B5EF4-FFF2-40B4-BE49-F238E27FC236}">
              <a16:creationId xmlns:a16="http://schemas.microsoft.com/office/drawing/2014/main" id="{F2968502-E546-4471-B3D6-A602D897CFE4}"/>
            </a:ext>
          </a:extLst>
        </xdr:cNvPr>
        <xdr:cNvCxnSpPr/>
      </xdr:nvCxnSpPr>
      <xdr:spPr>
        <a:xfrm rot="16200000" flipH="1">
          <a:off x="6317902" y="7864927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157005</xdr:colOff>
      <xdr:row>47</xdr:row>
      <xdr:rowOff>83736</xdr:rowOff>
    </xdr:from>
    <xdr:to>
      <xdr:col>2</xdr:col>
      <xdr:colOff>252256</xdr:colOff>
      <xdr:row>48</xdr:row>
      <xdr:rowOff>176891</xdr:rowOff>
    </xdr:to>
    <xdr:cxnSp macro="">
      <xdr:nvCxnSpPr>
        <xdr:cNvPr id="3173" name="Elbow Connector 55">
          <a:extLst>
            <a:ext uri="{FF2B5EF4-FFF2-40B4-BE49-F238E27FC236}">
              <a16:creationId xmlns:a16="http://schemas.microsoft.com/office/drawing/2014/main" id="{719E6896-FA3A-45E6-BA20-4CD43A45276B}"/>
            </a:ext>
          </a:extLst>
        </xdr:cNvPr>
        <xdr:cNvCxnSpPr/>
      </xdr:nvCxnSpPr>
      <xdr:spPr>
        <a:xfrm rot="16200000" flipH="1">
          <a:off x="550567" y="9414048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146538</xdr:colOff>
      <xdr:row>47</xdr:row>
      <xdr:rowOff>94203</xdr:rowOff>
    </xdr:from>
    <xdr:to>
      <xdr:col>8</xdr:col>
      <xdr:colOff>241789</xdr:colOff>
      <xdr:row>48</xdr:row>
      <xdr:rowOff>187358</xdr:rowOff>
    </xdr:to>
    <xdr:cxnSp macro="">
      <xdr:nvCxnSpPr>
        <xdr:cNvPr id="3174" name="Elbow Connector 55">
          <a:extLst>
            <a:ext uri="{FF2B5EF4-FFF2-40B4-BE49-F238E27FC236}">
              <a16:creationId xmlns:a16="http://schemas.microsoft.com/office/drawing/2014/main" id="{BC1E15DB-44FA-4699-866C-E6DFE16F4BB2}"/>
            </a:ext>
          </a:extLst>
        </xdr:cNvPr>
        <xdr:cNvCxnSpPr/>
      </xdr:nvCxnSpPr>
      <xdr:spPr>
        <a:xfrm rot="16200000" flipH="1">
          <a:off x="2455567" y="9424515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157005</xdr:colOff>
      <xdr:row>47</xdr:row>
      <xdr:rowOff>73269</xdr:rowOff>
    </xdr:from>
    <xdr:to>
      <xdr:col>18</xdr:col>
      <xdr:colOff>252256</xdr:colOff>
      <xdr:row>48</xdr:row>
      <xdr:rowOff>166424</xdr:rowOff>
    </xdr:to>
    <xdr:cxnSp macro="">
      <xdr:nvCxnSpPr>
        <xdr:cNvPr id="3175" name="Elbow Connector 55">
          <a:extLst>
            <a:ext uri="{FF2B5EF4-FFF2-40B4-BE49-F238E27FC236}">
              <a16:creationId xmlns:a16="http://schemas.microsoft.com/office/drawing/2014/main" id="{A8CAC541-1D12-4285-9623-9CB4ADB925CB}"/>
            </a:ext>
          </a:extLst>
        </xdr:cNvPr>
        <xdr:cNvCxnSpPr/>
      </xdr:nvCxnSpPr>
      <xdr:spPr>
        <a:xfrm rot="16200000" flipH="1">
          <a:off x="5689880" y="9403581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47</xdr:row>
      <xdr:rowOff>104670</xdr:rowOff>
    </xdr:from>
    <xdr:to>
      <xdr:col>20</xdr:col>
      <xdr:colOff>252256</xdr:colOff>
      <xdr:row>49</xdr:row>
      <xdr:rowOff>9419</xdr:rowOff>
    </xdr:to>
    <xdr:cxnSp macro="">
      <xdr:nvCxnSpPr>
        <xdr:cNvPr id="3176" name="Elbow Connector 55">
          <a:extLst>
            <a:ext uri="{FF2B5EF4-FFF2-40B4-BE49-F238E27FC236}">
              <a16:creationId xmlns:a16="http://schemas.microsoft.com/office/drawing/2014/main" id="{99C76B63-B10F-4C56-A023-00292D9A17B8}"/>
            </a:ext>
          </a:extLst>
        </xdr:cNvPr>
        <xdr:cNvCxnSpPr/>
      </xdr:nvCxnSpPr>
      <xdr:spPr>
        <a:xfrm rot="16200000" flipH="1">
          <a:off x="6317902" y="943498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167474</xdr:colOff>
      <xdr:row>103</xdr:row>
      <xdr:rowOff>136074</xdr:rowOff>
    </xdr:from>
    <xdr:to>
      <xdr:col>16</xdr:col>
      <xdr:colOff>231319</xdr:colOff>
      <xdr:row>104</xdr:row>
      <xdr:rowOff>172406</xdr:rowOff>
    </xdr:to>
    <xdr:cxnSp macro="">
      <xdr:nvCxnSpPr>
        <xdr:cNvPr id="3177" name="Elbow Connector 55">
          <a:extLst>
            <a:ext uri="{FF2B5EF4-FFF2-40B4-BE49-F238E27FC236}">
              <a16:creationId xmlns:a16="http://schemas.microsoft.com/office/drawing/2014/main" id="{3205F627-B472-4184-B80F-ED5A9F70793A}"/>
            </a:ext>
          </a:extLst>
        </xdr:cNvPr>
        <xdr:cNvCxnSpPr/>
      </xdr:nvCxnSpPr>
      <xdr:spPr>
        <a:xfrm rot="16200000" flipH="1">
          <a:off x="5001300" y="2051733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146538</xdr:colOff>
      <xdr:row>103</xdr:row>
      <xdr:rowOff>136071</xdr:rowOff>
    </xdr:from>
    <xdr:to>
      <xdr:col>18</xdr:col>
      <xdr:colOff>210383</xdr:colOff>
      <xdr:row>104</xdr:row>
      <xdr:rowOff>172403</xdr:rowOff>
    </xdr:to>
    <xdr:cxnSp macro="">
      <xdr:nvCxnSpPr>
        <xdr:cNvPr id="3180" name="Elbow Connector 55">
          <a:extLst>
            <a:ext uri="{FF2B5EF4-FFF2-40B4-BE49-F238E27FC236}">
              <a16:creationId xmlns:a16="http://schemas.microsoft.com/office/drawing/2014/main" id="{5F8DECD3-28FF-4563-827E-CD57A7A834E1}"/>
            </a:ext>
          </a:extLst>
        </xdr:cNvPr>
        <xdr:cNvCxnSpPr/>
      </xdr:nvCxnSpPr>
      <xdr:spPr>
        <a:xfrm rot="16200000" flipH="1">
          <a:off x="5692122" y="20517328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103</xdr:row>
      <xdr:rowOff>146538</xdr:rowOff>
    </xdr:from>
    <xdr:to>
      <xdr:col>20</xdr:col>
      <xdr:colOff>220850</xdr:colOff>
      <xdr:row>104</xdr:row>
      <xdr:rowOff>182870</xdr:rowOff>
    </xdr:to>
    <xdr:cxnSp macro="">
      <xdr:nvCxnSpPr>
        <xdr:cNvPr id="3181" name="Elbow Connector 55">
          <a:extLst>
            <a:ext uri="{FF2B5EF4-FFF2-40B4-BE49-F238E27FC236}">
              <a16:creationId xmlns:a16="http://schemas.microsoft.com/office/drawing/2014/main" id="{53A6E570-97C6-450B-BC0D-A9184DF40154}"/>
            </a:ext>
          </a:extLst>
        </xdr:cNvPr>
        <xdr:cNvCxnSpPr/>
      </xdr:nvCxnSpPr>
      <xdr:spPr>
        <a:xfrm rot="16200000" flipH="1">
          <a:off x="6330611" y="20527795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146538</xdr:colOff>
      <xdr:row>103</xdr:row>
      <xdr:rowOff>125604</xdr:rowOff>
    </xdr:from>
    <xdr:to>
      <xdr:col>22</xdr:col>
      <xdr:colOff>210383</xdr:colOff>
      <xdr:row>104</xdr:row>
      <xdr:rowOff>161936</xdr:rowOff>
    </xdr:to>
    <xdr:cxnSp macro="">
      <xdr:nvCxnSpPr>
        <xdr:cNvPr id="3182" name="Elbow Connector 55">
          <a:extLst>
            <a:ext uri="{FF2B5EF4-FFF2-40B4-BE49-F238E27FC236}">
              <a16:creationId xmlns:a16="http://schemas.microsoft.com/office/drawing/2014/main" id="{817D37EB-9CC7-4E17-812B-B23E55394316}"/>
            </a:ext>
          </a:extLst>
        </xdr:cNvPr>
        <xdr:cNvCxnSpPr/>
      </xdr:nvCxnSpPr>
      <xdr:spPr>
        <a:xfrm rot="16200000" flipH="1">
          <a:off x="6948166" y="2050686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146538</xdr:colOff>
      <xdr:row>103</xdr:row>
      <xdr:rowOff>94203</xdr:rowOff>
    </xdr:from>
    <xdr:to>
      <xdr:col>24</xdr:col>
      <xdr:colOff>210383</xdr:colOff>
      <xdr:row>104</xdr:row>
      <xdr:rowOff>130535</xdr:rowOff>
    </xdr:to>
    <xdr:cxnSp macro="">
      <xdr:nvCxnSpPr>
        <xdr:cNvPr id="3183" name="Elbow Connector 55">
          <a:extLst>
            <a:ext uri="{FF2B5EF4-FFF2-40B4-BE49-F238E27FC236}">
              <a16:creationId xmlns:a16="http://schemas.microsoft.com/office/drawing/2014/main" id="{65FB2633-8EE4-46CB-BFAC-E9552A581406}"/>
            </a:ext>
          </a:extLst>
        </xdr:cNvPr>
        <xdr:cNvCxnSpPr/>
      </xdr:nvCxnSpPr>
      <xdr:spPr>
        <a:xfrm rot="16200000" flipH="1">
          <a:off x="7576188" y="20475460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136071</xdr:colOff>
      <xdr:row>103</xdr:row>
      <xdr:rowOff>136071</xdr:rowOff>
    </xdr:from>
    <xdr:to>
      <xdr:col>14</xdr:col>
      <xdr:colOff>199916</xdr:colOff>
      <xdr:row>104</xdr:row>
      <xdr:rowOff>172403</xdr:rowOff>
    </xdr:to>
    <xdr:cxnSp macro="">
      <xdr:nvCxnSpPr>
        <xdr:cNvPr id="3178" name="Elbow Connector 55">
          <a:extLst>
            <a:ext uri="{FF2B5EF4-FFF2-40B4-BE49-F238E27FC236}">
              <a16:creationId xmlns:a16="http://schemas.microsoft.com/office/drawing/2014/main" id="{B47760FC-0CA5-4EF8-8F5C-A2A2C725A808}"/>
            </a:ext>
          </a:extLst>
        </xdr:cNvPr>
        <xdr:cNvCxnSpPr/>
      </xdr:nvCxnSpPr>
      <xdr:spPr>
        <a:xfrm rot="16200000" flipH="1">
          <a:off x="4341875" y="20517328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146538</xdr:colOff>
      <xdr:row>103</xdr:row>
      <xdr:rowOff>104670</xdr:rowOff>
    </xdr:from>
    <xdr:to>
      <xdr:col>12</xdr:col>
      <xdr:colOff>210383</xdr:colOff>
      <xdr:row>104</xdr:row>
      <xdr:rowOff>141002</xdr:rowOff>
    </xdr:to>
    <xdr:cxnSp macro="">
      <xdr:nvCxnSpPr>
        <xdr:cNvPr id="3179" name="Elbow Connector 55">
          <a:extLst>
            <a:ext uri="{FF2B5EF4-FFF2-40B4-BE49-F238E27FC236}">
              <a16:creationId xmlns:a16="http://schemas.microsoft.com/office/drawing/2014/main" id="{3964A341-4DBF-4811-B162-2D34C0FE3420}"/>
            </a:ext>
          </a:extLst>
        </xdr:cNvPr>
        <xdr:cNvCxnSpPr/>
      </xdr:nvCxnSpPr>
      <xdr:spPr>
        <a:xfrm rot="16200000" flipH="1">
          <a:off x="3724320" y="20485927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167472</xdr:colOff>
      <xdr:row>103</xdr:row>
      <xdr:rowOff>125604</xdr:rowOff>
    </xdr:from>
    <xdr:to>
      <xdr:col>10</xdr:col>
      <xdr:colOff>231317</xdr:colOff>
      <xdr:row>104</xdr:row>
      <xdr:rowOff>161936</xdr:rowOff>
    </xdr:to>
    <xdr:cxnSp macro="">
      <xdr:nvCxnSpPr>
        <xdr:cNvPr id="3184" name="Elbow Connector 55">
          <a:extLst>
            <a:ext uri="{FF2B5EF4-FFF2-40B4-BE49-F238E27FC236}">
              <a16:creationId xmlns:a16="http://schemas.microsoft.com/office/drawing/2014/main" id="{9F56273E-A7E6-4009-80FE-A4C68E362F3F}"/>
            </a:ext>
          </a:extLst>
        </xdr:cNvPr>
        <xdr:cNvCxnSpPr/>
      </xdr:nvCxnSpPr>
      <xdr:spPr>
        <a:xfrm rot="16200000" flipH="1">
          <a:off x="3117232" y="2050686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157005</xdr:colOff>
      <xdr:row>103</xdr:row>
      <xdr:rowOff>115137</xdr:rowOff>
    </xdr:from>
    <xdr:to>
      <xdr:col>8</xdr:col>
      <xdr:colOff>220850</xdr:colOff>
      <xdr:row>104</xdr:row>
      <xdr:rowOff>151469</xdr:rowOff>
    </xdr:to>
    <xdr:cxnSp macro="">
      <xdr:nvCxnSpPr>
        <xdr:cNvPr id="3185" name="Elbow Connector 55">
          <a:extLst>
            <a:ext uri="{FF2B5EF4-FFF2-40B4-BE49-F238E27FC236}">
              <a16:creationId xmlns:a16="http://schemas.microsoft.com/office/drawing/2014/main" id="{F9FA3B82-B8A9-458B-8C8E-0F76B99DCE5A}"/>
            </a:ext>
          </a:extLst>
        </xdr:cNvPr>
        <xdr:cNvCxnSpPr/>
      </xdr:nvCxnSpPr>
      <xdr:spPr>
        <a:xfrm rot="16200000" flipH="1">
          <a:off x="2478743" y="20496394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136071</xdr:colOff>
      <xdr:row>111</xdr:row>
      <xdr:rowOff>83736</xdr:rowOff>
    </xdr:from>
    <xdr:to>
      <xdr:col>10</xdr:col>
      <xdr:colOff>211879</xdr:colOff>
      <xdr:row>112</xdr:row>
      <xdr:rowOff>134274</xdr:rowOff>
    </xdr:to>
    <xdr:cxnSp macro="">
      <xdr:nvCxnSpPr>
        <xdr:cNvPr id="3186" name="Elbow Connector 55">
          <a:extLst>
            <a:ext uri="{FF2B5EF4-FFF2-40B4-BE49-F238E27FC236}">
              <a16:creationId xmlns:a16="http://schemas.microsoft.com/office/drawing/2014/main" id="{FBE6A376-3759-4AD4-9491-976B92C5F9A4}"/>
            </a:ext>
          </a:extLst>
        </xdr:cNvPr>
        <xdr:cNvCxnSpPr/>
      </xdr:nvCxnSpPr>
      <xdr:spPr>
        <a:xfrm rot="16200000" flipH="1">
          <a:off x="3084709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136071</xdr:colOff>
      <xdr:row>111</xdr:row>
      <xdr:rowOff>136071</xdr:rowOff>
    </xdr:from>
    <xdr:to>
      <xdr:col>32</xdr:col>
      <xdr:colOff>199916</xdr:colOff>
      <xdr:row>112</xdr:row>
      <xdr:rowOff>172403</xdr:rowOff>
    </xdr:to>
    <xdr:cxnSp macro="">
      <xdr:nvCxnSpPr>
        <xdr:cNvPr id="3038" name="Elbow Connector 55">
          <a:extLst>
            <a:ext uri="{FF2B5EF4-FFF2-40B4-BE49-F238E27FC236}">
              <a16:creationId xmlns:a16="http://schemas.microsoft.com/office/drawing/2014/main" id="{4812E4FF-F829-4692-8F9F-438744C4F785}"/>
            </a:ext>
          </a:extLst>
        </xdr:cNvPr>
        <xdr:cNvCxnSpPr/>
      </xdr:nvCxnSpPr>
      <xdr:spPr>
        <a:xfrm rot="16200000" flipH="1">
          <a:off x="10140611" y="22097850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157005</xdr:colOff>
      <xdr:row>111</xdr:row>
      <xdr:rowOff>104670</xdr:rowOff>
    </xdr:from>
    <xdr:to>
      <xdr:col>34</xdr:col>
      <xdr:colOff>220850</xdr:colOff>
      <xdr:row>112</xdr:row>
      <xdr:rowOff>141002</xdr:rowOff>
    </xdr:to>
    <xdr:cxnSp macro="">
      <xdr:nvCxnSpPr>
        <xdr:cNvPr id="3187" name="Elbow Connector 55">
          <a:extLst>
            <a:ext uri="{FF2B5EF4-FFF2-40B4-BE49-F238E27FC236}">
              <a16:creationId xmlns:a16="http://schemas.microsoft.com/office/drawing/2014/main" id="{43BAE8D7-38EA-4A8A-83AD-DCDB249F0B21}"/>
            </a:ext>
          </a:extLst>
        </xdr:cNvPr>
        <xdr:cNvCxnSpPr/>
      </xdr:nvCxnSpPr>
      <xdr:spPr>
        <a:xfrm rot="16200000" flipH="1">
          <a:off x="10789567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167472</xdr:colOff>
      <xdr:row>111</xdr:row>
      <xdr:rowOff>104670</xdr:rowOff>
    </xdr:from>
    <xdr:to>
      <xdr:col>36</xdr:col>
      <xdr:colOff>231317</xdr:colOff>
      <xdr:row>112</xdr:row>
      <xdr:rowOff>141002</xdr:rowOff>
    </xdr:to>
    <xdr:cxnSp macro="">
      <xdr:nvCxnSpPr>
        <xdr:cNvPr id="3188" name="Elbow Connector 55">
          <a:extLst>
            <a:ext uri="{FF2B5EF4-FFF2-40B4-BE49-F238E27FC236}">
              <a16:creationId xmlns:a16="http://schemas.microsoft.com/office/drawing/2014/main" id="{04024487-273E-4109-ADDC-16A4B0A79D3D}"/>
            </a:ext>
          </a:extLst>
        </xdr:cNvPr>
        <xdr:cNvCxnSpPr/>
      </xdr:nvCxnSpPr>
      <xdr:spPr>
        <a:xfrm rot="16200000" flipH="1">
          <a:off x="11428056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146538</xdr:colOff>
      <xdr:row>111</xdr:row>
      <xdr:rowOff>104670</xdr:rowOff>
    </xdr:from>
    <xdr:to>
      <xdr:col>38</xdr:col>
      <xdr:colOff>210383</xdr:colOff>
      <xdr:row>112</xdr:row>
      <xdr:rowOff>141002</xdr:rowOff>
    </xdr:to>
    <xdr:cxnSp macro="">
      <xdr:nvCxnSpPr>
        <xdr:cNvPr id="3189" name="Elbow Connector 55">
          <a:extLst>
            <a:ext uri="{FF2B5EF4-FFF2-40B4-BE49-F238E27FC236}">
              <a16:creationId xmlns:a16="http://schemas.microsoft.com/office/drawing/2014/main" id="{2790489B-3A2A-4219-B4CE-DFF7C992DC6F}"/>
            </a:ext>
          </a:extLst>
        </xdr:cNvPr>
        <xdr:cNvCxnSpPr/>
      </xdr:nvCxnSpPr>
      <xdr:spPr>
        <a:xfrm rot="16200000" flipH="1">
          <a:off x="12066545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146538</xdr:colOff>
      <xdr:row>111</xdr:row>
      <xdr:rowOff>83736</xdr:rowOff>
    </xdr:from>
    <xdr:to>
      <xdr:col>40</xdr:col>
      <xdr:colOff>210383</xdr:colOff>
      <xdr:row>112</xdr:row>
      <xdr:rowOff>120068</xdr:rowOff>
    </xdr:to>
    <xdr:cxnSp macro="">
      <xdr:nvCxnSpPr>
        <xdr:cNvPr id="3190" name="Elbow Connector 55">
          <a:extLst>
            <a:ext uri="{FF2B5EF4-FFF2-40B4-BE49-F238E27FC236}">
              <a16:creationId xmlns:a16="http://schemas.microsoft.com/office/drawing/2014/main" id="{23D7BCF5-AEB9-46C7-904B-4CDF2D8B214B}"/>
            </a:ext>
          </a:extLst>
        </xdr:cNvPr>
        <xdr:cNvCxnSpPr/>
      </xdr:nvCxnSpPr>
      <xdr:spPr>
        <a:xfrm rot="16200000" flipH="1">
          <a:off x="12694567" y="22045515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157005</xdr:colOff>
      <xdr:row>111</xdr:row>
      <xdr:rowOff>104670</xdr:rowOff>
    </xdr:from>
    <xdr:to>
      <xdr:col>42</xdr:col>
      <xdr:colOff>220850</xdr:colOff>
      <xdr:row>112</xdr:row>
      <xdr:rowOff>141002</xdr:rowOff>
    </xdr:to>
    <xdr:cxnSp macro="">
      <xdr:nvCxnSpPr>
        <xdr:cNvPr id="3191" name="Elbow Connector 55">
          <a:extLst>
            <a:ext uri="{FF2B5EF4-FFF2-40B4-BE49-F238E27FC236}">
              <a16:creationId xmlns:a16="http://schemas.microsoft.com/office/drawing/2014/main" id="{3C175CF8-F923-46CC-8707-CDC2BEB70D31}"/>
            </a:ext>
          </a:extLst>
        </xdr:cNvPr>
        <xdr:cNvCxnSpPr/>
      </xdr:nvCxnSpPr>
      <xdr:spPr>
        <a:xfrm rot="16200000" flipH="1">
          <a:off x="13333056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96967</xdr:colOff>
      <xdr:row>85</xdr:row>
      <xdr:rowOff>4870</xdr:rowOff>
    </xdr:from>
    <xdr:to>
      <xdr:col>38</xdr:col>
      <xdr:colOff>238515</xdr:colOff>
      <xdr:row>85</xdr:row>
      <xdr:rowOff>176199</xdr:rowOff>
    </xdr:to>
    <xdr:sp macro="" textlink="">
      <xdr:nvSpPr>
        <xdr:cNvPr id="3192" name="6-Point Star 717">
          <a:extLst>
            <a:ext uri="{FF2B5EF4-FFF2-40B4-BE49-F238E27FC236}">
              <a16:creationId xmlns:a16="http://schemas.microsoft.com/office/drawing/2014/main" id="{5D1CCB74-5F6F-4096-A44C-968AB31E8A2E}"/>
            </a:ext>
          </a:extLst>
        </xdr:cNvPr>
        <xdr:cNvSpPr/>
      </xdr:nvSpPr>
      <xdr:spPr>
        <a:xfrm>
          <a:off x="12843269" y="16971276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117899</xdr:colOff>
      <xdr:row>85</xdr:row>
      <xdr:rowOff>32419</xdr:rowOff>
    </xdr:from>
    <xdr:to>
      <xdr:col>44</xdr:col>
      <xdr:colOff>259447</xdr:colOff>
      <xdr:row>86</xdr:row>
      <xdr:rowOff>11925</xdr:rowOff>
    </xdr:to>
    <xdr:sp macro="" textlink="">
      <xdr:nvSpPr>
        <xdr:cNvPr id="3193" name="6-Point Star 717">
          <a:extLst>
            <a:ext uri="{FF2B5EF4-FFF2-40B4-BE49-F238E27FC236}">
              <a16:creationId xmlns:a16="http://schemas.microsoft.com/office/drawing/2014/main" id="{92AC48D2-261B-4FE1-AC50-BB70D7217EA1}"/>
            </a:ext>
          </a:extLst>
        </xdr:cNvPr>
        <xdr:cNvSpPr/>
      </xdr:nvSpPr>
      <xdr:spPr>
        <a:xfrm>
          <a:off x="14901493" y="16998825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104670</xdr:colOff>
      <xdr:row>92</xdr:row>
      <xdr:rowOff>175696</xdr:rowOff>
    </xdr:from>
    <xdr:to>
      <xdr:col>6</xdr:col>
      <xdr:colOff>246218</xdr:colOff>
      <xdr:row>93</xdr:row>
      <xdr:rowOff>155202</xdr:rowOff>
    </xdr:to>
    <xdr:sp macro="" textlink="">
      <xdr:nvSpPr>
        <xdr:cNvPr id="3194" name="6-Point Star 717">
          <a:extLst>
            <a:ext uri="{FF2B5EF4-FFF2-40B4-BE49-F238E27FC236}">
              <a16:creationId xmlns:a16="http://schemas.microsoft.com/office/drawing/2014/main" id="{B61DEA73-A3D1-4D97-80A0-79037D7FD5F6}"/>
            </a:ext>
          </a:extLst>
        </xdr:cNvPr>
        <xdr:cNvSpPr/>
      </xdr:nvSpPr>
      <xdr:spPr>
        <a:xfrm>
          <a:off x="1815282" y="1875916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104669</xdr:colOff>
      <xdr:row>84</xdr:row>
      <xdr:rowOff>167472</xdr:rowOff>
    </xdr:from>
    <xdr:to>
      <xdr:col>36</xdr:col>
      <xdr:colOff>246217</xdr:colOff>
      <xdr:row>85</xdr:row>
      <xdr:rowOff>146978</xdr:rowOff>
    </xdr:to>
    <xdr:sp macro="" textlink="">
      <xdr:nvSpPr>
        <xdr:cNvPr id="3195" name="6-Point Star 717">
          <a:extLst>
            <a:ext uri="{FF2B5EF4-FFF2-40B4-BE49-F238E27FC236}">
              <a16:creationId xmlns:a16="http://schemas.microsoft.com/office/drawing/2014/main" id="{76DFD455-EE47-4B79-A02C-3BD0C177E9B3}"/>
            </a:ext>
          </a:extLst>
        </xdr:cNvPr>
        <xdr:cNvSpPr/>
      </xdr:nvSpPr>
      <xdr:spPr>
        <a:xfrm>
          <a:off x="11482334" y="16705384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83736</xdr:colOff>
      <xdr:row>85</xdr:row>
      <xdr:rowOff>21955</xdr:rowOff>
    </xdr:from>
    <xdr:to>
      <xdr:col>42</xdr:col>
      <xdr:colOff>225284</xdr:colOff>
      <xdr:row>86</xdr:row>
      <xdr:rowOff>1461</xdr:rowOff>
    </xdr:to>
    <xdr:sp macro="" textlink="">
      <xdr:nvSpPr>
        <xdr:cNvPr id="3196" name="6-Point Star 717">
          <a:extLst>
            <a:ext uri="{FF2B5EF4-FFF2-40B4-BE49-F238E27FC236}">
              <a16:creationId xmlns:a16="http://schemas.microsoft.com/office/drawing/2014/main" id="{45EDCD2E-5D69-4F33-840E-C64D27EC2248}"/>
            </a:ext>
          </a:extLst>
        </xdr:cNvPr>
        <xdr:cNvSpPr/>
      </xdr:nvSpPr>
      <xdr:spPr>
        <a:xfrm>
          <a:off x="14152955" y="16988361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83736</xdr:colOff>
      <xdr:row>85</xdr:row>
      <xdr:rowOff>1021</xdr:rowOff>
    </xdr:from>
    <xdr:to>
      <xdr:col>40</xdr:col>
      <xdr:colOff>225284</xdr:colOff>
      <xdr:row>85</xdr:row>
      <xdr:rowOff>172350</xdr:rowOff>
    </xdr:to>
    <xdr:sp macro="" textlink="">
      <xdr:nvSpPr>
        <xdr:cNvPr id="3197" name="6-Point Star 717">
          <a:extLst>
            <a:ext uri="{FF2B5EF4-FFF2-40B4-BE49-F238E27FC236}">
              <a16:creationId xmlns:a16="http://schemas.microsoft.com/office/drawing/2014/main" id="{ED147B63-A47B-426B-86ED-4050A31187D6}"/>
            </a:ext>
          </a:extLst>
        </xdr:cNvPr>
        <xdr:cNvSpPr/>
      </xdr:nvSpPr>
      <xdr:spPr>
        <a:xfrm>
          <a:off x="13524569" y="16967427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83736</xdr:colOff>
      <xdr:row>92</xdr:row>
      <xdr:rowOff>136072</xdr:rowOff>
    </xdr:from>
    <xdr:to>
      <xdr:col>4</xdr:col>
      <xdr:colOff>225284</xdr:colOff>
      <xdr:row>93</xdr:row>
      <xdr:rowOff>115578</xdr:rowOff>
    </xdr:to>
    <xdr:sp macro="" textlink="">
      <xdr:nvSpPr>
        <xdr:cNvPr id="3199" name="6-Point Star 717">
          <a:extLst>
            <a:ext uri="{FF2B5EF4-FFF2-40B4-BE49-F238E27FC236}">
              <a16:creationId xmlns:a16="http://schemas.microsoft.com/office/drawing/2014/main" id="{3CDEA689-EBA5-4A55-9799-0B4BCC153599}"/>
            </a:ext>
          </a:extLst>
        </xdr:cNvPr>
        <xdr:cNvSpPr/>
      </xdr:nvSpPr>
      <xdr:spPr>
        <a:xfrm>
          <a:off x="1235110" y="18254506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15</xdr:col>
      <xdr:colOff>104670</xdr:colOff>
      <xdr:row>154</xdr:row>
      <xdr:rowOff>10467</xdr:rowOff>
    </xdr:from>
    <xdr:to>
      <xdr:col>21</xdr:col>
      <xdr:colOff>219808</xdr:colOff>
      <xdr:row>160</xdr:row>
      <xdr:rowOff>126352</xdr:rowOff>
    </xdr:to>
    <xdr:sp macro="" textlink="">
      <xdr:nvSpPr>
        <xdr:cNvPr id="3200" name="Arrow: Right 319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63FE4AA-5081-9A8E-AE91-0DAB483EE7FF}"/>
            </a:ext>
          </a:extLst>
        </xdr:cNvPr>
        <xdr:cNvSpPr/>
      </xdr:nvSpPr>
      <xdr:spPr>
        <a:xfrm>
          <a:off x="4876889" y="30645977"/>
          <a:ext cx="2049297" cy="1136421"/>
        </a:xfrm>
        <a:prstGeom prst="rightArrow">
          <a:avLst/>
        </a:prstGeom>
        <a:solidFill>
          <a:srgbClr val="00FFCC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kern="1200"/>
        </a:p>
      </xdr:txBody>
    </xdr:sp>
    <xdr:clientData/>
  </xdr:twoCellAnchor>
  <xdr:twoCellAnchor>
    <xdr:from>
      <xdr:col>15</xdr:col>
      <xdr:colOff>230273</xdr:colOff>
      <xdr:row>156</xdr:row>
      <xdr:rowOff>38877</xdr:rowOff>
    </xdr:from>
    <xdr:to>
      <xdr:col>20</xdr:col>
      <xdr:colOff>272142</xdr:colOff>
      <xdr:row>158</xdr:row>
      <xdr:rowOff>29158</xdr:rowOff>
    </xdr:to>
    <xdr:sp macro="" textlink="">
      <xdr:nvSpPr>
        <xdr:cNvPr id="3201" name="TextBox 3200">
          <a:extLst>
            <a:ext uri="{FF2B5EF4-FFF2-40B4-BE49-F238E27FC236}">
              <a16:creationId xmlns:a16="http://schemas.microsoft.com/office/drawing/2014/main" id="{BB2FBE61-9C8E-F526-0AE5-216C5D823C02}"/>
            </a:ext>
          </a:extLst>
        </xdr:cNvPr>
        <xdr:cNvSpPr txBox="1"/>
      </xdr:nvSpPr>
      <xdr:spPr>
        <a:xfrm>
          <a:off x="5002492" y="31004846"/>
          <a:ext cx="1635849" cy="349899"/>
        </a:xfrm>
        <a:prstGeom prst="rect">
          <a:avLst/>
        </a:prstGeom>
        <a:solidFill>
          <a:srgbClr val="00FFC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400" kern="1200"/>
            <a:t>Location</a:t>
          </a:r>
          <a:r>
            <a:rPr lang="en-IN" sz="1400" kern="1200" baseline="0"/>
            <a:t> Summary</a:t>
          </a:r>
          <a:endParaRPr lang="en-IN" sz="1400" kern="1200"/>
        </a:p>
      </xdr:txBody>
    </xdr:sp>
    <xdr:clientData/>
  </xdr:twoCellAnchor>
  <xdr:twoCellAnchor>
    <xdr:from>
      <xdr:col>8</xdr:col>
      <xdr:colOff>86143</xdr:colOff>
      <xdr:row>92</xdr:row>
      <xdr:rowOff>173856</xdr:rowOff>
    </xdr:from>
    <xdr:to>
      <xdr:col>8</xdr:col>
      <xdr:colOff>227691</xdr:colOff>
      <xdr:row>93</xdr:row>
      <xdr:rowOff>153362</xdr:rowOff>
    </xdr:to>
    <xdr:sp macro="" textlink="">
      <xdr:nvSpPr>
        <xdr:cNvPr id="3202" name="6-Point Star 717">
          <a:extLst>
            <a:ext uri="{FF2B5EF4-FFF2-40B4-BE49-F238E27FC236}">
              <a16:creationId xmlns:a16="http://schemas.microsoft.com/office/drawing/2014/main" id="{6CBFDDB3-35E2-4B79-B394-D68A01A87925}"/>
            </a:ext>
          </a:extLst>
        </xdr:cNvPr>
        <xdr:cNvSpPr/>
      </xdr:nvSpPr>
      <xdr:spPr>
        <a:xfrm>
          <a:off x="2524962" y="18292290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83736</xdr:colOff>
      <xdr:row>92</xdr:row>
      <xdr:rowOff>165228</xdr:rowOff>
    </xdr:from>
    <xdr:to>
      <xdr:col>10</xdr:col>
      <xdr:colOff>225284</xdr:colOff>
      <xdr:row>93</xdr:row>
      <xdr:rowOff>144734</xdr:rowOff>
    </xdr:to>
    <xdr:sp macro="" textlink="">
      <xdr:nvSpPr>
        <xdr:cNvPr id="3203" name="6-Point Star 717">
          <a:extLst>
            <a:ext uri="{FF2B5EF4-FFF2-40B4-BE49-F238E27FC236}">
              <a16:creationId xmlns:a16="http://schemas.microsoft.com/office/drawing/2014/main" id="{B19ACDA7-23E3-441F-9A63-8EE34C98056E}"/>
            </a:ext>
          </a:extLst>
        </xdr:cNvPr>
        <xdr:cNvSpPr/>
      </xdr:nvSpPr>
      <xdr:spPr>
        <a:xfrm>
          <a:off x="3164782" y="1874869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106491</xdr:colOff>
      <xdr:row>84</xdr:row>
      <xdr:rowOff>157174</xdr:rowOff>
    </xdr:from>
    <xdr:to>
      <xdr:col>34</xdr:col>
      <xdr:colOff>248039</xdr:colOff>
      <xdr:row>85</xdr:row>
      <xdr:rowOff>136680</xdr:rowOff>
    </xdr:to>
    <xdr:sp macro="" textlink="">
      <xdr:nvSpPr>
        <xdr:cNvPr id="3204" name="6-Point Star 717">
          <a:extLst>
            <a:ext uri="{FF2B5EF4-FFF2-40B4-BE49-F238E27FC236}">
              <a16:creationId xmlns:a16="http://schemas.microsoft.com/office/drawing/2014/main" id="{15079DE0-5CDE-418E-81F2-C2FAF2595EC9}"/>
            </a:ext>
          </a:extLst>
        </xdr:cNvPr>
        <xdr:cNvSpPr/>
      </xdr:nvSpPr>
      <xdr:spPr>
        <a:xfrm>
          <a:off x="11483574" y="16931757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119603</xdr:colOff>
      <xdr:row>92</xdr:row>
      <xdr:rowOff>174951</xdr:rowOff>
    </xdr:from>
    <xdr:to>
      <xdr:col>14</xdr:col>
      <xdr:colOff>261151</xdr:colOff>
      <xdr:row>93</xdr:row>
      <xdr:rowOff>154457</xdr:rowOff>
    </xdr:to>
    <xdr:sp macro="" textlink="">
      <xdr:nvSpPr>
        <xdr:cNvPr id="3205" name="6-Point Star 717">
          <a:extLst>
            <a:ext uri="{FF2B5EF4-FFF2-40B4-BE49-F238E27FC236}">
              <a16:creationId xmlns:a16="http://schemas.microsoft.com/office/drawing/2014/main" id="{DD8E73A1-E7E4-4E32-96E9-ED3A59E4B7A7}"/>
            </a:ext>
          </a:extLst>
        </xdr:cNvPr>
        <xdr:cNvSpPr/>
      </xdr:nvSpPr>
      <xdr:spPr>
        <a:xfrm>
          <a:off x="4726593" y="18246533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104670</xdr:colOff>
      <xdr:row>92</xdr:row>
      <xdr:rowOff>157005</xdr:rowOff>
    </xdr:from>
    <xdr:to>
      <xdr:col>22</xdr:col>
      <xdr:colOff>246218</xdr:colOff>
      <xdr:row>93</xdr:row>
      <xdr:rowOff>136511</xdr:rowOff>
    </xdr:to>
    <xdr:sp macro="" textlink="">
      <xdr:nvSpPr>
        <xdr:cNvPr id="3206" name="6-Point Star 717">
          <a:extLst>
            <a:ext uri="{FF2B5EF4-FFF2-40B4-BE49-F238E27FC236}">
              <a16:creationId xmlns:a16="http://schemas.microsoft.com/office/drawing/2014/main" id="{E1652C42-B4B2-4B28-81B9-29E2D8867465}"/>
            </a:ext>
          </a:extLst>
        </xdr:cNvPr>
        <xdr:cNvSpPr/>
      </xdr:nvSpPr>
      <xdr:spPr>
        <a:xfrm>
          <a:off x="7023379" y="18275439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111149</xdr:colOff>
      <xdr:row>92</xdr:row>
      <xdr:rowOff>150525</xdr:rowOff>
    </xdr:from>
    <xdr:to>
      <xdr:col>26</xdr:col>
      <xdr:colOff>252697</xdr:colOff>
      <xdr:row>93</xdr:row>
      <xdr:rowOff>130031</xdr:rowOff>
    </xdr:to>
    <xdr:sp macro="" textlink="">
      <xdr:nvSpPr>
        <xdr:cNvPr id="3198" name="6-Point Star 717">
          <a:extLst>
            <a:ext uri="{FF2B5EF4-FFF2-40B4-BE49-F238E27FC236}">
              <a16:creationId xmlns:a16="http://schemas.microsoft.com/office/drawing/2014/main" id="{334D4DEC-A958-4C1C-853E-E493B45FE737}"/>
            </a:ext>
          </a:extLst>
        </xdr:cNvPr>
        <xdr:cNvSpPr/>
      </xdr:nvSpPr>
      <xdr:spPr>
        <a:xfrm>
          <a:off x="8787322" y="18222107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115138</xdr:colOff>
      <xdr:row>84</xdr:row>
      <xdr:rowOff>167472</xdr:rowOff>
    </xdr:from>
    <xdr:to>
      <xdr:col>32</xdr:col>
      <xdr:colOff>256686</xdr:colOff>
      <xdr:row>85</xdr:row>
      <xdr:rowOff>146978</xdr:rowOff>
    </xdr:to>
    <xdr:sp macro="" textlink="">
      <xdr:nvSpPr>
        <xdr:cNvPr id="3207" name="6-Point Star 717">
          <a:extLst>
            <a:ext uri="{FF2B5EF4-FFF2-40B4-BE49-F238E27FC236}">
              <a16:creationId xmlns:a16="http://schemas.microsoft.com/office/drawing/2014/main" id="{BB544F34-98D9-4FAF-8A57-1659F4CB65BD}"/>
            </a:ext>
          </a:extLst>
        </xdr:cNvPr>
        <xdr:cNvSpPr/>
      </xdr:nvSpPr>
      <xdr:spPr>
        <a:xfrm>
          <a:off x="10795379" y="16922291"/>
          <a:ext cx="141548" cy="170771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104670</xdr:colOff>
      <xdr:row>92</xdr:row>
      <xdr:rowOff>146538</xdr:rowOff>
    </xdr:from>
    <xdr:to>
      <xdr:col>28</xdr:col>
      <xdr:colOff>246218</xdr:colOff>
      <xdr:row>93</xdr:row>
      <xdr:rowOff>126044</xdr:rowOff>
    </xdr:to>
    <xdr:sp macro="" textlink="">
      <xdr:nvSpPr>
        <xdr:cNvPr id="3208" name="6-Point Star 717">
          <a:extLst>
            <a:ext uri="{FF2B5EF4-FFF2-40B4-BE49-F238E27FC236}">
              <a16:creationId xmlns:a16="http://schemas.microsoft.com/office/drawing/2014/main" id="{FA1E8C8F-FB6F-49D5-B66B-789CB54D4F7B}"/>
            </a:ext>
          </a:extLst>
        </xdr:cNvPr>
        <xdr:cNvSpPr/>
      </xdr:nvSpPr>
      <xdr:spPr>
        <a:xfrm>
          <a:off x="8938846" y="18264972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104670</xdr:colOff>
      <xdr:row>92</xdr:row>
      <xdr:rowOff>125604</xdr:rowOff>
    </xdr:from>
    <xdr:to>
      <xdr:col>2</xdr:col>
      <xdr:colOff>246218</xdr:colOff>
      <xdr:row>93</xdr:row>
      <xdr:rowOff>105110</xdr:rowOff>
    </xdr:to>
    <xdr:sp macro="" textlink="">
      <xdr:nvSpPr>
        <xdr:cNvPr id="3209" name="6-Point Star 717">
          <a:extLst>
            <a:ext uri="{FF2B5EF4-FFF2-40B4-BE49-F238E27FC236}">
              <a16:creationId xmlns:a16="http://schemas.microsoft.com/office/drawing/2014/main" id="{2762F447-7FA9-46D9-A123-EF69EFC75A90}"/>
            </a:ext>
          </a:extLst>
        </xdr:cNvPr>
        <xdr:cNvSpPr/>
      </xdr:nvSpPr>
      <xdr:spPr>
        <a:xfrm>
          <a:off x="628022" y="18244038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143034</xdr:colOff>
      <xdr:row>68</xdr:row>
      <xdr:rowOff>139924</xdr:rowOff>
    </xdr:from>
    <xdr:to>
      <xdr:col>16</xdr:col>
      <xdr:colOff>284582</xdr:colOff>
      <xdr:row>69</xdr:row>
      <xdr:rowOff>119430</xdr:rowOff>
    </xdr:to>
    <xdr:sp macro="" textlink="">
      <xdr:nvSpPr>
        <xdr:cNvPr id="3211" name="6-Point Star 717">
          <a:extLst>
            <a:ext uri="{FF2B5EF4-FFF2-40B4-BE49-F238E27FC236}">
              <a16:creationId xmlns:a16="http://schemas.microsoft.com/office/drawing/2014/main" id="{FC83305A-420E-4F1B-8EF3-A6042DC9C131}"/>
            </a:ext>
          </a:extLst>
        </xdr:cNvPr>
        <xdr:cNvSpPr/>
      </xdr:nvSpPr>
      <xdr:spPr>
        <a:xfrm>
          <a:off x="5441315" y="13726278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113253</xdr:colOff>
      <xdr:row>68</xdr:row>
      <xdr:rowOff>125604</xdr:rowOff>
    </xdr:from>
    <xdr:to>
      <xdr:col>14</xdr:col>
      <xdr:colOff>254801</xdr:colOff>
      <xdr:row>69</xdr:row>
      <xdr:rowOff>105110</xdr:rowOff>
    </xdr:to>
    <xdr:sp macro="" textlink="">
      <xdr:nvSpPr>
        <xdr:cNvPr id="3212" name="6-Point Star 717">
          <a:extLst>
            <a:ext uri="{FF2B5EF4-FFF2-40B4-BE49-F238E27FC236}">
              <a16:creationId xmlns:a16="http://schemas.microsoft.com/office/drawing/2014/main" id="{1341D660-65B9-49CB-A9CA-BDF2C17E1959}"/>
            </a:ext>
          </a:extLst>
        </xdr:cNvPr>
        <xdr:cNvSpPr/>
      </xdr:nvSpPr>
      <xdr:spPr>
        <a:xfrm>
          <a:off x="4710653" y="1365745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105830</xdr:colOff>
      <xdr:row>68</xdr:row>
      <xdr:rowOff>140174</xdr:rowOff>
    </xdr:from>
    <xdr:to>
      <xdr:col>18</xdr:col>
      <xdr:colOff>247378</xdr:colOff>
      <xdr:row>69</xdr:row>
      <xdr:rowOff>119680</xdr:rowOff>
    </xdr:to>
    <xdr:sp macro="" textlink="">
      <xdr:nvSpPr>
        <xdr:cNvPr id="3213" name="6-Point Star 717">
          <a:extLst>
            <a:ext uri="{FF2B5EF4-FFF2-40B4-BE49-F238E27FC236}">
              <a16:creationId xmlns:a16="http://schemas.microsoft.com/office/drawing/2014/main" id="{99F8F423-5AA7-4BFA-B0A2-79305CFD8975}"/>
            </a:ext>
          </a:extLst>
        </xdr:cNvPr>
        <xdr:cNvSpPr/>
      </xdr:nvSpPr>
      <xdr:spPr>
        <a:xfrm>
          <a:off x="5937463" y="1388338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105830</xdr:colOff>
      <xdr:row>68</xdr:row>
      <xdr:rowOff>119871</xdr:rowOff>
    </xdr:from>
    <xdr:to>
      <xdr:col>22</xdr:col>
      <xdr:colOff>247378</xdr:colOff>
      <xdr:row>69</xdr:row>
      <xdr:rowOff>99377</xdr:rowOff>
    </xdr:to>
    <xdr:sp macro="" textlink="">
      <xdr:nvSpPr>
        <xdr:cNvPr id="3214" name="6-Point Star 717">
          <a:extLst>
            <a:ext uri="{FF2B5EF4-FFF2-40B4-BE49-F238E27FC236}">
              <a16:creationId xmlns:a16="http://schemas.microsoft.com/office/drawing/2014/main" id="{6A6BC044-0DC4-45BA-B273-3D8EF073316B}"/>
            </a:ext>
          </a:extLst>
        </xdr:cNvPr>
        <xdr:cNvSpPr/>
      </xdr:nvSpPr>
      <xdr:spPr>
        <a:xfrm>
          <a:off x="7181544" y="1386308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105832</xdr:colOff>
      <xdr:row>68</xdr:row>
      <xdr:rowOff>169332</xdr:rowOff>
    </xdr:from>
    <xdr:to>
      <xdr:col>24</xdr:col>
      <xdr:colOff>247380</xdr:colOff>
      <xdr:row>69</xdr:row>
      <xdr:rowOff>148838</xdr:rowOff>
    </xdr:to>
    <xdr:sp macro="" textlink="">
      <xdr:nvSpPr>
        <xdr:cNvPr id="3215" name="6-Point Star 717">
          <a:extLst>
            <a:ext uri="{FF2B5EF4-FFF2-40B4-BE49-F238E27FC236}">
              <a16:creationId xmlns:a16="http://schemas.microsoft.com/office/drawing/2014/main" id="{253E1E35-074F-4C30-8C23-52EDEB8BA560}"/>
            </a:ext>
          </a:extLst>
        </xdr:cNvPr>
        <xdr:cNvSpPr/>
      </xdr:nvSpPr>
      <xdr:spPr>
        <a:xfrm>
          <a:off x="7619999" y="13620749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105833</xdr:colOff>
      <xdr:row>68</xdr:row>
      <xdr:rowOff>158749</xdr:rowOff>
    </xdr:from>
    <xdr:to>
      <xdr:col>32</xdr:col>
      <xdr:colOff>247381</xdr:colOff>
      <xdr:row>69</xdr:row>
      <xdr:rowOff>138255</xdr:rowOff>
    </xdr:to>
    <xdr:sp macro="" textlink="">
      <xdr:nvSpPr>
        <xdr:cNvPr id="3216" name="6-Point Star 717">
          <a:extLst>
            <a:ext uri="{FF2B5EF4-FFF2-40B4-BE49-F238E27FC236}">
              <a16:creationId xmlns:a16="http://schemas.microsoft.com/office/drawing/2014/main" id="{8267435D-F680-474D-B09B-34A6EC592693}"/>
            </a:ext>
          </a:extLst>
        </xdr:cNvPr>
        <xdr:cNvSpPr/>
      </xdr:nvSpPr>
      <xdr:spPr>
        <a:xfrm>
          <a:off x="10181166" y="13610166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137583</xdr:colOff>
      <xdr:row>68</xdr:row>
      <xdr:rowOff>158748</xdr:rowOff>
    </xdr:from>
    <xdr:to>
      <xdr:col>36</xdr:col>
      <xdr:colOff>279131</xdr:colOff>
      <xdr:row>69</xdr:row>
      <xdr:rowOff>138254</xdr:rowOff>
    </xdr:to>
    <xdr:sp macro="" textlink="">
      <xdr:nvSpPr>
        <xdr:cNvPr id="3217" name="6-Point Star 717">
          <a:extLst>
            <a:ext uri="{FF2B5EF4-FFF2-40B4-BE49-F238E27FC236}">
              <a16:creationId xmlns:a16="http://schemas.microsoft.com/office/drawing/2014/main" id="{1BA982EE-0B8C-4D86-A16A-EB17623063EF}"/>
            </a:ext>
          </a:extLst>
        </xdr:cNvPr>
        <xdr:cNvSpPr/>
      </xdr:nvSpPr>
      <xdr:spPr>
        <a:xfrm>
          <a:off x="11461750" y="1361016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169333</xdr:colOff>
      <xdr:row>87</xdr:row>
      <xdr:rowOff>158748</xdr:rowOff>
    </xdr:from>
    <xdr:to>
      <xdr:col>20</xdr:col>
      <xdr:colOff>245141</xdr:colOff>
      <xdr:row>89</xdr:row>
      <xdr:rowOff>18786</xdr:rowOff>
    </xdr:to>
    <xdr:cxnSp macro="">
      <xdr:nvCxnSpPr>
        <xdr:cNvPr id="3218" name="Elbow Connector 55">
          <a:extLst>
            <a:ext uri="{FF2B5EF4-FFF2-40B4-BE49-F238E27FC236}">
              <a16:creationId xmlns:a16="http://schemas.microsoft.com/office/drawing/2014/main" id="{4CF0B8AE-192C-46AD-9B0D-1632B5C50B4B}"/>
            </a:ext>
          </a:extLst>
        </xdr:cNvPr>
        <xdr:cNvCxnSpPr/>
      </xdr:nvCxnSpPr>
      <xdr:spPr>
        <a:xfrm rot="16200000" flipH="1">
          <a:off x="6320301" y="1747103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158748</xdr:colOff>
      <xdr:row>87</xdr:row>
      <xdr:rowOff>137582</xdr:rowOff>
    </xdr:from>
    <xdr:to>
      <xdr:col>26</xdr:col>
      <xdr:colOff>234556</xdr:colOff>
      <xdr:row>88</xdr:row>
      <xdr:rowOff>188120</xdr:rowOff>
    </xdr:to>
    <xdr:cxnSp macro="">
      <xdr:nvCxnSpPr>
        <xdr:cNvPr id="3219" name="Elbow Connector 55">
          <a:extLst>
            <a:ext uri="{FF2B5EF4-FFF2-40B4-BE49-F238E27FC236}">
              <a16:creationId xmlns:a16="http://schemas.microsoft.com/office/drawing/2014/main" id="{8D453446-A153-4213-AE4E-9F5E6F47D17C}"/>
            </a:ext>
          </a:extLst>
        </xdr:cNvPr>
        <xdr:cNvCxnSpPr/>
      </xdr:nvCxnSpPr>
      <xdr:spPr>
        <a:xfrm rot="16200000" flipH="1">
          <a:off x="8182966" y="17449864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137584</xdr:colOff>
      <xdr:row>87</xdr:row>
      <xdr:rowOff>105832</xdr:rowOff>
    </xdr:from>
    <xdr:to>
      <xdr:col>28</xdr:col>
      <xdr:colOff>213392</xdr:colOff>
      <xdr:row>88</xdr:row>
      <xdr:rowOff>156370</xdr:rowOff>
    </xdr:to>
    <xdr:cxnSp macro="">
      <xdr:nvCxnSpPr>
        <xdr:cNvPr id="3220" name="Elbow Connector 55">
          <a:extLst>
            <a:ext uri="{FF2B5EF4-FFF2-40B4-BE49-F238E27FC236}">
              <a16:creationId xmlns:a16="http://schemas.microsoft.com/office/drawing/2014/main" id="{864E68E7-DC17-4C75-A0FC-AB4AC0FA33DC}"/>
            </a:ext>
          </a:extLst>
        </xdr:cNvPr>
        <xdr:cNvCxnSpPr/>
      </xdr:nvCxnSpPr>
      <xdr:spPr>
        <a:xfrm rot="16200000" flipH="1">
          <a:off x="8817969" y="17418114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137579</xdr:colOff>
      <xdr:row>87</xdr:row>
      <xdr:rowOff>95248</xdr:rowOff>
    </xdr:from>
    <xdr:to>
      <xdr:col>30</xdr:col>
      <xdr:colOff>213387</xdr:colOff>
      <xdr:row>88</xdr:row>
      <xdr:rowOff>145786</xdr:rowOff>
    </xdr:to>
    <xdr:cxnSp macro="">
      <xdr:nvCxnSpPr>
        <xdr:cNvPr id="3221" name="Elbow Connector 55">
          <a:extLst>
            <a:ext uri="{FF2B5EF4-FFF2-40B4-BE49-F238E27FC236}">
              <a16:creationId xmlns:a16="http://schemas.microsoft.com/office/drawing/2014/main" id="{4BDE93A8-76F4-48EA-B768-B879BB78D883}"/>
            </a:ext>
          </a:extLst>
        </xdr:cNvPr>
        <xdr:cNvCxnSpPr/>
      </xdr:nvCxnSpPr>
      <xdr:spPr>
        <a:xfrm rot="16200000" flipH="1">
          <a:off x="9442381" y="1740753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116416</xdr:colOff>
      <xdr:row>95</xdr:row>
      <xdr:rowOff>84666</xdr:rowOff>
    </xdr:from>
    <xdr:to>
      <xdr:col>2</xdr:col>
      <xdr:colOff>192224</xdr:colOff>
      <xdr:row>96</xdr:row>
      <xdr:rowOff>135204</xdr:rowOff>
    </xdr:to>
    <xdr:cxnSp macro="">
      <xdr:nvCxnSpPr>
        <xdr:cNvPr id="3222" name="Elbow Connector 55">
          <a:extLst>
            <a:ext uri="{FF2B5EF4-FFF2-40B4-BE49-F238E27FC236}">
              <a16:creationId xmlns:a16="http://schemas.microsoft.com/office/drawing/2014/main" id="{B97AB3BB-3372-4625-944E-2801EA0F6691}"/>
            </a:ext>
          </a:extLst>
        </xdr:cNvPr>
        <xdr:cNvCxnSpPr/>
      </xdr:nvCxnSpPr>
      <xdr:spPr>
        <a:xfrm rot="16200000" flipH="1">
          <a:off x="531218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126998</xdr:colOff>
      <xdr:row>95</xdr:row>
      <xdr:rowOff>84664</xdr:rowOff>
    </xdr:from>
    <xdr:to>
      <xdr:col>12</xdr:col>
      <xdr:colOff>202806</xdr:colOff>
      <xdr:row>96</xdr:row>
      <xdr:rowOff>135202</xdr:rowOff>
    </xdr:to>
    <xdr:cxnSp macro="">
      <xdr:nvCxnSpPr>
        <xdr:cNvPr id="3223" name="Elbow Connector 55">
          <a:extLst>
            <a:ext uri="{FF2B5EF4-FFF2-40B4-BE49-F238E27FC236}">
              <a16:creationId xmlns:a16="http://schemas.microsoft.com/office/drawing/2014/main" id="{911F3089-FDC2-4440-BA13-A67571AC6BC6}"/>
            </a:ext>
          </a:extLst>
        </xdr:cNvPr>
        <xdr:cNvCxnSpPr/>
      </xdr:nvCxnSpPr>
      <xdr:spPr>
        <a:xfrm rot="16200000" flipH="1">
          <a:off x="3695633" y="18984446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137583</xdr:colOff>
      <xdr:row>71</xdr:row>
      <xdr:rowOff>63499</xdr:rowOff>
    </xdr:from>
    <xdr:to>
      <xdr:col>34</xdr:col>
      <xdr:colOff>213391</xdr:colOff>
      <xdr:row>72</xdr:row>
      <xdr:rowOff>114037</xdr:rowOff>
    </xdr:to>
    <xdr:cxnSp macro="">
      <xdr:nvCxnSpPr>
        <xdr:cNvPr id="3224" name="Elbow Connector 55">
          <a:extLst>
            <a:ext uri="{FF2B5EF4-FFF2-40B4-BE49-F238E27FC236}">
              <a16:creationId xmlns:a16="http://schemas.microsoft.com/office/drawing/2014/main" id="{600CD042-898B-4083-9F07-7BD6533E8487}"/>
            </a:ext>
          </a:extLst>
        </xdr:cNvPr>
        <xdr:cNvCxnSpPr/>
      </xdr:nvCxnSpPr>
      <xdr:spPr>
        <a:xfrm rot="16200000" flipH="1">
          <a:off x="10722968" y="14200781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148164</xdr:colOff>
      <xdr:row>71</xdr:row>
      <xdr:rowOff>74081</xdr:rowOff>
    </xdr:from>
    <xdr:to>
      <xdr:col>42</xdr:col>
      <xdr:colOff>223972</xdr:colOff>
      <xdr:row>72</xdr:row>
      <xdr:rowOff>124619</xdr:rowOff>
    </xdr:to>
    <xdr:cxnSp macro="">
      <xdr:nvCxnSpPr>
        <xdr:cNvPr id="3225" name="Elbow Connector 55">
          <a:extLst>
            <a:ext uri="{FF2B5EF4-FFF2-40B4-BE49-F238E27FC236}">
              <a16:creationId xmlns:a16="http://schemas.microsoft.com/office/drawing/2014/main" id="{4FE3DCA5-353D-4FC7-B12F-90214E9270AB}"/>
            </a:ext>
          </a:extLst>
        </xdr:cNvPr>
        <xdr:cNvCxnSpPr/>
      </xdr:nvCxnSpPr>
      <xdr:spPr>
        <a:xfrm rot="16200000" flipH="1">
          <a:off x="13273549" y="14211363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179913</xdr:colOff>
      <xdr:row>71</xdr:row>
      <xdr:rowOff>63498</xdr:rowOff>
    </xdr:from>
    <xdr:to>
      <xdr:col>44</xdr:col>
      <xdr:colOff>255721</xdr:colOff>
      <xdr:row>72</xdr:row>
      <xdr:rowOff>114036</xdr:rowOff>
    </xdr:to>
    <xdr:cxnSp macro="">
      <xdr:nvCxnSpPr>
        <xdr:cNvPr id="3226" name="Elbow Connector 55">
          <a:extLst>
            <a:ext uri="{FF2B5EF4-FFF2-40B4-BE49-F238E27FC236}">
              <a16:creationId xmlns:a16="http://schemas.microsoft.com/office/drawing/2014/main" id="{8022DFF8-1B49-48AE-87D4-64E5B74CCC8A}"/>
            </a:ext>
          </a:extLst>
        </xdr:cNvPr>
        <xdr:cNvCxnSpPr/>
      </xdr:nvCxnSpPr>
      <xdr:spPr>
        <a:xfrm rot="16200000" flipH="1">
          <a:off x="14046131" y="1420078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222251</xdr:colOff>
      <xdr:row>95</xdr:row>
      <xdr:rowOff>116416</xdr:rowOff>
    </xdr:from>
    <xdr:to>
      <xdr:col>36</xdr:col>
      <xdr:colOff>298059</xdr:colOff>
      <xdr:row>96</xdr:row>
      <xdr:rowOff>166954</xdr:rowOff>
    </xdr:to>
    <xdr:cxnSp macro="">
      <xdr:nvCxnSpPr>
        <xdr:cNvPr id="3227" name="Elbow Connector 55">
          <a:extLst>
            <a:ext uri="{FF2B5EF4-FFF2-40B4-BE49-F238E27FC236}">
              <a16:creationId xmlns:a16="http://schemas.microsoft.com/office/drawing/2014/main" id="{C1480A0C-37F6-40B5-AC2A-8C2F2F0224DE}"/>
            </a:ext>
          </a:extLst>
        </xdr:cNvPr>
        <xdr:cNvCxnSpPr/>
      </xdr:nvCxnSpPr>
      <xdr:spPr>
        <a:xfrm rot="16200000" flipH="1">
          <a:off x="11432053" y="1901619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148165</xdr:colOff>
      <xdr:row>95</xdr:row>
      <xdr:rowOff>63498</xdr:rowOff>
    </xdr:from>
    <xdr:to>
      <xdr:col>34</xdr:col>
      <xdr:colOff>223973</xdr:colOff>
      <xdr:row>96</xdr:row>
      <xdr:rowOff>114036</xdr:rowOff>
    </xdr:to>
    <xdr:cxnSp macro="">
      <xdr:nvCxnSpPr>
        <xdr:cNvPr id="3228" name="Elbow Connector 55">
          <a:extLst>
            <a:ext uri="{FF2B5EF4-FFF2-40B4-BE49-F238E27FC236}">
              <a16:creationId xmlns:a16="http://schemas.microsoft.com/office/drawing/2014/main" id="{8B7BFA11-F8F9-4912-A9CE-383087E5C958}"/>
            </a:ext>
          </a:extLst>
        </xdr:cNvPr>
        <xdr:cNvCxnSpPr/>
      </xdr:nvCxnSpPr>
      <xdr:spPr>
        <a:xfrm rot="16200000" flipH="1">
          <a:off x="10733550" y="1896328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137582</xdr:colOff>
      <xdr:row>95</xdr:row>
      <xdr:rowOff>84666</xdr:rowOff>
    </xdr:from>
    <xdr:to>
      <xdr:col>30</xdr:col>
      <xdr:colOff>213390</xdr:colOff>
      <xdr:row>96</xdr:row>
      <xdr:rowOff>135204</xdr:rowOff>
    </xdr:to>
    <xdr:cxnSp macro="">
      <xdr:nvCxnSpPr>
        <xdr:cNvPr id="3229" name="Elbow Connector 55">
          <a:extLst>
            <a:ext uri="{FF2B5EF4-FFF2-40B4-BE49-F238E27FC236}">
              <a16:creationId xmlns:a16="http://schemas.microsoft.com/office/drawing/2014/main" id="{181CAC12-81B0-4A6F-AE8C-AA6581D05EF2}"/>
            </a:ext>
          </a:extLst>
        </xdr:cNvPr>
        <xdr:cNvCxnSpPr/>
      </xdr:nvCxnSpPr>
      <xdr:spPr>
        <a:xfrm rot="16200000" flipH="1">
          <a:off x="9442384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158749</xdr:colOff>
      <xdr:row>95</xdr:row>
      <xdr:rowOff>84666</xdr:rowOff>
    </xdr:from>
    <xdr:to>
      <xdr:col>28</xdr:col>
      <xdr:colOff>234557</xdr:colOff>
      <xdr:row>96</xdr:row>
      <xdr:rowOff>135204</xdr:rowOff>
    </xdr:to>
    <xdr:cxnSp macro="">
      <xdr:nvCxnSpPr>
        <xdr:cNvPr id="3230" name="Elbow Connector 55">
          <a:extLst>
            <a:ext uri="{FF2B5EF4-FFF2-40B4-BE49-F238E27FC236}">
              <a16:creationId xmlns:a16="http://schemas.microsoft.com/office/drawing/2014/main" id="{9F830534-BD10-4F34-B895-1BD6F4B071A4}"/>
            </a:ext>
          </a:extLst>
        </xdr:cNvPr>
        <xdr:cNvCxnSpPr/>
      </xdr:nvCxnSpPr>
      <xdr:spPr>
        <a:xfrm rot="16200000" flipH="1">
          <a:off x="8839134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137583</xdr:colOff>
      <xdr:row>95</xdr:row>
      <xdr:rowOff>105833</xdr:rowOff>
    </xdr:from>
    <xdr:to>
      <xdr:col>20</xdr:col>
      <xdr:colOff>213391</xdr:colOff>
      <xdr:row>96</xdr:row>
      <xdr:rowOff>156371</xdr:rowOff>
    </xdr:to>
    <xdr:cxnSp macro="">
      <xdr:nvCxnSpPr>
        <xdr:cNvPr id="3231" name="Elbow Connector 55">
          <a:extLst>
            <a:ext uri="{FF2B5EF4-FFF2-40B4-BE49-F238E27FC236}">
              <a16:creationId xmlns:a16="http://schemas.microsoft.com/office/drawing/2014/main" id="{C7B20C5A-1A71-4FE4-8A1A-6967F077A2F3}"/>
            </a:ext>
          </a:extLst>
        </xdr:cNvPr>
        <xdr:cNvCxnSpPr/>
      </xdr:nvCxnSpPr>
      <xdr:spPr>
        <a:xfrm rot="16200000" flipH="1">
          <a:off x="6288551" y="19005615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148164</xdr:colOff>
      <xdr:row>71</xdr:row>
      <xdr:rowOff>42332</xdr:rowOff>
    </xdr:from>
    <xdr:to>
      <xdr:col>38</xdr:col>
      <xdr:colOff>243415</xdr:colOff>
      <xdr:row>72</xdr:row>
      <xdr:rowOff>141470</xdr:rowOff>
    </xdr:to>
    <xdr:cxnSp macro="">
      <xdr:nvCxnSpPr>
        <xdr:cNvPr id="3232" name="Elbow Connector 55">
          <a:extLst>
            <a:ext uri="{FF2B5EF4-FFF2-40B4-BE49-F238E27FC236}">
              <a16:creationId xmlns:a16="http://schemas.microsoft.com/office/drawing/2014/main" id="{2A8532AB-3BAE-4345-A2FA-30E2E72B6222}"/>
            </a:ext>
          </a:extLst>
        </xdr:cNvPr>
        <xdr:cNvCxnSpPr/>
      </xdr:nvCxnSpPr>
      <xdr:spPr>
        <a:xfrm rot="16200000" flipH="1">
          <a:off x="12010138" y="14194192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126999</xdr:colOff>
      <xdr:row>71</xdr:row>
      <xdr:rowOff>52915</xdr:rowOff>
    </xdr:from>
    <xdr:to>
      <xdr:col>40</xdr:col>
      <xdr:colOff>222250</xdr:colOff>
      <xdr:row>72</xdr:row>
      <xdr:rowOff>152053</xdr:rowOff>
    </xdr:to>
    <xdr:cxnSp macro="">
      <xdr:nvCxnSpPr>
        <xdr:cNvPr id="3233" name="Elbow Connector 55">
          <a:extLst>
            <a:ext uri="{FF2B5EF4-FFF2-40B4-BE49-F238E27FC236}">
              <a16:creationId xmlns:a16="http://schemas.microsoft.com/office/drawing/2014/main" id="{D0C72569-B76C-4EAC-8EBF-9BC612738FAB}"/>
            </a:ext>
          </a:extLst>
        </xdr:cNvPr>
        <xdr:cNvCxnSpPr/>
      </xdr:nvCxnSpPr>
      <xdr:spPr>
        <a:xfrm rot="16200000" flipH="1">
          <a:off x="12613389" y="14204775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127000</xdr:colOff>
      <xdr:row>79</xdr:row>
      <xdr:rowOff>105833</xdr:rowOff>
    </xdr:from>
    <xdr:to>
      <xdr:col>2</xdr:col>
      <xdr:colOff>222251</xdr:colOff>
      <xdr:row>81</xdr:row>
      <xdr:rowOff>14471</xdr:rowOff>
    </xdr:to>
    <xdr:cxnSp macro="">
      <xdr:nvCxnSpPr>
        <xdr:cNvPr id="3234" name="Elbow Connector 55">
          <a:extLst>
            <a:ext uri="{FF2B5EF4-FFF2-40B4-BE49-F238E27FC236}">
              <a16:creationId xmlns:a16="http://schemas.microsoft.com/office/drawing/2014/main" id="{66664C34-DB38-401C-819C-A517FE02BC76}"/>
            </a:ext>
          </a:extLst>
        </xdr:cNvPr>
        <xdr:cNvCxnSpPr/>
      </xdr:nvCxnSpPr>
      <xdr:spPr>
        <a:xfrm rot="16200000" flipH="1">
          <a:off x="527224" y="15845193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137581</xdr:colOff>
      <xdr:row>79</xdr:row>
      <xdr:rowOff>52915</xdr:rowOff>
    </xdr:from>
    <xdr:to>
      <xdr:col>4</xdr:col>
      <xdr:colOff>232832</xdr:colOff>
      <xdr:row>80</xdr:row>
      <xdr:rowOff>152053</xdr:rowOff>
    </xdr:to>
    <xdr:cxnSp macro="">
      <xdr:nvCxnSpPr>
        <xdr:cNvPr id="3235" name="Elbow Connector 55">
          <a:extLst>
            <a:ext uri="{FF2B5EF4-FFF2-40B4-BE49-F238E27FC236}">
              <a16:creationId xmlns:a16="http://schemas.microsoft.com/office/drawing/2014/main" id="{B0B031E2-2A3E-478A-9501-EE60BFA042B7}"/>
            </a:ext>
          </a:extLst>
        </xdr:cNvPr>
        <xdr:cNvCxnSpPr/>
      </xdr:nvCxnSpPr>
      <xdr:spPr>
        <a:xfrm rot="16200000" flipH="1">
          <a:off x="1162221" y="15792275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137582</xdr:colOff>
      <xdr:row>79</xdr:row>
      <xdr:rowOff>84666</xdr:rowOff>
    </xdr:from>
    <xdr:to>
      <xdr:col>6</xdr:col>
      <xdr:colOff>232833</xdr:colOff>
      <xdr:row>80</xdr:row>
      <xdr:rowOff>183804</xdr:rowOff>
    </xdr:to>
    <xdr:cxnSp macro="">
      <xdr:nvCxnSpPr>
        <xdr:cNvPr id="3236" name="Elbow Connector 55">
          <a:extLst>
            <a:ext uri="{FF2B5EF4-FFF2-40B4-BE49-F238E27FC236}">
              <a16:creationId xmlns:a16="http://schemas.microsoft.com/office/drawing/2014/main" id="{AC074342-7B7E-4349-9E20-CAA0AFFEBF2F}"/>
            </a:ext>
          </a:extLst>
        </xdr:cNvPr>
        <xdr:cNvCxnSpPr/>
      </xdr:nvCxnSpPr>
      <xdr:spPr>
        <a:xfrm rot="16200000" flipH="1">
          <a:off x="1786639" y="15824026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137582</xdr:colOff>
      <xdr:row>79</xdr:row>
      <xdr:rowOff>42332</xdr:rowOff>
    </xdr:from>
    <xdr:to>
      <xdr:col>8</xdr:col>
      <xdr:colOff>232833</xdr:colOff>
      <xdr:row>80</xdr:row>
      <xdr:rowOff>141470</xdr:rowOff>
    </xdr:to>
    <xdr:cxnSp macro="">
      <xdr:nvCxnSpPr>
        <xdr:cNvPr id="3237" name="Elbow Connector 55">
          <a:extLst>
            <a:ext uri="{FF2B5EF4-FFF2-40B4-BE49-F238E27FC236}">
              <a16:creationId xmlns:a16="http://schemas.microsoft.com/office/drawing/2014/main" id="{72F4D9BA-5B60-464F-ACC0-BE7A901299CB}"/>
            </a:ext>
          </a:extLst>
        </xdr:cNvPr>
        <xdr:cNvCxnSpPr/>
      </xdr:nvCxnSpPr>
      <xdr:spPr>
        <a:xfrm rot="16200000" flipH="1">
          <a:off x="2442806" y="15781692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158746</xdr:colOff>
      <xdr:row>79</xdr:row>
      <xdr:rowOff>63498</xdr:rowOff>
    </xdr:from>
    <xdr:to>
      <xdr:col>10</xdr:col>
      <xdr:colOff>253997</xdr:colOff>
      <xdr:row>80</xdr:row>
      <xdr:rowOff>162636</xdr:rowOff>
    </xdr:to>
    <xdr:cxnSp macro="">
      <xdr:nvCxnSpPr>
        <xdr:cNvPr id="3238" name="Elbow Connector 55">
          <a:extLst>
            <a:ext uri="{FF2B5EF4-FFF2-40B4-BE49-F238E27FC236}">
              <a16:creationId xmlns:a16="http://schemas.microsoft.com/office/drawing/2014/main" id="{5CE56B2F-02BD-4345-8E5F-0F69FDAB459E}"/>
            </a:ext>
          </a:extLst>
        </xdr:cNvPr>
        <xdr:cNvCxnSpPr/>
      </xdr:nvCxnSpPr>
      <xdr:spPr>
        <a:xfrm rot="16200000" flipH="1">
          <a:off x="3088386" y="15802858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137580</xdr:colOff>
      <xdr:row>79</xdr:row>
      <xdr:rowOff>63498</xdr:rowOff>
    </xdr:from>
    <xdr:to>
      <xdr:col>12</xdr:col>
      <xdr:colOff>232831</xdr:colOff>
      <xdr:row>80</xdr:row>
      <xdr:rowOff>158747</xdr:rowOff>
    </xdr:to>
    <xdr:cxnSp macro="">
      <xdr:nvCxnSpPr>
        <xdr:cNvPr id="3239" name="Elbow Connector 55">
          <a:extLst>
            <a:ext uri="{FF2B5EF4-FFF2-40B4-BE49-F238E27FC236}">
              <a16:creationId xmlns:a16="http://schemas.microsoft.com/office/drawing/2014/main" id="{3F3A5AA5-EE22-4357-95F6-BB1824894BCA}"/>
            </a:ext>
          </a:extLst>
        </xdr:cNvPr>
        <xdr:cNvCxnSpPr/>
      </xdr:nvCxnSpPr>
      <xdr:spPr>
        <a:xfrm rot="16200000" flipH="1">
          <a:off x="3693581" y="15800914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137584</xdr:colOff>
      <xdr:row>79</xdr:row>
      <xdr:rowOff>84665</xdr:rowOff>
    </xdr:from>
    <xdr:to>
      <xdr:col>14</xdr:col>
      <xdr:colOff>232835</xdr:colOff>
      <xdr:row>80</xdr:row>
      <xdr:rowOff>179914</xdr:rowOff>
    </xdr:to>
    <xdr:cxnSp macro="">
      <xdr:nvCxnSpPr>
        <xdr:cNvPr id="3240" name="Elbow Connector 55">
          <a:extLst>
            <a:ext uri="{FF2B5EF4-FFF2-40B4-BE49-F238E27FC236}">
              <a16:creationId xmlns:a16="http://schemas.microsoft.com/office/drawing/2014/main" id="{803EF11F-CF90-4CD5-9514-3026A9C235B3}"/>
            </a:ext>
          </a:extLst>
        </xdr:cNvPr>
        <xdr:cNvCxnSpPr/>
      </xdr:nvCxnSpPr>
      <xdr:spPr>
        <a:xfrm rot="16200000" flipH="1">
          <a:off x="4318002" y="15822081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137582</xdr:colOff>
      <xdr:row>79</xdr:row>
      <xdr:rowOff>63499</xdr:rowOff>
    </xdr:from>
    <xdr:to>
      <xdr:col>16</xdr:col>
      <xdr:colOff>232833</xdr:colOff>
      <xdr:row>80</xdr:row>
      <xdr:rowOff>158748</xdr:rowOff>
    </xdr:to>
    <xdr:cxnSp macro="">
      <xdr:nvCxnSpPr>
        <xdr:cNvPr id="3241" name="Elbow Connector 55">
          <a:extLst>
            <a:ext uri="{FF2B5EF4-FFF2-40B4-BE49-F238E27FC236}">
              <a16:creationId xmlns:a16="http://schemas.microsoft.com/office/drawing/2014/main" id="{193BAAF9-8080-4B43-8FF9-818EA3F869DC}"/>
            </a:ext>
          </a:extLst>
        </xdr:cNvPr>
        <xdr:cNvCxnSpPr/>
      </xdr:nvCxnSpPr>
      <xdr:spPr>
        <a:xfrm rot="16200000" flipH="1">
          <a:off x="4942416" y="15800915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137580</xdr:colOff>
      <xdr:row>79</xdr:row>
      <xdr:rowOff>95247</xdr:rowOff>
    </xdr:from>
    <xdr:to>
      <xdr:col>20</xdr:col>
      <xdr:colOff>232831</xdr:colOff>
      <xdr:row>80</xdr:row>
      <xdr:rowOff>190496</xdr:rowOff>
    </xdr:to>
    <xdr:cxnSp macro="">
      <xdr:nvCxnSpPr>
        <xdr:cNvPr id="3242" name="Elbow Connector 55">
          <a:extLst>
            <a:ext uri="{FF2B5EF4-FFF2-40B4-BE49-F238E27FC236}">
              <a16:creationId xmlns:a16="http://schemas.microsoft.com/office/drawing/2014/main" id="{B58A82C6-9D3B-4C71-ADB6-948CFA4BDCF1}"/>
            </a:ext>
          </a:extLst>
        </xdr:cNvPr>
        <xdr:cNvCxnSpPr/>
      </xdr:nvCxnSpPr>
      <xdr:spPr>
        <a:xfrm rot="16200000" flipH="1">
          <a:off x="6275914" y="15832663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137583</xdr:colOff>
      <xdr:row>79</xdr:row>
      <xdr:rowOff>95247</xdr:rowOff>
    </xdr:from>
    <xdr:to>
      <xdr:col>22</xdr:col>
      <xdr:colOff>232834</xdr:colOff>
      <xdr:row>80</xdr:row>
      <xdr:rowOff>190496</xdr:rowOff>
    </xdr:to>
    <xdr:cxnSp macro="">
      <xdr:nvCxnSpPr>
        <xdr:cNvPr id="3243" name="Elbow Connector 55">
          <a:extLst>
            <a:ext uri="{FF2B5EF4-FFF2-40B4-BE49-F238E27FC236}">
              <a16:creationId xmlns:a16="http://schemas.microsoft.com/office/drawing/2014/main" id="{00A80ECE-92F6-4A9D-BFF3-C6ED74B70DB5}"/>
            </a:ext>
          </a:extLst>
        </xdr:cNvPr>
        <xdr:cNvCxnSpPr/>
      </xdr:nvCxnSpPr>
      <xdr:spPr>
        <a:xfrm rot="16200000" flipH="1">
          <a:off x="6900334" y="15832663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148162</xdr:colOff>
      <xdr:row>79</xdr:row>
      <xdr:rowOff>137583</xdr:rowOff>
    </xdr:from>
    <xdr:to>
      <xdr:col>34</xdr:col>
      <xdr:colOff>243413</xdr:colOff>
      <xdr:row>81</xdr:row>
      <xdr:rowOff>42332</xdr:rowOff>
    </xdr:to>
    <xdr:cxnSp macro="">
      <xdr:nvCxnSpPr>
        <xdr:cNvPr id="3244" name="Elbow Connector 55">
          <a:extLst>
            <a:ext uri="{FF2B5EF4-FFF2-40B4-BE49-F238E27FC236}">
              <a16:creationId xmlns:a16="http://schemas.microsoft.com/office/drawing/2014/main" id="{60A1D373-5AA6-4FB3-8BB6-728020667FA5}"/>
            </a:ext>
          </a:extLst>
        </xdr:cNvPr>
        <xdr:cNvCxnSpPr/>
      </xdr:nvCxnSpPr>
      <xdr:spPr>
        <a:xfrm rot="16200000" flipH="1">
          <a:off x="10720913" y="15874999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169333</xdr:colOff>
      <xdr:row>79</xdr:row>
      <xdr:rowOff>84664</xdr:rowOff>
    </xdr:from>
    <xdr:to>
      <xdr:col>36</xdr:col>
      <xdr:colOff>264584</xdr:colOff>
      <xdr:row>80</xdr:row>
      <xdr:rowOff>179913</xdr:rowOff>
    </xdr:to>
    <xdr:cxnSp macro="">
      <xdr:nvCxnSpPr>
        <xdr:cNvPr id="3245" name="Elbow Connector 55">
          <a:extLst>
            <a:ext uri="{FF2B5EF4-FFF2-40B4-BE49-F238E27FC236}">
              <a16:creationId xmlns:a16="http://schemas.microsoft.com/office/drawing/2014/main" id="{5F295303-8D34-42D9-B2D8-871CBA6D8BDE}"/>
            </a:ext>
          </a:extLst>
        </xdr:cNvPr>
        <xdr:cNvCxnSpPr/>
      </xdr:nvCxnSpPr>
      <xdr:spPr>
        <a:xfrm rot="16200000" flipH="1">
          <a:off x="11366501" y="15822080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126999</xdr:colOff>
      <xdr:row>79</xdr:row>
      <xdr:rowOff>42332</xdr:rowOff>
    </xdr:from>
    <xdr:to>
      <xdr:col>38</xdr:col>
      <xdr:colOff>222250</xdr:colOff>
      <xdr:row>80</xdr:row>
      <xdr:rowOff>137581</xdr:rowOff>
    </xdr:to>
    <xdr:cxnSp macro="">
      <xdr:nvCxnSpPr>
        <xdr:cNvPr id="3246" name="Elbow Connector 55">
          <a:extLst>
            <a:ext uri="{FF2B5EF4-FFF2-40B4-BE49-F238E27FC236}">
              <a16:creationId xmlns:a16="http://schemas.microsoft.com/office/drawing/2014/main" id="{C43C0635-E94C-47D7-9CF2-A6ABF6C74EDF}"/>
            </a:ext>
          </a:extLst>
        </xdr:cNvPr>
        <xdr:cNvCxnSpPr/>
      </xdr:nvCxnSpPr>
      <xdr:spPr>
        <a:xfrm rot="16200000" flipH="1">
          <a:off x="11990917" y="15779748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76197</xdr:colOff>
      <xdr:row>36</xdr:row>
      <xdr:rowOff>185204</xdr:rowOff>
    </xdr:from>
    <xdr:to>
      <xdr:col>8</xdr:col>
      <xdr:colOff>217745</xdr:colOff>
      <xdr:row>37</xdr:row>
      <xdr:rowOff>164710</xdr:rowOff>
    </xdr:to>
    <xdr:sp macro="" textlink="">
      <xdr:nvSpPr>
        <xdr:cNvPr id="3247" name="6-Point Star 717">
          <a:extLst>
            <a:ext uri="{FF2B5EF4-FFF2-40B4-BE49-F238E27FC236}">
              <a16:creationId xmlns:a16="http://schemas.microsoft.com/office/drawing/2014/main" id="{8D8EEA32-D863-4DCC-BEDB-B7B7910C21CD}"/>
            </a:ext>
          </a:extLst>
        </xdr:cNvPr>
        <xdr:cNvSpPr/>
      </xdr:nvSpPr>
      <xdr:spPr>
        <a:xfrm>
          <a:off x="2457447" y="7300379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93131</xdr:colOff>
      <xdr:row>36</xdr:row>
      <xdr:rowOff>142875</xdr:rowOff>
    </xdr:from>
    <xdr:to>
      <xdr:col>10</xdr:col>
      <xdr:colOff>234679</xdr:colOff>
      <xdr:row>37</xdr:row>
      <xdr:rowOff>122381</xdr:rowOff>
    </xdr:to>
    <xdr:sp macro="" textlink="">
      <xdr:nvSpPr>
        <xdr:cNvPr id="3248" name="6-Point Star 717">
          <a:extLst>
            <a:ext uri="{FF2B5EF4-FFF2-40B4-BE49-F238E27FC236}">
              <a16:creationId xmlns:a16="http://schemas.microsoft.com/office/drawing/2014/main" id="{44342E45-5061-4E92-BA30-DFDD71100CC4}"/>
            </a:ext>
          </a:extLst>
        </xdr:cNvPr>
        <xdr:cNvSpPr/>
      </xdr:nvSpPr>
      <xdr:spPr>
        <a:xfrm>
          <a:off x="3198281" y="72580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116415</xdr:colOff>
      <xdr:row>29</xdr:row>
      <xdr:rowOff>0</xdr:rowOff>
    </xdr:from>
    <xdr:to>
      <xdr:col>36</xdr:col>
      <xdr:colOff>257963</xdr:colOff>
      <xdr:row>29</xdr:row>
      <xdr:rowOff>170006</xdr:rowOff>
    </xdr:to>
    <xdr:sp macro="" textlink="">
      <xdr:nvSpPr>
        <xdr:cNvPr id="3249" name="6-Point Star 717">
          <a:extLst>
            <a:ext uri="{FF2B5EF4-FFF2-40B4-BE49-F238E27FC236}">
              <a16:creationId xmlns:a16="http://schemas.microsoft.com/office/drawing/2014/main" id="{11C24642-D260-4481-940A-D24E69CC091F}"/>
            </a:ext>
          </a:extLst>
        </xdr:cNvPr>
        <xdr:cNvSpPr/>
      </xdr:nvSpPr>
      <xdr:spPr>
        <a:xfrm>
          <a:off x="11440582" y="57044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84665</xdr:colOff>
      <xdr:row>37</xdr:row>
      <xdr:rowOff>0</xdr:rowOff>
    </xdr:from>
    <xdr:to>
      <xdr:col>12</xdr:col>
      <xdr:colOff>226213</xdr:colOff>
      <xdr:row>37</xdr:row>
      <xdr:rowOff>170006</xdr:rowOff>
    </xdr:to>
    <xdr:sp macro="" textlink="">
      <xdr:nvSpPr>
        <xdr:cNvPr id="3250" name="6-Point Star 717">
          <a:extLst>
            <a:ext uri="{FF2B5EF4-FFF2-40B4-BE49-F238E27FC236}">
              <a16:creationId xmlns:a16="http://schemas.microsoft.com/office/drawing/2014/main" id="{5F59045C-1F57-4E81-8AA1-586A92426E74}"/>
            </a:ext>
          </a:extLst>
        </xdr:cNvPr>
        <xdr:cNvSpPr/>
      </xdr:nvSpPr>
      <xdr:spPr>
        <a:xfrm>
          <a:off x="3767665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114298</xdr:colOff>
      <xdr:row>36</xdr:row>
      <xdr:rowOff>171450</xdr:rowOff>
    </xdr:from>
    <xdr:to>
      <xdr:col>14</xdr:col>
      <xdr:colOff>255846</xdr:colOff>
      <xdr:row>37</xdr:row>
      <xdr:rowOff>150956</xdr:rowOff>
    </xdr:to>
    <xdr:sp macro="" textlink="">
      <xdr:nvSpPr>
        <xdr:cNvPr id="3251" name="6-Point Star 717">
          <a:extLst>
            <a:ext uri="{FF2B5EF4-FFF2-40B4-BE49-F238E27FC236}">
              <a16:creationId xmlns:a16="http://schemas.microsoft.com/office/drawing/2014/main" id="{7C1A7E62-6C58-4FDA-81C4-F9D8B8D4326D}"/>
            </a:ext>
          </a:extLst>
        </xdr:cNvPr>
        <xdr:cNvSpPr/>
      </xdr:nvSpPr>
      <xdr:spPr>
        <a:xfrm>
          <a:off x="4495798" y="72866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95249</xdr:colOff>
      <xdr:row>37</xdr:row>
      <xdr:rowOff>0</xdr:rowOff>
    </xdr:from>
    <xdr:to>
      <xdr:col>18</xdr:col>
      <xdr:colOff>236797</xdr:colOff>
      <xdr:row>37</xdr:row>
      <xdr:rowOff>170006</xdr:rowOff>
    </xdr:to>
    <xdr:sp macro="" textlink="">
      <xdr:nvSpPr>
        <xdr:cNvPr id="3252" name="6-Point Star 717">
          <a:extLst>
            <a:ext uri="{FF2B5EF4-FFF2-40B4-BE49-F238E27FC236}">
              <a16:creationId xmlns:a16="http://schemas.microsoft.com/office/drawing/2014/main" id="{8193CD0D-FBC0-4AB4-AF58-E9CD13069989}"/>
            </a:ext>
          </a:extLst>
        </xdr:cNvPr>
        <xdr:cNvSpPr/>
      </xdr:nvSpPr>
      <xdr:spPr>
        <a:xfrm>
          <a:off x="5736166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95248</xdr:colOff>
      <xdr:row>37</xdr:row>
      <xdr:rowOff>0</xdr:rowOff>
    </xdr:from>
    <xdr:to>
      <xdr:col>20</xdr:col>
      <xdr:colOff>236796</xdr:colOff>
      <xdr:row>37</xdr:row>
      <xdr:rowOff>170006</xdr:rowOff>
    </xdr:to>
    <xdr:sp macro="" textlink="">
      <xdr:nvSpPr>
        <xdr:cNvPr id="3253" name="6-Point Star 717">
          <a:extLst>
            <a:ext uri="{FF2B5EF4-FFF2-40B4-BE49-F238E27FC236}">
              <a16:creationId xmlns:a16="http://schemas.microsoft.com/office/drawing/2014/main" id="{29885E03-EB6F-4EDC-8445-4DF5F3DF0B24}"/>
            </a:ext>
          </a:extLst>
        </xdr:cNvPr>
        <xdr:cNvSpPr/>
      </xdr:nvSpPr>
      <xdr:spPr>
        <a:xfrm>
          <a:off x="6360581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84664</xdr:colOff>
      <xdr:row>36</xdr:row>
      <xdr:rowOff>169334</xdr:rowOff>
    </xdr:from>
    <xdr:to>
      <xdr:col>26</xdr:col>
      <xdr:colOff>226212</xdr:colOff>
      <xdr:row>37</xdr:row>
      <xdr:rowOff>148840</xdr:rowOff>
    </xdr:to>
    <xdr:sp macro="" textlink="">
      <xdr:nvSpPr>
        <xdr:cNvPr id="3254" name="6-Point Star 717">
          <a:extLst>
            <a:ext uri="{FF2B5EF4-FFF2-40B4-BE49-F238E27FC236}">
              <a16:creationId xmlns:a16="http://schemas.microsoft.com/office/drawing/2014/main" id="{5DEF6039-9490-4D3A-976C-659131F48835}"/>
            </a:ext>
          </a:extLst>
        </xdr:cNvPr>
        <xdr:cNvSpPr/>
      </xdr:nvSpPr>
      <xdr:spPr>
        <a:xfrm>
          <a:off x="8223247" y="7270751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94189</xdr:colOff>
      <xdr:row>36</xdr:row>
      <xdr:rowOff>122767</xdr:rowOff>
    </xdr:from>
    <xdr:to>
      <xdr:col>28</xdr:col>
      <xdr:colOff>235737</xdr:colOff>
      <xdr:row>37</xdr:row>
      <xdr:rowOff>102273</xdr:rowOff>
    </xdr:to>
    <xdr:sp macro="" textlink="">
      <xdr:nvSpPr>
        <xdr:cNvPr id="3255" name="6-Point Star 717">
          <a:extLst>
            <a:ext uri="{FF2B5EF4-FFF2-40B4-BE49-F238E27FC236}">
              <a16:creationId xmlns:a16="http://schemas.microsoft.com/office/drawing/2014/main" id="{43E8BD99-6B00-4B12-9E09-BED2D3908BEF}"/>
            </a:ext>
          </a:extLst>
        </xdr:cNvPr>
        <xdr:cNvSpPr/>
      </xdr:nvSpPr>
      <xdr:spPr>
        <a:xfrm>
          <a:off x="9009589" y="7237942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113239</xdr:colOff>
      <xdr:row>36</xdr:row>
      <xdr:rowOff>142875</xdr:rowOff>
    </xdr:from>
    <xdr:to>
      <xdr:col>30</xdr:col>
      <xdr:colOff>254787</xdr:colOff>
      <xdr:row>37</xdr:row>
      <xdr:rowOff>122381</xdr:rowOff>
    </xdr:to>
    <xdr:sp macro="" textlink="">
      <xdr:nvSpPr>
        <xdr:cNvPr id="3256" name="6-Point Star 717">
          <a:extLst>
            <a:ext uri="{FF2B5EF4-FFF2-40B4-BE49-F238E27FC236}">
              <a16:creationId xmlns:a16="http://schemas.microsoft.com/office/drawing/2014/main" id="{926DD50D-B45A-4585-A0A4-67674176135B}"/>
            </a:ext>
          </a:extLst>
        </xdr:cNvPr>
        <xdr:cNvSpPr/>
      </xdr:nvSpPr>
      <xdr:spPr>
        <a:xfrm>
          <a:off x="9657289" y="72580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95247</xdr:colOff>
      <xdr:row>36</xdr:row>
      <xdr:rowOff>119593</xdr:rowOff>
    </xdr:from>
    <xdr:to>
      <xdr:col>32</xdr:col>
      <xdr:colOff>236795</xdr:colOff>
      <xdr:row>37</xdr:row>
      <xdr:rowOff>99099</xdr:rowOff>
    </xdr:to>
    <xdr:sp macro="" textlink="">
      <xdr:nvSpPr>
        <xdr:cNvPr id="3257" name="6-Point Star 717">
          <a:extLst>
            <a:ext uri="{FF2B5EF4-FFF2-40B4-BE49-F238E27FC236}">
              <a16:creationId xmlns:a16="http://schemas.microsoft.com/office/drawing/2014/main" id="{B1AA74BB-B1FA-44EE-812D-568ABD3A9823}"/>
            </a:ext>
          </a:extLst>
        </xdr:cNvPr>
        <xdr:cNvSpPr/>
      </xdr:nvSpPr>
      <xdr:spPr>
        <a:xfrm>
          <a:off x="10296522" y="7234768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94189</xdr:colOff>
      <xdr:row>36</xdr:row>
      <xdr:rowOff>101601</xdr:rowOff>
    </xdr:from>
    <xdr:to>
      <xdr:col>34</xdr:col>
      <xdr:colOff>235737</xdr:colOff>
      <xdr:row>37</xdr:row>
      <xdr:rowOff>81107</xdr:rowOff>
    </xdr:to>
    <xdr:sp macro="" textlink="">
      <xdr:nvSpPr>
        <xdr:cNvPr id="3258" name="6-Point Star 717">
          <a:extLst>
            <a:ext uri="{FF2B5EF4-FFF2-40B4-BE49-F238E27FC236}">
              <a16:creationId xmlns:a16="http://schemas.microsoft.com/office/drawing/2014/main" id="{3EF4FE3E-0F58-416B-8909-025443649AB1}"/>
            </a:ext>
          </a:extLst>
        </xdr:cNvPr>
        <xdr:cNvSpPr/>
      </xdr:nvSpPr>
      <xdr:spPr>
        <a:xfrm>
          <a:off x="10924114" y="7216776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97839</xdr:colOff>
      <xdr:row>36</xdr:row>
      <xdr:rowOff>148162</xdr:rowOff>
    </xdr:from>
    <xdr:to>
      <xdr:col>36</xdr:col>
      <xdr:colOff>239387</xdr:colOff>
      <xdr:row>37</xdr:row>
      <xdr:rowOff>127668</xdr:rowOff>
    </xdr:to>
    <xdr:sp macro="" textlink="">
      <xdr:nvSpPr>
        <xdr:cNvPr id="3259" name="6-Point Star 717">
          <a:extLst>
            <a:ext uri="{FF2B5EF4-FFF2-40B4-BE49-F238E27FC236}">
              <a16:creationId xmlns:a16="http://schemas.microsoft.com/office/drawing/2014/main" id="{BE419D52-33C5-41A2-BB57-ACECF84200DF}"/>
            </a:ext>
          </a:extLst>
        </xdr:cNvPr>
        <xdr:cNvSpPr/>
      </xdr:nvSpPr>
      <xdr:spPr>
        <a:xfrm>
          <a:off x="11586155" y="736966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95251</xdr:colOff>
      <xdr:row>36</xdr:row>
      <xdr:rowOff>169334</xdr:rowOff>
    </xdr:from>
    <xdr:to>
      <xdr:col>16</xdr:col>
      <xdr:colOff>236799</xdr:colOff>
      <xdr:row>37</xdr:row>
      <xdr:rowOff>148840</xdr:rowOff>
    </xdr:to>
    <xdr:sp macro="" textlink="">
      <xdr:nvSpPr>
        <xdr:cNvPr id="3260" name="6-Point Star 717">
          <a:extLst>
            <a:ext uri="{FF2B5EF4-FFF2-40B4-BE49-F238E27FC236}">
              <a16:creationId xmlns:a16="http://schemas.microsoft.com/office/drawing/2014/main" id="{A1506352-CA74-44AB-BD9C-4B7F5763543A}"/>
            </a:ext>
          </a:extLst>
        </xdr:cNvPr>
        <xdr:cNvSpPr/>
      </xdr:nvSpPr>
      <xdr:spPr>
        <a:xfrm>
          <a:off x="5027084" y="7270751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260612</xdr:colOff>
      <xdr:row>85</xdr:row>
      <xdr:rowOff>67080</xdr:rowOff>
    </xdr:from>
    <xdr:to>
      <xdr:col>34</xdr:col>
      <xdr:colOff>159014</xdr:colOff>
      <xdr:row>86</xdr:row>
      <xdr:rowOff>59531</xdr:rowOff>
    </xdr:to>
    <xdr:sp macro="" textlink="">
      <xdr:nvSpPr>
        <xdr:cNvPr id="3261" name="Freeform 10707">
          <a:extLst>
            <a:ext uri="{FF2B5EF4-FFF2-40B4-BE49-F238E27FC236}">
              <a16:creationId xmlns:a16="http://schemas.microsoft.com/office/drawing/2014/main" id="{BEAA7109-96FB-4025-934E-DD4812692709}"/>
            </a:ext>
          </a:extLst>
        </xdr:cNvPr>
        <xdr:cNvSpPr>
          <a:spLocks/>
        </xdr:cNvSpPr>
      </xdr:nvSpPr>
      <xdr:spPr bwMode="auto">
        <a:xfrm>
          <a:off x="10976237" y="17033486"/>
          <a:ext cx="559860" cy="18427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224803</xdr:colOff>
      <xdr:row>85</xdr:row>
      <xdr:rowOff>66675</xdr:rowOff>
    </xdr:from>
    <xdr:to>
      <xdr:col>36</xdr:col>
      <xdr:colOff>190500</xdr:colOff>
      <xdr:row>86</xdr:row>
      <xdr:rowOff>98922</xdr:rowOff>
    </xdr:to>
    <xdr:sp macro="" textlink="">
      <xdr:nvSpPr>
        <xdr:cNvPr id="3262" name="Freeform 10707">
          <a:extLst>
            <a:ext uri="{FF2B5EF4-FFF2-40B4-BE49-F238E27FC236}">
              <a16:creationId xmlns:a16="http://schemas.microsoft.com/office/drawing/2014/main" id="{45C0DA00-3C90-4E52-902C-4506BAAC4F35}"/>
            </a:ext>
          </a:extLst>
        </xdr:cNvPr>
        <xdr:cNvSpPr>
          <a:spLocks/>
        </xdr:cNvSpPr>
      </xdr:nvSpPr>
      <xdr:spPr bwMode="auto">
        <a:xfrm>
          <a:off x="11054728" y="16992600"/>
          <a:ext cx="603872" cy="2227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201085</xdr:colOff>
      <xdr:row>85</xdr:row>
      <xdr:rowOff>85991</xdr:rowOff>
    </xdr:from>
    <xdr:to>
      <xdr:col>38</xdr:col>
      <xdr:colOff>171980</xdr:colOff>
      <xdr:row>86</xdr:row>
      <xdr:rowOff>92606</xdr:rowOff>
    </xdr:to>
    <xdr:sp macro="" textlink="">
      <xdr:nvSpPr>
        <xdr:cNvPr id="3263" name="Freeform 10707">
          <a:extLst>
            <a:ext uri="{FF2B5EF4-FFF2-40B4-BE49-F238E27FC236}">
              <a16:creationId xmlns:a16="http://schemas.microsoft.com/office/drawing/2014/main" id="{CAE9FDA3-82BD-4077-A767-AF063554DC29}"/>
            </a:ext>
          </a:extLst>
        </xdr:cNvPr>
        <xdr:cNvSpPr>
          <a:spLocks/>
        </xdr:cNvSpPr>
      </xdr:nvSpPr>
      <xdr:spPr bwMode="auto">
        <a:xfrm>
          <a:off x="12252856" y="17052397"/>
          <a:ext cx="665426" cy="19843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210607</xdr:colOff>
      <xdr:row>85</xdr:row>
      <xdr:rowOff>95251</xdr:rowOff>
    </xdr:from>
    <xdr:to>
      <xdr:col>40</xdr:col>
      <xdr:colOff>200025</xdr:colOff>
      <xdr:row>86</xdr:row>
      <xdr:rowOff>125677</xdr:rowOff>
    </xdr:to>
    <xdr:sp macro="" textlink="">
      <xdr:nvSpPr>
        <xdr:cNvPr id="3264" name="Freeform 10707">
          <a:extLst>
            <a:ext uri="{FF2B5EF4-FFF2-40B4-BE49-F238E27FC236}">
              <a16:creationId xmlns:a16="http://schemas.microsoft.com/office/drawing/2014/main" id="{AACE5A19-CB34-4FD1-BF04-2CFF0B6E90CF}"/>
            </a:ext>
          </a:extLst>
        </xdr:cNvPr>
        <xdr:cNvSpPr>
          <a:spLocks/>
        </xdr:cNvSpPr>
      </xdr:nvSpPr>
      <xdr:spPr bwMode="auto">
        <a:xfrm>
          <a:off x="12956909" y="17061657"/>
          <a:ext cx="683949" cy="22224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186266</xdr:colOff>
      <xdr:row>85</xdr:row>
      <xdr:rowOff>106891</xdr:rowOff>
    </xdr:from>
    <xdr:to>
      <xdr:col>42</xdr:col>
      <xdr:colOff>207432</xdr:colOff>
      <xdr:row>86</xdr:row>
      <xdr:rowOff>119063</xdr:rowOff>
    </xdr:to>
    <xdr:sp macro="" textlink="">
      <xdr:nvSpPr>
        <xdr:cNvPr id="3265" name="Freeform 10707">
          <a:extLst>
            <a:ext uri="{FF2B5EF4-FFF2-40B4-BE49-F238E27FC236}">
              <a16:creationId xmlns:a16="http://schemas.microsoft.com/office/drawing/2014/main" id="{2D40657F-3257-434B-B51A-0C38D772DAEF}"/>
            </a:ext>
          </a:extLst>
        </xdr:cNvPr>
        <xdr:cNvSpPr>
          <a:spLocks/>
        </xdr:cNvSpPr>
      </xdr:nvSpPr>
      <xdr:spPr bwMode="auto">
        <a:xfrm>
          <a:off x="13627099" y="17073297"/>
          <a:ext cx="649552" cy="20399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186396</xdr:colOff>
      <xdr:row>93</xdr:row>
      <xdr:rowOff>11663</xdr:rowOff>
    </xdr:from>
    <xdr:to>
      <xdr:col>4</xdr:col>
      <xdr:colOff>218147</xdr:colOff>
      <xdr:row>94</xdr:row>
      <xdr:rowOff>22246</xdr:rowOff>
    </xdr:to>
    <xdr:sp macro="" textlink="">
      <xdr:nvSpPr>
        <xdr:cNvPr id="3266" name="Freeform 10707">
          <a:extLst>
            <a:ext uri="{FF2B5EF4-FFF2-40B4-BE49-F238E27FC236}">
              <a16:creationId xmlns:a16="http://schemas.microsoft.com/office/drawing/2014/main" id="{B8B5314C-7B14-4381-AB4D-AD8BB00A01EA}"/>
            </a:ext>
          </a:extLst>
        </xdr:cNvPr>
        <xdr:cNvSpPr>
          <a:spLocks/>
        </xdr:cNvSpPr>
      </xdr:nvSpPr>
      <xdr:spPr bwMode="auto">
        <a:xfrm>
          <a:off x="594610" y="18271153"/>
          <a:ext cx="770425" cy="19849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177542</xdr:colOff>
      <xdr:row>93</xdr:row>
      <xdr:rowOff>58749</xdr:rowOff>
    </xdr:from>
    <xdr:to>
      <xdr:col>6</xdr:col>
      <xdr:colOff>198709</xdr:colOff>
      <xdr:row>94</xdr:row>
      <xdr:rowOff>79915</xdr:rowOff>
    </xdr:to>
    <xdr:sp macro="" textlink="">
      <xdr:nvSpPr>
        <xdr:cNvPr id="3267" name="Freeform 10707">
          <a:extLst>
            <a:ext uri="{FF2B5EF4-FFF2-40B4-BE49-F238E27FC236}">
              <a16:creationId xmlns:a16="http://schemas.microsoft.com/office/drawing/2014/main" id="{BFEBAC9A-09AA-448F-9744-2232ADF15166}"/>
            </a:ext>
          </a:extLst>
        </xdr:cNvPr>
        <xdr:cNvSpPr>
          <a:spLocks/>
        </xdr:cNvSpPr>
      </xdr:nvSpPr>
      <xdr:spPr bwMode="auto">
        <a:xfrm>
          <a:off x="1324430" y="18318239"/>
          <a:ext cx="682085" cy="20907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190500</xdr:colOff>
      <xdr:row>93</xdr:row>
      <xdr:rowOff>73436</xdr:rowOff>
    </xdr:from>
    <xdr:to>
      <xdr:col>8</xdr:col>
      <xdr:colOff>179916</xdr:colOff>
      <xdr:row>94</xdr:row>
      <xdr:rowOff>94602</xdr:rowOff>
    </xdr:to>
    <xdr:sp macro="" textlink="">
      <xdr:nvSpPr>
        <xdr:cNvPr id="3268" name="Freeform 10707">
          <a:extLst>
            <a:ext uri="{FF2B5EF4-FFF2-40B4-BE49-F238E27FC236}">
              <a16:creationId xmlns:a16="http://schemas.microsoft.com/office/drawing/2014/main" id="{174A9909-43E0-46F4-B9D6-D52B8AD0AEDF}"/>
            </a:ext>
          </a:extLst>
        </xdr:cNvPr>
        <xdr:cNvSpPr>
          <a:spLocks/>
        </xdr:cNvSpPr>
      </xdr:nvSpPr>
      <xdr:spPr bwMode="auto">
        <a:xfrm>
          <a:off x="1998306" y="18332926"/>
          <a:ext cx="682732" cy="20907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149489</xdr:colOff>
      <xdr:row>93</xdr:row>
      <xdr:rowOff>59531</xdr:rowOff>
    </xdr:from>
    <xdr:to>
      <xdr:col>10</xdr:col>
      <xdr:colOff>185208</xdr:colOff>
      <xdr:row>94</xdr:row>
      <xdr:rowOff>56696</xdr:rowOff>
    </xdr:to>
    <xdr:sp macro="" textlink="">
      <xdr:nvSpPr>
        <xdr:cNvPr id="3269" name="Freeform 10707">
          <a:extLst>
            <a:ext uri="{FF2B5EF4-FFF2-40B4-BE49-F238E27FC236}">
              <a16:creationId xmlns:a16="http://schemas.microsoft.com/office/drawing/2014/main" id="{CD98654D-1FA5-4761-966F-570CD6BBB515}"/>
            </a:ext>
          </a:extLst>
        </xdr:cNvPr>
        <xdr:cNvSpPr>
          <a:spLocks/>
        </xdr:cNvSpPr>
      </xdr:nvSpPr>
      <xdr:spPr bwMode="auto">
        <a:xfrm>
          <a:off x="2643187" y="18620052"/>
          <a:ext cx="803011" cy="1889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2096</xdr:colOff>
      <xdr:row>93</xdr:row>
      <xdr:rowOff>74085</xdr:rowOff>
    </xdr:from>
    <xdr:to>
      <xdr:col>2</xdr:col>
      <xdr:colOff>232834</xdr:colOff>
      <xdr:row>94</xdr:row>
      <xdr:rowOff>10585</xdr:rowOff>
    </xdr:to>
    <xdr:sp macro="" textlink="">
      <xdr:nvSpPr>
        <xdr:cNvPr id="3270" name="Freeform 10707">
          <a:extLst>
            <a:ext uri="{FF2B5EF4-FFF2-40B4-BE49-F238E27FC236}">
              <a16:creationId xmlns:a16="http://schemas.microsoft.com/office/drawing/2014/main" id="{71DE5EFA-60CA-4E2C-990E-904816B742BE}"/>
            </a:ext>
          </a:extLst>
        </xdr:cNvPr>
        <xdr:cNvSpPr>
          <a:spLocks/>
        </xdr:cNvSpPr>
      </xdr:nvSpPr>
      <xdr:spPr bwMode="auto">
        <a:xfrm>
          <a:off x="109009" y="18851942"/>
          <a:ext cx="512601" cy="1308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95250</xdr:colOff>
      <xdr:row>84</xdr:row>
      <xdr:rowOff>177321</xdr:rowOff>
    </xdr:from>
    <xdr:to>
      <xdr:col>30</xdr:col>
      <xdr:colOff>236798</xdr:colOff>
      <xdr:row>85</xdr:row>
      <xdr:rowOff>156827</xdr:rowOff>
    </xdr:to>
    <xdr:sp macro="" textlink="">
      <xdr:nvSpPr>
        <xdr:cNvPr id="3273" name="6-Point Star 717">
          <a:extLst>
            <a:ext uri="{FF2B5EF4-FFF2-40B4-BE49-F238E27FC236}">
              <a16:creationId xmlns:a16="http://schemas.microsoft.com/office/drawing/2014/main" id="{33A894BB-1510-4C50-AC40-2BA09F0DB834}"/>
            </a:ext>
          </a:extLst>
        </xdr:cNvPr>
        <xdr:cNvSpPr/>
      </xdr:nvSpPr>
      <xdr:spPr>
        <a:xfrm>
          <a:off x="9552214" y="1714737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238514</xdr:colOff>
      <xdr:row>85</xdr:row>
      <xdr:rowOff>44580</xdr:rowOff>
    </xdr:from>
    <xdr:to>
      <xdr:col>32</xdr:col>
      <xdr:colOff>171839</xdr:colOff>
      <xdr:row>86</xdr:row>
      <xdr:rowOff>74515</xdr:rowOff>
    </xdr:to>
    <xdr:sp macro="" textlink="">
      <xdr:nvSpPr>
        <xdr:cNvPr id="3274" name="Freeform 10707">
          <a:extLst>
            <a:ext uri="{FF2B5EF4-FFF2-40B4-BE49-F238E27FC236}">
              <a16:creationId xmlns:a16="http://schemas.microsoft.com/office/drawing/2014/main" id="{3BD76CAD-3CA8-49DD-87B2-8A0C523DFFAC}"/>
            </a:ext>
          </a:extLst>
        </xdr:cNvPr>
        <xdr:cNvSpPr>
          <a:spLocks/>
        </xdr:cNvSpPr>
      </xdr:nvSpPr>
      <xdr:spPr bwMode="auto">
        <a:xfrm>
          <a:off x="10268922" y="16736009"/>
          <a:ext cx="626641" cy="2178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111643</xdr:colOff>
      <xdr:row>36</xdr:row>
      <xdr:rowOff>174949</xdr:rowOff>
    </xdr:from>
    <xdr:to>
      <xdr:col>4</xdr:col>
      <xdr:colOff>220307</xdr:colOff>
      <xdr:row>37</xdr:row>
      <xdr:rowOff>150667</xdr:rowOff>
    </xdr:to>
    <xdr:sp macro="" textlink="">
      <xdr:nvSpPr>
        <xdr:cNvPr id="3275" name="6-Point Star 717">
          <a:extLst>
            <a:ext uri="{FF2B5EF4-FFF2-40B4-BE49-F238E27FC236}">
              <a16:creationId xmlns:a16="http://schemas.microsoft.com/office/drawing/2014/main" id="{2F5474FB-207E-4958-98F3-33A190A8A7AD}"/>
            </a:ext>
          </a:extLst>
        </xdr:cNvPr>
        <xdr:cNvSpPr/>
      </xdr:nvSpPr>
      <xdr:spPr>
        <a:xfrm flipV="1">
          <a:off x="1258531" y="7192347"/>
          <a:ext cx="108664" cy="16362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205053</xdr:colOff>
      <xdr:row>85</xdr:row>
      <xdr:rowOff>119063</xdr:rowOff>
    </xdr:from>
    <xdr:to>
      <xdr:col>44</xdr:col>
      <xdr:colOff>132292</xdr:colOff>
      <xdr:row>86</xdr:row>
      <xdr:rowOff>125677</xdr:rowOff>
    </xdr:to>
    <xdr:sp macro="" textlink="">
      <xdr:nvSpPr>
        <xdr:cNvPr id="3276" name="Freeform 10707">
          <a:extLst>
            <a:ext uri="{FF2B5EF4-FFF2-40B4-BE49-F238E27FC236}">
              <a16:creationId xmlns:a16="http://schemas.microsoft.com/office/drawing/2014/main" id="{1A2FF0F9-3C94-49E3-BC32-C8A31134BF92}"/>
            </a:ext>
          </a:extLst>
        </xdr:cNvPr>
        <xdr:cNvSpPr>
          <a:spLocks/>
        </xdr:cNvSpPr>
      </xdr:nvSpPr>
      <xdr:spPr bwMode="auto">
        <a:xfrm>
          <a:off x="14274272" y="17085469"/>
          <a:ext cx="641614" cy="19843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201083</xdr:colOff>
      <xdr:row>93</xdr:row>
      <xdr:rowOff>52916</xdr:rowOff>
    </xdr:from>
    <xdr:to>
      <xdr:col>12</xdr:col>
      <xdr:colOff>179916</xdr:colOff>
      <xdr:row>94</xdr:row>
      <xdr:rowOff>42333</xdr:rowOff>
    </xdr:to>
    <xdr:sp macro="" textlink="">
      <xdr:nvSpPr>
        <xdr:cNvPr id="3277" name="Freeform 10707">
          <a:extLst>
            <a:ext uri="{FF2B5EF4-FFF2-40B4-BE49-F238E27FC236}">
              <a16:creationId xmlns:a16="http://schemas.microsoft.com/office/drawing/2014/main" id="{AF597B57-4D29-4665-A347-04FB43C0B877}"/>
            </a:ext>
          </a:extLst>
        </xdr:cNvPr>
        <xdr:cNvSpPr>
          <a:spLocks/>
        </xdr:cNvSpPr>
      </xdr:nvSpPr>
      <xdr:spPr bwMode="auto">
        <a:xfrm>
          <a:off x="3282129" y="18830773"/>
          <a:ext cx="620313" cy="18380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2824" name="Group 1008">
          <a:extLst>
            <a:ext uri="{FF2B5EF4-FFF2-40B4-BE49-F238E27FC236}">
              <a16:creationId xmlns:a16="http://schemas.microsoft.com/office/drawing/2014/main" id="{3EB6829D-F9A3-464F-869A-2AA2D5371070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030" name="Straight Connector 3029">
            <a:extLst>
              <a:ext uri="{FF2B5EF4-FFF2-40B4-BE49-F238E27FC236}">
                <a16:creationId xmlns:a16="http://schemas.microsoft.com/office/drawing/2014/main" id="{B7FF3BAA-80C1-7286-E46D-86675BF48E8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40" name="Straight Connector 529">
            <a:extLst>
              <a:ext uri="{FF2B5EF4-FFF2-40B4-BE49-F238E27FC236}">
                <a16:creationId xmlns:a16="http://schemas.microsoft.com/office/drawing/2014/main" id="{DDB5282A-0CA7-5460-A427-E6A57B15CEB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43" name="Straight Connector 531">
            <a:extLst>
              <a:ext uri="{FF2B5EF4-FFF2-40B4-BE49-F238E27FC236}">
                <a16:creationId xmlns:a16="http://schemas.microsoft.com/office/drawing/2014/main" id="{EE9F31A3-78A0-5070-20EC-F0C2114E14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5" name="Straight Connector 533">
            <a:extLst>
              <a:ext uri="{FF2B5EF4-FFF2-40B4-BE49-F238E27FC236}">
                <a16:creationId xmlns:a16="http://schemas.microsoft.com/office/drawing/2014/main" id="{EA55D2B8-1BE8-01BF-4907-C64B410720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7" name="Straight Connector 535">
            <a:extLst>
              <a:ext uri="{FF2B5EF4-FFF2-40B4-BE49-F238E27FC236}">
                <a16:creationId xmlns:a16="http://schemas.microsoft.com/office/drawing/2014/main" id="{29EDA856-E0FF-0F8C-1F13-D6C4C75E20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8" name="Straight Connector 537">
            <a:extLst>
              <a:ext uri="{FF2B5EF4-FFF2-40B4-BE49-F238E27FC236}">
                <a16:creationId xmlns:a16="http://schemas.microsoft.com/office/drawing/2014/main" id="{9E0B8E8C-E0C7-D4FA-3221-C3BDC131E6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278" name="Group 1008">
          <a:extLst>
            <a:ext uri="{FF2B5EF4-FFF2-40B4-BE49-F238E27FC236}">
              <a16:creationId xmlns:a16="http://schemas.microsoft.com/office/drawing/2014/main" id="{6EC2834B-9FB3-479F-88CB-2E06CEB7B543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279" name="Straight Connector 3278">
            <a:extLst>
              <a:ext uri="{FF2B5EF4-FFF2-40B4-BE49-F238E27FC236}">
                <a16:creationId xmlns:a16="http://schemas.microsoft.com/office/drawing/2014/main" id="{937064D2-A500-82F5-9369-B163640F9CFE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80" name="Straight Connector 529">
            <a:extLst>
              <a:ext uri="{FF2B5EF4-FFF2-40B4-BE49-F238E27FC236}">
                <a16:creationId xmlns:a16="http://schemas.microsoft.com/office/drawing/2014/main" id="{837FD04E-4C62-069C-9508-5CD1858811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1" name="Straight Connector 531">
            <a:extLst>
              <a:ext uri="{FF2B5EF4-FFF2-40B4-BE49-F238E27FC236}">
                <a16:creationId xmlns:a16="http://schemas.microsoft.com/office/drawing/2014/main" id="{E1327402-0332-C988-1A54-285BA2CDB8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2" name="Straight Connector 533">
            <a:extLst>
              <a:ext uri="{FF2B5EF4-FFF2-40B4-BE49-F238E27FC236}">
                <a16:creationId xmlns:a16="http://schemas.microsoft.com/office/drawing/2014/main" id="{79E7513B-5C11-4638-AF05-A80E64104E1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3" name="Straight Connector 535">
            <a:extLst>
              <a:ext uri="{FF2B5EF4-FFF2-40B4-BE49-F238E27FC236}">
                <a16:creationId xmlns:a16="http://schemas.microsoft.com/office/drawing/2014/main" id="{17981F80-B678-C4BA-99AF-7A79B79F13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4" name="Straight Connector 537">
            <a:extLst>
              <a:ext uri="{FF2B5EF4-FFF2-40B4-BE49-F238E27FC236}">
                <a16:creationId xmlns:a16="http://schemas.microsoft.com/office/drawing/2014/main" id="{B5A1AF23-7FD0-7CAF-6F0E-A9668F57D0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47625</xdr:rowOff>
    </xdr:to>
    <xdr:grpSp>
      <xdr:nvGrpSpPr>
        <xdr:cNvPr id="3285" name="Group 1008">
          <a:extLst>
            <a:ext uri="{FF2B5EF4-FFF2-40B4-BE49-F238E27FC236}">
              <a16:creationId xmlns:a16="http://schemas.microsoft.com/office/drawing/2014/main" id="{0B52CDAA-4674-4BAF-AE8F-3AA345C0F387}"/>
            </a:ext>
          </a:extLst>
        </xdr:cNvPr>
        <xdr:cNvGrpSpPr>
          <a:grpSpLocks/>
        </xdr:cNvGrpSpPr>
      </xdr:nvGrpSpPr>
      <xdr:grpSpPr bwMode="auto">
        <a:xfrm>
          <a:off x="1146888" y="25293605"/>
          <a:ext cx="0" cy="102183"/>
          <a:chOff x="5475762" y="47760700"/>
          <a:chExt cx="314325" cy="230209"/>
        </a:xfrm>
      </xdr:grpSpPr>
      <xdr:cxnSp macro="">
        <xdr:nvCxnSpPr>
          <xdr:cNvPr id="3286" name="Straight Connector 3285">
            <a:extLst>
              <a:ext uri="{FF2B5EF4-FFF2-40B4-BE49-F238E27FC236}">
                <a16:creationId xmlns:a16="http://schemas.microsoft.com/office/drawing/2014/main" id="{CD1E49B9-844F-8196-4B66-3286C094D56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87" name="Straight Connector 529">
            <a:extLst>
              <a:ext uri="{FF2B5EF4-FFF2-40B4-BE49-F238E27FC236}">
                <a16:creationId xmlns:a16="http://schemas.microsoft.com/office/drawing/2014/main" id="{4D7F29B9-FDD2-68A9-E2B2-6A391E737AF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8" name="Straight Connector 531">
            <a:extLst>
              <a:ext uri="{FF2B5EF4-FFF2-40B4-BE49-F238E27FC236}">
                <a16:creationId xmlns:a16="http://schemas.microsoft.com/office/drawing/2014/main" id="{6891F1E0-6A06-82CB-F493-EBC08E96AC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9" name="Straight Connector 533">
            <a:extLst>
              <a:ext uri="{FF2B5EF4-FFF2-40B4-BE49-F238E27FC236}">
                <a16:creationId xmlns:a16="http://schemas.microsoft.com/office/drawing/2014/main" id="{63125D57-5676-79B2-458E-F91E4EAD3D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0" name="Straight Connector 535">
            <a:extLst>
              <a:ext uri="{FF2B5EF4-FFF2-40B4-BE49-F238E27FC236}">
                <a16:creationId xmlns:a16="http://schemas.microsoft.com/office/drawing/2014/main" id="{E80EF020-5D8C-CA7B-5116-A5A2F33F076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1" name="Straight Connector 537">
            <a:extLst>
              <a:ext uri="{FF2B5EF4-FFF2-40B4-BE49-F238E27FC236}">
                <a16:creationId xmlns:a16="http://schemas.microsoft.com/office/drawing/2014/main" id="{3C03E410-A146-30AC-EA3A-27A7DBA50D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57150</xdr:rowOff>
    </xdr:to>
    <xdr:grpSp>
      <xdr:nvGrpSpPr>
        <xdr:cNvPr id="3292" name="Group 1008">
          <a:extLst>
            <a:ext uri="{FF2B5EF4-FFF2-40B4-BE49-F238E27FC236}">
              <a16:creationId xmlns:a16="http://schemas.microsoft.com/office/drawing/2014/main" id="{D4D1C781-6155-4829-879F-EDE088DD8E01}"/>
            </a:ext>
          </a:extLst>
        </xdr:cNvPr>
        <xdr:cNvGrpSpPr>
          <a:grpSpLocks/>
        </xdr:cNvGrpSpPr>
      </xdr:nvGrpSpPr>
      <xdr:grpSpPr bwMode="auto">
        <a:xfrm>
          <a:off x="1146888" y="25293605"/>
          <a:ext cx="0" cy="111708"/>
          <a:chOff x="5475762" y="47760700"/>
          <a:chExt cx="314325" cy="230209"/>
        </a:xfrm>
      </xdr:grpSpPr>
      <xdr:cxnSp macro="">
        <xdr:nvCxnSpPr>
          <xdr:cNvPr id="3293" name="Straight Connector 3292">
            <a:extLst>
              <a:ext uri="{FF2B5EF4-FFF2-40B4-BE49-F238E27FC236}">
                <a16:creationId xmlns:a16="http://schemas.microsoft.com/office/drawing/2014/main" id="{B3F7294D-D3D7-5C7B-DB91-DE670B3A8B7F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94" name="Straight Connector 529">
            <a:extLst>
              <a:ext uri="{FF2B5EF4-FFF2-40B4-BE49-F238E27FC236}">
                <a16:creationId xmlns:a16="http://schemas.microsoft.com/office/drawing/2014/main" id="{D012D2E8-CC48-B6CD-8FBB-72BD2EC707C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5" name="Straight Connector 531">
            <a:extLst>
              <a:ext uri="{FF2B5EF4-FFF2-40B4-BE49-F238E27FC236}">
                <a16:creationId xmlns:a16="http://schemas.microsoft.com/office/drawing/2014/main" id="{3512A9B0-9BD0-5F01-7F5F-66A5F24CFF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6" name="Straight Connector 533">
            <a:extLst>
              <a:ext uri="{FF2B5EF4-FFF2-40B4-BE49-F238E27FC236}">
                <a16:creationId xmlns:a16="http://schemas.microsoft.com/office/drawing/2014/main" id="{A7840258-FAC2-5746-ED63-B5F466E0AA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7" name="Straight Connector 535">
            <a:extLst>
              <a:ext uri="{FF2B5EF4-FFF2-40B4-BE49-F238E27FC236}">
                <a16:creationId xmlns:a16="http://schemas.microsoft.com/office/drawing/2014/main" id="{422DCF7E-0DE6-C9FE-1639-BA045E7939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8" name="Straight Connector 537">
            <a:extLst>
              <a:ext uri="{FF2B5EF4-FFF2-40B4-BE49-F238E27FC236}">
                <a16:creationId xmlns:a16="http://schemas.microsoft.com/office/drawing/2014/main" id="{49727DCC-599E-9F5D-0F3F-F02374A995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299" name="Group 1008">
          <a:extLst>
            <a:ext uri="{FF2B5EF4-FFF2-40B4-BE49-F238E27FC236}">
              <a16:creationId xmlns:a16="http://schemas.microsoft.com/office/drawing/2014/main" id="{F1885827-6A55-4F35-8F31-72BE7548C6B8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00" name="Straight Connector 3299">
            <a:extLst>
              <a:ext uri="{FF2B5EF4-FFF2-40B4-BE49-F238E27FC236}">
                <a16:creationId xmlns:a16="http://schemas.microsoft.com/office/drawing/2014/main" id="{63807F65-3DCE-BB1C-658C-5A0696A7CB1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01" name="Straight Connector 529">
            <a:extLst>
              <a:ext uri="{FF2B5EF4-FFF2-40B4-BE49-F238E27FC236}">
                <a16:creationId xmlns:a16="http://schemas.microsoft.com/office/drawing/2014/main" id="{692DABF9-97AB-F6BC-F98D-128FF42079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2" name="Straight Connector 531">
            <a:extLst>
              <a:ext uri="{FF2B5EF4-FFF2-40B4-BE49-F238E27FC236}">
                <a16:creationId xmlns:a16="http://schemas.microsoft.com/office/drawing/2014/main" id="{FC49C3AB-F396-2692-159F-27A68A58FEA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3" name="Straight Connector 533">
            <a:extLst>
              <a:ext uri="{FF2B5EF4-FFF2-40B4-BE49-F238E27FC236}">
                <a16:creationId xmlns:a16="http://schemas.microsoft.com/office/drawing/2014/main" id="{1C82EDFE-9F91-F042-5013-37C58D38F6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4" name="Straight Connector 535">
            <a:extLst>
              <a:ext uri="{FF2B5EF4-FFF2-40B4-BE49-F238E27FC236}">
                <a16:creationId xmlns:a16="http://schemas.microsoft.com/office/drawing/2014/main" id="{C4E28498-5CBE-7BC5-2C13-150E7EE2A6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5" name="Straight Connector 537">
            <a:extLst>
              <a:ext uri="{FF2B5EF4-FFF2-40B4-BE49-F238E27FC236}">
                <a16:creationId xmlns:a16="http://schemas.microsoft.com/office/drawing/2014/main" id="{94D7A2DC-C4BD-DD02-F7E8-3F162187DF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06" name="Group 1008">
          <a:extLst>
            <a:ext uri="{FF2B5EF4-FFF2-40B4-BE49-F238E27FC236}">
              <a16:creationId xmlns:a16="http://schemas.microsoft.com/office/drawing/2014/main" id="{ABFA1E79-FA85-4923-8104-093F5EE61E89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07" name="Straight Connector 3306">
            <a:extLst>
              <a:ext uri="{FF2B5EF4-FFF2-40B4-BE49-F238E27FC236}">
                <a16:creationId xmlns:a16="http://schemas.microsoft.com/office/drawing/2014/main" id="{ABAA6AC8-E238-6A99-3D8A-634B55AF35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08" name="Straight Connector 529">
            <a:extLst>
              <a:ext uri="{FF2B5EF4-FFF2-40B4-BE49-F238E27FC236}">
                <a16:creationId xmlns:a16="http://schemas.microsoft.com/office/drawing/2014/main" id="{F99A54A1-A210-1D2D-E819-567F3927878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9" name="Straight Connector 531">
            <a:extLst>
              <a:ext uri="{FF2B5EF4-FFF2-40B4-BE49-F238E27FC236}">
                <a16:creationId xmlns:a16="http://schemas.microsoft.com/office/drawing/2014/main" id="{432914F0-E4FD-F25F-4CDC-7D8ACF04EB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0" name="Straight Connector 533">
            <a:extLst>
              <a:ext uri="{FF2B5EF4-FFF2-40B4-BE49-F238E27FC236}">
                <a16:creationId xmlns:a16="http://schemas.microsoft.com/office/drawing/2014/main" id="{8D734350-95C0-D629-9FE1-17EA9A0A4F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1" name="Straight Connector 535">
            <a:extLst>
              <a:ext uri="{FF2B5EF4-FFF2-40B4-BE49-F238E27FC236}">
                <a16:creationId xmlns:a16="http://schemas.microsoft.com/office/drawing/2014/main" id="{76818B9D-7698-69DE-132B-930D0AD9D4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2" name="Straight Connector 537">
            <a:extLst>
              <a:ext uri="{FF2B5EF4-FFF2-40B4-BE49-F238E27FC236}">
                <a16:creationId xmlns:a16="http://schemas.microsoft.com/office/drawing/2014/main" id="{909A2B3B-E452-D194-58E1-0A7FD3EEB3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13" name="Group 1008">
          <a:extLst>
            <a:ext uri="{FF2B5EF4-FFF2-40B4-BE49-F238E27FC236}">
              <a16:creationId xmlns:a16="http://schemas.microsoft.com/office/drawing/2014/main" id="{87CF9F16-5628-4A30-B6A1-86C16147E260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14" name="Straight Connector 3313">
            <a:extLst>
              <a:ext uri="{FF2B5EF4-FFF2-40B4-BE49-F238E27FC236}">
                <a16:creationId xmlns:a16="http://schemas.microsoft.com/office/drawing/2014/main" id="{3F00CC05-E53D-7C46-29EE-0CA0DAC5C23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15" name="Straight Connector 529">
            <a:extLst>
              <a:ext uri="{FF2B5EF4-FFF2-40B4-BE49-F238E27FC236}">
                <a16:creationId xmlns:a16="http://schemas.microsoft.com/office/drawing/2014/main" id="{F622EEC0-C67C-E923-2C54-6FBA7872C74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6" name="Straight Connector 531">
            <a:extLst>
              <a:ext uri="{FF2B5EF4-FFF2-40B4-BE49-F238E27FC236}">
                <a16:creationId xmlns:a16="http://schemas.microsoft.com/office/drawing/2014/main" id="{4392890C-31C2-008A-5EE5-EB7B169D55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7" name="Straight Connector 533">
            <a:extLst>
              <a:ext uri="{FF2B5EF4-FFF2-40B4-BE49-F238E27FC236}">
                <a16:creationId xmlns:a16="http://schemas.microsoft.com/office/drawing/2014/main" id="{78CA3A0C-5199-8DAC-A61A-2745516697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8" name="Straight Connector 535">
            <a:extLst>
              <a:ext uri="{FF2B5EF4-FFF2-40B4-BE49-F238E27FC236}">
                <a16:creationId xmlns:a16="http://schemas.microsoft.com/office/drawing/2014/main" id="{1A8C1DFC-8603-6489-8DB2-156125FBF6C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9" name="Straight Connector 537">
            <a:extLst>
              <a:ext uri="{FF2B5EF4-FFF2-40B4-BE49-F238E27FC236}">
                <a16:creationId xmlns:a16="http://schemas.microsoft.com/office/drawing/2014/main" id="{87A9ACC4-5BBB-65EB-A6D0-F299BCE86B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20" name="Group 1008">
          <a:extLst>
            <a:ext uri="{FF2B5EF4-FFF2-40B4-BE49-F238E27FC236}">
              <a16:creationId xmlns:a16="http://schemas.microsoft.com/office/drawing/2014/main" id="{F1804D0B-C05F-43EA-A069-86313C2D95EC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21" name="Straight Connector 3320">
            <a:extLst>
              <a:ext uri="{FF2B5EF4-FFF2-40B4-BE49-F238E27FC236}">
                <a16:creationId xmlns:a16="http://schemas.microsoft.com/office/drawing/2014/main" id="{B6EEF327-B04D-5F3F-4E67-CD529034A7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22" name="Straight Connector 529">
            <a:extLst>
              <a:ext uri="{FF2B5EF4-FFF2-40B4-BE49-F238E27FC236}">
                <a16:creationId xmlns:a16="http://schemas.microsoft.com/office/drawing/2014/main" id="{514D2C19-ED85-FCAA-0F9B-900728DBEA3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3" name="Straight Connector 531">
            <a:extLst>
              <a:ext uri="{FF2B5EF4-FFF2-40B4-BE49-F238E27FC236}">
                <a16:creationId xmlns:a16="http://schemas.microsoft.com/office/drawing/2014/main" id="{4107B39F-1EA7-2FFC-C6C0-67C79F35B9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4" name="Straight Connector 533">
            <a:extLst>
              <a:ext uri="{FF2B5EF4-FFF2-40B4-BE49-F238E27FC236}">
                <a16:creationId xmlns:a16="http://schemas.microsoft.com/office/drawing/2014/main" id="{7DA08F43-0E97-84B8-8953-5F37700268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5" name="Straight Connector 535">
            <a:extLst>
              <a:ext uri="{FF2B5EF4-FFF2-40B4-BE49-F238E27FC236}">
                <a16:creationId xmlns:a16="http://schemas.microsoft.com/office/drawing/2014/main" id="{06EFE3D8-B2A3-81B6-24D8-7F748260615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6" name="Straight Connector 537">
            <a:extLst>
              <a:ext uri="{FF2B5EF4-FFF2-40B4-BE49-F238E27FC236}">
                <a16:creationId xmlns:a16="http://schemas.microsoft.com/office/drawing/2014/main" id="{8B4733D6-1696-2147-DC8E-16D5260DFA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27" name="Group 1008">
          <a:extLst>
            <a:ext uri="{FF2B5EF4-FFF2-40B4-BE49-F238E27FC236}">
              <a16:creationId xmlns:a16="http://schemas.microsoft.com/office/drawing/2014/main" id="{62B3232D-1ED1-4DB4-AE07-FBF7E9DE1CBF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28" name="Straight Connector 3327">
            <a:extLst>
              <a:ext uri="{FF2B5EF4-FFF2-40B4-BE49-F238E27FC236}">
                <a16:creationId xmlns:a16="http://schemas.microsoft.com/office/drawing/2014/main" id="{13D68983-FBCE-5EA7-0522-5D54CEF9BE0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29" name="Straight Connector 529">
            <a:extLst>
              <a:ext uri="{FF2B5EF4-FFF2-40B4-BE49-F238E27FC236}">
                <a16:creationId xmlns:a16="http://schemas.microsoft.com/office/drawing/2014/main" id="{E2EFF90D-3B1F-EC9B-AB3E-00A2D3214A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0" name="Straight Connector 531">
            <a:extLst>
              <a:ext uri="{FF2B5EF4-FFF2-40B4-BE49-F238E27FC236}">
                <a16:creationId xmlns:a16="http://schemas.microsoft.com/office/drawing/2014/main" id="{A9658920-D9FE-7689-CEC8-372C1D7005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1" name="Straight Connector 533">
            <a:extLst>
              <a:ext uri="{FF2B5EF4-FFF2-40B4-BE49-F238E27FC236}">
                <a16:creationId xmlns:a16="http://schemas.microsoft.com/office/drawing/2014/main" id="{C3FDC5C6-9C8B-A83B-0502-9BCB93B034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2" name="Straight Connector 535">
            <a:extLst>
              <a:ext uri="{FF2B5EF4-FFF2-40B4-BE49-F238E27FC236}">
                <a16:creationId xmlns:a16="http://schemas.microsoft.com/office/drawing/2014/main" id="{18FCE5D3-70A5-3421-C69E-4820A39C4B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3" name="Straight Connector 537">
            <a:extLst>
              <a:ext uri="{FF2B5EF4-FFF2-40B4-BE49-F238E27FC236}">
                <a16:creationId xmlns:a16="http://schemas.microsoft.com/office/drawing/2014/main" id="{89D640BA-384E-F302-7B60-C08FE5CD81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34" name="Group 1008">
          <a:extLst>
            <a:ext uri="{FF2B5EF4-FFF2-40B4-BE49-F238E27FC236}">
              <a16:creationId xmlns:a16="http://schemas.microsoft.com/office/drawing/2014/main" id="{A3C657B9-17D7-4185-914B-5B1E79FD8504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35" name="Straight Connector 3334">
            <a:extLst>
              <a:ext uri="{FF2B5EF4-FFF2-40B4-BE49-F238E27FC236}">
                <a16:creationId xmlns:a16="http://schemas.microsoft.com/office/drawing/2014/main" id="{71A61870-59A1-D102-4004-21A2A75FB8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36" name="Straight Connector 529">
            <a:extLst>
              <a:ext uri="{FF2B5EF4-FFF2-40B4-BE49-F238E27FC236}">
                <a16:creationId xmlns:a16="http://schemas.microsoft.com/office/drawing/2014/main" id="{7194FADB-C53E-7231-3200-A0435B4548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7" name="Straight Connector 531">
            <a:extLst>
              <a:ext uri="{FF2B5EF4-FFF2-40B4-BE49-F238E27FC236}">
                <a16:creationId xmlns:a16="http://schemas.microsoft.com/office/drawing/2014/main" id="{247E0B7B-873B-DF84-24D0-13C59CFCA46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8" name="Straight Connector 533">
            <a:extLst>
              <a:ext uri="{FF2B5EF4-FFF2-40B4-BE49-F238E27FC236}">
                <a16:creationId xmlns:a16="http://schemas.microsoft.com/office/drawing/2014/main" id="{DA94E167-2734-3061-A61A-00C09CE8CF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9" name="Straight Connector 535">
            <a:extLst>
              <a:ext uri="{FF2B5EF4-FFF2-40B4-BE49-F238E27FC236}">
                <a16:creationId xmlns:a16="http://schemas.microsoft.com/office/drawing/2014/main" id="{EEB52426-D23C-3B18-164B-AD61067F2B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0" name="Straight Connector 537">
            <a:extLst>
              <a:ext uri="{FF2B5EF4-FFF2-40B4-BE49-F238E27FC236}">
                <a16:creationId xmlns:a16="http://schemas.microsoft.com/office/drawing/2014/main" id="{E36E4E61-992A-EE0C-9650-8F0563AFBB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41" name="Group 1008">
          <a:extLst>
            <a:ext uri="{FF2B5EF4-FFF2-40B4-BE49-F238E27FC236}">
              <a16:creationId xmlns:a16="http://schemas.microsoft.com/office/drawing/2014/main" id="{BF850F09-DA10-4E56-8382-95D992A1EDD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42" name="Straight Connector 3341">
            <a:extLst>
              <a:ext uri="{FF2B5EF4-FFF2-40B4-BE49-F238E27FC236}">
                <a16:creationId xmlns:a16="http://schemas.microsoft.com/office/drawing/2014/main" id="{1CA8F224-2FD2-68BF-3507-5A3FA6070B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43" name="Straight Connector 529">
            <a:extLst>
              <a:ext uri="{FF2B5EF4-FFF2-40B4-BE49-F238E27FC236}">
                <a16:creationId xmlns:a16="http://schemas.microsoft.com/office/drawing/2014/main" id="{DC817EA2-1CB7-D0F4-547B-DB86AEFA080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4" name="Straight Connector 531">
            <a:extLst>
              <a:ext uri="{FF2B5EF4-FFF2-40B4-BE49-F238E27FC236}">
                <a16:creationId xmlns:a16="http://schemas.microsoft.com/office/drawing/2014/main" id="{DADECD23-FA56-C856-5E7F-36964C4806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5" name="Straight Connector 533">
            <a:extLst>
              <a:ext uri="{FF2B5EF4-FFF2-40B4-BE49-F238E27FC236}">
                <a16:creationId xmlns:a16="http://schemas.microsoft.com/office/drawing/2014/main" id="{01A644B1-D52D-4048-79CF-B5A6E413AB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6" name="Straight Connector 535">
            <a:extLst>
              <a:ext uri="{FF2B5EF4-FFF2-40B4-BE49-F238E27FC236}">
                <a16:creationId xmlns:a16="http://schemas.microsoft.com/office/drawing/2014/main" id="{86845796-208B-7F95-C9A6-A17A254B8C3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7" name="Straight Connector 537">
            <a:extLst>
              <a:ext uri="{FF2B5EF4-FFF2-40B4-BE49-F238E27FC236}">
                <a16:creationId xmlns:a16="http://schemas.microsoft.com/office/drawing/2014/main" id="{F2F19062-0B51-EC28-1FCB-623A388C8F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48" name="Group 1008">
          <a:extLst>
            <a:ext uri="{FF2B5EF4-FFF2-40B4-BE49-F238E27FC236}">
              <a16:creationId xmlns:a16="http://schemas.microsoft.com/office/drawing/2014/main" id="{AA251FC4-082D-4B28-8E78-2F904642EDA0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49" name="Straight Connector 3348">
            <a:extLst>
              <a:ext uri="{FF2B5EF4-FFF2-40B4-BE49-F238E27FC236}">
                <a16:creationId xmlns:a16="http://schemas.microsoft.com/office/drawing/2014/main" id="{9A9DAC5C-2B89-BAF3-D8E5-50B51EF789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50" name="Straight Connector 529">
            <a:extLst>
              <a:ext uri="{FF2B5EF4-FFF2-40B4-BE49-F238E27FC236}">
                <a16:creationId xmlns:a16="http://schemas.microsoft.com/office/drawing/2014/main" id="{534B9FA7-3280-BB10-CD70-CDC43C2A5BB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1" name="Straight Connector 531">
            <a:extLst>
              <a:ext uri="{FF2B5EF4-FFF2-40B4-BE49-F238E27FC236}">
                <a16:creationId xmlns:a16="http://schemas.microsoft.com/office/drawing/2014/main" id="{34E81312-83A7-571D-84F4-556021341A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2" name="Straight Connector 533">
            <a:extLst>
              <a:ext uri="{FF2B5EF4-FFF2-40B4-BE49-F238E27FC236}">
                <a16:creationId xmlns:a16="http://schemas.microsoft.com/office/drawing/2014/main" id="{2F15BF54-D517-E440-0114-CBA23EF0FDA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3" name="Straight Connector 535">
            <a:extLst>
              <a:ext uri="{FF2B5EF4-FFF2-40B4-BE49-F238E27FC236}">
                <a16:creationId xmlns:a16="http://schemas.microsoft.com/office/drawing/2014/main" id="{B0A2EADB-8028-320C-E482-AF599586B7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4" name="Straight Connector 537">
            <a:extLst>
              <a:ext uri="{FF2B5EF4-FFF2-40B4-BE49-F238E27FC236}">
                <a16:creationId xmlns:a16="http://schemas.microsoft.com/office/drawing/2014/main" id="{23A0A535-1860-85AC-A70C-17A372DB92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55" name="Group 1008">
          <a:extLst>
            <a:ext uri="{FF2B5EF4-FFF2-40B4-BE49-F238E27FC236}">
              <a16:creationId xmlns:a16="http://schemas.microsoft.com/office/drawing/2014/main" id="{B5D27BD9-1CBD-43DB-8875-FCE5DE7A30F8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56" name="Straight Connector 3355">
            <a:extLst>
              <a:ext uri="{FF2B5EF4-FFF2-40B4-BE49-F238E27FC236}">
                <a16:creationId xmlns:a16="http://schemas.microsoft.com/office/drawing/2014/main" id="{3A30FE56-E976-5D49-44DD-C7FFA071E9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57" name="Straight Connector 529">
            <a:extLst>
              <a:ext uri="{FF2B5EF4-FFF2-40B4-BE49-F238E27FC236}">
                <a16:creationId xmlns:a16="http://schemas.microsoft.com/office/drawing/2014/main" id="{5D6A60D8-9ECB-A3DB-18EA-84D7092AF5D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8" name="Straight Connector 531">
            <a:extLst>
              <a:ext uri="{FF2B5EF4-FFF2-40B4-BE49-F238E27FC236}">
                <a16:creationId xmlns:a16="http://schemas.microsoft.com/office/drawing/2014/main" id="{2C012071-2B56-FD46-29FD-8E5910C96D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9" name="Straight Connector 533">
            <a:extLst>
              <a:ext uri="{FF2B5EF4-FFF2-40B4-BE49-F238E27FC236}">
                <a16:creationId xmlns:a16="http://schemas.microsoft.com/office/drawing/2014/main" id="{772B93C8-C6C4-90A0-6D59-1B290B77AF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0" name="Straight Connector 535">
            <a:extLst>
              <a:ext uri="{FF2B5EF4-FFF2-40B4-BE49-F238E27FC236}">
                <a16:creationId xmlns:a16="http://schemas.microsoft.com/office/drawing/2014/main" id="{76A30ED4-042A-E13A-DB26-F09E77D3E1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1" name="Straight Connector 537">
            <a:extLst>
              <a:ext uri="{FF2B5EF4-FFF2-40B4-BE49-F238E27FC236}">
                <a16:creationId xmlns:a16="http://schemas.microsoft.com/office/drawing/2014/main" id="{532BA5EC-1F6A-12B0-5D68-8C8F4818CE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62" name="Group 1008">
          <a:extLst>
            <a:ext uri="{FF2B5EF4-FFF2-40B4-BE49-F238E27FC236}">
              <a16:creationId xmlns:a16="http://schemas.microsoft.com/office/drawing/2014/main" id="{EFE5C589-DC0C-413E-9EE7-222C14B6857D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63" name="Straight Connector 3362">
            <a:extLst>
              <a:ext uri="{FF2B5EF4-FFF2-40B4-BE49-F238E27FC236}">
                <a16:creationId xmlns:a16="http://schemas.microsoft.com/office/drawing/2014/main" id="{21235D17-F204-97C4-697F-A04731F8591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64" name="Straight Connector 529">
            <a:extLst>
              <a:ext uri="{FF2B5EF4-FFF2-40B4-BE49-F238E27FC236}">
                <a16:creationId xmlns:a16="http://schemas.microsoft.com/office/drawing/2014/main" id="{DC3FE7AF-9ADE-4D72-0BCB-05A4DF0B8CA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5" name="Straight Connector 531">
            <a:extLst>
              <a:ext uri="{FF2B5EF4-FFF2-40B4-BE49-F238E27FC236}">
                <a16:creationId xmlns:a16="http://schemas.microsoft.com/office/drawing/2014/main" id="{96270EF7-0CBA-6BCF-9FED-141EBE4FF3B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6" name="Straight Connector 533">
            <a:extLst>
              <a:ext uri="{FF2B5EF4-FFF2-40B4-BE49-F238E27FC236}">
                <a16:creationId xmlns:a16="http://schemas.microsoft.com/office/drawing/2014/main" id="{C9497879-A1D8-D2A8-9666-CE9CE2B1D5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7" name="Straight Connector 535">
            <a:extLst>
              <a:ext uri="{FF2B5EF4-FFF2-40B4-BE49-F238E27FC236}">
                <a16:creationId xmlns:a16="http://schemas.microsoft.com/office/drawing/2014/main" id="{3D0BBAF7-23CF-B74A-E226-3DCFCE3FCD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8" name="Straight Connector 537">
            <a:extLst>
              <a:ext uri="{FF2B5EF4-FFF2-40B4-BE49-F238E27FC236}">
                <a16:creationId xmlns:a16="http://schemas.microsoft.com/office/drawing/2014/main" id="{78976E9F-2109-04D1-C0A0-DC385411EDA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69" name="Group 1008">
          <a:extLst>
            <a:ext uri="{FF2B5EF4-FFF2-40B4-BE49-F238E27FC236}">
              <a16:creationId xmlns:a16="http://schemas.microsoft.com/office/drawing/2014/main" id="{A7C34621-C705-4029-A275-408D884B7CEC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70" name="Straight Connector 3369">
            <a:extLst>
              <a:ext uri="{FF2B5EF4-FFF2-40B4-BE49-F238E27FC236}">
                <a16:creationId xmlns:a16="http://schemas.microsoft.com/office/drawing/2014/main" id="{7DAAA38C-F7FA-7327-DF3B-E9983ECC032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71" name="Straight Connector 529">
            <a:extLst>
              <a:ext uri="{FF2B5EF4-FFF2-40B4-BE49-F238E27FC236}">
                <a16:creationId xmlns:a16="http://schemas.microsoft.com/office/drawing/2014/main" id="{832BEDA2-FF77-3769-1954-CDF87883A3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2" name="Straight Connector 531">
            <a:extLst>
              <a:ext uri="{FF2B5EF4-FFF2-40B4-BE49-F238E27FC236}">
                <a16:creationId xmlns:a16="http://schemas.microsoft.com/office/drawing/2014/main" id="{B57EE4EA-8416-651F-3EE0-9C2227EB81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3" name="Straight Connector 533">
            <a:extLst>
              <a:ext uri="{FF2B5EF4-FFF2-40B4-BE49-F238E27FC236}">
                <a16:creationId xmlns:a16="http://schemas.microsoft.com/office/drawing/2014/main" id="{BC625B9A-9E41-4D8F-66AB-1D7CC29403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4" name="Straight Connector 535">
            <a:extLst>
              <a:ext uri="{FF2B5EF4-FFF2-40B4-BE49-F238E27FC236}">
                <a16:creationId xmlns:a16="http://schemas.microsoft.com/office/drawing/2014/main" id="{A901B491-ECA7-0F46-3773-393B5C9A98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5" name="Straight Connector 537">
            <a:extLst>
              <a:ext uri="{FF2B5EF4-FFF2-40B4-BE49-F238E27FC236}">
                <a16:creationId xmlns:a16="http://schemas.microsoft.com/office/drawing/2014/main" id="{1F228898-4803-E3FB-E90A-9E581112F8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76" name="Group 1008">
          <a:extLst>
            <a:ext uri="{FF2B5EF4-FFF2-40B4-BE49-F238E27FC236}">
              <a16:creationId xmlns:a16="http://schemas.microsoft.com/office/drawing/2014/main" id="{0B96F802-BD28-4C25-BD5A-25BDDB3A52BB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77" name="Straight Connector 3376">
            <a:extLst>
              <a:ext uri="{FF2B5EF4-FFF2-40B4-BE49-F238E27FC236}">
                <a16:creationId xmlns:a16="http://schemas.microsoft.com/office/drawing/2014/main" id="{C6071508-4022-2A9A-FBB9-13C92F83BD9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78" name="Straight Connector 529">
            <a:extLst>
              <a:ext uri="{FF2B5EF4-FFF2-40B4-BE49-F238E27FC236}">
                <a16:creationId xmlns:a16="http://schemas.microsoft.com/office/drawing/2014/main" id="{A86CA4FE-00CE-CAF2-477B-F5265055B2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9" name="Straight Connector 531">
            <a:extLst>
              <a:ext uri="{FF2B5EF4-FFF2-40B4-BE49-F238E27FC236}">
                <a16:creationId xmlns:a16="http://schemas.microsoft.com/office/drawing/2014/main" id="{3BA56D83-6423-4FAD-5785-A8214D9DB3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0" name="Straight Connector 533">
            <a:extLst>
              <a:ext uri="{FF2B5EF4-FFF2-40B4-BE49-F238E27FC236}">
                <a16:creationId xmlns:a16="http://schemas.microsoft.com/office/drawing/2014/main" id="{9A31E924-1FFF-4A67-5E7A-27DC5D4437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1" name="Straight Connector 535">
            <a:extLst>
              <a:ext uri="{FF2B5EF4-FFF2-40B4-BE49-F238E27FC236}">
                <a16:creationId xmlns:a16="http://schemas.microsoft.com/office/drawing/2014/main" id="{E10A6E64-2331-E7AC-901E-0696CDE9A0A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2" name="Straight Connector 537">
            <a:extLst>
              <a:ext uri="{FF2B5EF4-FFF2-40B4-BE49-F238E27FC236}">
                <a16:creationId xmlns:a16="http://schemas.microsoft.com/office/drawing/2014/main" id="{21CA64CE-EE13-A92C-C306-5E1DD669E2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83" name="Group 1008">
          <a:extLst>
            <a:ext uri="{FF2B5EF4-FFF2-40B4-BE49-F238E27FC236}">
              <a16:creationId xmlns:a16="http://schemas.microsoft.com/office/drawing/2014/main" id="{38E337B3-93A1-45C5-BC8F-8DF69D7081A6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84" name="Straight Connector 3383">
            <a:extLst>
              <a:ext uri="{FF2B5EF4-FFF2-40B4-BE49-F238E27FC236}">
                <a16:creationId xmlns:a16="http://schemas.microsoft.com/office/drawing/2014/main" id="{C3CC4C6A-D5A7-05B1-116D-8391A2161C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85" name="Straight Connector 529">
            <a:extLst>
              <a:ext uri="{FF2B5EF4-FFF2-40B4-BE49-F238E27FC236}">
                <a16:creationId xmlns:a16="http://schemas.microsoft.com/office/drawing/2014/main" id="{0339EDDC-A03B-9648-114B-E3412BB7892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6" name="Straight Connector 531">
            <a:extLst>
              <a:ext uri="{FF2B5EF4-FFF2-40B4-BE49-F238E27FC236}">
                <a16:creationId xmlns:a16="http://schemas.microsoft.com/office/drawing/2014/main" id="{2F8CA655-C856-A44F-764F-3C971BA608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7" name="Straight Connector 533">
            <a:extLst>
              <a:ext uri="{FF2B5EF4-FFF2-40B4-BE49-F238E27FC236}">
                <a16:creationId xmlns:a16="http://schemas.microsoft.com/office/drawing/2014/main" id="{2472BC14-8C6E-5BD6-8C7C-A1FB0B1B86B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8" name="Straight Connector 535">
            <a:extLst>
              <a:ext uri="{FF2B5EF4-FFF2-40B4-BE49-F238E27FC236}">
                <a16:creationId xmlns:a16="http://schemas.microsoft.com/office/drawing/2014/main" id="{E78C4311-0844-6427-F069-83C1000235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9" name="Straight Connector 537">
            <a:extLst>
              <a:ext uri="{FF2B5EF4-FFF2-40B4-BE49-F238E27FC236}">
                <a16:creationId xmlns:a16="http://schemas.microsoft.com/office/drawing/2014/main" id="{117ACEA6-36B2-44FA-9036-0E1F423451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90" name="Group 1008">
          <a:extLst>
            <a:ext uri="{FF2B5EF4-FFF2-40B4-BE49-F238E27FC236}">
              <a16:creationId xmlns:a16="http://schemas.microsoft.com/office/drawing/2014/main" id="{F9B53742-455C-41D3-BB2A-ED6367FD13CB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91" name="Straight Connector 3390">
            <a:extLst>
              <a:ext uri="{FF2B5EF4-FFF2-40B4-BE49-F238E27FC236}">
                <a16:creationId xmlns:a16="http://schemas.microsoft.com/office/drawing/2014/main" id="{8C0E0C04-FCEA-1282-F268-5D2380710DE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92" name="Straight Connector 529">
            <a:extLst>
              <a:ext uri="{FF2B5EF4-FFF2-40B4-BE49-F238E27FC236}">
                <a16:creationId xmlns:a16="http://schemas.microsoft.com/office/drawing/2014/main" id="{1C2232DB-FCD6-4A01-19F5-C2C67E0C52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3" name="Straight Connector 531">
            <a:extLst>
              <a:ext uri="{FF2B5EF4-FFF2-40B4-BE49-F238E27FC236}">
                <a16:creationId xmlns:a16="http://schemas.microsoft.com/office/drawing/2014/main" id="{7D83E48D-D9F1-E5B3-B23B-A3A56FFD0E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4" name="Straight Connector 533">
            <a:extLst>
              <a:ext uri="{FF2B5EF4-FFF2-40B4-BE49-F238E27FC236}">
                <a16:creationId xmlns:a16="http://schemas.microsoft.com/office/drawing/2014/main" id="{5FB8E765-67E2-5628-978D-5FE7DB125D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5" name="Straight Connector 535">
            <a:extLst>
              <a:ext uri="{FF2B5EF4-FFF2-40B4-BE49-F238E27FC236}">
                <a16:creationId xmlns:a16="http://schemas.microsoft.com/office/drawing/2014/main" id="{C07757FE-B047-2989-6047-1FF0276CAC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6" name="Straight Connector 537">
            <a:extLst>
              <a:ext uri="{FF2B5EF4-FFF2-40B4-BE49-F238E27FC236}">
                <a16:creationId xmlns:a16="http://schemas.microsoft.com/office/drawing/2014/main" id="{1FFF9236-1186-AD85-6F90-154C581E71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97" name="Group 1008">
          <a:extLst>
            <a:ext uri="{FF2B5EF4-FFF2-40B4-BE49-F238E27FC236}">
              <a16:creationId xmlns:a16="http://schemas.microsoft.com/office/drawing/2014/main" id="{82378995-3258-4355-8097-E46867DAC04C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98" name="Straight Connector 3397">
            <a:extLst>
              <a:ext uri="{FF2B5EF4-FFF2-40B4-BE49-F238E27FC236}">
                <a16:creationId xmlns:a16="http://schemas.microsoft.com/office/drawing/2014/main" id="{55D0E971-5254-6158-877A-1A4DF5F01D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99" name="Straight Connector 529">
            <a:extLst>
              <a:ext uri="{FF2B5EF4-FFF2-40B4-BE49-F238E27FC236}">
                <a16:creationId xmlns:a16="http://schemas.microsoft.com/office/drawing/2014/main" id="{D32B886C-FD66-53BB-0807-5EC1D6960F1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0" name="Straight Connector 531">
            <a:extLst>
              <a:ext uri="{FF2B5EF4-FFF2-40B4-BE49-F238E27FC236}">
                <a16:creationId xmlns:a16="http://schemas.microsoft.com/office/drawing/2014/main" id="{1C5031F4-6480-624E-12F5-13718C5626B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1" name="Straight Connector 533">
            <a:extLst>
              <a:ext uri="{FF2B5EF4-FFF2-40B4-BE49-F238E27FC236}">
                <a16:creationId xmlns:a16="http://schemas.microsoft.com/office/drawing/2014/main" id="{2752E770-26F5-9BDD-C54A-9AC2893D12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2" name="Straight Connector 535">
            <a:extLst>
              <a:ext uri="{FF2B5EF4-FFF2-40B4-BE49-F238E27FC236}">
                <a16:creationId xmlns:a16="http://schemas.microsoft.com/office/drawing/2014/main" id="{19F8AE02-0282-A674-6B2C-D2856E6D1B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3" name="Straight Connector 537">
            <a:extLst>
              <a:ext uri="{FF2B5EF4-FFF2-40B4-BE49-F238E27FC236}">
                <a16:creationId xmlns:a16="http://schemas.microsoft.com/office/drawing/2014/main" id="{691A05DB-1FEB-E3C1-9984-389511E84A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04" name="Group 1008">
          <a:extLst>
            <a:ext uri="{FF2B5EF4-FFF2-40B4-BE49-F238E27FC236}">
              <a16:creationId xmlns:a16="http://schemas.microsoft.com/office/drawing/2014/main" id="{B732E722-1CF8-493B-9950-319D534E5614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05" name="Straight Connector 3404">
            <a:extLst>
              <a:ext uri="{FF2B5EF4-FFF2-40B4-BE49-F238E27FC236}">
                <a16:creationId xmlns:a16="http://schemas.microsoft.com/office/drawing/2014/main" id="{9C1DB717-A2AC-A48F-3DA7-3370572298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06" name="Straight Connector 529">
            <a:extLst>
              <a:ext uri="{FF2B5EF4-FFF2-40B4-BE49-F238E27FC236}">
                <a16:creationId xmlns:a16="http://schemas.microsoft.com/office/drawing/2014/main" id="{B73F678F-A89C-C540-7671-B9E5B3A6014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7" name="Straight Connector 531">
            <a:extLst>
              <a:ext uri="{FF2B5EF4-FFF2-40B4-BE49-F238E27FC236}">
                <a16:creationId xmlns:a16="http://schemas.microsoft.com/office/drawing/2014/main" id="{92A6BE92-44DD-3442-D808-9FFBA1177E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8" name="Straight Connector 533">
            <a:extLst>
              <a:ext uri="{FF2B5EF4-FFF2-40B4-BE49-F238E27FC236}">
                <a16:creationId xmlns:a16="http://schemas.microsoft.com/office/drawing/2014/main" id="{09EFF8FE-84F5-C0DA-DB5F-B8010B6E9AC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9" name="Straight Connector 535">
            <a:extLst>
              <a:ext uri="{FF2B5EF4-FFF2-40B4-BE49-F238E27FC236}">
                <a16:creationId xmlns:a16="http://schemas.microsoft.com/office/drawing/2014/main" id="{63F91F4B-0798-552E-5900-B4C13589AF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0" name="Straight Connector 537">
            <a:extLst>
              <a:ext uri="{FF2B5EF4-FFF2-40B4-BE49-F238E27FC236}">
                <a16:creationId xmlns:a16="http://schemas.microsoft.com/office/drawing/2014/main" id="{A53EAC99-C826-1A9E-694D-F26A996964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11" name="Group 1008">
          <a:extLst>
            <a:ext uri="{FF2B5EF4-FFF2-40B4-BE49-F238E27FC236}">
              <a16:creationId xmlns:a16="http://schemas.microsoft.com/office/drawing/2014/main" id="{63A115D0-BEA7-4882-B974-6384177D71D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12" name="Straight Connector 3411">
            <a:extLst>
              <a:ext uri="{FF2B5EF4-FFF2-40B4-BE49-F238E27FC236}">
                <a16:creationId xmlns:a16="http://schemas.microsoft.com/office/drawing/2014/main" id="{27AFF092-E11D-B813-948B-7855AEC522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13" name="Straight Connector 529">
            <a:extLst>
              <a:ext uri="{FF2B5EF4-FFF2-40B4-BE49-F238E27FC236}">
                <a16:creationId xmlns:a16="http://schemas.microsoft.com/office/drawing/2014/main" id="{235692F0-50BE-7441-F9D2-553AC01B2F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4" name="Straight Connector 531">
            <a:extLst>
              <a:ext uri="{FF2B5EF4-FFF2-40B4-BE49-F238E27FC236}">
                <a16:creationId xmlns:a16="http://schemas.microsoft.com/office/drawing/2014/main" id="{CEF586A9-A0E1-ECD0-E412-29BFF4E4CC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5" name="Straight Connector 533">
            <a:extLst>
              <a:ext uri="{FF2B5EF4-FFF2-40B4-BE49-F238E27FC236}">
                <a16:creationId xmlns:a16="http://schemas.microsoft.com/office/drawing/2014/main" id="{5E053977-325F-A02D-54B3-5244AB045F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6" name="Straight Connector 535">
            <a:extLst>
              <a:ext uri="{FF2B5EF4-FFF2-40B4-BE49-F238E27FC236}">
                <a16:creationId xmlns:a16="http://schemas.microsoft.com/office/drawing/2014/main" id="{B649F752-9672-4827-3EC4-772DD61D6E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7" name="Straight Connector 537">
            <a:extLst>
              <a:ext uri="{FF2B5EF4-FFF2-40B4-BE49-F238E27FC236}">
                <a16:creationId xmlns:a16="http://schemas.microsoft.com/office/drawing/2014/main" id="{0553A200-B354-C68C-7416-C99449E7F9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18" name="Group 1008">
          <a:extLst>
            <a:ext uri="{FF2B5EF4-FFF2-40B4-BE49-F238E27FC236}">
              <a16:creationId xmlns:a16="http://schemas.microsoft.com/office/drawing/2014/main" id="{234EAC69-ACB7-4B4F-9290-FBC6D67422AF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19" name="Straight Connector 3418">
            <a:extLst>
              <a:ext uri="{FF2B5EF4-FFF2-40B4-BE49-F238E27FC236}">
                <a16:creationId xmlns:a16="http://schemas.microsoft.com/office/drawing/2014/main" id="{E8231092-6976-8F72-645D-7972709F00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20" name="Straight Connector 529">
            <a:extLst>
              <a:ext uri="{FF2B5EF4-FFF2-40B4-BE49-F238E27FC236}">
                <a16:creationId xmlns:a16="http://schemas.microsoft.com/office/drawing/2014/main" id="{BA6A4ACE-A4E4-95CF-291E-3501DDDC979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1" name="Straight Connector 531">
            <a:extLst>
              <a:ext uri="{FF2B5EF4-FFF2-40B4-BE49-F238E27FC236}">
                <a16:creationId xmlns:a16="http://schemas.microsoft.com/office/drawing/2014/main" id="{3AC04782-6C11-8D92-F0D4-9555AC936B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2" name="Straight Connector 533">
            <a:extLst>
              <a:ext uri="{FF2B5EF4-FFF2-40B4-BE49-F238E27FC236}">
                <a16:creationId xmlns:a16="http://schemas.microsoft.com/office/drawing/2014/main" id="{499E5DA0-6293-6606-5198-73A5EBCB01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3" name="Straight Connector 535">
            <a:extLst>
              <a:ext uri="{FF2B5EF4-FFF2-40B4-BE49-F238E27FC236}">
                <a16:creationId xmlns:a16="http://schemas.microsoft.com/office/drawing/2014/main" id="{5155F610-57C8-5123-A765-1AA98CB74F2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4" name="Straight Connector 537">
            <a:extLst>
              <a:ext uri="{FF2B5EF4-FFF2-40B4-BE49-F238E27FC236}">
                <a16:creationId xmlns:a16="http://schemas.microsoft.com/office/drawing/2014/main" id="{C1C49F8E-D834-C83E-BBA3-A482EB5689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25" name="Group 1008">
          <a:extLst>
            <a:ext uri="{FF2B5EF4-FFF2-40B4-BE49-F238E27FC236}">
              <a16:creationId xmlns:a16="http://schemas.microsoft.com/office/drawing/2014/main" id="{52A83778-F455-44D8-82AA-3DF069EFF1D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26" name="Straight Connector 3425">
            <a:extLst>
              <a:ext uri="{FF2B5EF4-FFF2-40B4-BE49-F238E27FC236}">
                <a16:creationId xmlns:a16="http://schemas.microsoft.com/office/drawing/2014/main" id="{F9341C04-7C34-1E83-1D00-0EF7BB210CA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27" name="Straight Connector 529">
            <a:extLst>
              <a:ext uri="{FF2B5EF4-FFF2-40B4-BE49-F238E27FC236}">
                <a16:creationId xmlns:a16="http://schemas.microsoft.com/office/drawing/2014/main" id="{F3420EDA-27FC-F1B1-0546-B4412D17DC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8" name="Straight Connector 531">
            <a:extLst>
              <a:ext uri="{FF2B5EF4-FFF2-40B4-BE49-F238E27FC236}">
                <a16:creationId xmlns:a16="http://schemas.microsoft.com/office/drawing/2014/main" id="{CAAF9EF1-1AE1-1231-51CE-FB8DF6C470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9" name="Straight Connector 533">
            <a:extLst>
              <a:ext uri="{FF2B5EF4-FFF2-40B4-BE49-F238E27FC236}">
                <a16:creationId xmlns:a16="http://schemas.microsoft.com/office/drawing/2014/main" id="{1AF45088-08A9-1C30-0725-7FAA100E7F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0" name="Straight Connector 535">
            <a:extLst>
              <a:ext uri="{FF2B5EF4-FFF2-40B4-BE49-F238E27FC236}">
                <a16:creationId xmlns:a16="http://schemas.microsoft.com/office/drawing/2014/main" id="{BC858E00-6CB5-0729-A905-D47DD7F48E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1" name="Straight Connector 537">
            <a:extLst>
              <a:ext uri="{FF2B5EF4-FFF2-40B4-BE49-F238E27FC236}">
                <a16:creationId xmlns:a16="http://schemas.microsoft.com/office/drawing/2014/main" id="{9C855832-9D75-0FB1-6616-2029E9E549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32" name="Group 1008">
          <a:extLst>
            <a:ext uri="{FF2B5EF4-FFF2-40B4-BE49-F238E27FC236}">
              <a16:creationId xmlns:a16="http://schemas.microsoft.com/office/drawing/2014/main" id="{5143B09B-A57C-4ED1-AE02-F11F7511B8F8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33" name="Straight Connector 3432">
            <a:extLst>
              <a:ext uri="{FF2B5EF4-FFF2-40B4-BE49-F238E27FC236}">
                <a16:creationId xmlns:a16="http://schemas.microsoft.com/office/drawing/2014/main" id="{DFBECF53-76E4-B284-3312-48415BA341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34" name="Straight Connector 529">
            <a:extLst>
              <a:ext uri="{FF2B5EF4-FFF2-40B4-BE49-F238E27FC236}">
                <a16:creationId xmlns:a16="http://schemas.microsoft.com/office/drawing/2014/main" id="{5CDFB16E-0D2F-4549-074B-5FC10F49BA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5" name="Straight Connector 531">
            <a:extLst>
              <a:ext uri="{FF2B5EF4-FFF2-40B4-BE49-F238E27FC236}">
                <a16:creationId xmlns:a16="http://schemas.microsoft.com/office/drawing/2014/main" id="{6AD60747-046E-6426-A1C5-6CF9FEFCB3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6" name="Straight Connector 533">
            <a:extLst>
              <a:ext uri="{FF2B5EF4-FFF2-40B4-BE49-F238E27FC236}">
                <a16:creationId xmlns:a16="http://schemas.microsoft.com/office/drawing/2014/main" id="{6C687BD9-3B4B-3F01-3200-1DF4962039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7" name="Straight Connector 535">
            <a:extLst>
              <a:ext uri="{FF2B5EF4-FFF2-40B4-BE49-F238E27FC236}">
                <a16:creationId xmlns:a16="http://schemas.microsoft.com/office/drawing/2014/main" id="{CE0FAE02-C15D-FC32-D315-B544952768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8" name="Straight Connector 537">
            <a:extLst>
              <a:ext uri="{FF2B5EF4-FFF2-40B4-BE49-F238E27FC236}">
                <a16:creationId xmlns:a16="http://schemas.microsoft.com/office/drawing/2014/main" id="{FCF7241A-42F3-3E75-30A6-206A52073C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39" name="Group 1008">
          <a:extLst>
            <a:ext uri="{FF2B5EF4-FFF2-40B4-BE49-F238E27FC236}">
              <a16:creationId xmlns:a16="http://schemas.microsoft.com/office/drawing/2014/main" id="{8C9B8BD1-AD55-4A0A-ABAB-B64AB6C7ACD3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40" name="Straight Connector 3439">
            <a:extLst>
              <a:ext uri="{FF2B5EF4-FFF2-40B4-BE49-F238E27FC236}">
                <a16:creationId xmlns:a16="http://schemas.microsoft.com/office/drawing/2014/main" id="{234CB30F-ABDF-8C7D-9D58-5F6BF4FA2C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41" name="Straight Connector 529">
            <a:extLst>
              <a:ext uri="{FF2B5EF4-FFF2-40B4-BE49-F238E27FC236}">
                <a16:creationId xmlns:a16="http://schemas.microsoft.com/office/drawing/2014/main" id="{403FF953-C49E-4854-D024-98C412A4D8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2" name="Straight Connector 531">
            <a:extLst>
              <a:ext uri="{FF2B5EF4-FFF2-40B4-BE49-F238E27FC236}">
                <a16:creationId xmlns:a16="http://schemas.microsoft.com/office/drawing/2014/main" id="{903642AB-B53C-5ABA-B633-6DF7EF2D8E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3" name="Straight Connector 533">
            <a:extLst>
              <a:ext uri="{FF2B5EF4-FFF2-40B4-BE49-F238E27FC236}">
                <a16:creationId xmlns:a16="http://schemas.microsoft.com/office/drawing/2014/main" id="{E3BD6459-2F82-F40A-6ACC-F484A3B9DB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4" name="Straight Connector 535">
            <a:extLst>
              <a:ext uri="{FF2B5EF4-FFF2-40B4-BE49-F238E27FC236}">
                <a16:creationId xmlns:a16="http://schemas.microsoft.com/office/drawing/2014/main" id="{E387E30E-34C3-34B9-C564-B1AD21E464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5" name="Straight Connector 537">
            <a:extLst>
              <a:ext uri="{FF2B5EF4-FFF2-40B4-BE49-F238E27FC236}">
                <a16:creationId xmlns:a16="http://schemas.microsoft.com/office/drawing/2014/main" id="{673A6E52-F62B-AEEE-7B6A-CA8E5DAB0E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46" name="Group 1008">
          <a:extLst>
            <a:ext uri="{FF2B5EF4-FFF2-40B4-BE49-F238E27FC236}">
              <a16:creationId xmlns:a16="http://schemas.microsoft.com/office/drawing/2014/main" id="{466E9F21-0362-4212-BBB8-8A716F483B6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47" name="Straight Connector 3446">
            <a:extLst>
              <a:ext uri="{FF2B5EF4-FFF2-40B4-BE49-F238E27FC236}">
                <a16:creationId xmlns:a16="http://schemas.microsoft.com/office/drawing/2014/main" id="{BC1FCD71-C5A9-7373-7AF3-79E0ED54ECC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48" name="Straight Connector 529">
            <a:extLst>
              <a:ext uri="{FF2B5EF4-FFF2-40B4-BE49-F238E27FC236}">
                <a16:creationId xmlns:a16="http://schemas.microsoft.com/office/drawing/2014/main" id="{0EB5710F-6E28-FAE1-489D-DD44C3CAB4E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9" name="Straight Connector 531">
            <a:extLst>
              <a:ext uri="{FF2B5EF4-FFF2-40B4-BE49-F238E27FC236}">
                <a16:creationId xmlns:a16="http://schemas.microsoft.com/office/drawing/2014/main" id="{01699FCA-9BA7-C8E2-DD2A-AA8BD0FD9B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0" name="Straight Connector 533">
            <a:extLst>
              <a:ext uri="{FF2B5EF4-FFF2-40B4-BE49-F238E27FC236}">
                <a16:creationId xmlns:a16="http://schemas.microsoft.com/office/drawing/2014/main" id="{2FECAE4E-0027-1CA9-AC0B-5381780D0FC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1" name="Straight Connector 535">
            <a:extLst>
              <a:ext uri="{FF2B5EF4-FFF2-40B4-BE49-F238E27FC236}">
                <a16:creationId xmlns:a16="http://schemas.microsoft.com/office/drawing/2014/main" id="{14340FBD-DA59-9D23-7A1C-5B01B6C1F8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2" name="Straight Connector 537">
            <a:extLst>
              <a:ext uri="{FF2B5EF4-FFF2-40B4-BE49-F238E27FC236}">
                <a16:creationId xmlns:a16="http://schemas.microsoft.com/office/drawing/2014/main" id="{4E11B679-C228-02B2-1DA7-E22A1F8A06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125</xdr:row>
      <xdr:rowOff>57150</xdr:rowOff>
    </xdr:from>
    <xdr:to>
      <xdr:col>5</xdr:col>
      <xdr:colOff>0</xdr:colOff>
      <xdr:row>127</xdr:row>
      <xdr:rowOff>0</xdr:rowOff>
    </xdr:to>
    <xdr:sp macro="" textlink="">
      <xdr:nvSpPr>
        <xdr:cNvPr id="3453" name="AutoShape 46">
          <a:extLst>
            <a:ext uri="{FF2B5EF4-FFF2-40B4-BE49-F238E27FC236}">
              <a16:creationId xmlns:a16="http://schemas.microsoft.com/office/drawing/2014/main" id="{638D9F9C-91D7-4120-9C79-9199D187B955}"/>
            </a:ext>
          </a:extLst>
        </xdr:cNvPr>
        <xdr:cNvSpPr>
          <a:spLocks noChangeArrowheads="1"/>
        </xdr:cNvSpPr>
      </xdr:nvSpPr>
      <xdr:spPr bwMode="auto">
        <a:xfrm>
          <a:off x="1778000" y="23224067"/>
          <a:ext cx="338667" cy="323850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125</xdr:row>
      <xdr:rowOff>57150</xdr:rowOff>
    </xdr:from>
    <xdr:to>
      <xdr:col>3</xdr:col>
      <xdr:colOff>0</xdr:colOff>
      <xdr:row>127</xdr:row>
      <xdr:rowOff>0</xdr:rowOff>
    </xdr:to>
    <xdr:sp macro="" textlink="">
      <xdr:nvSpPr>
        <xdr:cNvPr id="3454" name="AutoShape 46">
          <a:extLst>
            <a:ext uri="{FF2B5EF4-FFF2-40B4-BE49-F238E27FC236}">
              <a16:creationId xmlns:a16="http://schemas.microsoft.com/office/drawing/2014/main" id="{76CAFE79-D210-4610-B977-4DB9AEED7382}"/>
            </a:ext>
          </a:extLst>
        </xdr:cNvPr>
        <xdr:cNvSpPr>
          <a:spLocks noChangeArrowheads="1"/>
        </xdr:cNvSpPr>
      </xdr:nvSpPr>
      <xdr:spPr bwMode="auto">
        <a:xfrm>
          <a:off x="1153583" y="23224067"/>
          <a:ext cx="338667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56" name="Group 1008">
          <a:extLst>
            <a:ext uri="{FF2B5EF4-FFF2-40B4-BE49-F238E27FC236}">
              <a16:creationId xmlns:a16="http://schemas.microsoft.com/office/drawing/2014/main" id="{12B5A1C5-9EB2-488C-91B8-451E8EEB101C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57" name="Straight Connector 3456">
            <a:extLst>
              <a:ext uri="{FF2B5EF4-FFF2-40B4-BE49-F238E27FC236}">
                <a16:creationId xmlns:a16="http://schemas.microsoft.com/office/drawing/2014/main" id="{157A108C-EFFE-B3A2-26B7-3571642E91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58" name="Straight Connector 529">
            <a:extLst>
              <a:ext uri="{FF2B5EF4-FFF2-40B4-BE49-F238E27FC236}">
                <a16:creationId xmlns:a16="http://schemas.microsoft.com/office/drawing/2014/main" id="{ADCBBABB-4F01-467A-E7C4-5BC716BE3A8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9" name="Straight Connector 531">
            <a:extLst>
              <a:ext uri="{FF2B5EF4-FFF2-40B4-BE49-F238E27FC236}">
                <a16:creationId xmlns:a16="http://schemas.microsoft.com/office/drawing/2014/main" id="{868D43A3-D88C-C00A-BF74-A8BBE15208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0" name="Straight Connector 533">
            <a:extLst>
              <a:ext uri="{FF2B5EF4-FFF2-40B4-BE49-F238E27FC236}">
                <a16:creationId xmlns:a16="http://schemas.microsoft.com/office/drawing/2014/main" id="{4808BD0F-9825-909E-2BD9-968CDB7C1C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1" name="Straight Connector 535">
            <a:extLst>
              <a:ext uri="{FF2B5EF4-FFF2-40B4-BE49-F238E27FC236}">
                <a16:creationId xmlns:a16="http://schemas.microsoft.com/office/drawing/2014/main" id="{2F8C5948-F2F3-479A-C94A-88FAC9E779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2" name="Straight Connector 537">
            <a:extLst>
              <a:ext uri="{FF2B5EF4-FFF2-40B4-BE49-F238E27FC236}">
                <a16:creationId xmlns:a16="http://schemas.microsoft.com/office/drawing/2014/main" id="{04CAFDB9-8D41-F2C5-C2FE-5E01A2DBA63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63" name="Group 1008">
          <a:extLst>
            <a:ext uri="{FF2B5EF4-FFF2-40B4-BE49-F238E27FC236}">
              <a16:creationId xmlns:a16="http://schemas.microsoft.com/office/drawing/2014/main" id="{F5592E5A-E07E-4E57-AD5C-34D04A7B3DB6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64" name="Straight Connector 3463">
            <a:extLst>
              <a:ext uri="{FF2B5EF4-FFF2-40B4-BE49-F238E27FC236}">
                <a16:creationId xmlns:a16="http://schemas.microsoft.com/office/drawing/2014/main" id="{06A419D1-8D5E-BA23-C689-95510C707447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65" name="Straight Connector 529">
            <a:extLst>
              <a:ext uri="{FF2B5EF4-FFF2-40B4-BE49-F238E27FC236}">
                <a16:creationId xmlns:a16="http://schemas.microsoft.com/office/drawing/2014/main" id="{56F8CB5C-31BB-ED6B-2C6C-159F84C34C3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6" name="Straight Connector 531">
            <a:extLst>
              <a:ext uri="{FF2B5EF4-FFF2-40B4-BE49-F238E27FC236}">
                <a16:creationId xmlns:a16="http://schemas.microsoft.com/office/drawing/2014/main" id="{AE7DB4D1-41B8-D274-0C9F-3C6257BC6F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7" name="Straight Connector 533">
            <a:extLst>
              <a:ext uri="{FF2B5EF4-FFF2-40B4-BE49-F238E27FC236}">
                <a16:creationId xmlns:a16="http://schemas.microsoft.com/office/drawing/2014/main" id="{6339AE34-5E24-8562-C773-D4E157BC79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8" name="Straight Connector 535">
            <a:extLst>
              <a:ext uri="{FF2B5EF4-FFF2-40B4-BE49-F238E27FC236}">
                <a16:creationId xmlns:a16="http://schemas.microsoft.com/office/drawing/2014/main" id="{AA7B1E5E-AD0F-A22D-19E0-7B090933ED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9" name="Straight Connector 537">
            <a:extLst>
              <a:ext uri="{FF2B5EF4-FFF2-40B4-BE49-F238E27FC236}">
                <a16:creationId xmlns:a16="http://schemas.microsoft.com/office/drawing/2014/main" id="{FC715054-2C66-5F27-1C47-CF160DE2076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47625</xdr:rowOff>
    </xdr:to>
    <xdr:grpSp>
      <xdr:nvGrpSpPr>
        <xdr:cNvPr id="3470" name="Group 1008">
          <a:extLst>
            <a:ext uri="{FF2B5EF4-FFF2-40B4-BE49-F238E27FC236}">
              <a16:creationId xmlns:a16="http://schemas.microsoft.com/office/drawing/2014/main" id="{9E8F97D2-2E96-42C6-AC2B-F4B0CBCE23AC}"/>
            </a:ext>
          </a:extLst>
        </xdr:cNvPr>
        <xdr:cNvGrpSpPr>
          <a:grpSpLocks/>
        </xdr:cNvGrpSpPr>
      </xdr:nvGrpSpPr>
      <xdr:grpSpPr bwMode="auto">
        <a:xfrm>
          <a:off x="1146888" y="25293605"/>
          <a:ext cx="0" cy="102183"/>
          <a:chOff x="5475762" y="47760700"/>
          <a:chExt cx="314325" cy="230209"/>
        </a:xfrm>
      </xdr:grpSpPr>
      <xdr:cxnSp macro="">
        <xdr:nvCxnSpPr>
          <xdr:cNvPr id="3471" name="Straight Connector 3470">
            <a:extLst>
              <a:ext uri="{FF2B5EF4-FFF2-40B4-BE49-F238E27FC236}">
                <a16:creationId xmlns:a16="http://schemas.microsoft.com/office/drawing/2014/main" id="{6BF09C2F-8E86-90B6-9C40-CA15AF07B42B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72" name="Straight Connector 529">
            <a:extLst>
              <a:ext uri="{FF2B5EF4-FFF2-40B4-BE49-F238E27FC236}">
                <a16:creationId xmlns:a16="http://schemas.microsoft.com/office/drawing/2014/main" id="{84B4A02F-F192-191E-CAB7-247A7F114B5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3" name="Straight Connector 531">
            <a:extLst>
              <a:ext uri="{FF2B5EF4-FFF2-40B4-BE49-F238E27FC236}">
                <a16:creationId xmlns:a16="http://schemas.microsoft.com/office/drawing/2014/main" id="{AABB2455-CE70-3978-F024-6286864D98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4" name="Straight Connector 533">
            <a:extLst>
              <a:ext uri="{FF2B5EF4-FFF2-40B4-BE49-F238E27FC236}">
                <a16:creationId xmlns:a16="http://schemas.microsoft.com/office/drawing/2014/main" id="{AAB5846D-CCBE-181A-E109-EE25409DC9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5" name="Straight Connector 535">
            <a:extLst>
              <a:ext uri="{FF2B5EF4-FFF2-40B4-BE49-F238E27FC236}">
                <a16:creationId xmlns:a16="http://schemas.microsoft.com/office/drawing/2014/main" id="{55F50F86-CBBF-AA59-012A-5AED708DD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6" name="Straight Connector 537">
            <a:extLst>
              <a:ext uri="{FF2B5EF4-FFF2-40B4-BE49-F238E27FC236}">
                <a16:creationId xmlns:a16="http://schemas.microsoft.com/office/drawing/2014/main" id="{098A477B-D5CA-6D0D-92E5-DF408BC252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57150</xdr:rowOff>
    </xdr:to>
    <xdr:grpSp>
      <xdr:nvGrpSpPr>
        <xdr:cNvPr id="3477" name="Group 1008">
          <a:extLst>
            <a:ext uri="{FF2B5EF4-FFF2-40B4-BE49-F238E27FC236}">
              <a16:creationId xmlns:a16="http://schemas.microsoft.com/office/drawing/2014/main" id="{1BDC5D66-37DD-4FAE-BEF6-DF0B4CC18A10}"/>
            </a:ext>
          </a:extLst>
        </xdr:cNvPr>
        <xdr:cNvGrpSpPr>
          <a:grpSpLocks/>
        </xdr:cNvGrpSpPr>
      </xdr:nvGrpSpPr>
      <xdr:grpSpPr bwMode="auto">
        <a:xfrm>
          <a:off x="1146888" y="25293605"/>
          <a:ext cx="0" cy="111708"/>
          <a:chOff x="5475762" y="47760700"/>
          <a:chExt cx="314325" cy="230209"/>
        </a:xfrm>
      </xdr:grpSpPr>
      <xdr:cxnSp macro="">
        <xdr:nvCxnSpPr>
          <xdr:cNvPr id="3478" name="Straight Connector 3477">
            <a:extLst>
              <a:ext uri="{FF2B5EF4-FFF2-40B4-BE49-F238E27FC236}">
                <a16:creationId xmlns:a16="http://schemas.microsoft.com/office/drawing/2014/main" id="{E8893543-2D01-05F6-B2AB-0898E30C81D0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79" name="Straight Connector 529">
            <a:extLst>
              <a:ext uri="{FF2B5EF4-FFF2-40B4-BE49-F238E27FC236}">
                <a16:creationId xmlns:a16="http://schemas.microsoft.com/office/drawing/2014/main" id="{C3BA7006-0DFA-FBDC-9C56-224F778CD3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0" name="Straight Connector 531">
            <a:extLst>
              <a:ext uri="{FF2B5EF4-FFF2-40B4-BE49-F238E27FC236}">
                <a16:creationId xmlns:a16="http://schemas.microsoft.com/office/drawing/2014/main" id="{CB0F73FE-2745-DB0E-3593-7DF3A08034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1" name="Straight Connector 533">
            <a:extLst>
              <a:ext uri="{FF2B5EF4-FFF2-40B4-BE49-F238E27FC236}">
                <a16:creationId xmlns:a16="http://schemas.microsoft.com/office/drawing/2014/main" id="{376BEBF9-2CFE-5F1C-761E-1A39DCC256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2" name="Straight Connector 535">
            <a:extLst>
              <a:ext uri="{FF2B5EF4-FFF2-40B4-BE49-F238E27FC236}">
                <a16:creationId xmlns:a16="http://schemas.microsoft.com/office/drawing/2014/main" id="{F6E973A7-11E1-DE24-122B-3EE79A2E21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3" name="Straight Connector 537">
            <a:extLst>
              <a:ext uri="{FF2B5EF4-FFF2-40B4-BE49-F238E27FC236}">
                <a16:creationId xmlns:a16="http://schemas.microsoft.com/office/drawing/2014/main" id="{44DD993E-2434-7F0A-18E9-3127E44FA5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84" name="Group 1008">
          <a:extLst>
            <a:ext uri="{FF2B5EF4-FFF2-40B4-BE49-F238E27FC236}">
              <a16:creationId xmlns:a16="http://schemas.microsoft.com/office/drawing/2014/main" id="{6FB85979-0139-4F3A-878B-C4BBFD999CD9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85" name="Straight Connector 3484">
            <a:extLst>
              <a:ext uri="{FF2B5EF4-FFF2-40B4-BE49-F238E27FC236}">
                <a16:creationId xmlns:a16="http://schemas.microsoft.com/office/drawing/2014/main" id="{6FCEA2AA-9C8D-0386-3B49-647163B9A4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86" name="Straight Connector 529">
            <a:extLst>
              <a:ext uri="{FF2B5EF4-FFF2-40B4-BE49-F238E27FC236}">
                <a16:creationId xmlns:a16="http://schemas.microsoft.com/office/drawing/2014/main" id="{AA2DA1DA-B51C-3526-D24D-62E5789119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7" name="Straight Connector 531">
            <a:extLst>
              <a:ext uri="{FF2B5EF4-FFF2-40B4-BE49-F238E27FC236}">
                <a16:creationId xmlns:a16="http://schemas.microsoft.com/office/drawing/2014/main" id="{006C105C-F618-3A16-0F24-3838ED6F525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8" name="Straight Connector 533">
            <a:extLst>
              <a:ext uri="{FF2B5EF4-FFF2-40B4-BE49-F238E27FC236}">
                <a16:creationId xmlns:a16="http://schemas.microsoft.com/office/drawing/2014/main" id="{0A7812DE-B18B-0CFE-30D9-43CA5A90B0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9" name="Straight Connector 535">
            <a:extLst>
              <a:ext uri="{FF2B5EF4-FFF2-40B4-BE49-F238E27FC236}">
                <a16:creationId xmlns:a16="http://schemas.microsoft.com/office/drawing/2014/main" id="{6CE77A6D-72A0-4BE1-1C36-0C842F1905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0" name="Straight Connector 537">
            <a:extLst>
              <a:ext uri="{FF2B5EF4-FFF2-40B4-BE49-F238E27FC236}">
                <a16:creationId xmlns:a16="http://schemas.microsoft.com/office/drawing/2014/main" id="{40865479-AB05-D7BE-0B31-AE60736D6C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91" name="Group 1008">
          <a:extLst>
            <a:ext uri="{FF2B5EF4-FFF2-40B4-BE49-F238E27FC236}">
              <a16:creationId xmlns:a16="http://schemas.microsoft.com/office/drawing/2014/main" id="{9B0770F3-4E34-489F-8AEB-9698477C154D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92" name="Straight Connector 3491">
            <a:extLst>
              <a:ext uri="{FF2B5EF4-FFF2-40B4-BE49-F238E27FC236}">
                <a16:creationId xmlns:a16="http://schemas.microsoft.com/office/drawing/2014/main" id="{EEE74328-6BAA-D11A-43C4-ED29F972FC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93" name="Straight Connector 529">
            <a:extLst>
              <a:ext uri="{FF2B5EF4-FFF2-40B4-BE49-F238E27FC236}">
                <a16:creationId xmlns:a16="http://schemas.microsoft.com/office/drawing/2014/main" id="{DF60BFA4-6484-DC78-313D-551474E0B46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4" name="Straight Connector 531">
            <a:extLst>
              <a:ext uri="{FF2B5EF4-FFF2-40B4-BE49-F238E27FC236}">
                <a16:creationId xmlns:a16="http://schemas.microsoft.com/office/drawing/2014/main" id="{5A7E50C5-D22C-BD17-34FD-A35DCF0EDF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5" name="Straight Connector 533">
            <a:extLst>
              <a:ext uri="{FF2B5EF4-FFF2-40B4-BE49-F238E27FC236}">
                <a16:creationId xmlns:a16="http://schemas.microsoft.com/office/drawing/2014/main" id="{5952341F-53E2-5C7D-9C6B-BCB8AF2002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6" name="Straight Connector 535">
            <a:extLst>
              <a:ext uri="{FF2B5EF4-FFF2-40B4-BE49-F238E27FC236}">
                <a16:creationId xmlns:a16="http://schemas.microsoft.com/office/drawing/2014/main" id="{254A1E78-973A-EC75-7102-9B410ACF55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7" name="Straight Connector 537">
            <a:extLst>
              <a:ext uri="{FF2B5EF4-FFF2-40B4-BE49-F238E27FC236}">
                <a16:creationId xmlns:a16="http://schemas.microsoft.com/office/drawing/2014/main" id="{7F0A0F14-5942-104B-64B6-3AE9EFE7BE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98" name="Group 1008">
          <a:extLst>
            <a:ext uri="{FF2B5EF4-FFF2-40B4-BE49-F238E27FC236}">
              <a16:creationId xmlns:a16="http://schemas.microsoft.com/office/drawing/2014/main" id="{869964BE-8E75-48C1-83AE-5D7DAA0EEC09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99" name="Straight Connector 3498">
            <a:extLst>
              <a:ext uri="{FF2B5EF4-FFF2-40B4-BE49-F238E27FC236}">
                <a16:creationId xmlns:a16="http://schemas.microsoft.com/office/drawing/2014/main" id="{5C574C3B-02FE-AA52-EBCA-6D1453DBA6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00" name="Straight Connector 529">
            <a:extLst>
              <a:ext uri="{FF2B5EF4-FFF2-40B4-BE49-F238E27FC236}">
                <a16:creationId xmlns:a16="http://schemas.microsoft.com/office/drawing/2014/main" id="{51E4E6D0-B174-1C2C-F8D8-70F333E63B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1" name="Straight Connector 531">
            <a:extLst>
              <a:ext uri="{FF2B5EF4-FFF2-40B4-BE49-F238E27FC236}">
                <a16:creationId xmlns:a16="http://schemas.microsoft.com/office/drawing/2014/main" id="{14C6898B-D6C5-FD94-F4DF-3232901311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2" name="Straight Connector 533">
            <a:extLst>
              <a:ext uri="{FF2B5EF4-FFF2-40B4-BE49-F238E27FC236}">
                <a16:creationId xmlns:a16="http://schemas.microsoft.com/office/drawing/2014/main" id="{D78F4348-CD5B-8896-D668-1227A9AA54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3" name="Straight Connector 535">
            <a:extLst>
              <a:ext uri="{FF2B5EF4-FFF2-40B4-BE49-F238E27FC236}">
                <a16:creationId xmlns:a16="http://schemas.microsoft.com/office/drawing/2014/main" id="{89D69926-FD7C-4472-B2F5-0BBD045715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4" name="Straight Connector 537">
            <a:extLst>
              <a:ext uri="{FF2B5EF4-FFF2-40B4-BE49-F238E27FC236}">
                <a16:creationId xmlns:a16="http://schemas.microsoft.com/office/drawing/2014/main" id="{BC7F3EDA-32ED-C376-7909-242F9F6D7C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05" name="Group 1008">
          <a:extLst>
            <a:ext uri="{FF2B5EF4-FFF2-40B4-BE49-F238E27FC236}">
              <a16:creationId xmlns:a16="http://schemas.microsoft.com/office/drawing/2014/main" id="{901522A4-088B-488F-BC4D-1B90777D1B89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06" name="Straight Connector 3505">
            <a:extLst>
              <a:ext uri="{FF2B5EF4-FFF2-40B4-BE49-F238E27FC236}">
                <a16:creationId xmlns:a16="http://schemas.microsoft.com/office/drawing/2014/main" id="{502432FE-8A87-6863-5E52-6EFB379DE5F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07" name="Straight Connector 529">
            <a:extLst>
              <a:ext uri="{FF2B5EF4-FFF2-40B4-BE49-F238E27FC236}">
                <a16:creationId xmlns:a16="http://schemas.microsoft.com/office/drawing/2014/main" id="{3D237077-5D0E-A036-E1BB-2A4F055B7B1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8" name="Straight Connector 531">
            <a:extLst>
              <a:ext uri="{FF2B5EF4-FFF2-40B4-BE49-F238E27FC236}">
                <a16:creationId xmlns:a16="http://schemas.microsoft.com/office/drawing/2014/main" id="{5AF7D464-21F8-F6BD-1F24-7E4479292F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9" name="Straight Connector 533">
            <a:extLst>
              <a:ext uri="{FF2B5EF4-FFF2-40B4-BE49-F238E27FC236}">
                <a16:creationId xmlns:a16="http://schemas.microsoft.com/office/drawing/2014/main" id="{29354737-E2EE-0896-A08E-01E2E5086A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0" name="Straight Connector 535">
            <a:extLst>
              <a:ext uri="{FF2B5EF4-FFF2-40B4-BE49-F238E27FC236}">
                <a16:creationId xmlns:a16="http://schemas.microsoft.com/office/drawing/2014/main" id="{EED96A49-0447-B6EC-BCB3-EE3F5C8B94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1" name="Straight Connector 537">
            <a:extLst>
              <a:ext uri="{FF2B5EF4-FFF2-40B4-BE49-F238E27FC236}">
                <a16:creationId xmlns:a16="http://schemas.microsoft.com/office/drawing/2014/main" id="{4EE47C28-3516-F72B-A026-8A3DA96ACB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12" name="Group 1008">
          <a:extLst>
            <a:ext uri="{FF2B5EF4-FFF2-40B4-BE49-F238E27FC236}">
              <a16:creationId xmlns:a16="http://schemas.microsoft.com/office/drawing/2014/main" id="{9480853A-0F0B-4FE0-AA93-C417162919AE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13" name="Straight Connector 3512">
            <a:extLst>
              <a:ext uri="{FF2B5EF4-FFF2-40B4-BE49-F238E27FC236}">
                <a16:creationId xmlns:a16="http://schemas.microsoft.com/office/drawing/2014/main" id="{54C2A950-BF0C-C498-46B5-C99D7923F3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14" name="Straight Connector 529">
            <a:extLst>
              <a:ext uri="{FF2B5EF4-FFF2-40B4-BE49-F238E27FC236}">
                <a16:creationId xmlns:a16="http://schemas.microsoft.com/office/drawing/2014/main" id="{8EB25081-564E-20D7-8C02-110A21A9A33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5" name="Straight Connector 531">
            <a:extLst>
              <a:ext uri="{FF2B5EF4-FFF2-40B4-BE49-F238E27FC236}">
                <a16:creationId xmlns:a16="http://schemas.microsoft.com/office/drawing/2014/main" id="{6C0167B9-9C81-6EE6-BC16-49FE8A4A5D1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6" name="Straight Connector 533">
            <a:extLst>
              <a:ext uri="{FF2B5EF4-FFF2-40B4-BE49-F238E27FC236}">
                <a16:creationId xmlns:a16="http://schemas.microsoft.com/office/drawing/2014/main" id="{A7B39E21-D838-EB85-EC15-ADE3AFF747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7" name="Straight Connector 535">
            <a:extLst>
              <a:ext uri="{FF2B5EF4-FFF2-40B4-BE49-F238E27FC236}">
                <a16:creationId xmlns:a16="http://schemas.microsoft.com/office/drawing/2014/main" id="{39C3394B-9A3C-416B-9FDF-61CF181F1F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8" name="Straight Connector 537">
            <a:extLst>
              <a:ext uri="{FF2B5EF4-FFF2-40B4-BE49-F238E27FC236}">
                <a16:creationId xmlns:a16="http://schemas.microsoft.com/office/drawing/2014/main" id="{9B0D93D0-9BEC-9796-D3CC-62715A0DC9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19" name="Group 1008">
          <a:extLst>
            <a:ext uri="{FF2B5EF4-FFF2-40B4-BE49-F238E27FC236}">
              <a16:creationId xmlns:a16="http://schemas.microsoft.com/office/drawing/2014/main" id="{09485122-C86D-46DD-9073-86E8ACA3B98B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20" name="Straight Connector 3519">
            <a:extLst>
              <a:ext uri="{FF2B5EF4-FFF2-40B4-BE49-F238E27FC236}">
                <a16:creationId xmlns:a16="http://schemas.microsoft.com/office/drawing/2014/main" id="{83AA8B11-2F93-FC06-DDCC-FD87E93C128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21" name="Straight Connector 529">
            <a:extLst>
              <a:ext uri="{FF2B5EF4-FFF2-40B4-BE49-F238E27FC236}">
                <a16:creationId xmlns:a16="http://schemas.microsoft.com/office/drawing/2014/main" id="{BC8F483B-96FD-CA19-F976-93314C33A58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2" name="Straight Connector 531">
            <a:extLst>
              <a:ext uri="{FF2B5EF4-FFF2-40B4-BE49-F238E27FC236}">
                <a16:creationId xmlns:a16="http://schemas.microsoft.com/office/drawing/2014/main" id="{5FE0ACC7-5847-6541-1D13-CB2F3D88B8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3" name="Straight Connector 533">
            <a:extLst>
              <a:ext uri="{FF2B5EF4-FFF2-40B4-BE49-F238E27FC236}">
                <a16:creationId xmlns:a16="http://schemas.microsoft.com/office/drawing/2014/main" id="{E77CCC20-2BF0-AD3A-2AC0-A8813DB745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4" name="Straight Connector 535">
            <a:extLst>
              <a:ext uri="{FF2B5EF4-FFF2-40B4-BE49-F238E27FC236}">
                <a16:creationId xmlns:a16="http://schemas.microsoft.com/office/drawing/2014/main" id="{D864A86D-410C-A2BE-194E-E7F6B3417A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5" name="Straight Connector 537">
            <a:extLst>
              <a:ext uri="{FF2B5EF4-FFF2-40B4-BE49-F238E27FC236}">
                <a16:creationId xmlns:a16="http://schemas.microsoft.com/office/drawing/2014/main" id="{7A5BAB02-9E47-0FF3-AF74-E4FB38246E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26" name="Group 1008">
          <a:extLst>
            <a:ext uri="{FF2B5EF4-FFF2-40B4-BE49-F238E27FC236}">
              <a16:creationId xmlns:a16="http://schemas.microsoft.com/office/drawing/2014/main" id="{1B3F08D5-5B2B-41CE-9D03-B31686C9DD3E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27" name="Straight Connector 3526">
            <a:extLst>
              <a:ext uri="{FF2B5EF4-FFF2-40B4-BE49-F238E27FC236}">
                <a16:creationId xmlns:a16="http://schemas.microsoft.com/office/drawing/2014/main" id="{09768723-21DB-29C6-4BA8-6CD5433D95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28" name="Straight Connector 529">
            <a:extLst>
              <a:ext uri="{FF2B5EF4-FFF2-40B4-BE49-F238E27FC236}">
                <a16:creationId xmlns:a16="http://schemas.microsoft.com/office/drawing/2014/main" id="{C264A7CB-05CF-677C-5383-8DFB91BF34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9" name="Straight Connector 531">
            <a:extLst>
              <a:ext uri="{FF2B5EF4-FFF2-40B4-BE49-F238E27FC236}">
                <a16:creationId xmlns:a16="http://schemas.microsoft.com/office/drawing/2014/main" id="{44F85193-BADB-4F9B-93D0-3FBBF0B8DB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0" name="Straight Connector 533">
            <a:extLst>
              <a:ext uri="{FF2B5EF4-FFF2-40B4-BE49-F238E27FC236}">
                <a16:creationId xmlns:a16="http://schemas.microsoft.com/office/drawing/2014/main" id="{2E5DF1CD-FFF1-0349-841A-CD7E212CF9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1" name="Straight Connector 535">
            <a:extLst>
              <a:ext uri="{FF2B5EF4-FFF2-40B4-BE49-F238E27FC236}">
                <a16:creationId xmlns:a16="http://schemas.microsoft.com/office/drawing/2014/main" id="{82559396-9EF9-FDF0-487D-1BFC585EF7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2" name="Straight Connector 537">
            <a:extLst>
              <a:ext uri="{FF2B5EF4-FFF2-40B4-BE49-F238E27FC236}">
                <a16:creationId xmlns:a16="http://schemas.microsoft.com/office/drawing/2014/main" id="{58569518-7BDF-EDC1-40D3-D389B117E0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33" name="Group 1008">
          <a:extLst>
            <a:ext uri="{FF2B5EF4-FFF2-40B4-BE49-F238E27FC236}">
              <a16:creationId xmlns:a16="http://schemas.microsoft.com/office/drawing/2014/main" id="{59D0FD51-2D24-45C1-8AB0-E7B55C8EE20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34" name="Straight Connector 3533">
            <a:extLst>
              <a:ext uri="{FF2B5EF4-FFF2-40B4-BE49-F238E27FC236}">
                <a16:creationId xmlns:a16="http://schemas.microsoft.com/office/drawing/2014/main" id="{2DF532C8-F5B2-D810-0EAB-982C227D9B3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35" name="Straight Connector 529">
            <a:extLst>
              <a:ext uri="{FF2B5EF4-FFF2-40B4-BE49-F238E27FC236}">
                <a16:creationId xmlns:a16="http://schemas.microsoft.com/office/drawing/2014/main" id="{C7AB9A1C-EC59-A8EF-7FD2-0F96B18B81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6" name="Straight Connector 531">
            <a:extLst>
              <a:ext uri="{FF2B5EF4-FFF2-40B4-BE49-F238E27FC236}">
                <a16:creationId xmlns:a16="http://schemas.microsoft.com/office/drawing/2014/main" id="{FC19D069-527C-2DC9-2740-AB781894ED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7" name="Straight Connector 533">
            <a:extLst>
              <a:ext uri="{FF2B5EF4-FFF2-40B4-BE49-F238E27FC236}">
                <a16:creationId xmlns:a16="http://schemas.microsoft.com/office/drawing/2014/main" id="{228E8466-8369-5F16-7D6F-5CA41266D0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8" name="Straight Connector 535">
            <a:extLst>
              <a:ext uri="{FF2B5EF4-FFF2-40B4-BE49-F238E27FC236}">
                <a16:creationId xmlns:a16="http://schemas.microsoft.com/office/drawing/2014/main" id="{E1C709C3-3EBE-D346-9621-1090C8A6877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9" name="Straight Connector 537">
            <a:extLst>
              <a:ext uri="{FF2B5EF4-FFF2-40B4-BE49-F238E27FC236}">
                <a16:creationId xmlns:a16="http://schemas.microsoft.com/office/drawing/2014/main" id="{204B0552-16A7-D5D3-F5AF-7D5F060EB1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40" name="Group 1008">
          <a:extLst>
            <a:ext uri="{FF2B5EF4-FFF2-40B4-BE49-F238E27FC236}">
              <a16:creationId xmlns:a16="http://schemas.microsoft.com/office/drawing/2014/main" id="{9920181B-AD66-44C5-8439-52822DEEA0D2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41" name="Straight Connector 3540">
            <a:extLst>
              <a:ext uri="{FF2B5EF4-FFF2-40B4-BE49-F238E27FC236}">
                <a16:creationId xmlns:a16="http://schemas.microsoft.com/office/drawing/2014/main" id="{21AD39D7-5EAA-17C1-F370-E162E3474E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42" name="Straight Connector 529">
            <a:extLst>
              <a:ext uri="{FF2B5EF4-FFF2-40B4-BE49-F238E27FC236}">
                <a16:creationId xmlns:a16="http://schemas.microsoft.com/office/drawing/2014/main" id="{95B24D92-0DD0-FF6C-75F2-DB705301F4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3" name="Straight Connector 531">
            <a:extLst>
              <a:ext uri="{FF2B5EF4-FFF2-40B4-BE49-F238E27FC236}">
                <a16:creationId xmlns:a16="http://schemas.microsoft.com/office/drawing/2014/main" id="{C3F036B6-E2D7-065F-BB6B-B9D15580389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4" name="Straight Connector 533">
            <a:extLst>
              <a:ext uri="{FF2B5EF4-FFF2-40B4-BE49-F238E27FC236}">
                <a16:creationId xmlns:a16="http://schemas.microsoft.com/office/drawing/2014/main" id="{2C7248F0-829D-7A9C-2E18-F182DDC8F4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5" name="Straight Connector 535">
            <a:extLst>
              <a:ext uri="{FF2B5EF4-FFF2-40B4-BE49-F238E27FC236}">
                <a16:creationId xmlns:a16="http://schemas.microsoft.com/office/drawing/2014/main" id="{082CCDDF-5DF7-C92B-62BB-35BCD2D30B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6" name="Straight Connector 537">
            <a:extLst>
              <a:ext uri="{FF2B5EF4-FFF2-40B4-BE49-F238E27FC236}">
                <a16:creationId xmlns:a16="http://schemas.microsoft.com/office/drawing/2014/main" id="{A075CCB6-C428-FD85-A28F-A11E410E3F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47" name="Group 1008">
          <a:extLst>
            <a:ext uri="{FF2B5EF4-FFF2-40B4-BE49-F238E27FC236}">
              <a16:creationId xmlns:a16="http://schemas.microsoft.com/office/drawing/2014/main" id="{431D6285-C1AA-465C-9776-2378C484B044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48" name="Straight Connector 3547">
            <a:extLst>
              <a:ext uri="{FF2B5EF4-FFF2-40B4-BE49-F238E27FC236}">
                <a16:creationId xmlns:a16="http://schemas.microsoft.com/office/drawing/2014/main" id="{40163756-A899-2D5E-4E4E-64B9A13D232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49" name="Straight Connector 529">
            <a:extLst>
              <a:ext uri="{FF2B5EF4-FFF2-40B4-BE49-F238E27FC236}">
                <a16:creationId xmlns:a16="http://schemas.microsoft.com/office/drawing/2014/main" id="{5B447612-B3A7-7C9E-FA8A-E5182E5A0EF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0" name="Straight Connector 531">
            <a:extLst>
              <a:ext uri="{FF2B5EF4-FFF2-40B4-BE49-F238E27FC236}">
                <a16:creationId xmlns:a16="http://schemas.microsoft.com/office/drawing/2014/main" id="{E4EE0C91-3C49-1F9F-CDCF-84F15E5110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1" name="Straight Connector 533">
            <a:extLst>
              <a:ext uri="{FF2B5EF4-FFF2-40B4-BE49-F238E27FC236}">
                <a16:creationId xmlns:a16="http://schemas.microsoft.com/office/drawing/2014/main" id="{20BB051C-BD0F-6607-5A7A-2D47E832CB4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2" name="Straight Connector 535">
            <a:extLst>
              <a:ext uri="{FF2B5EF4-FFF2-40B4-BE49-F238E27FC236}">
                <a16:creationId xmlns:a16="http://schemas.microsoft.com/office/drawing/2014/main" id="{229F0146-CE93-B449-2CDE-231803BB6C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3" name="Straight Connector 537">
            <a:extLst>
              <a:ext uri="{FF2B5EF4-FFF2-40B4-BE49-F238E27FC236}">
                <a16:creationId xmlns:a16="http://schemas.microsoft.com/office/drawing/2014/main" id="{CF72C103-9C57-04CF-6B6B-2F3AD1C284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54" name="Group 1008">
          <a:extLst>
            <a:ext uri="{FF2B5EF4-FFF2-40B4-BE49-F238E27FC236}">
              <a16:creationId xmlns:a16="http://schemas.microsoft.com/office/drawing/2014/main" id="{3E1877CA-BD78-4856-B1A7-65AB6FBE2B49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55" name="Straight Connector 3554">
            <a:extLst>
              <a:ext uri="{FF2B5EF4-FFF2-40B4-BE49-F238E27FC236}">
                <a16:creationId xmlns:a16="http://schemas.microsoft.com/office/drawing/2014/main" id="{B0CA3615-D0A7-FBD3-27D6-CB325449630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56" name="Straight Connector 529">
            <a:extLst>
              <a:ext uri="{FF2B5EF4-FFF2-40B4-BE49-F238E27FC236}">
                <a16:creationId xmlns:a16="http://schemas.microsoft.com/office/drawing/2014/main" id="{C682AB42-C810-DDD5-B900-FF955CF3FF2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7" name="Straight Connector 531">
            <a:extLst>
              <a:ext uri="{FF2B5EF4-FFF2-40B4-BE49-F238E27FC236}">
                <a16:creationId xmlns:a16="http://schemas.microsoft.com/office/drawing/2014/main" id="{7446EF6C-EFD4-1ED2-4C8A-5F27EF626D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8" name="Straight Connector 533">
            <a:extLst>
              <a:ext uri="{FF2B5EF4-FFF2-40B4-BE49-F238E27FC236}">
                <a16:creationId xmlns:a16="http://schemas.microsoft.com/office/drawing/2014/main" id="{FD125CC0-FF4D-0F6C-4347-A09E76AAEFE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9" name="Straight Connector 535">
            <a:extLst>
              <a:ext uri="{FF2B5EF4-FFF2-40B4-BE49-F238E27FC236}">
                <a16:creationId xmlns:a16="http://schemas.microsoft.com/office/drawing/2014/main" id="{AC44BFA0-B612-B358-2EFE-252CB0F13E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0" name="Straight Connector 537">
            <a:extLst>
              <a:ext uri="{FF2B5EF4-FFF2-40B4-BE49-F238E27FC236}">
                <a16:creationId xmlns:a16="http://schemas.microsoft.com/office/drawing/2014/main" id="{00CD91EA-0B9C-BDA5-EC2E-A5FEFFE1C1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61" name="Group 1008">
          <a:extLst>
            <a:ext uri="{FF2B5EF4-FFF2-40B4-BE49-F238E27FC236}">
              <a16:creationId xmlns:a16="http://schemas.microsoft.com/office/drawing/2014/main" id="{0435B566-47F5-46C2-9814-C75E6BC21C77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62" name="Straight Connector 3561">
            <a:extLst>
              <a:ext uri="{FF2B5EF4-FFF2-40B4-BE49-F238E27FC236}">
                <a16:creationId xmlns:a16="http://schemas.microsoft.com/office/drawing/2014/main" id="{EBBA1E42-6482-9D08-2CBA-F097FE589A8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63" name="Straight Connector 529">
            <a:extLst>
              <a:ext uri="{FF2B5EF4-FFF2-40B4-BE49-F238E27FC236}">
                <a16:creationId xmlns:a16="http://schemas.microsoft.com/office/drawing/2014/main" id="{AAE8B59F-0F9E-3733-EE7C-48E0F92960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4" name="Straight Connector 531">
            <a:extLst>
              <a:ext uri="{FF2B5EF4-FFF2-40B4-BE49-F238E27FC236}">
                <a16:creationId xmlns:a16="http://schemas.microsoft.com/office/drawing/2014/main" id="{DEDB433C-0A4C-2D86-2065-2B89C60F511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5" name="Straight Connector 533">
            <a:extLst>
              <a:ext uri="{FF2B5EF4-FFF2-40B4-BE49-F238E27FC236}">
                <a16:creationId xmlns:a16="http://schemas.microsoft.com/office/drawing/2014/main" id="{AD88C855-25E2-4212-7D07-5F623B2849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6" name="Straight Connector 535">
            <a:extLst>
              <a:ext uri="{FF2B5EF4-FFF2-40B4-BE49-F238E27FC236}">
                <a16:creationId xmlns:a16="http://schemas.microsoft.com/office/drawing/2014/main" id="{594B52DA-DB04-C3C6-E4B9-34C90CAE976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7" name="Straight Connector 537">
            <a:extLst>
              <a:ext uri="{FF2B5EF4-FFF2-40B4-BE49-F238E27FC236}">
                <a16:creationId xmlns:a16="http://schemas.microsoft.com/office/drawing/2014/main" id="{A65D70BF-9E04-0205-1835-7B9662DCD8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68" name="Group 1008">
          <a:extLst>
            <a:ext uri="{FF2B5EF4-FFF2-40B4-BE49-F238E27FC236}">
              <a16:creationId xmlns:a16="http://schemas.microsoft.com/office/drawing/2014/main" id="{EFE0D084-510F-4954-8377-5D23AEAB03D3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69" name="Straight Connector 3568">
            <a:extLst>
              <a:ext uri="{FF2B5EF4-FFF2-40B4-BE49-F238E27FC236}">
                <a16:creationId xmlns:a16="http://schemas.microsoft.com/office/drawing/2014/main" id="{50D94720-0A31-0866-2C2D-8D77C781E3A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70" name="Straight Connector 529">
            <a:extLst>
              <a:ext uri="{FF2B5EF4-FFF2-40B4-BE49-F238E27FC236}">
                <a16:creationId xmlns:a16="http://schemas.microsoft.com/office/drawing/2014/main" id="{5342AAC7-5BB8-918A-BE47-A7AAF392669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1" name="Straight Connector 531">
            <a:extLst>
              <a:ext uri="{FF2B5EF4-FFF2-40B4-BE49-F238E27FC236}">
                <a16:creationId xmlns:a16="http://schemas.microsoft.com/office/drawing/2014/main" id="{2620F9F7-200A-176B-5F6A-E3E3A1E17E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2" name="Straight Connector 533">
            <a:extLst>
              <a:ext uri="{FF2B5EF4-FFF2-40B4-BE49-F238E27FC236}">
                <a16:creationId xmlns:a16="http://schemas.microsoft.com/office/drawing/2014/main" id="{AB1C7D32-418D-0C73-A9B7-0ED3A1AF0E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3" name="Straight Connector 535">
            <a:extLst>
              <a:ext uri="{FF2B5EF4-FFF2-40B4-BE49-F238E27FC236}">
                <a16:creationId xmlns:a16="http://schemas.microsoft.com/office/drawing/2014/main" id="{53EDFA84-1B3B-F258-C2FB-CABD7B5C6A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4" name="Straight Connector 537">
            <a:extLst>
              <a:ext uri="{FF2B5EF4-FFF2-40B4-BE49-F238E27FC236}">
                <a16:creationId xmlns:a16="http://schemas.microsoft.com/office/drawing/2014/main" id="{08FDEE71-0478-685A-709E-3FC6309E55A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75" name="Group 1008">
          <a:extLst>
            <a:ext uri="{FF2B5EF4-FFF2-40B4-BE49-F238E27FC236}">
              <a16:creationId xmlns:a16="http://schemas.microsoft.com/office/drawing/2014/main" id="{981C31FD-D97F-4C04-AC87-BD510D3E89D8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76" name="Straight Connector 3575">
            <a:extLst>
              <a:ext uri="{FF2B5EF4-FFF2-40B4-BE49-F238E27FC236}">
                <a16:creationId xmlns:a16="http://schemas.microsoft.com/office/drawing/2014/main" id="{03839127-7451-CC51-2E7D-2764AC3933D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77" name="Straight Connector 529">
            <a:extLst>
              <a:ext uri="{FF2B5EF4-FFF2-40B4-BE49-F238E27FC236}">
                <a16:creationId xmlns:a16="http://schemas.microsoft.com/office/drawing/2014/main" id="{5266B467-A603-564B-AC07-8543B159E0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8" name="Straight Connector 531">
            <a:extLst>
              <a:ext uri="{FF2B5EF4-FFF2-40B4-BE49-F238E27FC236}">
                <a16:creationId xmlns:a16="http://schemas.microsoft.com/office/drawing/2014/main" id="{5C2691B6-5E80-B6FC-4772-962B04BCF6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9" name="Straight Connector 533">
            <a:extLst>
              <a:ext uri="{FF2B5EF4-FFF2-40B4-BE49-F238E27FC236}">
                <a16:creationId xmlns:a16="http://schemas.microsoft.com/office/drawing/2014/main" id="{8D4BD020-E338-D3EF-664F-F503ED62084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0" name="Straight Connector 535">
            <a:extLst>
              <a:ext uri="{FF2B5EF4-FFF2-40B4-BE49-F238E27FC236}">
                <a16:creationId xmlns:a16="http://schemas.microsoft.com/office/drawing/2014/main" id="{4DCF930C-979E-2008-1C81-337A62BD5C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1" name="Straight Connector 537">
            <a:extLst>
              <a:ext uri="{FF2B5EF4-FFF2-40B4-BE49-F238E27FC236}">
                <a16:creationId xmlns:a16="http://schemas.microsoft.com/office/drawing/2014/main" id="{129510ED-B5E8-95AC-2A4E-A48013AC4A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82" name="Group 1008">
          <a:extLst>
            <a:ext uri="{FF2B5EF4-FFF2-40B4-BE49-F238E27FC236}">
              <a16:creationId xmlns:a16="http://schemas.microsoft.com/office/drawing/2014/main" id="{EB4277CA-6053-43C3-9574-FAC9D813EA7F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83" name="Straight Connector 3582">
            <a:extLst>
              <a:ext uri="{FF2B5EF4-FFF2-40B4-BE49-F238E27FC236}">
                <a16:creationId xmlns:a16="http://schemas.microsoft.com/office/drawing/2014/main" id="{483F148E-3FC6-F311-4878-C2AED033580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84" name="Straight Connector 529">
            <a:extLst>
              <a:ext uri="{FF2B5EF4-FFF2-40B4-BE49-F238E27FC236}">
                <a16:creationId xmlns:a16="http://schemas.microsoft.com/office/drawing/2014/main" id="{B8420047-928F-2788-3F43-5191ED900C3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5" name="Straight Connector 531">
            <a:extLst>
              <a:ext uri="{FF2B5EF4-FFF2-40B4-BE49-F238E27FC236}">
                <a16:creationId xmlns:a16="http://schemas.microsoft.com/office/drawing/2014/main" id="{242FF8DA-0521-EE1D-9388-0938206E1D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6" name="Straight Connector 533">
            <a:extLst>
              <a:ext uri="{FF2B5EF4-FFF2-40B4-BE49-F238E27FC236}">
                <a16:creationId xmlns:a16="http://schemas.microsoft.com/office/drawing/2014/main" id="{10BBCA4E-EF67-1E26-539A-E49CC8BB5F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7" name="Straight Connector 535">
            <a:extLst>
              <a:ext uri="{FF2B5EF4-FFF2-40B4-BE49-F238E27FC236}">
                <a16:creationId xmlns:a16="http://schemas.microsoft.com/office/drawing/2014/main" id="{AE41E025-43CE-B73C-D7B9-411C4FF62F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8" name="Straight Connector 537">
            <a:extLst>
              <a:ext uri="{FF2B5EF4-FFF2-40B4-BE49-F238E27FC236}">
                <a16:creationId xmlns:a16="http://schemas.microsoft.com/office/drawing/2014/main" id="{0DDD3882-DAF0-FE2A-F87F-6CE7F1F03A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89" name="Group 1008">
          <a:extLst>
            <a:ext uri="{FF2B5EF4-FFF2-40B4-BE49-F238E27FC236}">
              <a16:creationId xmlns:a16="http://schemas.microsoft.com/office/drawing/2014/main" id="{DA2D948D-12BA-4EFB-BBF0-A5539F0298F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90" name="Straight Connector 3589">
            <a:extLst>
              <a:ext uri="{FF2B5EF4-FFF2-40B4-BE49-F238E27FC236}">
                <a16:creationId xmlns:a16="http://schemas.microsoft.com/office/drawing/2014/main" id="{F56BFD24-F5BC-8F32-F325-A8502E4D0E7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91" name="Straight Connector 529">
            <a:extLst>
              <a:ext uri="{FF2B5EF4-FFF2-40B4-BE49-F238E27FC236}">
                <a16:creationId xmlns:a16="http://schemas.microsoft.com/office/drawing/2014/main" id="{1FE5CF45-0102-5E99-20BA-4C6402F47CA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2" name="Straight Connector 531">
            <a:extLst>
              <a:ext uri="{FF2B5EF4-FFF2-40B4-BE49-F238E27FC236}">
                <a16:creationId xmlns:a16="http://schemas.microsoft.com/office/drawing/2014/main" id="{36AE22AC-E0D4-5A38-95B7-45F1FCF03A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3" name="Straight Connector 533">
            <a:extLst>
              <a:ext uri="{FF2B5EF4-FFF2-40B4-BE49-F238E27FC236}">
                <a16:creationId xmlns:a16="http://schemas.microsoft.com/office/drawing/2014/main" id="{D333F5EB-45DD-7684-3393-F866AB7CEF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4" name="Straight Connector 535">
            <a:extLst>
              <a:ext uri="{FF2B5EF4-FFF2-40B4-BE49-F238E27FC236}">
                <a16:creationId xmlns:a16="http://schemas.microsoft.com/office/drawing/2014/main" id="{5370E7E0-C02C-306D-61DA-1FBE4313A88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5" name="Straight Connector 537">
            <a:extLst>
              <a:ext uri="{FF2B5EF4-FFF2-40B4-BE49-F238E27FC236}">
                <a16:creationId xmlns:a16="http://schemas.microsoft.com/office/drawing/2014/main" id="{0728BDC8-D82F-6015-7295-889AD7D28EB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96" name="Group 1008">
          <a:extLst>
            <a:ext uri="{FF2B5EF4-FFF2-40B4-BE49-F238E27FC236}">
              <a16:creationId xmlns:a16="http://schemas.microsoft.com/office/drawing/2014/main" id="{FE9769FD-5C6D-4B15-9D03-F0396F539B9E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97" name="Straight Connector 3596">
            <a:extLst>
              <a:ext uri="{FF2B5EF4-FFF2-40B4-BE49-F238E27FC236}">
                <a16:creationId xmlns:a16="http://schemas.microsoft.com/office/drawing/2014/main" id="{A31E0FBD-438D-3B71-C97D-880515653AD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98" name="Straight Connector 529">
            <a:extLst>
              <a:ext uri="{FF2B5EF4-FFF2-40B4-BE49-F238E27FC236}">
                <a16:creationId xmlns:a16="http://schemas.microsoft.com/office/drawing/2014/main" id="{41CBF123-EC70-FBB8-5640-B8745309E4A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9" name="Straight Connector 531">
            <a:extLst>
              <a:ext uri="{FF2B5EF4-FFF2-40B4-BE49-F238E27FC236}">
                <a16:creationId xmlns:a16="http://schemas.microsoft.com/office/drawing/2014/main" id="{6720EAF1-C135-6A1E-9BFA-5D84CD81C8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0" name="Straight Connector 533">
            <a:extLst>
              <a:ext uri="{FF2B5EF4-FFF2-40B4-BE49-F238E27FC236}">
                <a16:creationId xmlns:a16="http://schemas.microsoft.com/office/drawing/2014/main" id="{D13D5B8A-E19F-2FF2-98A9-9D558F8A96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1" name="Straight Connector 535">
            <a:extLst>
              <a:ext uri="{FF2B5EF4-FFF2-40B4-BE49-F238E27FC236}">
                <a16:creationId xmlns:a16="http://schemas.microsoft.com/office/drawing/2014/main" id="{1EFBCDEA-C105-39D0-BF6E-6A4590CAD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2" name="Straight Connector 537">
            <a:extLst>
              <a:ext uri="{FF2B5EF4-FFF2-40B4-BE49-F238E27FC236}">
                <a16:creationId xmlns:a16="http://schemas.microsoft.com/office/drawing/2014/main" id="{9772F383-E776-D299-FE08-8D7E6947BC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03" name="Group 1008">
          <a:extLst>
            <a:ext uri="{FF2B5EF4-FFF2-40B4-BE49-F238E27FC236}">
              <a16:creationId xmlns:a16="http://schemas.microsoft.com/office/drawing/2014/main" id="{6E6BD9EB-0681-4613-A3F1-D0B0C31B28F6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604" name="Straight Connector 3603">
            <a:extLst>
              <a:ext uri="{FF2B5EF4-FFF2-40B4-BE49-F238E27FC236}">
                <a16:creationId xmlns:a16="http://schemas.microsoft.com/office/drawing/2014/main" id="{8D47B564-B38B-710D-2BC9-F4E890847A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05" name="Straight Connector 529">
            <a:extLst>
              <a:ext uri="{FF2B5EF4-FFF2-40B4-BE49-F238E27FC236}">
                <a16:creationId xmlns:a16="http://schemas.microsoft.com/office/drawing/2014/main" id="{3A54DD50-2069-99AB-380B-A7414BAA21E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6" name="Straight Connector 531">
            <a:extLst>
              <a:ext uri="{FF2B5EF4-FFF2-40B4-BE49-F238E27FC236}">
                <a16:creationId xmlns:a16="http://schemas.microsoft.com/office/drawing/2014/main" id="{4B6BD85D-6448-0E88-CF9D-FCFE95B9A9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7" name="Straight Connector 533">
            <a:extLst>
              <a:ext uri="{FF2B5EF4-FFF2-40B4-BE49-F238E27FC236}">
                <a16:creationId xmlns:a16="http://schemas.microsoft.com/office/drawing/2014/main" id="{80184265-D376-2292-7A27-ADE9104009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8" name="Straight Connector 535">
            <a:extLst>
              <a:ext uri="{FF2B5EF4-FFF2-40B4-BE49-F238E27FC236}">
                <a16:creationId xmlns:a16="http://schemas.microsoft.com/office/drawing/2014/main" id="{68FF2D89-32F6-6DA6-7489-8553321E91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9" name="Straight Connector 537">
            <a:extLst>
              <a:ext uri="{FF2B5EF4-FFF2-40B4-BE49-F238E27FC236}">
                <a16:creationId xmlns:a16="http://schemas.microsoft.com/office/drawing/2014/main" id="{DCB859D3-1DEF-9E94-D268-F3A39DB01F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10" name="Group 1008">
          <a:extLst>
            <a:ext uri="{FF2B5EF4-FFF2-40B4-BE49-F238E27FC236}">
              <a16:creationId xmlns:a16="http://schemas.microsoft.com/office/drawing/2014/main" id="{A00ACDAE-E9FD-4DD8-8C5C-930BC99FEC1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611" name="Straight Connector 3610">
            <a:extLst>
              <a:ext uri="{FF2B5EF4-FFF2-40B4-BE49-F238E27FC236}">
                <a16:creationId xmlns:a16="http://schemas.microsoft.com/office/drawing/2014/main" id="{8E8D013F-9205-F904-80CF-2421403D74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12" name="Straight Connector 529">
            <a:extLst>
              <a:ext uri="{FF2B5EF4-FFF2-40B4-BE49-F238E27FC236}">
                <a16:creationId xmlns:a16="http://schemas.microsoft.com/office/drawing/2014/main" id="{76FFA833-7B93-FD49-4D24-DD39EBC3A9A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3" name="Straight Connector 531">
            <a:extLst>
              <a:ext uri="{FF2B5EF4-FFF2-40B4-BE49-F238E27FC236}">
                <a16:creationId xmlns:a16="http://schemas.microsoft.com/office/drawing/2014/main" id="{D539A811-DE96-D727-513D-DAD094BE9B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4" name="Straight Connector 533">
            <a:extLst>
              <a:ext uri="{FF2B5EF4-FFF2-40B4-BE49-F238E27FC236}">
                <a16:creationId xmlns:a16="http://schemas.microsoft.com/office/drawing/2014/main" id="{23D21936-BD2C-87C2-DF44-75152CDB19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5" name="Straight Connector 535">
            <a:extLst>
              <a:ext uri="{FF2B5EF4-FFF2-40B4-BE49-F238E27FC236}">
                <a16:creationId xmlns:a16="http://schemas.microsoft.com/office/drawing/2014/main" id="{F68F98B3-AB3E-FC6E-456A-AF1F957056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6" name="Straight Connector 537">
            <a:extLst>
              <a:ext uri="{FF2B5EF4-FFF2-40B4-BE49-F238E27FC236}">
                <a16:creationId xmlns:a16="http://schemas.microsoft.com/office/drawing/2014/main" id="{A8FD11B0-F79F-F6D0-3B08-DAE9F2FD83C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17" name="Group 1008">
          <a:extLst>
            <a:ext uri="{FF2B5EF4-FFF2-40B4-BE49-F238E27FC236}">
              <a16:creationId xmlns:a16="http://schemas.microsoft.com/office/drawing/2014/main" id="{93D3DCE4-D758-4A9B-A028-A646B71AF896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618" name="Straight Connector 3617">
            <a:extLst>
              <a:ext uri="{FF2B5EF4-FFF2-40B4-BE49-F238E27FC236}">
                <a16:creationId xmlns:a16="http://schemas.microsoft.com/office/drawing/2014/main" id="{A1BC2AA8-15D1-D7FD-10B9-E6D167F660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19" name="Straight Connector 529">
            <a:extLst>
              <a:ext uri="{FF2B5EF4-FFF2-40B4-BE49-F238E27FC236}">
                <a16:creationId xmlns:a16="http://schemas.microsoft.com/office/drawing/2014/main" id="{559B02DA-7A13-3095-CBBD-3530C09E810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0" name="Straight Connector 531">
            <a:extLst>
              <a:ext uri="{FF2B5EF4-FFF2-40B4-BE49-F238E27FC236}">
                <a16:creationId xmlns:a16="http://schemas.microsoft.com/office/drawing/2014/main" id="{2DE9E3CA-CAD5-092C-C77B-7400ED8163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1" name="Straight Connector 533">
            <a:extLst>
              <a:ext uri="{FF2B5EF4-FFF2-40B4-BE49-F238E27FC236}">
                <a16:creationId xmlns:a16="http://schemas.microsoft.com/office/drawing/2014/main" id="{0F159457-5AED-AAA4-F3CD-5A3959E3C5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2" name="Straight Connector 535">
            <a:extLst>
              <a:ext uri="{FF2B5EF4-FFF2-40B4-BE49-F238E27FC236}">
                <a16:creationId xmlns:a16="http://schemas.microsoft.com/office/drawing/2014/main" id="{E306026C-0239-533B-97FC-A91F512A16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3" name="Straight Connector 537">
            <a:extLst>
              <a:ext uri="{FF2B5EF4-FFF2-40B4-BE49-F238E27FC236}">
                <a16:creationId xmlns:a16="http://schemas.microsoft.com/office/drawing/2014/main" id="{752C4DE0-B617-C48F-E185-75A1BB6200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24" name="Group 1008">
          <a:extLst>
            <a:ext uri="{FF2B5EF4-FFF2-40B4-BE49-F238E27FC236}">
              <a16:creationId xmlns:a16="http://schemas.microsoft.com/office/drawing/2014/main" id="{B4CB2695-B5D8-4F7F-BFB7-D60AF85A0423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625" name="Straight Connector 3624">
            <a:extLst>
              <a:ext uri="{FF2B5EF4-FFF2-40B4-BE49-F238E27FC236}">
                <a16:creationId xmlns:a16="http://schemas.microsoft.com/office/drawing/2014/main" id="{512A735A-B1F0-84BC-3253-72AFE95032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26" name="Straight Connector 529">
            <a:extLst>
              <a:ext uri="{FF2B5EF4-FFF2-40B4-BE49-F238E27FC236}">
                <a16:creationId xmlns:a16="http://schemas.microsoft.com/office/drawing/2014/main" id="{B5683278-8391-6C73-5589-67AD30FE6A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7" name="Straight Connector 531">
            <a:extLst>
              <a:ext uri="{FF2B5EF4-FFF2-40B4-BE49-F238E27FC236}">
                <a16:creationId xmlns:a16="http://schemas.microsoft.com/office/drawing/2014/main" id="{A5B2B883-C09C-D44A-C691-508A43189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8" name="Straight Connector 533">
            <a:extLst>
              <a:ext uri="{FF2B5EF4-FFF2-40B4-BE49-F238E27FC236}">
                <a16:creationId xmlns:a16="http://schemas.microsoft.com/office/drawing/2014/main" id="{4210C047-6D24-0D91-61C2-844D384FB7A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9" name="Straight Connector 535">
            <a:extLst>
              <a:ext uri="{FF2B5EF4-FFF2-40B4-BE49-F238E27FC236}">
                <a16:creationId xmlns:a16="http://schemas.microsoft.com/office/drawing/2014/main" id="{461B9FAC-86DE-9DDF-E65E-4A470680CC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0" name="Straight Connector 537">
            <a:extLst>
              <a:ext uri="{FF2B5EF4-FFF2-40B4-BE49-F238E27FC236}">
                <a16:creationId xmlns:a16="http://schemas.microsoft.com/office/drawing/2014/main" id="{76A15BC9-5B21-BA94-8E86-9D06CF4CEA8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31" name="Group 1008">
          <a:extLst>
            <a:ext uri="{FF2B5EF4-FFF2-40B4-BE49-F238E27FC236}">
              <a16:creationId xmlns:a16="http://schemas.microsoft.com/office/drawing/2014/main" id="{73952AD9-12DF-45DC-BFA2-3A8A437501AA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632" name="Straight Connector 3631">
            <a:extLst>
              <a:ext uri="{FF2B5EF4-FFF2-40B4-BE49-F238E27FC236}">
                <a16:creationId xmlns:a16="http://schemas.microsoft.com/office/drawing/2014/main" id="{8AE498E5-5CC8-E054-69E9-8E51D2E143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33" name="Straight Connector 529">
            <a:extLst>
              <a:ext uri="{FF2B5EF4-FFF2-40B4-BE49-F238E27FC236}">
                <a16:creationId xmlns:a16="http://schemas.microsoft.com/office/drawing/2014/main" id="{99CF4F11-B2A9-DC45-229F-20B7075DA6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4" name="Straight Connector 531">
            <a:extLst>
              <a:ext uri="{FF2B5EF4-FFF2-40B4-BE49-F238E27FC236}">
                <a16:creationId xmlns:a16="http://schemas.microsoft.com/office/drawing/2014/main" id="{1A1CC483-8919-D268-4E41-D5CBFD0B61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5" name="Straight Connector 533">
            <a:extLst>
              <a:ext uri="{FF2B5EF4-FFF2-40B4-BE49-F238E27FC236}">
                <a16:creationId xmlns:a16="http://schemas.microsoft.com/office/drawing/2014/main" id="{64E32302-8813-2E50-1216-9EACB1F0908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6" name="Straight Connector 535">
            <a:extLst>
              <a:ext uri="{FF2B5EF4-FFF2-40B4-BE49-F238E27FC236}">
                <a16:creationId xmlns:a16="http://schemas.microsoft.com/office/drawing/2014/main" id="{F824A676-3F6E-7612-FDC6-E1D2F77EB8C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7" name="Straight Connector 537">
            <a:extLst>
              <a:ext uri="{FF2B5EF4-FFF2-40B4-BE49-F238E27FC236}">
                <a16:creationId xmlns:a16="http://schemas.microsoft.com/office/drawing/2014/main" id="{EF934557-12A6-0193-5E9E-4759AFC12C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125</xdr:row>
      <xdr:rowOff>57150</xdr:rowOff>
    </xdr:from>
    <xdr:to>
      <xdr:col>9</xdr:col>
      <xdr:colOff>0</xdr:colOff>
      <xdr:row>127</xdr:row>
      <xdr:rowOff>0</xdr:rowOff>
    </xdr:to>
    <xdr:sp macro="" textlink="">
      <xdr:nvSpPr>
        <xdr:cNvPr id="3650" name="AutoShape 46">
          <a:extLst>
            <a:ext uri="{FF2B5EF4-FFF2-40B4-BE49-F238E27FC236}">
              <a16:creationId xmlns:a16="http://schemas.microsoft.com/office/drawing/2014/main" id="{EC1B6DD7-994B-4E7A-A443-235B80FD33F2}"/>
            </a:ext>
          </a:extLst>
        </xdr:cNvPr>
        <xdr:cNvSpPr>
          <a:spLocks noChangeArrowheads="1"/>
        </xdr:cNvSpPr>
      </xdr:nvSpPr>
      <xdr:spPr bwMode="auto">
        <a:xfrm>
          <a:off x="3058583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125</xdr:row>
      <xdr:rowOff>57150</xdr:rowOff>
    </xdr:from>
    <xdr:to>
      <xdr:col>11</xdr:col>
      <xdr:colOff>0</xdr:colOff>
      <xdr:row>127</xdr:row>
      <xdr:rowOff>0</xdr:rowOff>
    </xdr:to>
    <xdr:sp macro="" textlink="">
      <xdr:nvSpPr>
        <xdr:cNvPr id="3651" name="AutoShape 46">
          <a:extLst>
            <a:ext uri="{FF2B5EF4-FFF2-40B4-BE49-F238E27FC236}">
              <a16:creationId xmlns:a16="http://schemas.microsoft.com/office/drawing/2014/main" id="{58E0D369-4FC0-49D0-94B5-5ABCBD99D6DF}"/>
            </a:ext>
          </a:extLst>
        </xdr:cNvPr>
        <xdr:cNvSpPr>
          <a:spLocks noChangeArrowheads="1"/>
        </xdr:cNvSpPr>
      </xdr:nvSpPr>
      <xdr:spPr bwMode="auto">
        <a:xfrm>
          <a:off x="3683000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292228</xdr:colOff>
      <xdr:row>124</xdr:row>
      <xdr:rowOff>116416</xdr:rowOff>
    </xdr:from>
    <xdr:to>
      <xdr:col>13</xdr:col>
      <xdr:colOff>6479</xdr:colOff>
      <xdr:row>127</xdr:row>
      <xdr:rowOff>2591</xdr:rowOff>
    </xdr:to>
    <xdr:sp macro="" textlink="">
      <xdr:nvSpPr>
        <xdr:cNvPr id="3652" name="AutoShape 46">
          <a:extLst>
            <a:ext uri="{FF2B5EF4-FFF2-40B4-BE49-F238E27FC236}">
              <a16:creationId xmlns:a16="http://schemas.microsoft.com/office/drawing/2014/main" id="{ED003838-2E8F-4F42-9EDE-994C74EBC115}"/>
            </a:ext>
          </a:extLst>
        </xdr:cNvPr>
        <xdr:cNvSpPr>
          <a:spLocks noChangeArrowheads="1"/>
        </xdr:cNvSpPr>
      </xdr:nvSpPr>
      <xdr:spPr bwMode="auto">
        <a:xfrm>
          <a:off x="3940238" y="24460243"/>
          <a:ext cx="375170" cy="449899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125</xdr:row>
      <xdr:rowOff>57150</xdr:rowOff>
    </xdr:from>
    <xdr:to>
      <xdr:col>7</xdr:col>
      <xdr:colOff>0</xdr:colOff>
      <xdr:row>127</xdr:row>
      <xdr:rowOff>0</xdr:rowOff>
    </xdr:to>
    <xdr:sp macro="" textlink="">
      <xdr:nvSpPr>
        <xdr:cNvPr id="3653" name="AutoShape 46">
          <a:extLst>
            <a:ext uri="{FF2B5EF4-FFF2-40B4-BE49-F238E27FC236}">
              <a16:creationId xmlns:a16="http://schemas.microsoft.com/office/drawing/2014/main" id="{4E0BA6D7-24BC-4C11-ACAE-F61C9CAF6D41}"/>
            </a:ext>
          </a:extLst>
        </xdr:cNvPr>
        <xdr:cNvSpPr>
          <a:spLocks noChangeArrowheads="1"/>
        </xdr:cNvSpPr>
      </xdr:nvSpPr>
      <xdr:spPr bwMode="auto">
        <a:xfrm>
          <a:off x="2434167" y="23224067"/>
          <a:ext cx="338666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125</xdr:row>
      <xdr:rowOff>57150</xdr:rowOff>
    </xdr:from>
    <xdr:to>
      <xdr:col>5</xdr:col>
      <xdr:colOff>0</xdr:colOff>
      <xdr:row>127</xdr:row>
      <xdr:rowOff>0</xdr:rowOff>
    </xdr:to>
    <xdr:sp macro="" textlink="">
      <xdr:nvSpPr>
        <xdr:cNvPr id="3654" name="AutoShape 46">
          <a:extLst>
            <a:ext uri="{FF2B5EF4-FFF2-40B4-BE49-F238E27FC236}">
              <a16:creationId xmlns:a16="http://schemas.microsoft.com/office/drawing/2014/main" id="{672A1762-C969-47A0-AB79-AD5B4E49DBD0}"/>
            </a:ext>
          </a:extLst>
        </xdr:cNvPr>
        <xdr:cNvSpPr>
          <a:spLocks noChangeArrowheads="1"/>
        </xdr:cNvSpPr>
      </xdr:nvSpPr>
      <xdr:spPr bwMode="auto">
        <a:xfrm>
          <a:off x="1778000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125</xdr:row>
      <xdr:rowOff>57150</xdr:rowOff>
    </xdr:from>
    <xdr:to>
      <xdr:col>3</xdr:col>
      <xdr:colOff>0</xdr:colOff>
      <xdr:row>127</xdr:row>
      <xdr:rowOff>0</xdr:rowOff>
    </xdr:to>
    <xdr:sp macro="" textlink="">
      <xdr:nvSpPr>
        <xdr:cNvPr id="3655" name="AutoShape 46">
          <a:extLst>
            <a:ext uri="{FF2B5EF4-FFF2-40B4-BE49-F238E27FC236}">
              <a16:creationId xmlns:a16="http://schemas.microsoft.com/office/drawing/2014/main" id="{4D6FEA63-8204-418C-8D9F-279BF7C2DB58}"/>
            </a:ext>
          </a:extLst>
        </xdr:cNvPr>
        <xdr:cNvSpPr>
          <a:spLocks noChangeArrowheads="1"/>
        </xdr:cNvSpPr>
      </xdr:nvSpPr>
      <xdr:spPr bwMode="auto">
        <a:xfrm>
          <a:off x="1153583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116</xdr:row>
      <xdr:rowOff>169333</xdr:rowOff>
    </xdr:from>
    <xdr:to>
      <xdr:col>44</xdr:col>
      <xdr:colOff>359834</xdr:colOff>
      <xdr:row>118</xdr:row>
      <xdr:rowOff>179917</xdr:rowOff>
    </xdr:to>
    <xdr:sp macro="" textlink="">
      <xdr:nvSpPr>
        <xdr:cNvPr id="3659" name="AutoShape 46">
          <a:extLst>
            <a:ext uri="{FF2B5EF4-FFF2-40B4-BE49-F238E27FC236}">
              <a16:creationId xmlns:a16="http://schemas.microsoft.com/office/drawing/2014/main" id="{5BDBC702-2301-4ADE-8A41-A58A7D3E1C71}"/>
            </a:ext>
          </a:extLst>
        </xdr:cNvPr>
        <xdr:cNvSpPr>
          <a:spLocks noChangeArrowheads="1"/>
        </xdr:cNvSpPr>
      </xdr:nvSpPr>
      <xdr:spPr bwMode="auto">
        <a:xfrm>
          <a:off x="14012333" y="23145750"/>
          <a:ext cx="359834" cy="391584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21169</xdr:colOff>
      <xdr:row>123</xdr:row>
      <xdr:rowOff>2</xdr:rowOff>
    </xdr:from>
    <xdr:to>
      <xdr:col>10</xdr:col>
      <xdr:colOff>2121</xdr:colOff>
      <xdr:row>124</xdr:row>
      <xdr:rowOff>104778</xdr:rowOff>
    </xdr:to>
    <xdr:sp macro="" textlink="">
      <xdr:nvSpPr>
        <xdr:cNvPr id="3660" name="AutoShape 1512">
          <a:extLst>
            <a:ext uri="{FF2B5EF4-FFF2-40B4-BE49-F238E27FC236}">
              <a16:creationId xmlns:a16="http://schemas.microsoft.com/office/drawing/2014/main" id="{119A32B4-59E4-4959-A92A-6896FA560339}"/>
            </a:ext>
          </a:extLst>
        </xdr:cNvPr>
        <xdr:cNvSpPr>
          <a:spLocks noChangeArrowheads="1"/>
        </xdr:cNvSpPr>
      </xdr:nvSpPr>
      <xdr:spPr bwMode="auto">
        <a:xfrm rot="6384946" flipV="1">
          <a:off x="2885549" y="24334789"/>
          <a:ext cx="295276" cy="372535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224896</xdr:colOff>
      <xdr:row>85</xdr:row>
      <xdr:rowOff>92606</xdr:rowOff>
    </xdr:from>
    <xdr:to>
      <xdr:col>47</xdr:col>
      <xdr:colOff>13229</xdr:colOff>
      <xdr:row>86</xdr:row>
      <xdr:rowOff>132292</xdr:rowOff>
    </xdr:to>
    <xdr:sp macro="" textlink="">
      <xdr:nvSpPr>
        <xdr:cNvPr id="3455" name="Freeform 10707">
          <a:extLst>
            <a:ext uri="{FF2B5EF4-FFF2-40B4-BE49-F238E27FC236}">
              <a16:creationId xmlns:a16="http://schemas.microsoft.com/office/drawing/2014/main" id="{966CDF7C-1C46-460B-B4AD-BCA839E3553A}"/>
            </a:ext>
          </a:extLst>
        </xdr:cNvPr>
        <xdr:cNvSpPr>
          <a:spLocks/>
        </xdr:cNvSpPr>
      </xdr:nvSpPr>
      <xdr:spPr bwMode="auto">
        <a:xfrm>
          <a:off x="15008490" y="17059012"/>
          <a:ext cx="720989" cy="23150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153721</xdr:colOff>
      <xdr:row>101</xdr:row>
      <xdr:rowOff>43917</xdr:rowOff>
    </xdr:from>
    <xdr:to>
      <xdr:col>14</xdr:col>
      <xdr:colOff>248971</xdr:colOff>
      <xdr:row>102</xdr:row>
      <xdr:rowOff>79376</xdr:rowOff>
    </xdr:to>
    <xdr:sp macro="" textlink="">
      <xdr:nvSpPr>
        <xdr:cNvPr id="3042" name="Freeform 10707">
          <a:extLst>
            <a:ext uri="{FF2B5EF4-FFF2-40B4-BE49-F238E27FC236}">
              <a16:creationId xmlns:a16="http://schemas.microsoft.com/office/drawing/2014/main" id="{940CF59A-AC78-4F25-A247-EB438D7FEB4F}"/>
            </a:ext>
          </a:extLst>
        </xdr:cNvPr>
        <xdr:cNvSpPr>
          <a:spLocks/>
        </xdr:cNvSpPr>
      </xdr:nvSpPr>
      <xdr:spPr bwMode="auto">
        <a:xfrm>
          <a:off x="4096013" y="20198552"/>
          <a:ext cx="756708" cy="22728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191822</xdr:colOff>
      <xdr:row>101</xdr:row>
      <xdr:rowOff>26459</xdr:rowOff>
    </xdr:from>
    <xdr:to>
      <xdr:col>16</xdr:col>
      <xdr:colOff>280459</xdr:colOff>
      <xdr:row>102</xdr:row>
      <xdr:rowOff>47626</xdr:rowOff>
    </xdr:to>
    <xdr:sp macro="" textlink="">
      <xdr:nvSpPr>
        <xdr:cNvPr id="3083" name="Freeform 10707">
          <a:extLst>
            <a:ext uri="{FF2B5EF4-FFF2-40B4-BE49-F238E27FC236}">
              <a16:creationId xmlns:a16="http://schemas.microsoft.com/office/drawing/2014/main" id="{A8D2C6C1-EA7A-4899-8187-B5F2CBC04D94}"/>
            </a:ext>
          </a:extLst>
        </xdr:cNvPr>
        <xdr:cNvSpPr>
          <a:spLocks/>
        </xdr:cNvSpPr>
      </xdr:nvSpPr>
      <xdr:spPr bwMode="auto">
        <a:xfrm>
          <a:off x="4795572" y="20181094"/>
          <a:ext cx="783168" cy="21299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201088</xdr:colOff>
      <xdr:row>101</xdr:row>
      <xdr:rowOff>31749</xdr:rowOff>
    </xdr:from>
    <xdr:to>
      <xdr:col>18</xdr:col>
      <xdr:colOff>211671</xdr:colOff>
      <xdr:row>102</xdr:row>
      <xdr:rowOff>66146</xdr:rowOff>
    </xdr:to>
    <xdr:sp macro="" textlink="">
      <xdr:nvSpPr>
        <xdr:cNvPr id="3151" name="Freeform 10707">
          <a:extLst>
            <a:ext uri="{FF2B5EF4-FFF2-40B4-BE49-F238E27FC236}">
              <a16:creationId xmlns:a16="http://schemas.microsoft.com/office/drawing/2014/main" id="{52BFBEE6-BC7E-41C3-A1ED-1019915175E5}"/>
            </a:ext>
          </a:extLst>
        </xdr:cNvPr>
        <xdr:cNvSpPr>
          <a:spLocks/>
        </xdr:cNvSpPr>
      </xdr:nvSpPr>
      <xdr:spPr bwMode="auto">
        <a:xfrm>
          <a:off x="5499369" y="20186384"/>
          <a:ext cx="731573" cy="22622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153457</xdr:colOff>
      <xdr:row>101</xdr:row>
      <xdr:rowOff>5291</xdr:rowOff>
    </xdr:from>
    <xdr:to>
      <xdr:col>20</xdr:col>
      <xdr:colOff>248706</xdr:colOff>
      <xdr:row>102</xdr:row>
      <xdr:rowOff>59532</xdr:rowOff>
    </xdr:to>
    <xdr:sp macro="" textlink="">
      <xdr:nvSpPr>
        <xdr:cNvPr id="3271" name="Freeform 10707">
          <a:extLst>
            <a:ext uri="{FF2B5EF4-FFF2-40B4-BE49-F238E27FC236}">
              <a16:creationId xmlns:a16="http://schemas.microsoft.com/office/drawing/2014/main" id="{120071E9-9C1A-41AF-ABA4-C0859B4A69F8}"/>
            </a:ext>
          </a:extLst>
        </xdr:cNvPr>
        <xdr:cNvSpPr>
          <a:spLocks/>
        </xdr:cNvSpPr>
      </xdr:nvSpPr>
      <xdr:spPr bwMode="auto">
        <a:xfrm>
          <a:off x="6172728" y="20159926"/>
          <a:ext cx="756707" cy="2460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170661</xdr:colOff>
      <xdr:row>101</xdr:row>
      <xdr:rowOff>21166</xdr:rowOff>
    </xdr:from>
    <xdr:to>
      <xdr:col>22</xdr:col>
      <xdr:colOff>265910</xdr:colOff>
      <xdr:row>102</xdr:row>
      <xdr:rowOff>85990</xdr:rowOff>
    </xdr:to>
    <xdr:sp macro="" textlink="">
      <xdr:nvSpPr>
        <xdr:cNvPr id="3272" name="Freeform 10707">
          <a:extLst>
            <a:ext uri="{FF2B5EF4-FFF2-40B4-BE49-F238E27FC236}">
              <a16:creationId xmlns:a16="http://schemas.microsoft.com/office/drawing/2014/main" id="{0D07DD03-4B32-4297-885D-B62E1049AC21}"/>
            </a:ext>
          </a:extLst>
        </xdr:cNvPr>
        <xdr:cNvSpPr>
          <a:spLocks/>
        </xdr:cNvSpPr>
      </xdr:nvSpPr>
      <xdr:spPr bwMode="auto">
        <a:xfrm>
          <a:off x="6851390" y="20175801"/>
          <a:ext cx="756708" cy="2566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169336</xdr:colOff>
      <xdr:row>101</xdr:row>
      <xdr:rowOff>31749</xdr:rowOff>
    </xdr:from>
    <xdr:to>
      <xdr:col>24</xdr:col>
      <xdr:colOff>264586</xdr:colOff>
      <xdr:row>102</xdr:row>
      <xdr:rowOff>72761</xdr:rowOff>
    </xdr:to>
    <xdr:sp macro="" textlink="">
      <xdr:nvSpPr>
        <xdr:cNvPr id="3638" name="Freeform 10707">
          <a:extLst>
            <a:ext uri="{FF2B5EF4-FFF2-40B4-BE49-F238E27FC236}">
              <a16:creationId xmlns:a16="http://schemas.microsoft.com/office/drawing/2014/main" id="{B6E0B2BE-988A-42BB-BCDB-9409BDE1DD1A}"/>
            </a:ext>
          </a:extLst>
        </xdr:cNvPr>
        <xdr:cNvSpPr>
          <a:spLocks/>
        </xdr:cNvSpPr>
      </xdr:nvSpPr>
      <xdr:spPr bwMode="auto">
        <a:xfrm>
          <a:off x="7511524" y="20186384"/>
          <a:ext cx="756708" cy="23283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95247</xdr:colOff>
      <xdr:row>36</xdr:row>
      <xdr:rowOff>158745</xdr:rowOff>
    </xdr:from>
    <xdr:to>
      <xdr:col>22</xdr:col>
      <xdr:colOff>236795</xdr:colOff>
      <xdr:row>37</xdr:row>
      <xdr:rowOff>138251</xdr:rowOff>
    </xdr:to>
    <xdr:sp macro="" textlink="">
      <xdr:nvSpPr>
        <xdr:cNvPr id="3639" name="6-Point Star 717">
          <a:extLst>
            <a:ext uri="{FF2B5EF4-FFF2-40B4-BE49-F238E27FC236}">
              <a16:creationId xmlns:a16="http://schemas.microsoft.com/office/drawing/2014/main" id="{FF7FF54F-B0A8-4CB5-8252-0AB44E99AE41}"/>
            </a:ext>
          </a:extLst>
        </xdr:cNvPr>
        <xdr:cNvSpPr/>
      </xdr:nvSpPr>
      <xdr:spPr>
        <a:xfrm>
          <a:off x="7133164" y="7260162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105830</xdr:colOff>
      <xdr:row>36</xdr:row>
      <xdr:rowOff>169331</xdr:rowOff>
    </xdr:from>
    <xdr:to>
      <xdr:col>24</xdr:col>
      <xdr:colOff>247378</xdr:colOff>
      <xdr:row>37</xdr:row>
      <xdr:rowOff>148837</xdr:rowOff>
    </xdr:to>
    <xdr:sp macro="" textlink="">
      <xdr:nvSpPr>
        <xdr:cNvPr id="3640" name="6-Point Star 717">
          <a:extLst>
            <a:ext uri="{FF2B5EF4-FFF2-40B4-BE49-F238E27FC236}">
              <a16:creationId xmlns:a16="http://schemas.microsoft.com/office/drawing/2014/main" id="{D8AC4B20-FBA6-4BAA-9AC9-5E11D4D0B14F}"/>
            </a:ext>
          </a:extLst>
        </xdr:cNvPr>
        <xdr:cNvSpPr/>
      </xdr:nvSpPr>
      <xdr:spPr>
        <a:xfrm>
          <a:off x="7768163" y="7270748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95247</xdr:colOff>
      <xdr:row>92</xdr:row>
      <xdr:rowOff>148168</xdr:rowOff>
    </xdr:from>
    <xdr:to>
      <xdr:col>12</xdr:col>
      <xdr:colOff>236795</xdr:colOff>
      <xdr:row>93</xdr:row>
      <xdr:rowOff>127674</xdr:rowOff>
    </xdr:to>
    <xdr:sp macro="" textlink="">
      <xdr:nvSpPr>
        <xdr:cNvPr id="3642" name="6-Point Star 717">
          <a:extLst>
            <a:ext uri="{FF2B5EF4-FFF2-40B4-BE49-F238E27FC236}">
              <a16:creationId xmlns:a16="http://schemas.microsoft.com/office/drawing/2014/main" id="{616A40BB-E8EA-4153-8426-40D24D7469F0}"/>
            </a:ext>
          </a:extLst>
        </xdr:cNvPr>
        <xdr:cNvSpPr/>
      </xdr:nvSpPr>
      <xdr:spPr>
        <a:xfrm>
          <a:off x="3926414" y="1836208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110067</xdr:colOff>
      <xdr:row>100</xdr:row>
      <xdr:rowOff>152401</xdr:rowOff>
    </xdr:from>
    <xdr:to>
      <xdr:col>12</xdr:col>
      <xdr:colOff>251615</xdr:colOff>
      <xdr:row>101</xdr:row>
      <xdr:rowOff>127673</xdr:rowOff>
    </xdr:to>
    <xdr:sp macro="" textlink="">
      <xdr:nvSpPr>
        <xdr:cNvPr id="3084" name="6-Point Star 717">
          <a:extLst>
            <a:ext uri="{FF2B5EF4-FFF2-40B4-BE49-F238E27FC236}">
              <a16:creationId xmlns:a16="http://schemas.microsoft.com/office/drawing/2014/main" id="{7971B26F-F1EB-4574-97A7-0C27090F6491}"/>
            </a:ext>
          </a:extLst>
        </xdr:cNvPr>
        <xdr:cNvSpPr/>
      </xdr:nvSpPr>
      <xdr:spPr>
        <a:xfrm>
          <a:off x="4047067" y="2033693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110066</xdr:colOff>
      <xdr:row>100</xdr:row>
      <xdr:rowOff>127001</xdr:rowOff>
    </xdr:from>
    <xdr:to>
      <xdr:col>24</xdr:col>
      <xdr:colOff>251614</xdr:colOff>
      <xdr:row>101</xdr:row>
      <xdr:rowOff>102273</xdr:rowOff>
    </xdr:to>
    <xdr:sp macro="" textlink="">
      <xdr:nvSpPr>
        <xdr:cNvPr id="3643" name="6-Point Star 717">
          <a:extLst>
            <a:ext uri="{FF2B5EF4-FFF2-40B4-BE49-F238E27FC236}">
              <a16:creationId xmlns:a16="http://schemas.microsoft.com/office/drawing/2014/main" id="{99C72226-228D-4000-B890-1B34439C26C6}"/>
            </a:ext>
          </a:extLst>
        </xdr:cNvPr>
        <xdr:cNvSpPr/>
      </xdr:nvSpPr>
      <xdr:spPr>
        <a:xfrm>
          <a:off x="7992533" y="2031153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110068</xdr:colOff>
      <xdr:row>100</xdr:row>
      <xdr:rowOff>152129</xdr:rowOff>
    </xdr:from>
    <xdr:to>
      <xdr:col>20</xdr:col>
      <xdr:colOff>251616</xdr:colOff>
      <xdr:row>101</xdr:row>
      <xdr:rowOff>127401</xdr:rowOff>
    </xdr:to>
    <xdr:sp macro="" textlink="">
      <xdr:nvSpPr>
        <xdr:cNvPr id="3644" name="6-Point Star 717">
          <a:extLst>
            <a:ext uri="{FF2B5EF4-FFF2-40B4-BE49-F238E27FC236}">
              <a16:creationId xmlns:a16="http://schemas.microsoft.com/office/drawing/2014/main" id="{76ECBFFB-49D3-4ECB-A454-A3DFDCADFF3E}"/>
            </a:ext>
          </a:extLst>
        </xdr:cNvPr>
        <xdr:cNvSpPr/>
      </xdr:nvSpPr>
      <xdr:spPr>
        <a:xfrm>
          <a:off x="6803486" y="19791772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119788</xdr:colOff>
      <xdr:row>100</xdr:row>
      <xdr:rowOff>117934</xdr:rowOff>
    </xdr:from>
    <xdr:to>
      <xdr:col>14</xdr:col>
      <xdr:colOff>261336</xdr:colOff>
      <xdr:row>101</xdr:row>
      <xdr:rowOff>93206</xdr:rowOff>
    </xdr:to>
    <xdr:sp macro="" textlink="">
      <xdr:nvSpPr>
        <xdr:cNvPr id="3645" name="6-Point Star 717">
          <a:extLst>
            <a:ext uri="{FF2B5EF4-FFF2-40B4-BE49-F238E27FC236}">
              <a16:creationId xmlns:a16="http://schemas.microsoft.com/office/drawing/2014/main" id="{412DCE40-047F-4925-B459-37726C9DCFC3}"/>
            </a:ext>
          </a:extLst>
        </xdr:cNvPr>
        <xdr:cNvSpPr/>
      </xdr:nvSpPr>
      <xdr:spPr>
        <a:xfrm>
          <a:off x="4723538" y="20080747"/>
          <a:ext cx="141548" cy="1670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124888</xdr:colOff>
      <xdr:row>100</xdr:row>
      <xdr:rowOff>136527</xdr:rowOff>
    </xdr:from>
    <xdr:to>
      <xdr:col>16</xdr:col>
      <xdr:colOff>266436</xdr:colOff>
      <xdr:row>101</xdr:row>
      <xdr:rowOff>111799</xdr:rowOff>
    </xdr:to>
    <xdr:sp macro="" textlink="">
      <xdr:nvSpPr>
        <xdr:cNvPr id="3646" name="6-Point Star 717">
          <a:extLst>
            <a:ext uri="{FF2B5EF4-FFF2-40B4-BE49-F238E27FC236}">
              <a16:creationId xmlns:a16="http://schemas.microsoft.com/office/drawing/2014/main" id="{BA2F013F-7DDE-4B70-A262-B88EECEB388B}"/>
            </a:ext>
          </a:extLst>
        </xdr:cNvPr>
        <xdr:cNvSpPr/>
      </xdr:nvSpPr>
      <xdr:spPr>
        <a:xfrm>
          <a:off x="5423169" y="20099340"/>
          <a:ext cx="141548" cy="1670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118533</xdr:colOff>
      <xdr:row>100</xdr:row>
      <xdr:rowOff>143142</xdr:rowOff>
    </xdr:from>
    <xdr:to>
      <xdr:col>18</xdr:col>
      <xdr:colOff>260081</xdr:colOff>
      <xdr:row>101</xdr:row>
      <xdr:rowOff>118414</xdr:rowOff>
    </xdr:to>
    <xdr:sp macro="" textlink="">
      <xdr:nvSpPr>
        <xdr:cNvPr id="3647" name="6-Point Star 717">
          <a:extLst>
            <a:ext uri="{FF2B5EF4-FFF2-40B4-BE49-F238E27FC236}">
              <a16:creationId xmlns:a16="http://schemas.microsoft.com/office/drawing/2014/main" id="{8B76CD03-BB1C-4858-8581-53C2CAB06D61}"/>
            </a:ext>
          </a:extLst>
        </xdr:cNvPr>
        <xdr:cNvSpPr/>
      </xdr:nvSpPr>
      <xdr:spPr>
        <a:xfrm>
          <a:off x="6137804" y="20105955"/>
          <a:ext cx="141548" cy="1670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124888</xdr:colOff>
      <xdr:row>100</xdr:row>
      <xdr:rowOff>122240</xdr:rowOff>
    </xdr:from>
    <xdr:to>
      <xdr:col>22</xdr:col>
      <xdr:colOff>266436</xdr:colOff>
      <xdr:row>101</xdr:row>
      <xdr:rowOff>97512</xdr:rowOff>
    </xdr:to>
    <xdr:sp macro="" textlink="">
      <xdr:nvSpPr>
        <xdr:cNvPr id="3648" name="6-Point Star 717">
          <a:extLst>
            <a:ext uri="{FF2B5EF4-FFF2-40B4-BE49-F238E27FC236}">
              <a16:creationId xmlns:a16="http://schemas.microsoft.com/office/drawing/2014/main" id="{5AD21782-848B-4662-8039-9F308F492352}"/>
            </a:ext>
          </a:extLst>
        </xdr:cNvPr>
        <xdr:cNvSpPr/>
      </xdr:nvSpPr>
      <xdr:spPr>
        <a:xfrm>
          <a:off x="7467076" y="20085053"/>
          <a:ext cx="141548" cy="1670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88124</xdr:colOff>
      <xdr:row>44</xdr:row>
      <xdr:rowOff>175595</xdr:rowOff>
    </xdr:from>
    <xdr:to>
      <xdr:col>6</xdr:col>
      <xdr:colOff>229672</xdr:colOff>
      <xdr:row>45</xdr:row>
      <xdr:rowOff>155101</xdr:rowOff>
    </xdr:to>
    <xdr:sp macro="" textlink="">
      <xdr:nvSpPr>
        <xdr:cNvPr id="3649" name="6-Point Star 717">
          <a:extLst>
            <a:ext uri="{FF2B5EF4-FFF2-40B4-BE49-F238E27FC236}">
              <a16:creationId xmlns:a16="http://schemas.microsoft.com/office/drawing/2014/main" id="{7E47FFD2-E6EB-476E-B342-82BEEB127627}"/>
            </a:ext>
          </a:extLst>
        </xdr:cNvPr>
        <xdr:cNvSpPr/>
      </xdr:nvSpPr>
      <xdr:spPr>
        <a:xfrm>
          <a:off x="1886211" y="901051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99096</xdr:colOff>
      <xdr:row>44</xdr:row>
      <xdr:rowOff>173090</xdr:rowOff>
    </xdr:from>
    <xdr:to>
      <xdr:col>4</xdr:col>
      <xdr:colOff>240644</xdr:colOff>
      <xdr:row>45</xdr:row>
      <xdr:rowOff>152596</xdr:rowOff>
    </xdr:to>
    <xdr:sp macro="" textlink="">
      <xdr:nvSpPr>
        <xdr:cNvPr id="3656" name="6-Point Star 717">
          <a:extLst>
            <a:ext uri="{FF2B5EF4-FFF2-40B4-BE49-F238E27FC236}">
              <a16:creationId xmlns:a16="http://schemas.microsoft.com/office/drawing/2014/main" id="{001AEE96-B840-4C74-AE96-617022738031}"/>
            </a:ext>
          </a:extLst>
        </xdr:cNvPr>
        <xdr:cNvSpPr/>
      </xdr:nvSpPr>
      <xdr:spPr>
        <a:xfrm>
          <a:off x="1275142" y="900801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107562</xdr:colOff>
      <xdr:row>36</xdr:row>
      <xdr:rowOff>150195</xdr:rowOff>
    </xdr:from>
    <xdr:to>
      <xdr:col>44</xdr:col>
      <xdr:colOff>249110</xdr:colOff>
      <xdr:row>37</xdr:row>
      <xdr:rowOff>125468</xdr:rowOff>
    </xdr:to>
    <xdr:sp macro="" textlink="">
      <xdr:nvSpPr>
        <xdr:cNvPr id="3657" name="6-Point Star 717">
          <a:extLst>
            <a:ext uri="{FF2B5EF4-FFF2-40B4-BE49-F238E27FC236}">
              <a16:creationId xmlns:a16="http://schemas.microsoft.com/office/drawing/2014/main" id="{DA5E013F-FF8A-40FD-9F88-708BD16972DA}"/>
            </a:ext>
          </a:extLst>
        </xdr:cNvPr>
        <xdr:cNvSpPr/>
      </xdr:nvSpPr>
      <xdr:spPr>
        <a:xfrm>
          <a:off x="14152077" y="7371700"/>
          <a:ext cx="141548" cy="169661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110931</xdr:colOff>
      <xdr:row>44</xdr:row>
      <xdr:rowOff>156741</xdr:rowOff>
    </xdr:from>
    <xdr:to>
      <xdr:col>2</xdr:col>
      <xdr:colOff>252479</xdr:colOff>
      <xdr:row>45</xdr:row>
      <xdr:rowOff>132014</xdr:rowOff>
    </xdr:to>
    <xdr:sp macro="" textlink="">
      <xdr:nvSpPr>
        <xdr:cNvPr id="3658" name="6-Point Star 717">
          <a:extLst>
            <a:ext uri="{FF2B5EF4-FFF2-40B4-BE49-F238E27FC236}">
              <a16:creationId xmlns:a16="http://schemas.microsoft.com/office/drawing/2014/main" id="{CCC2F9FD-D10D-4087-B45B-7BDE2CC7E83F}"/>
            </a:ext>
          </a:extLst>
        </xdr:cNvPr>
        <xdr:cNvSpPr/>
      </xdr:nvSpPr>
      <xdr:spPr>
        <a:xfrm>
          <a:off x="519145" y="8742200"/>
          <a:ext cx="141548" cy="163181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169334</xdr:colOff>
      <xdr:row>111</xdr:row>
      <xdr:rowOff>118534</xdr:rowOff>
    </xdr:from>
    <xdr:to>
      <xdr:col>12</xdr:col>
      <xdr:colOff>233179</xdr:colOff>
      <xdr:row>112</xdr:row>
      <xdr:rowOff>154866</xdr:rowOff>
    </xdr:to>
    <xdr:cxnSp macro="">
      <xdr:nvCxnSpPr>
        <xdr:cNvPr id="3661" name="Elbow Connector 55">
          <a:extLst>
            <a:ext uri="{FF2B5EF4-FFF2-40B4-BE49-F238E27FC236}">
              <a16:creationId xmlns:a16="http://schemas.microsoft.com/office/drawing/2014/main" id="{6AF3FB75-D227-491B-956A-91002FD3BD12}"/>
            </a:ext>
          </a:extLst>
        </xdr:cNvPr>
        <xdr:cNvCxnSpPr/>
      </xdr:nvCxnSpPr>
      <xdr:spPr>
        <a:xfrm rot="16200000" flipH="1">
          <a:off x="3993091" y="22617644"/>
          <a:ext cx="290332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135468</xdr:colOff>
      <xdr:row>111</xdr:row>
      <xdr:rowOff>93134</xdr:rowOff>
    </xdr:from>
    <xdr:to>
      <xdr:col>14</xdr:col>
      <xdr:colOff>199313</xdr:colOff>
      <xdr:row>112</xdr:row>
      <xdr:rowOff>129466</xdr:rowOff>
    </xdr:to>
    <xdr:cxnSp macro="">
      <xdr:nvCxnSpPr>
        <xdr:cNvPr id="3663" name="Elbow Connector 55">
          <a:extLst>
            <a:ext uri="{FF2B5EF4-FFF2-40B4-BE49-F238E27FC236}">
              <a16:creationId xmlns:a16="http://schemas.microsoft.com/office/drawing/2014/main" id="{51742D0E-7077-4FEE-A953-E297D7FA95AE}"/>
            </a:ext>
          </a:extLst>
        </xdr:cNvPr>
        <xdr:cNvCxnSpPr/>
      </xdr:nvCxnSpPr>
      <xdr:spPr>
        <a:xfrm rot="16200000" flipH="1">
          <a:off x="4602692" y="22592244"/>
          <a:ext cx="290332" cy="63845"/>
        </a:xfrm>
        <a:prstGeom prst="bentConnector3">
          <a:avLst>
            <a:gd name="adj1" fmla="val 58749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143934</xdr:colOff>
      <xdr:row>111</xdr:row>
      <xdr:rowOff>110067</xdr:rowOff>
    </xdr:from>
    <xdr:to>
      <xdr:col>16</xdr:col>
      <xdr:colOff>207779</xdr:colOff>
      <xdr:row>112</xdr:row>
      <xdr:rowOff>146399</xdr:rowOff>
    </xdr:to>
    <xdr:cxnSp macro="">
      <xdr:nvCxnSpPr>
        <xdr:cNvPr id="3665" name="Elbow Connector 55">
          <a:extLst>
            <a:ext uri="{FF2B5EF4-FFF2-40B4-BE49-F238E27FC236}">
              <a16:creationId xmlns:a16="http://schemas.microsoft.com/office/drawing/2014/main" id="{4389A375-7769-41EE-86EC-88DBD0A4DA93}"/>
            </a:ext>
          </a:extLst>
        </xdr:cNvPr>
        <xdr:cNvCxnSpPr/>
      </xdr:nvCxnSpPr>
      <xdr:spPr>
        <a:xfrm rot="16200000" flipH="1">
          <a:off x="5254624" y="22609177"/>
          <a:ext cx="290332" cy="63845"/>
        </a:xfrm>
        <a:prstGeom prst="bentConnector3">
          <a:avLst>
            <a:gd name="adj1" fmla="val 61665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101600</xdr:colOff>
      <xdr:row>100</xdr:row>
      <xdr:rowOff>135467</xdr:rowOff>
    </xdr:from>
    <xdr:to>
      <xdr:col>28</xdr:col>
      <xdr:colOff>243148</xdr:colOff>
      <xdr:row>101</xdr:row>
      <xdr:rowOff>110739</xdr:rowOff>
    </xdr:to>
    <xdr:sp macro="" textlink="">
      <xdr:nvSpPr>
        <xdr:cNvPr id="3662" name="6-Point Star 717">
          <a:extLst>
            <a:ext uri="{FF2B5EF4-FFF2-40B4-BE49-F238E27FC236}">
              <a16:creationId xmlns:a16="http://schemas.microsoft.com/office/drawing/2014/main" id="{5C389F8B-1870-41C9-B511-7705C8996F8A}"/>
            </a:ext>
          </a:extLst>
        </xdr:cNvPr>
        <xdr:cNvSpPr/>
      </xdr:nvSpPr>
      <xdr:spPr>
        <a:xfrm>
          <a:off x="9296400" y="203200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118533</xdr:colOff>
      <xdr:row>111</xdr:row>
      <xdr:rowOff>25400</xdr:rowOff>
    </xdr:from>
    <xdr:to>
      <xdr:col>18</xdr:col>
      <xdr:colOff>213784</xdr:colOff>
      <xdr:row>112</xdr:row>
      <xdr:rowOff>124537</xdr:rowOff>
    </xdr:to>
    <xdr:cxnSp macro="">
      <xdr:nvCxnSpPr>
        <xdr:cNvPr id="3664" name="Elbow Connector 55">
          <a:extLst>
            <a:ext uri="{FF2B5EF4-FFF2-40B4-BE49-F238E27FC236}">
              <a16:creationId xmlns:a16="http://schemas.microsoft.com/office/drawing/2014/main" id="{A8019E57-72DF-4EA9-BF7A-76903E2E2C24}"/>
            </a:ext>
          </a:extLst>
        </xdr:cNvPr>
        <xdr:cNvCxnSpPr/>
      </xdr:nvCxnSpPr>
      <xdr:spPr>
        <a:xfrm rot="16200000" flipH="1">
          <a:off x="5941657" y="22540210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160866</xdr:colOff>
      <xdr:row>111</xdr:row>
      <xdr:rowOff>25400</xdr:rowOff>
    </xdr:from>
    <xdr:to>
      <xdr:col>22</xdr:col>
      <xdr:colOff>256117</xdr:colOff>
      <xdr:row>112</xdr:row>
      <xdr:rowOff>124537</xdr:rowOff>
    </xdr:to>
    <xdr:cxnSp macro="">
      <xdr:nvCxnSpPr>
        <xdr:cNvPr id="3666" name="Elbow Connector 55">
          <a:extLst>
            <a:ext uri="{FF2B5EF4-FFF2-40B4-BE49-F238E27FC236}">
              <a16:creationId xmlns:a16="http://schemas.microsoft.com/office/drawing/2014/main" id="{47DAA7D5-25E7-4AE9-A40A-B99F2B846CB5}"/>
            </a:ext>
          </a:extLst>
        </xdr:cNvPr>
        <xdr:cNvCxnSpPr/>
      </xdr:nvCxnSpPr>
      <xdr:spPr>
        <a:xfrm rot="16200000" flipH="1">
          <a:off x="7270923" y="22540210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152400</xdr:colOff>
      <xdr:row>111</xdr:row>
      <xdr:rowOff>16934</xdr:rowOff>
    </xdr:from>
    <xdr:to>
      <xdr:col>24</xdr:col>
      <xdr:colOff>247651</xdr:colOff>
      <xdr:row>112</xdr:row>
      <xdr:rowOff>116071</xdr:rowOff>
    </xdr:to>
    <xdr:cxnSp macro="">
      <xdr:nvCxnSpPr>
        <xdr:cNvPr id="3667" name="Elbow Connector 55">
          <a:extLst>
            <a:ext uri="{FF2B5EF4-FFF2-40B4-BE49-F238E27FC236}">
              <a16:creationId xmlns:a16="http://schemas.microsoft.com/office/drawing/2014/main" id="{8BF5E7B6-4318-4029-9688-A158B82AD8C5}"/>
            </a:ext>
          </a:extLst>
        </xdr:cNvPr>
        <xdr:cNvCxnSpPr/>
      </xdr:nvCxnSpPr>
      <xdr:spPr>
        <a:xfrm rot="16200000" flipH="1">
          <a:off x="7905924" y="22531744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160867</xdr:colOff>
      <xdr:row>111</xdr:row>
      <xdr:rowOff>16933</xdr:rowOff>
    </xdr:from>
    <xdr:to>
      <xdr:col>26</xdr:col>
      <xdr:colOff>256118</xdr:colOff>
      <xdr:row>112</xdr:row>
      <xdr:rowOff>116070</xdr:rowOff>
    </xdr:to>
    <xdr:cxnSp macro="">
      <xdr:nvCxnSpPr>
        <xdr:cNvPr id="3668" name="Elbow Connector 55">
          <a:extLst>
            <a:ext uri="{FF2B5EF4-FFF2-40B4-BE49-F238E27FC236}">
              <a16:creationId xmlns:a16="http://schemas.microsoft.com/office/drawing/2014/main" id="{C24E953E-31E2-415C-A603-C000E44C16E7}"/>
            </a:ext>
          </a:extLst>
        </xdr:cNvPr>
        <xdr:cNvCxnSpPr/>
      </xdr:nvCxnSpPr>
      <xdr:spPr>
        <a:xfrm rot="16200000" flipH="1">
          <a:off x="8557857" y="22531743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135467</xdr:colOff>
      <xdr:row>111</xdr:row>
      <xdr:rowOff>42334</xdr:rowOff>
    </xdr:from>
    <xdr:to>
      <xdr:col>28</xdr:col>
      <xdr:colOff>230718</xdr:colOff>
      <xdr:row>112</xdr:row>
      <xdr:rowOff>141471</xdr:rowOff>
    </xdr:to>
    <xdr:cxnSp macro="">
      <xdr:nvCxnSpPr>
        <xdr:cNvPr id="3669" name="Elbow Connector 55">
          <a:extLst>
            <a:ext uri="{FF2B5EF4-FFF2-40B4-BE49-F238E27FC236}">
              <a16:creationId xmlns:a16="http://schemas.microsoft.com/office/drawing/2014/main" id="{6B0E40C2-3246-4693-B9F0-B0F6BC0C1312}"/>
            </a:ext>
          </a:extLst>
        </xdr:cNvPr>
        <xdr:cNvCxnSpPr/>
      </xdr:nvCxnSpPr>
      <xdr:spPr>
        <a:xfrm rot="16200000" flipH="1">
          <a:off x="9201324" y="22557144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186268</xdr:colOff>
      <xdr:row>111</xdr:row>
      <xdr:rowOff>110068</xdr:rowOff>
    </xdr:from>
    <xdr:to>
      <xdr:col>44</xdr:col>
      <xdr:colOff>250113</xdr:colOff>
      <xdr:row>112</xdr:row>
      <xdr:rowOff>146400</xdr:rowOff>
    </xdr:to>
    <xdr:cxnSp macro="">
      <xdr:nvCxnSpPr>
        <xdr:cNvPr id="3670" name="Elbow Connector 55">
          <a:extLst>
            <a:ext uri="{FF2B5EF4-FFF2-40B4-BE49-F238E27FC236}">
              <a16:creationId xmlns:a16="http://schemas.microsoft.com/office/drawing/2014/main" id="{E98A66A3-3B72-42E2-8D6E-70F72FF4B228}"/>
            </a:ext>
          </a:extLst>
        </xdr:cNvPr>
        <xdr:cNvCxnSpPr/>
      </xdr:nvCxnSpPr>
      <xdr:spPr>
        <a:xfrm rot="16200000" flipH="1">
          <a:off x="14601825" y="22609178"/>
          <a:ext cx="290332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135468</xdr:colOff>
      <xdr:row>119</xdr:row>
      <xdr:rowOff>118535</xdr:rowOff>
    </xdr:from>
    <xdr:to>
      <xdr:col>2</xdr:col>
      <xdr:colOff>199313</xdr:colOff>
      <xdr:row>120</xdr:row>
      <xdr:rowOff>154867</xdr:rowOff>
    </xdr:to>
    <xdr:cxnSp macro="">
      <xdr:nvCxnSpPr>
        <xdr:cNvPr id="3671" name="Elbow Connector 55">
          <a:extLst>
            <a:ext uri="{FF2B5EF4-FFF2-40B4-BE49-F238E27FC236}">
              <a16:creationId xmlns:a16="http://schemas.microsoft.com/office/drawing/2014/main" id="{ADDAEEAA-61D2-48FB-98E6-9F24F94E5AF5}"/>
            </a:ext>
          </a:extLst>
        </xdr:cNvPr>
        <xdr:cNvCxnSpPr/>
      </xdr:nvCxnSpPr>
      <xdr:spPr>
        <a:xfrm rot="16200000" flipH="1">
          <a:off x="564092" y="24234778"/>
          <a:ext cx="290332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182563</xdr:colOff>
      <xdr:row>101</xdr:row>
      <xdr:rowOff>43127</xdr:rowOff>
    </xdr:from>
    <xdr:to>
      <xdr:col>30</xdr:col>
      <xdr:colOff>199496</xdr:colOff>
      <xdr:row>102</xdr:row>
      <xdr:rowOff>17727</xdr:rowOff>
    </xdr:to>
    <xdr:sp macro="" textlink="">
      <xdr:nvSpPr>
        <xdr:cNvPr id="3673" name="Freeform 10707">
          <a:extLst>
            <a:ext uri="{FF2B5EF4-FFF2-40B4-BE49-F238E27FC236}">
              <a16:creationId xmlns:a16="http://schemas.microsoft.com/office/drawing/2014/main" id="{A85BF39F-E150-45E4-8821-A91495828699}"/>
            </a:ext>
          </a:extLst>
        </xdr:cNvPr>
        <xdr:cNvSpPr>
          <a:spLocks/>
        </xdr:cNvSpPr>
      </xdr:nvSpPr>
      <xdr:spPr bwMode="auto">
        <a:xfrm>
          <a:off x="9542198" y="20197762"/>
          <a:ext cx="678392" cy="1664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177801</xdr:colOff>
      <xdr:row>101</xdr:row>
      <xdr:rowOff>67733</xdr:rowOff>
    </xdr:from>
    <xdr:to>
      <xdr:col>32</xdr:col>
      <xdr:colOff>169335</xdr:colOff>
      <xdr:row>102</xdr:row>
      <xdr:rowOff>79375</xdr:rowOff>
    </xdr:to>
    <xdr:sp macro="" textlink="">
      <xdr:nvSpPr>
        <xdr:cNvPr id="3674" name="Freeform 10707">
          <a:extLst>
            <a:ext uri="{FF2B5EF4-FFF2-40B4-BE49-F238E27FC236}">
              <a16:creationId xmlns:a16="http://schemas.microsoft.com/office/drawing/2014/main" id="{1AA81175-7B9D-496B-92CF-722CFD0B4325}"/>
            </a:ext>
          </a:extLst>
        </xdr:cNvPr>
        <xdr:cNvSpPr>
          <a:spLocks/>
        </xdr:cNvSpPr>
      </xdr:nvSpPr>
      <xdr:spPr bwMode="auto">
        <a:xfrm>
          <a:off x="10198895" y="20222368"/>
          <a:ext cx="686065" cy="2034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186267</xdr:colOff>
      <xdr:row>101</xdr:row>
      <xdr:rowOff>50800</xdr:rowOff>
    </xdr:from>
    <xdr:to>
      <xdr:col>34</xdr:col>
      <xdr:colOff>203200</xdr:colOff>
      <xdr:row>102</xdr:row>
      <xdr:rowOff>42333</xdr:rowOff>
    </xdr:to>
    <xdr:sp macro="" textlink="">
      <xdr:nvSpPr>
        <xdr:cNvPr id="3675" name="Freeform 10707">
          <a:extLst>
            <a:ext uri="{FF2B5EF4-FFF2-40B4-BE49-F238E27FC236}">
              <a16:creationId xmlns:a16="http://schemas.microsoft.com/office/drawing/2014/main" id="{CD04D76F-B705-4EC0-9C01-4210BA41A504}"/>
            </a:ext>
          </a:extLst>
        </xdr:cNvPr>
        <xdr:cNvSpPr>
          <a:spLocks/>
        </xdr:cNvSpPr>
      </xdr:nvSpPr>
      <xdr:spPr bwMode="auto">
        <a:xfrm>
          <a:off x="10693400" y="20430067"/>
          <a:ext cx="660400" cy="186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186267</xdr:colOff>
      <xdr:row>101</xdr:row>
      <xdr:rowOff>50800</xdr:rowOff>
    </xdr:from>
    <xdr:to>
      <xdr:col>36</xdr:col>
      <xdr:colOff>203200</xdr:colOff>
      <xdr:row>102</xdr:row>
      <xdr:rowOff>42333</xdr:rowOff>
    </xdr:to>
    <xdr:sp macro="" textlink="">
      <xdr:nvSpPr>
        <xdr:cNvPr id="3676" name="Freeform 10707">
          <a:extLst>
            <a:ext uri="{FF2B5EF4-FFF2-40B4-BE49-F238E27FC236}">
              <a16:creationId xmlns:a16="http://schemas.microsoft.com/office/drawing/2014/main" id="{A226C299-193F-41E6-922E-C61C3D8D625A}"/>
            </a:ext>
          </a:extLst>
        </xdr:cNvPr>
        <xdr:cNvSpPr>
          <a:spLocks/>
        </xdr:cNvSpPr>
      </xdr:nvSpPr>
      <xdr:spPr bwMode="auto">
        <a:xfrm>
          <a:off x="11336867" y="20430067"/>
          <a:ext cx="660400" cy="186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220133</xdr:colOff>
      <xdr:row>101</xdr:row>
      <xdr:rowOff>50800</xdr:rowOff>
    </xdr:from>
    <xdr:to>
      <xdr:col>38</xdr:col>
      <xdr:colOff>194733</xdr:colOff>
      <xdr:row>102</xdr:row>
      <xdr:rowOff>25400</xdr:rowOff>
    </xdr:to>
    <xdr:sp macro="" textlink="">
      <xdr:nvSpPr>
        <xdr:cNvPr id="3677" name="Freeform 10707">
          <a:extLst>
            <a:ext uri="{FF2B5EF4-FFF2-40B4-BE49-F238E27FC236}">
              <a16:creationId xmlns:a16="http://schemas.microsoft.com/office/drawing/2014/main" id="{805061A4-20E7-4D7F-878C-52073750A06C}"/>
            </a:ext>
          </a:extLst>
        </xdr:cNvPr>
        <xdr:cNvSpPr>
          <a:spLocks/>
        </xdr:cNvSpPr>
      </xdr:nvSpPr>
      <xdr:spPr bwMode="auto">
        <a:xfrm>
          <a:off x="12014200" y="20430067"/>
          <a:ext cx="660400" cy="1693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177801</xdr:colOff>
      <xdr:row>101</xdr:row>
      <xdr:rowOff>50800</xdr:rowOff>
    </xdr:from>
    <xdr:to>
      <xdr:col>40</xdr:col>
      <xdr:colOff>194735</xdr:colOff>
      <xdr:row>102</xdr:row>
      <xdr:rowOff>16933</xdr:rowOff>
    </xdr:to>
    <xdr:sp macro="" textlink="">
      <xdr:nvSpPr>
        <xdr:cNvPr id="3678" name="Freeform 10707">
          <a:extLst>
            <a:ext uri="{FF2B5EF4-FFF2-40B4-BE49-F238E27FC236}">
              <a16:creationId xmlns:a16="http://schemas.microsoft.com/office/drawing/2014/main" id="{BCB5AFDB-9CEC-443A-AA1A-4EB2FC19EBD6}"/>
            </a:ext>
          </a:extLst>
        </xdr:cNvPr>
        <xdr:cNvSpPr>
          <a:spLocks/>
        </xdr:cNvSpPr>
      </xdr:nvSpPr>
      <xdr:spPr bwMode="auto">
        <a:xfrm>
          <a:off x="12657668" y="20430067"/>
          <a:ext cx="660400" cy="1608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186268</xdr:colOff>
      <xdr:row>101</xdr:row>
      <xdr:rowOff>50800</xdr:rowOff>
    </xdr:from>
    <xdr:to>
      <xdr:col>42</xdr:col>
      <xdr:colOff>203201</xdr:colOff>
      <xdr:row>102</xdr:row>
      <xdr:rowOff>16932</xdr:rowOff>
    </xdr:to>
    <xdr:sp macro="" textlink="">
      <xdr:nvSpPr>
        <xdr:cNvPr id="3679" name="Freeform 10707">
          <a:extLst>
            <a:ext uri="{FF2B5EF4-FFF2-40B4-BE49-F238E27FC236}">
              <a16:creationId xmlns:a16="http://schemas.microsoft.com/office/drawing/2014/main" id="{F7EA05C1-6E1F-4D0D-B333-A67905DBF353}"/>
            </a:ext>
          </a:extLst>
        </xdr:cNvPr>
        <xdr:cNvSpPr>
          <a:spLocks/>
        </xdr:cNvSpPr>
      </xdr:nvSpPr>
      <xdr:spPr bwMode="auto">
        <a:xfrm>
          <a:off x="13309601" y="20430067"/>
          <a:ext cx="660400" cy="1608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194733</xdr:colOff>
      <xdr:row>101</xdr:row>
      <xdr:rowOff>50799</xdr:rowOff>
    </xdr:from>
    <xdr:to>
      <xdr:col>44</xdr:col>
      <xdr:colOff>194732</xdr:colOff>
      <xdr:row>102</xdr:row>
      <xdr:rowOff>25400</xdr:rowOff>
    </xdr:to>
    <xdr:sp macro="" textlink="">
      <xdr:nvSpPr>
        <xdr:cNvPr id="3680" name="Freeform 10707">
          <a:extLst>
            <a:ext uri="{FF2B5EF4-FFF2-40B4-BE49-F238E27FC236}">
              <a16:creationId xmlns:a16="http://schemas.microsoft.com/office/drawing/2014/main" id="{6E503F8E-85EB-42AF-B7AF-AD7A9C5A8E5D}"/>
            </a:ext>
          </a:extLst>
        </xdr:cNvPr>
        <xdr:cNvSpPr>
          <a:spLocks/>
        </xdr:cNvSpPr>
      </xdr:nvSpPr>
      <xdr:spPr bwMode="auto">
        <a:xfrm>
          <a:off x="13961533" y="20430066"/>
          <a:ext cx="761999" cy="16933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214577</xdr:colOff>
      <xdr:row>101</xdr:row>
      <xdr:rowOff>74346</xdr:rowOff>
    </xdr:from>
    <xdr:to>
      <xdr:col>46</xdr:col>
      <xdr:colOff>19843</xdr:colOff>
      <xdr:row>102</xdr:row>
      <xdr:rowOff>72761</xdr:rowOff>
    </xdr:to>
    <xdr:sp macro="" textlink="">
      <xdr:nvSpPr>
        <xdr:cNvPr id="3681" name="Freeform 10707">
          <a:extLst>
            <a:ext uri="{FF2B5EF4-FFF2-40B4-BE49-F238E27FC236}">
              <a16:creationId xmlns:a16="http://schemas.microsoft.com/office/drawing/2014/main" id="{BEE9EEE9-CFEE-4E57-BF35-601134E9F64B}"/>
            </a:ext>
          </a:extLst>
        </xdr:cNvPr>
        <xdr:cNvSpPr>
          <a:spLocks/>
        </xdr:cNvSpPr>
      </xdr:nvSpPr>
      <xdr:spPr bwMode="auto">
        <a:xfrm>
          <a:off x="14998171" y="20228981"/>
          <a:ext cx="612245" cy="19023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25401</xdr:colOff>
      <xdr:row>109</xdr:row>
      <xdr:rowOff>64347</xdr:rowOff>
    </xdr:from>
    <xdr:to>
      <xdr:col>2</xdr:col>
      <xdr:colOff>160867</xdr:colOff>
      <xdr:row>109</xdr:row>
      <xdr:rowOff>177800</xdr:rowOff>
    </xdr:to>
    <xdr:sp macro="" textlink="">
      <xdr:nvSpPr>
        <xdr:cNvPr id="3682" name="Freeform 10707">
          <a:extLst>
            <a:ext uri="{FF2B5EF4-FFF2-40B4-BE49-F238E27FC236}">
              <a16:creationId xmlns:a16="http://schemas.microsoft.com/office/drawing/2014/main" id="{69F09843-A36F-43D1-ACD0-565B0B108019}"/>
            </a:ext>
          </a:extLst>
        </xdr:cNvPr>
        <xdr:cNvSpPr>
          <a:spLocks/>
        </xdr:cNvSpPr>
      </xdr:nvSpPr>
      <xdr:spPr bwMode="auto">
        <a:xfrm>
          <a:off x="270934" y="22060747"/>
          <a:ext cx="431800" cy="11345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106101</xdr:colOff>
      <xdr:row>119</xdr:row>
      <xdr:rowOff>96455</xdr:rowOff>
    </xdr:from>
    <xdr:to>
      <xdr:col>4</xdr:col>
      <xdr:colOff>169946</xdr:colOff>
      <xdr:row>120</xdr:row>
      <xdr:rowOff>132787</xdr:rowOff>
    </xdr:to>
    <xdr:cxnSp macro="">
      <xdr:nvCxnSpPr>
        <xdr:cNvPr id="3685" name="Elbow Connector 55">
          <a:extLst>
            <a:ext uri="{FF2B5EF4-FFF2-40B4-BE49-F238E27FC236}">
              <a16:creationId xmlns:a16="http://schemas.microsoft.com/office/drawing/2014/main" id="{A6FE2CCF-14D1-4D2F-AB80-5454719510C9}"/>
            </a:ext>
          </a:extLst>
        </xdr:cNvPr>
        <xdr:cNvCxnSpPr/>
      </xdr:nvCxnSpPr>
      <xdr:spPr>
        <a:xfrm rot="16200000" flipH="1">
          <a:off x="1200161" y="23984420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154329</xdr:colOff>
      <xdr:row>119</xdr:row>
      <xdr:rowOff>86810</xdr:rowOff>
    </xdr:from>
    <xdr:to>
      <xdr:col>6</xdr:col>
      <xdr:colOff>218174</xdr:colOff>
      <xdr:row>120</xdr:row>
      <xdr:rowOff>123142</xdr:rowOff>
    </xdr:to>
    <xdr:cxnSp macro="">
      <xdr:nvCxnSpPr>
        <xdr:cNvPr id="3686" name="Elbow Connector 55">
          <a:extLst>
            <a:ext uri="{FF2B5EF4-FFF2-40B4-BE49-F238E27FC236}">
              <a16:creationId xmlns:a16="http://schemas.microsoft.com/office/drawing/2014/main" id="{8FBDBBF1-D011-4190-9B5F-90F0C7CFE29C}"/>
            </a:ext>
          </a:extLst>
        </xdr:cNvPr>
        <xdr:cNvCxnSpPr/>
      </xdr:nvCxnSpPr>
      <xdr:spPr>
        <a:xfrm rot="16200000" flipH="1">
          <a:off x="1894642" y="23974775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163974</xdr:colOff>
      <xdr:row>119</xdr:row>
      <xdr:rowOff>106101</xdr:rowOff>
    </xdr:from>
    <xdr:to>
      <xdr:col>8</xdr:col>
      <xdr:colOff>227819</xdr:colOff>
      <xdr:row>120</xdr:row>
      <xdr:rowOff>142433</xdr:rowOff>
    </xdr:to>
    <xdr:cxnSp macro="">
      <xdr:nvCxnSpPr>
        <xdr:cNvPr id="3687" name="Elbow Connector 55">
          <a:extLst>
            <a:ext uri="{FF2B5EF4-FFF2-40B4-BE49-F238E27FC236}">
              <a16:creationId xmlns:a16="http://schemas.microsoft.com/office/drawing/2014/main" id="{D62EB035-77A6-4164-8C2E-1097F9774932}"/>
            </a:ext>
          </a:extLst>
        </xdr:cNvPr>
        <xdr:cNvCxnSpPr/>
      </xdr:nvCxnSpPr>
      <xdr:spPr>
        <a:xfrm rot="16200000" flipH="1">
          <a:off x="2569832" y="23994066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144683</xdr:colOff>
      <xdr:row>119</xdr:row>
      <xdr:rowOff>86810</xdr:rowOff>
    </xdr:from>
    <xdr:to>
      <xdr:col>10</xdr:col>
      <xdr:colOff>208528</xdr:colOff>
      <xdr:row>120</xdr:row>
      <xdr:rowOff>123142</xdr:rowOff>
    </xdr:to>
    <xdr:cxnSp macro="">
      <xdr:nvCxnSpPr>
        <xdr:cNvPr id="3688" name="Elbow Connector 55">
          <a:extLst>
            <a:ext uri="{FF2B5EF4-FFF2-40B4-BE49-F238E27FC236}">
              <a16:creationId xmlns:a16="http://schemas.microsoft.com/office/drawing/2014/main" id="{667AB8B6-7B22-4BC8-8EB7-BE7C10A266F5}"/>
            </a:ext>
          </a:extLst>
        </xdr:cNvPr>
        <xdr:cNvCxnSpPr/>
      </xdr:nvCxnSpPr>
      <xdr:spPr>
        <a:xfrm rot="16200000" flipH="1">
          <a:off x="3302895" y="23974775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115747</xdr:colOff>
      <xdr:row>119</xdr:row>
      <xdr:rowOff>86810</xdr:rowOff>
    </xdr:from>
    <xdr:to>
      <xdr:col>14</xdr:col>
      <xdr:colOff>191555</xdr:colOff>
      <xdr:row>120</xdr:row>
      <xdr:rowOff>137347</xdr:rowOff>
    </xdr:to>
    <xdr:cxnSp macro="">
      <xdr:nvCxnSpPr>
        <xdr:cNvPr id="3699" name="Elbow Connector 55">
          <a:extLst>
            <a:ext uri="{FF2B5EF4-FFF2-40B4-BE49-F238E27FC236}">
              <a16:creationId xmlns:a16="http://schemas.microsoft.com/office/drawing/2014/main" id="{DFFA2B93-F1A4-4837-BC51-B14311FBBE77}"/>
            </a:ext>
          </a:extLst>
        </xdr:cNvPr>
        <xdr:cNvCxnSpPr/>
      </xdr:nvCxnSpPr>
      <xdr:spPr>
        <a:xfrm rot="16200000" flipH="1">
          <a:off x="4594281" y="2397589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135038</xdr:colOff>
      <xdr:row>119</xdr:row>
      <xdr:rowOff>77164</xdr:rowOff>
    </xdr:from>
    <xdr:to>
      <xdr:col>16</xdr:col>
      <xdr:colOff>210846</xdr:colOff>
      <xdr:row>120</xdr:row>
      <xdr:rowOff>127701</xdr:rowOff>
    </xdr:to>
    <xdr:cxnSp macro="">
      <xdr:nvCxnSpPr>
        <xdr:cNvPr id="3700" name="Elbow Connector 55">
          <a:extLst>
            <a:ext uri="{FF2B5EF4-FFF2-40B4-BE49-F238E27FC236}">
              <a16:creationId xmlns:a16="http://schemas.microsoft.com/office/drawing/2014/main" id="{FCDAB8B4-9E41-4DAF-84F2-4F7FE21B99EB}"/>
            </a:ext>
          </a:extLst>
        </xdr:cNvPr>
        <xdr:cNvCxnSpPr/>
      </xdr:nvCxnSpPr>
      <xdr:spPr>
        <a:xfrm rot="16200000" flipH="1">
          <a:off x="5259825" y="23966250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115746</xdr:colOff>
      <xdr:row>119</xdr:row>
      <xdr:rowOff>86810</xdr:rowOff>
    </xdr:from>
    <xdr:to>
      <xdr:col>18</xdr:col>
      <xdr:colOff>191554</xdr:colOff>
      <xdr:row>120</xdr:row>
      <xdr:rowOff>137347</xdr:rowOff>
    </xdr:to>
    <xdr:cxnSp macro="">
      <xdr:nvCxnSpPr>
        <xdr:cNvPr id="3701" name="Elbow Connector 55">
          <a:extLst>
            <a:ext uri="{FF2B5EF4-FFF2-40B4-BE49-F238E27FC236}">
              <a16:creationId xmlns:a16="http://schemas.microsoft.com/office/drawing/2014/main" id="{6875A63E-E132-4FD9-99AD-F86766BFAF9D}"/>
            </a:ext>
          </a:extLst>
        </xdr:cNvPr>
        <xdr:cNvCxnSpPr/>
      </xdr:nvCxnSpPr>
      <xdr:spPr>
        <a:xfrm rot="16200000" flipH="1">
          <a:off x="5973597" y="2397589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163975</xdr:colOff>
      <xdr:row>119</xdr:row>
      <xdr:rowOff>67520</xdr:rowOff>
    </xdr:from>
    <xdr:to>
      <xdr:col>20</xdr:col>
      <xdr:colOff>239783</xdr:colOff>
      <xdr:row>120</xdr:row>
      <xdr:rowOff>118057</xdr:rowOff>
    </xdr:to>
    <xdr:cxnSp macro="">
      <xdr:nvCxnSpPr>
        <xdr:cNvPr id="3706" name="Elbow Connector 55">
          <a:extLst>
            <a:ext uri="{FF2B5EF4-FFF2-40B4-BE49-F238E27FC236}">
              <a16:creationId xmlns:a16="http://schemas.microsoft.com/office/drawing/2014/main" id="{8BD11CAF-2628-47D9-8EF0-74F7A4ECE67A}"/>
            </a:ext>
          </a:extLst>
        </xdr:cNvPr>
        <xdr:cNvCxnSpPr/>
      </xdr:nvCxnSpPr>
      <xdr:spPr>
        <a:xfrm rot="16200000" flipH="1">
          <a:off x="6668079" y="2395660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125392</xdr:colOff>
      <xdr:row>119</xdr:row>
      <xdr:rowOff>48228</xdr:rowOff>
    </xdr:from>
    <xdr:to>
      <xdr:col>26</xdr:col>
      <xdr:colOff>220643</xdr:colOff>
      <xdr:row>120</xdr:row>
      <xdr:rowOff>147366</xdr:rowOff>
    </xdr:to>
    <xdr:cxnSp macro="">
      <xdr:nvCxnSpPr>
        <xdr:cNvPr id="3641" name="Elbow Connector 55">
          <a:extLst>
            <a:ext uri="{FF2B5EF4-FFF2-40B4-BE49-F238E27FC236}">
              <a16:creationId xmlns:a16="http://schemas.microsoft.com/office/drawing/2014/main" id="{0FBE379E-5063-4712-90E4-82498D9D1FBC}"/>
            </a:ext>
          </a:extLst>
        </xdr:cNvPr>
        <xdr:cNvCxnSpPr/>
      </xdr:nvCxnSpPr>
      <xdr:spPr>
        <a:xfrm rot="16200000" flipH="1">
          <a:off x="8553676" y="23951893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144683</xdr:colOff>
      <xdr:row>119</xdr:row>
      <xdr:rowOff>67519</xdr:rowOff>
    </xdr:from>
    <xdr:to>
      <xdr:col>28</xdr:col>
      <xdr:colOff>239934</xdr:colOff>
      <xdr:row>120</xdr:row>
      <xdr:rowOff>166657</xdr:rowOff>
    </xdr:to>
    <xdr:cxnSp macro="">
      <xdr:nvCxnSpPr>
        <xdr:cNvPr id="3690" name="Elbow Connector 55">
          <a:extLst>
            <a:ext uri="{FF2B5EF4-FFF2-40B4-BE49-F238E27FC236}">
              <a16:creationId xmlns:a16="http://schemas.microsoft.com/office/drawing/2014/main" id="{8132B368-240A-4E82-A1B1-AD04F19860A2}"/>
            </a:ext>
          </a:extLst>
        </xdr:cNvPr>
        <xdr:cNvCxnSpPr/>
      </xdr:nvCxnSpPr>
      <xdr:spPr>
        <a:xfrm rot="16200000" flipH="1">
          <a:off x="923851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154330</xdr:colOff>
      <xdr:row>119</xdr:row>
      <xdr:rowOff>67519</xdr:rowOff>
    </xdr:from>
    <xdr:to>
      <xdr:col>30</xdr:col>
      <xdr:colOff>249581</xdr:colOff>
      <xdr:row>120</xdr:row>
      <xdr:rowOff>166657</xdr:rowOff>
    </xdr:to>
    <xdr:cxnSp macro="">
      <xdr:nvCxnSpPr>
        <xdr:cNvPr id="3691" name="Elbow Connector 55">
          <a:extLst>
            <a:ext uri="{FF2B5EF4-FFF2-40B4-BE49-F238E27FC236}">
              <a16:creationId xmlns:a16="http://schemas.microsoft.com/office/drawing/2014/main" id="{6B54C896-9444-47B5-A3E2-0BFD84EC969F}"/>
            </a:ext>
          </a:extLst>
        </xdr:cNvPr>
        <xdr:cNvCxnSpPr/>
      </xdr:nvCxnSpPr>
      <xdr:spPr>
        <a:xfrm rot="16200000" flipH="1">
          <a:off x="989441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115747</xdr:colOff>
      <xdr:row>119</xdr:row>
      <xdr:rowOff>77165</xdr:rowOff>
    </xdr:from>
    <xdr:to>
      <xdr:col>34</xdr:col>
      <xdr:colOff>210998</xdr:colOff>
      <xdr:row>120</xdr:row>
      <xdr:rowOff>176303</xdr:rowOff>
    </xdr:to>
    <xdr:cxnSp macro="">
      <xdr:nvCxnSpPr>
        <xdr:cNvPr id="3692" name="Elbow Connector 55">
          <a:extLst>
            <a:ext uri="{FF2B5EF4-FFF2-40B4-BE49-F238E27FC236}">
              <a16:creationId xmlns:a16="http://schemas.microsoft.com/office/drawing/2014/main" id="{1DD0ABAE-07DA-49F5-9592-B3393745EA82}"/>
            </a:ext>
          </a:extLst>
        </xdr:cNvPr>
        <xdr:cNvCxnSpPr/>
      </xdr:nvCxnSpPr>
      <xdr:spPr>
        <a:xfrm rot="16200000" flipH="1">
          <a:off x="11167626" y="23980830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202557</xdr:colOff>
      <xdr:row>119</xdr:row>
      <xdr:rowOff>67519</xdr:rowOff>
    </xdr:from>
    <xdr:to>
      <xdr:col>36</xdr:col>
      <xdr:colOff>297808</xdr:colOff>
      <xdr:row>120</xdr:row>
      <xdr:rowOff>166657</xdr:rowOff>
    </xdr:to>
    <xdr:cxnSp macro="">
      <xdr:nvCxnSpPr>
        <xdr:cNvPr id="3693" name="Elbow Connector 55">
          <a:extLst>
            <a:ext uri="{FF2B5EF4-FFF2-40B4-BE49-F238E27FC236}">
              <a16:creationId xmlns:a16="http://schemas.microsoft.com/office/drawing/2014/main" id="{A4D9D136-324B-4BBA-A3CB-18512057C8CD}"/>
            </a:ext>
          </a:extLst>
        </xdr:cNvPr>
        <xdr:cNvCxnSpPr/>
      </xdr:nvCxnSpPr>
      <xdr:spPr>
        <a:xfrm rot="16200000" flipH="1">
          <a:off x="11900689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163974</xdr:colOff>
      <xdr:row>119</xdr:row>
      <xdr:rowOff>67519</xdr:rowOff>
    </xdr:from>
    <xdr:to>
      <xdr:col>38</xdr:col>
      <xdr:colOff>259225</xdr:colOff>
      <xdr:row>120</xdr:row>
      <xdr:rowOff>166657</xdr:rowOff>
    </xdr:to>
    <xdr:cxnSp macro="">
      <xdr:nvCxnSpPr>
        <xdr:cNvPr id="3694" name="Elbow Connector 55">
          <a:extLst>
            <a:ext uri="{FF2B5EF4-FFF2-40B4-BE49-F238E27FC236}">
              <a16:creationId xmlns:a16="http://schemas.microsoft.com/office/drawing/2014/main" id="{FB1B4257-2269-4798-89BC-66F82FF4094E}"/>
            </a:ext>
          </a:extLst>
        </xdr:cNvPr>
        <xdr:cNvCxnSpPr/>
      </xdr:nvCxnSpPr>
      <xdr:spPr>
        <a:xfrm rot="16200000" flipH="1">
          <a:off x="1254694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86810</xdr:colOff>
      <xdr:row>100</xdr:row>
      <xdr:rowOff>144683</xdr:rowOff>
    </xdr:from>
    <xdr:to>
      <xdr:col>30</xdr:col>
      <xdr:colOff>228358</xdr:colOff>
      <xdr:row>101</xdr:row>
      <xdr:rowOff>124190</xdr:rowOff>
    </xdr:to>
    <xdr:sp macro="" textlink="">
      <xdr:nvSpPr>
        <xdr:cNvPr id="3695" name="6-Point Star 717">
          <a:extLst>
            <a:ext uri="{FF2B5EF4-FFF2-40B4-BE49-F238E27FC236}">
              <a16:creationId xmlns:a16="http://schemas.microsoft.com/office/drawing/2014/main" id="{EBD46CF7-7EAE-4FF0-B30A-E8DF3945EDD3}"/>
            </a:ext>
          </a:extLst>
        </xdr:cNvPr>
        <xdr:cNvSpPr/>
      </xdr:nvSpPr>
      <xdr:spPr>
        <a:xfrm>
          <a:off x="9954228" y="2013994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86809</xdr:colOff>
      <xdr:row>100</xdr:row>
      <xdr:rowOff>135038</xdr:rowOff>
    </xdr:from>
    <xdr:to>
      <xdr:col>32</xdr:col>
      <xdr:colOff>250784</xdr:colOff>
      <xdr:row>101</xdr:row>
      <xdr:rowOff>96456</xdr:rowOff>
    </xdr:to>
    <xdr:sp macro="" textlink="">
      <xdr:nvSpPr>
        <xdr:cNvPr id="3696" name="6-Point Star 717">
          <a:extLst>
            <a:ext uri="{FF2B5EF4-FFF2-40B4-BE49-F238E27FC236}">
              <a16:creationId xmlns:a16="http://schemas.microsoft.com/office/drawing/2014/main" id="{FFFF9068-A33F-4489-A70D-BD3CB17BBFF7}"/>
            </a:ext>
          </a:extLst>
        </xdr:cNvPr>
        <xdr:cNvSpPr/>
      </xdr:nvSpPr>
      <xdr:spPr>
        <a:xfrm>
          <a:off x="10619771" y="20130304"/>
          <a:ext cx="163975" cy="154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96456</xdr:colOff>
      <xdr:row>100</xdr:row>
      <xdr:rowOff>144684</xdr:rowOff>
    </xdr:from>
    <xdr:to>
      <xdr:col>34</xdr:col>
      <xdr:colOff>238004</xdr:colOff>
      <xdr:row>101</xdr:row>
      <xdr:rowOff>124191</xdr:rowOff>
    </xdr:to>
    <xdr:sp macro="" textlink="">
      <xdr:nvSpPr>
        <xdr:cNvPr id="3697" name="6-Point Star 717">
          <a:extLst>
            <a:ext uri="{FF2B5EF4-FFF2-40B4-BE49-F238E27FC236}">
              <a16:creationId xmlns:a16="http://schemas.microsoft.com/office/drawing/2014/main" id="{589413BD-BAC2-4E60-9EB7-B51407082A8E}"/>
            </a:ext>
          </a:extLst>
        </xdr:cNvPr>
        <xdr:cNvSpPr/>
      </xdr:nvSpPr>
      <xdr:spPr>
        <a:xfrm>
          <a:off x="11275671" y="20139950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144684</xdr:colOff>
      <xdr:row>119</xdr:row>
      <xdr:rowOff>96455</xdr:rowOff>
    </xdr:from>
    <xdr:to>
      <xdr:col>42</xdr:col>
      <xdr:colOff>220492</xdr:colOff>
      <xdr:row>120</xdr:row>
      <xdr:rowOff>146992</xdr:rowOff>
    </xdr:to>
    <xdr:cxnSp macro="">
      <xdr:nvCxnSpPr>
        <xdr:cNvPr id="3698" name="Elbow Connector 55">
          <a:extLst>
            <a:ext uri="{FF2B5EF4-FFF2-40B4-BE49-F238E27FC236}">
              <a16:creationId xmlns:a16="http://schemas.microsoft.com/office/drawing/2014/main" id="{602C3632-64E9-48BE-B7A0-F2E22DE00E1D}"/>
            </a:ext>
          </a:extLst>
        </xdr:cNvPr>
        <xdr:cNvCxnSpPr/>
      </xdr:nvCxnSpPr>
      <xdr:spPr>
        <a:xfrm rot="16200000" flipH="1">
          <a:off x="13834737" y="23985541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135038</xdr:colOff>
      <xdr:row>119</xdr:row>
      <xdr:rowOff>96455</xdr:rowOff>
    </xdr:from>
    <xdr:to>
      <xdr:col>44</xdr:col>
      <xdr:colOff>210846</xdr:colOff>
      <xdr:row>120</xdr:row>
      <xdr:rowOff>146992</xdr:rowOff>
    </xdr:to>
    <xdr:cxnSp macro="">
      <xdr:nvCxnSpPr>
        <xdr:cNvPr id="3702" name="Elbow Connector 55">
          <a:extLst>
            <a:ext uri="{FF2B5EF4-FFF2-40B4-BE49-F238E27FC236}">
              <a16:creationId xmlns:a16="http://schemas.microsoft.com/office/drawing/2014/main" id="{1C904400-F722-422E-A7D9-495F680E3B55}"/>
            </a:ext>
          </a:extLst>
        </xdr:cNvPr>
        <xdr:cNvCxnSpPr/>
      </xdr:nvCxnSpPr>
      <xdr:spPr>
        <a:xfrm rot="16200000" flipH="1">
          <a:off x="14587091" y="23985541"/>
          <a:ext cx="301322" cy="75808"/>
        </a:xfrm>
        <a:prstGeom prst="bentConnector3">
          <a:avLst>
            <a:gd name="adj1" fmla="val 4039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135038</xdr:colOff>
      <xdr:row>127</xdr:row>
      <xdr:rowOff>77164</xdr:rowOff>
    </xdr:from>
    <xdr:to>
      <xdr:col>2</xdr:col>
      <xdr:colOff>210846</xdr:colOff>
      <xdr:row>128</xdr:row>
      <xdr:rowOff>127702</xdr:rowOff>
    </xdr:to>
    <xdr:cxnSp macro="">
      <xdr:nvCxnSpPr>
        <xdr:cNvPr id="3704" name="Elbow Connector 55">
          <a:extLst>
            <a:ext uri="{FF2B5EF4-FFF2-40B4-BE49-F238E27FC236}">
              <a16:creationId xmlns:a16="http://schemas.microsoft.com/office/drawing/2014/main" id="{45B81A0B-6EC9-4072-9CFD-1BF4189286CE}"/>
            </a:ext>
          </a:extLst>
        </xdr:cNvPr>
        <xdr:cNvCxnSpPr/>
      </xdr:nvCxnSpPr>
      <xdr:spPr>
        <a:xfrm rot="16200000" flipH="1">
          <a:off x="562433" y="25567415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125392</xdr:colOff>
      <xdr:row>127</xdr:row>
      <xdr:rowOff>86810</xdr:rowOff>
    </xdr:from>
    <xdr:to>
      <xdr:col>4</xdr:col>
      <xdr:colOff>201200</xdr:colOff>
      <xdr:row>128</xdr:row>
      <xdr:rowOff>137348</xdr:rowOff>
    </xdr:to>
    <xdr:cxnSp macro="">
      <xdr:nvCxnSpPr>
        <xdr:cNvPr id="3705" name="Elbow Connector 55">
          <a:extLst>
            <a:ext uri="{FF2B5EF4-FFF2-40B4-BE49-F238E27FC236}">
              <a16:creationId xmlns:a16="http://schemas.microsoft.com/office/drawing/2014/main" id="{7EEF372C-46BA-46A8-BF3C-23135DC332D9}"/>
            </a:ext>
          </a:extLst>
        </xdr:cNvPr>
        <xdr:cNvCxnSpPr/>
      </xdr:nvCxnSpPr>
      <xdr:spPr>
        <a:xfrm rot="16200000" flipH="1">
          <a:off x="1218331" y="25577061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135038</xdr:colOff>
      <xdr:row>127</xdr:row>
      <xdr:rowOff>77165</xdr:rowOff>
    </xdr:from>
    <xdr:to>
      <xdr:col>6</xdr:col>
      <xdr:colOff>210846</xdr:colOff>
      <xdr:row>128</xdr:row>
      <xdr:rowOff>127703</xdr:rowOff>
    </xdr:to>
    <xdr:cxnSp macro="">
      <xdr:nvCxnSpPr>
        <xdr:cNvPr id="3707" name="Elbow Connector 55">
          <a:extLst>
            <a:ext uri="{FF2B5EF4-FFF2-40B4-BE49-F238E27FC236}">
              <a16:creationId xmlns:a16="http://schemas.microsoft.com/office/drawing/2014/main" id="{7C9B35F1-3A4F-48C8-9177-0C4BACD78A25}"/>
            </a:ext>
          </a:extLst>
        </xdr:cNvPr>
        <xdr:cNvCxnSpPr/>
      </xdr:nvCxnSpPr>
      <xdr:spPr>
        <a:xfrm rot="16200000" flipH="1">
          <a:off x="1874230" y="2556741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144685</xdr:colOff>
      <xdr:row>103</xdr:row>
      <xdr:rowOff>77164</xdr:rowOff>
    </xdr:from>
    <xdr:to>
      <xdr:col>6</xdr:col>
      <xdr:colOff>208529</xdr:colOff>
      <xdr:row>104</xdr:row>
      <xdr:rowOff>113496</xdr:rowOff>
    </xdr:to>
    <xdr:cxnSp macro="">
      <xdr:nvCxnSpPr>
        <xdr:cNvPr id="3703" name="Elbow Connector 55">
          <a:extLst>
            <a:ext uri="{FF2B5EF4-FFF2-40B4-BE49-F238E27FC236}">
              <a16:creationId xmlns:a16="http://schemas.microsoft.com/office/drawing/2014/main" id="{76505B43-DB64-4872-9865-1DDAAB56B4DD}"/>
            </a:ext>
          </a:extLst>
        </xdr:cNvPr>
        <xdr:cNvCxnSpPr/>
      </xdr:nvCxnSpPr>
      <xdr:spPr>
        <a:xfrm rot="16200000" flipH="1">
          <a:off x="1884997" y="20762801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135039</xdr:colOff>
      <xdr:row>103</xdr:row>
      <xdr:rowOff>77165</xdr:rowOff>
    </xdr:from>
    <xdr:to>
      <xdr:col>2</xdr:col>
      <xdr:colOff>198883</xdr:colOff>
      <xdr:row>104</xdr:row>
      <xdr:rowOff>113497</xdr:rowOff>
    </xdr:to>
    <xdr:cxnSp macro="">
      <xdr:nvCxnSpPr>
        <xdr:cNvPr id="3708" name="Elbow Connector 55">
          <a:extLst>
            <a:ext uri="{FF2B5EF4-FFF2-40B4-BE49-F238E27FC236}">
              <a16:creationId xmlns:a16="http://schemas.microsoft.com/office/drawing/2014/main" id="{D6C16F94-D8AA-4F73-80E0-5F473588C1A5}"/>
            </a:ext>
          </a:extLst>
        </xdr:cNvPr>
        <xdr:cNvCxnSpPr/>
      </xdr:nvCxnSpPr>
      <xdr:spPr>
        <a:xfrm rot="16200000" flipH="1">
          <a:off x="563554" y="20762802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144685</xdr:colOff>
      <xdr:row>103</xdr:row>
      <xdr:rowOff>86811</xdr:rowOff>
    </xdr:from>
    <xdr:to>
      <xdr:col>4</xdr:col>
      <xdr:colOff>208529</xdr:colOff>
      <xdr:row>104</xdr:row>
      <xdr:rowOff>123143</xdr:rowOff>
    </xdr:to>
    <xdr:cxnSp macro="">
      <xdr:nvCxnSpPr>
        <xdr:cNvPr id="3709" name="Elbow Connector 55">
          <a:extLst>
            <a:ext uri="{FF2B5EF4-FFF2-40B4-BE49-F238E27FC236}">
              <a16:creationId xmlns:a16="http://schemas.microsoft.com/office/drawing/2014/main" id="{4E84E438-4292-4F70-85B5-BDE7F5E5000F}"/>
            </a:ext>
          </a:extLst>
        </xdr:cNvPr>
        <xdr:cNvCxnSpPr/>
      </xdr:nvCxnSpPr>
      <xdr:spPr>
        <a:xfrm rot="16200000" flipH="1">
          <a:off x="1238744" y="20772448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163975</xdr:colOff>
      <xdr:row>95</xdr:row>
      <xdr:rowOff>67520</xdr:rowOff>
    </xdr:from>
    <xdr:to>
      <xdr:col>40</xdr:col>
      <xdr:colOff>259226</xdr:colOff>
      <xdr:row>96</xdr:row>
      <xdr:rowOff>160675</xdr:rowOff>
    </xdr:to>
    <xdr:cxnSp macro="">
      <xdr:nvCxnSpPr>
        <xdr:cNvPr id="3711" name="Elbow Connector 55">
          <a:extLst>
            <a:ext uri="{FF2B5EF4-FFF2-40B4-BE49-F238E27FC236}">
              <a16:creationId xmlns:a16="http://schemas.microsoft.com/office/drawing/2014/main" id="{453C2842-8285-4F58-8E3A-3B400F091695}"/>
            </a:ext>
          </a:extLst>
        </xdr:cNvPr>
        <xdr:cNvCxnSpPr/>
      </xdr:nvCxnSpPr>
      <xdr:spPr>
        <a:xfrm rot="16200000" flipH="1">
          <a:off x="13196188" y="19164699"/>
          <a:ext cx="343940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135039</xdr:colOff>
      <xdr:row>95</xdr:row>
      <xdr:rowOff>48229</xdr:rowOff>
    </xdr:from>
    <xdr:to>
      <xdr:col>42</xdr:col>
      <xdr:colOff>230290</xdr:colOff>
      <xdr:row>96</xdr:row>
      <xdr:rowOff>141384</xdr:rowOff>
    </xdr:to>
    <xdr:cxnSp macro="">
      <xdr:nvCxnSpPr>
        <xdr:cNvPr id="3712" name="Elbow Connector 55">
          <a:extLst>
            <a:ext uri="{FF2B5EF4-FFF2-40B4-BE49-F238E27FC236}">
              <a16:creationId xmlns:a16="http://schemas.microsoft.com/office/drawing/2014/main" id="{046B6B43-42D0-4825-926B-C574D6F70160}"/>
            </a:ext>
          </a:extLst>
        </xdr:cNvPr>
        <xdr:cNvCxnSpPr/>
      </xdr:nvCxnSpPr>
      <xdr:spPr>
        <a:xfrm rot="16200000" flipH="1">
          <a:off x="13813505" y="19145408"/>
          <a:ext cx="343940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144682</xdr:colOff>
      <xdr:row>23</xdr:row>
      <xdr:rowOff>67519</xdr:rowOff>
    </xdr:from>
    <xdr:to>
      <xdr:col>20</xdr:col>
      <xdr:colOff>231496</xdr:colOff>
      <xdr:row>24</xdr:row>
      <xdr:rowOff>163978</xdr:rowOff>
    </xdr:to>
    <xdr:cxnSp macro="">
      <xdr:nvCxnSpPr>
        <xdr:cNvPr id="3713" name="Elbow Connector 55">
          <a:extLst>
            <a:ext uri="{FF2B5EF4-FFF2-40B4-BE49-F238E27FC236}">
              <a16:creationId xmlns:a16="http://schemas.microsoft.com/office/drawing/2014/main" id="{3A9C1BB9-ED39-4B18-B967-BB91AB41079B}"/>
            </a:ext>
          </a:extLst>
        </xdr:cNvPr>
        <xdr:cNvCxnSpPr/>
      </xdr:nvCxnSpPr>
      <xdr:spPr>
        <a:xfrm rot="16200000" flipH="1">
          <a:off x="6631328" y="4760088"/>
          <a:ext cx="347244" cy="8681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163975</xdr:colOff>
      <xdr:row>111</xdr:row>
      <xdr:rowOff>57874</xdr:rowOff>
    </xdr:from>
    <xdr:to>
      <xdr:col>20</xdr:col>
      <xdr:colOff>259226</xdr:colOff>
      <xdr:row>112</xdr:row>
      <xdr:rowOff>157012</xdr:rowOff>
    </xdr:to>
    <xdr:cxnSp macro="">
      <xdr:nvCxnSpPr>
        <xdr:cNvPr id="3710" name="Elbow Connector 55">
          <a:extLst>
            <a:ext uri="{FF2B5EF4-FFF2-40B4-BE49-F238E27FC236}">
              <a16:creationId xmlns:a16="http://schemas.microsoft.com/office/drawing/2014/main" id="{B1AA629D-D802-4C93-987D-651DA3CEED47}"/>
            </a:ext>
          </a:extLst>
        </xdr:cNvPr>
        <xdr:cNvCxnSpPr/>
      </xdr:nvCxnSpPr>
      <xdr:spPr>
        <a:xfrm rot="16200000" flipH="1">
          <a:off x="6653501" y="22360374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125393</xdr:colOff>
      <xdr:row>103</xdr:row>
      <xdr:rowOff>67520</xdr:rowOff>
    </xdr:from>
    <xdr:to>
      <xdr:col>32</xdr:col>
      <xdr:colOff>220644</xdr:colOff>
      <xdr:row>104</xdr:row>
      <xdr:rowOff>166657</xdr:rowOff>
    </xdr:to>
    <xdr:cxnSp macro="">
      <xdr:nvCxnSpPr>
        <xdr:cNvPr id="3714" name="Elbow Connector 55">
          <a:extLst>
            <a:ext uri="{FF2B5EF4-FFF2-40B4-BE49-F238E27FC236}">
              <a16:creationId xmlns:a16="http://schemas.microsoft.com/office/drawing/2014/main" id="{AED09FB9-927F-4640-B88A-C5664A93DD77}"/>
            </a:ext>
          </a:extLst>
        </xdr:cNvPr>
        <xdr:cNvCxnSpPr/>
      </xdr:nvCxnSpPr>
      <xdr:spPr>
        <a:xfrm rot="16200000" flipH="1">
          <a:off x="10531020" y="20768855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154331</xdr:colOff>
      <xdr:row>103</xdr:row>
      <xdr:rowOff>57875</xdr:rowOff>
    </xdr:from>
    <xdr:to>
      <xdr:col>34</xdr:col>
      <xdr:colOff>249582</xdr:colOff>
      <xdr:row>104</xdr:row>
      <xdr:rowOff>157012</xdr:rowOff>
    </xdr:to>
    <xdr:cxnSp macro="">
      <xdr:nvCxnSpPr>
        <xdr:cNvPr id="3715" name="Elbow Connector 55">
          <a:extLst>
            <a:ext uri="{FF2B5EF4-FFF2-40B4-BE49-F238E27FC236}">
              <a16:creationId xmlns:a16="http://schemas.microsoft.com/office/drawing/2014/main" id="{C8E945BE-A4C2-4802-9D44-D66794D58A17}"/>
            </a:ext>
          </a:extLst>
        </xdr:cNvPr>
        <xdr:cNvCxnSpPr/>
      </xdr:nvCxnSpPr>
      <xdr:spPr>
        <a:xfrm rot="16200000" flipH="1">
          <a:off x="11206211" y="20759210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125392</xdr:colOff>
      <xdr:row>47</xdr:row>
      <xdr:rowOff>77165</xdr:rowOff>
    </xdr:from>
    <xdr:to>
      <xdr:col>10</xdr:col>
      <xdr:colOff>220643</xdr:colOff>
      <xdr:row>48</xdr:row>
      <xdr:rowOff>168273</xdr:rowOff>
    </xdr:to>
    <xdr:cxnSp macro="">
      <xdr:nvCxnSpPr>
        <xdr:cNvPr id="3716" name="Elbow Connector 55">
          <a:extLst>
            <a:ext uri="{FF2B5EF4-FFF2-40B4-BE49-F238E27FC236}">
              <a16:creationId xmlns:a16="http://schemas.microsoft.com/office/drawing/2014/main" id="{9658E393-577C-4F0F-9FE0-D7E034EB6191}"/>
            </a:ext>
          </a:extLst>
        </xdr:cNvPr>
        <xdr:cNvCxnSpPr/>
      </xdr:nvCxnSpPr>
      <xdr:spPr>
        <a:xfrm rot="16200000" flipH="1">
          <a:off x="3271919" y="9566334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125392</xdr:colOff>
      <xdr:row>47</xdr:row>
      <xdr:rowOff>67519</xdr:rowOff>
    </xdr:from>
    <xdr:to>
      <xdr:col>12</xdr:col>
      <xdr:colOff>220643</xdr:colOff>
      <xdr:row>48</xdr:row>
      <xdr:rowOff>158627</xdr:rowOff>
    </xdr:to>
    <xdr:cxnSp macro="">
      <xdr:nvCxnSpPr>
        <xdr:cNvPr id="3717" name="Elbow Connector 55">
          <a:extLst>
            <a:ext uri="{FF2B5EF4-FFF2-40B4-BE49-F238E27FC236}">
              <a16:creationId xmlns:a16="http://schemas.microsoft.com/office/drawing/2014/main" id="{802D91F6-A90F-4810-8912-1A6B8739CF69}"/>
            </a:ext>
          </a:extLst>
        </xdr:cNvPr>
        <xdr:cNvCxnSpPr/>
      </xdr:nvCxnSpPr>
      <xdr:spPr>
        <a:xfrm rot="16200000" flipH="1">
          <a:off x="3947109" y="9556688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135038</xdr:colOff>
      <xdr:row>47</xdr:row>
      <xdr:rowOff>96456</xdr:rowOff>
    </xdr:from>
    <xdr:to>
      <xdr:col>14</xdr:col>
      <xdr:colOff>230289</xdr:colOff>
      <xdr:row>48</xdr:row>
      <xdr:rowOff>187564</xdr:rowOff>
    </xdr:to>
    <xdr:cxnSp macro="">
      <xdr:nvCxnSpPr>
        <xdr:cNvPr id="3718" name="Elbow Connector 55">
          <a:extLst>
            <a:ext uri="{FF2B5EF4-FFF2-40B4-BE49-F238E27FC236}">
              <a16:creationId xmlns:a16="http://schemas.microsoft.com/office/drawing/2014/main" id="{9AA48D2E-0933-48C6-A1A5-02EEABAA18FC}"/>
            </a:ext>
          </a:extLst>
        </xdr:cNvPr>
        <xdr:cNvCxnSpPr/>
      </xdr:nvCxnSpPr>
      <xdr:spPr>
        <a:xfrm rot="16200000" flipH="1">
          <a:off x="4603008" y="9585625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104172</xdr:colOff>
      <xdr:row>100</xdr:row>
      <xdr:rowOff>152400</xdr:rowOff>
    </xdr:from>
    <xdr:to>
      <xdr:col>36</xdr:col>
      <xdr:colOff>245720</xdr:colOff>
      <xdr:row>101</xdr:row>
      <xdr:rowOff>131907</xdr:rowOff>
    </xdr:to>
    <xdr:sp macro="" textlink="">
      <xdr:nvSpPr>
        <xdr:cNvPr id="3719" name="6-Point Star 717">
          <a:extLst>
            <a:ext uri="{FF2B5EF4-FFF2-40B4-BE49-F238E27FC236}">
              <a16:creationId xmlns:a16="http://schemas.microsoft.com/office/drawing/2014/main" id="{487E36C5-6413-4195-9ABB-D2D74F64BAA0}"/>
            </a:ext>
          </a:extLst>
        </xdr:cNvPr>
        <xdr:cNvSpPr/>
      </xdr:nvSpPr>
      <xdr:spPr>
        <a:xfrm>
          <a:off x="11929640" y="20147666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82952</xdr:colOff>
      <xdr:row>100</xdr:row>
      <xdr:rowOff>150472</xdr:rowOff>
    </xdr:from>
    <xdr:to>
      <xdr:col>38</xdr:col>
      <xdr:colOff>224500</xdr:colOff>
      <xdr:row>101</xdr:row>
      <xdr:rowOff>129979</xdr:rowOff>
    </xdr:to>
    <xdr:sp macro="" textlink="">
      <xdr:nvSpPr>
        <xdr:cNvPr id="3720" name="6-Point Star 717">
          <a:extLst>
            <a:ext uri="{FF2B5EF4-FFF2-40B4-BE49-F238E27FC236}">
              <a16:creationId xmlns:a16="http://schemas.microsoft.com/office/drawing/2014/main" id="{EB8BBCAE-377C-4A98-84AB-D01569E7D4F7}"/>
            </a:ext>
          </a:extLst>
        </xdr:cNvPr>
        <xdr:cNvSpPr/>
      </xdr:nvSpPr>
      <xdr:spPr>
        <a:xfrm>
          <a:off x="12593256" y="20145738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100314</xdr:colOff>
      <xdr:row>100</xdr:row>
      <xdr:rowOff>167833</xdr:rowOff>
    </xdr:from>
    <xdr:to>
      <xdr:col>42</xdr:col>
      <xdr:colOff>241862</xdr:colOff>
      <xdr:row>101</xdr:row>
      <xdr:rowOff>147340</xdr:rowOff>
    </xdr:to>
    <xdr:sp macro="" textlink="">
      <xdr:nvSpPr>
        <xdr:cNvPr id="3721" name="6-Point Star 717">
          <a:extLst>
            <a:ext uri="{FF2B5EF4-FFF2-40B4-BE49-F238E27FC236}">
              <a16:creationId xmlns:a16="http://schemas.microsoft.com/office/drawing/2014/main" id="{5AED3074-D29C-44E3-9AB6-6F12496B4774}"/>
            </a:ext>
          </a:extLst>
        </xdr:cNvPr>
        <xdr:cNvSpPr/>
      </xdr:nvSpPr>
      <xdr:spPr>
        <a:xfrm>
          <a:off x="13903124" y="2016309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88739</xdr:colOff>
      <xdr:row>100</xdr:row>
      <xdr:rowOff>146613</xdr:rowOff>
    </xdr:from>
    <xdr:to>
      <xdr:col>44</xdr:col>
      <xdr:colOff>230287</xdr:colOff>
      <xdr:row>101</xdr:row>
      <xdr:rowOff>126120</xdr:rowOff>
    </xdr:to>
    <xdr:sp macro="" textlink="">
      <xdr:nvSpPr>
        <xdr:cNvPr id="3722" name="6-Point Star 717">
          <a:extLst>
            <a:ext uri="{FF2B5EF4-FFF2-40B4-BE49-F238E27FC236}">
              <a16:creationId xmlns:a16="http://schemas.microsoft.com/office/drawing/2014/main" id="{263400BA-0287-441E-AFDA-27F3ACAE3333}"/>
            </a:ext>
          </a:extLst>
        </xdr:cNvPr>
        <xdr:cNvSpPr/>
      </xdr:nvSpPr>
      <xdr:spPr>
        <a:xfrm>
          <a:off x="14653549" y="2014187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77164</xdr:colOff>
      <xdr:row>108</xdr:row>
      <xdr:rowOff>192911</xdr:rowOff>
    </xdr:from>
    <xdr:to>
      <xdr:col>2</xdr:col>
      <xdr:colOff>218712</xdr:colOff>
      <xdr:row>109</xdr:row>
      <xdr:rowOff>172417</xdr:rowOff>
    </xdr:to>
    <xdr:sp macro="" textlink="">
      <xdr:nvSpPr>
        <xdr:cNvPr id="3723" name="6-Point Star 717">
          <a:extLst>
            <a:ext uri="{FF2B5EF4-FFF2-40B4-BE49-F238E27FC236}">
              <a16:creationId xmlns:a16="http://schemas.microsoft.com/office/drawing/2014/main" id="{0CF458FC-0058-4E13-8DF6-947595E66AAF}"/>
            </a:ext>
          </a:extLst>
        </xdr:cNvPr>
        <xdr:cNvSpPr/>
      </xdr:nvSpPr>
      <xdr:spPr>
        <a:xfrm>
          <a:off x="617316" y="21789341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115747</xdr:colOff>
      <xdr:row>47</xdr:row>
      <xdr:rowOff>57874</xdr:rowOff>
    </xdr:from>
    <xdr:to>
      <xdr:col>22</xdr:col>
      <xdr:colOff>210998</xdr:colOff>
      <xdr:row>48</xdr:row>
      <xdr:rowOff>155534</xdr:rowOff>
    </xdr:to>
    <xdr:cxnSp macro="">
      <xdr:nvCxnSpPr>
        <xdr:cNvPr id="3724" name="Elbow Connector 55">
          <a:extLst>
            <a:ext uri="{FF2B5EF4-FFF2-40B4-BE49-F238E27FC236}">
              <a16:creationId xmlns:a16="http://schemas.microsoft.com/office/drawing/2014/main" id="{8FBAAB3D-1B7A-480B-9167-2439DDBA1398}"/>
            </a:ext>
          </a:extLst>
        </xdr:cNvPr>
        <xdr:cNvCxnSpPr/>
      </xdr:nvCxnSpPr>
      <xdr:spPr>
        <a:xfrm rot="16200000" flipH="1">
          <a:off x="7252264" y="9550319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115747</xdr:colOff>
      <xdr:row>47</xdr:row>
      <xdr:rowOff>67519</xdr:rowOff>
    </xdr:from>
    <xdr:to>
      <xdr:col>16</xdr:col>
      <xdr:colOff>210998</xdr:colOff>
      <xdr:row>48</xdr:row>
      <xdr:rowOff>165179</xdr:rowOff>
    </xdr:to>
    <xdr:cxnSp macro="">
      <xdr:nvCxnSpPr>
        <xdr:cNvPr id="3725" name="Elbow Connector 55">
          <a:extLst>
            <a:ext uri="{FF2B5EF4-FFF2-40B4-BE49-F238E27FC236}">
              <a16:creationId xmlns:a16="http://schemas.microsoft.com/office/drawing/2014/main" id="{D6608D52-B401-4566-8E55-BEA208DE7E38}"/>
            </a:ext>
          </a:extLst>
        </xdr:cNvPr>
        <xdr:cNvCxnSpPr/>
      </xdr:nvCxnSpPr>
      <xdr:spPr>
        <a:xfrm rot="16200000" flipH="1">
          <a:off x="5226694" y="9559964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135038</xdr:colOff>
      <xdr:row>47</xdr:row>
      <xdr:rowOff>57873</xdr:rowOff>
    </xdr:from>
    <xdr:to>
      <xdr:col>24</xdr:col>
      <xdr:colOff>230289</xdr:colOff>
      <xdr:row>48</xdr:row>
      <xdr:rowOff>155533</xdr:rowOff>
    </xdr:to>
    <xdr:cxnSp macro="">
      <xdr:nvCxnSpPr>
        <xdr:cNvPr id="3726" name="Elbow Connector 55">
          <a:extLst>
            <a:ext uri="{FF2B5EF4-FFF2-40B4-BE49-F238E27FC236}">
              <a16:creationId xmlns:a16="http://schemas.microsoft.com/office/drawing/2014/main" id="{C037F811-B79D-4140-8BD5-4112AB338552}"/>
            </a:ext>
          </a:extLst>
        </xdr:cNvPr>
        <xdr:cNvCxnSpPr/>
      </xdr:nvCxnSpPr>
      <xdr:spPr>
        <a:xfrm rot="16200000" flipH="1">
          <a:off x="7917808" y="9550318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135038</xdr:colOff>
      <xdr:row>39</xdr:row>
      <xdr:rowOff>67519</xdr:rowOff>
    </xdr:from>
    <xdr:to>
      <xdr:col>44</xdr:col>
      <xdr:colOff>230289</xdr:colOff>
      <xdr:row>40</xdr:row>
      <xdr:rowOff>158628</xdr:rowOff>
    </xdr:to>
    <xdr:cxnSp macro="">
      <xdr:nvCxnSpPr>
        <xdr:cNvPr id="3727" name="Elbow Connector 55">
          <a:extLst>
            <a:ext uri="{FF2B5EF4-FFF2-40B4-BE49-F238E27FC236}">
              <a16:creationId xmlns:a16="http://schemas.microsoft.com/office/drawing/2014/main" id="{FEC7C6FB-0E93-4045-80C6-12A33D92EA0A}"/>
            </a:ext>
          </a:extLst>
        </xdr:cNvPr>
        <xdr:cNvCxnSpPr/>
      </xdr:nvCxnSpPr>
      <xdr:spPr>
        <a:xfrm rot="16200000" flipH="1">
          <a:off x="14576527" y="7955524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125393</xdr:colOff>
      <xdr:row>39</xdr:row>
      <xdr:rowOff>67520</xdr:rowOff>
    </xdr:from>
    <xdr:to>
      <xdr:col>22</xdr:col>
      <xdr:colOff>220644</xdr:colOff>
      <xdr:row>40</xdr:row>
      <xdr:rowOff>165182</xdr:rowOff>
    </xdr:to>
    <xdr:cxnSp macro="">
      <xdr:nvCxnSpPr>
        <xdr:cNvPr id="3729" name="Elbow Connector 55">
          <a:extLst>
            <a:ext uri="{FF2B5EF4-FFF2-40B4-BE49-F238E27FC236}">
              <a16:creationId xmlns:a16="http://schemas.microsoft.com/office/drawing/2014/main" id="{562D3785-9398-44D4-BB44-B1D30B94C80A}"/>
            </a:ext>
          </a:extLst>
        </xdr:cNvPr>
        <xdr:cNvCxnSpPr/>
      </xdr:nvCxnSpPr>
      <xdr:spPr>
        <a:xfrm rot="16200000" flipH="1">
          <a:off x="7261910" y="7958801"/>
          <a:ext cx="34844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135039</xdr:colOff>
      <xdr:row>39</xdr:row>
      <xdr:rowOff>77165</xdr:rowOff>
    </xdr:from>
    <xdr:to>
      <xdr:col>24</xdr:col>
      <xdr:colOff>230290</xdr:colOff>
      <xdr:row>40</xdr:row>
      <xdr:rowOff>174827</xdr:rowOff>
    </xdr:to>
    <xdr:cxnSp macro="">
      <xdr:nvCxnSpPr>
        <xdr:cNvPr id="3730" name="Elbow Connector 55">
          <a:extLst>
            <a:ext uri="{FF2B5EF4-FFF2-40B4-BE49-F238E27FC236}">
              <a16:creationId xmlns:a16="http://schemas.microsoft.com/office/drawing/2014/main" id="{1D1C66CD-6D04-4537-A531-1D7C86D61452}"/>
            </a:ext>
          </a:extLst>
        </xdr:cNvPr>
        <xdr:cNvCxnSpPr/>
      </xdr:nvCxnSpPr>
      <xdr:spPr>
        <a:xfrm rot="16200000" flipH="1">
          <a:off x="7917809" y="7968446"/>
          <a:ext cx="34844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135039</xdr:colOff>
      <xdr:row>39</xdr:row>
      <xdr:rowOff>38583</xdr:rowOff>
    </xdr:from>
    <xdr:to>
      <xdr:col>4</xdr:col>
      <xdr:colOff>232229</xdr:colOff>
      <xdr:row>40</xdr:row>
      <xdr:rowOff>145494</xdr:rowOff>
    </xdr:to>
    <xdr:cxnSp macro="">
      <xdr:nvCxnSpPr>
        <xdr:cNvPr id="3731" name="Elbow Connector 55">
          <a:extLst>
            <a:ext uri="{FF2B5EF4-FFF2-40B4-BE49-F238E27FC236}">
              <a16:creationId xmlns:a16="http://schemas.microsoft.com/office/drawing/2014/main" id="{7E30F109-4C68-4C54-A37D-711B1464DB3B}"/>
            </a:ext>
          </a:extLst>
        </xdr:cNvPr>
        <xdr:cNvCxnSpPr/>
      </xdr:nvCxnSpPr>
      <xdr:spPr>
        <a:xfrm rot="16200000" flipH="1">
          <a:off x="1210482" y="7933520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135039</xdr:colOff>
      <xdr:row>31</xdr:row>
      <xdr:rowOff>77165</xdr:rowOff>
    </xdr:from>
    <xdr:to>
      <xdr:col>24</xdr:col>
      <xdr:colOff>232229</xdr:colOff>
      <xdr:row>32</xdr:row>
      <xdr:rowOff>184075</xdr:rowOff>
    </xdr:to>
    <xdr:cxnSp macro="">
      <xdr:nvCxnSpPr>
        <xdr:cNvPr id="3732" name="Elbow Connector 55">
          <a:extLst>
            <a:ext uri="{FF2B5EF4-FFF2-40B4-BE49-F238E27FC236}">
              <a16:creationId xmlns:a16="http://schemas.microsoft.com/office/drawing/2014/main" id="{31346D21-2A3C-40CB-BE56-A7E09A417E01}"/>
            </a:ext>
          </a:extLst>
        </xdr:cNvPr>
        <xdr:cNvCxnSpPr/>
      </xdr:nvCxnSpPr>
      <xdr:spPr>
        <a:xfrm rot="16200000" flipH="1">
          <a:off x="7914153" y="637093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154330</xdr:colOff>
      <xdr:row>95</xdr:row>
      <xdr:rowOff>57874</xdr:rowOff>
    </xdr:from>
    <xdr:to>
      <xdr:col>6</xdr:col>
      <xdr:colOff>251520</xdr:colOff>
      <xdr:row>96</xdr:row>
      <xdr:rowOff>164784</xdr:rowOff>
    </xdr:to>
    <xdr:cxnSp macro="">
      <xdr:nvCxnSpPr>
        <xdr:cNvPr id="3733" name="Elbow Connector 55">
          <a:extLst>
            <a:ext uri="{FF2B5EF4-FFF2-40B4-BE49-F238E27FC236}">
              <a16:creationId xmlns:a16="http://schemas.microsoft.com/office/drawing/2014/main" id="{EFA212C4-D19D-4730-97E6-1FF76EA2E960}"/>
            </a:ext>
          </a:extLst>
        </xdr:cNvPr>
        <xdr:cNvCxnSpPr/>
      </xdr:nvCxnSpPr>
      <xdr:spPr>
        <a:xfrm rot="16200000" flipH="1">
          <a:off x="1876026" y="1923812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125393</xdr:colOff>
      <xdr:row>87</xdr:row>
      <xdr:rowOff>28938</xdr:rowOff>
    </xdr:from>
    <xdr:to>
      <xdr:col>14</xdr:col>
      <xdr:colOff>222583</xdr:colOff>
      <xdr:row>88</xdr:row>
      <xdr:rowOff>135848</xdr:rowOff>
    </xdr:to>
    <xdr:cxnSp macro="">
      <xdr:nvCxnSpPr>
        <xdr:cNvPr id="3734" name="Elbow Connector 55">
          <a:extLst>
            <a:ext uri="{FF2B5EF4-FFF2-40B4-BE49-F238E27FC236}">
              <a16:creationId xmlns:a16="http://schemas.microsoft.com/office/drawing/2014/main" id="{7FD014B8-5C55-4A21-988E-23C89ED91395}"/>
            </a:ext>
          </a:extLst>
        </xdr:cNvPr>
        <xdr:cNvCxnSpPr/>
      </xdr:nvCxnSpPr>
      <xdr:spPr>
        <a:xfrm rot="16200000" flipH="1">
          <a:off x="4586431" y="1760802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126787</xdr:colOff>
      <xdr:row>87</xdr:row>
      <xdr:rowOff>47051</xdr:rowOff>
    </xdr:from>
    <xdr:to>
      <xdr:col>10</xdr:col>
      <xdr:colOff>223977</xdr:colOff>
      <xdr:row>88</xdr:row>
      <xdr:rowOff>153961</xdr:rowOff>
    </xdr:to>
    <xdr:cxnSp macro="">
      <xdr:nvCxnSpPr>
        <xdr:cNvPr id="3736" name="Elbow Connector 55">
          <a:extLst>
            <a:ext uri="{FF2B5EF4-FFF2-40B4-BE49-F238E27FC236}">
              <a16:creationId xmlns:a16="http://schemas.microsoft.com/office/drawing/2014/main" id="{88182617-A0A4-4DB7-BCC2-AA5EB2542522}"/>
            </a:ext>
          </a:extLst>
        </xdr:cNvPr>
        <xdr:cNvCxnSpPr/>
      </xdr:nvCxnSpPr>
      <xdr:spPr>
        <a:xfrm rot="16200000" flipH="1">
          <a:off x="3263060" y="17789578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125393</xdr:colOff>
      <xdr:row>79</xdr:row>
      <xdr:rowOff>48229</xdr:rowOff>
    </xdr:from>
    <xdr:to>
      <xdr:col>44</xdr:col>
      <xdr:colOff>222583</xdr:colOff>
      <xdr:row>80</xdr:row>
      <xdr:rowOff>155139</xdr:rowOff>
    </xdr:to>
    <xdr:cxnSp macro="">
      <xdr:nvCxnSpPr>
        <xdr:cNvPr id="3737" name="Elbow Connector 55">
          <a:extLst>
            <a:ext uri="{FF2B5EF4-FFF2-40B4-BE49-F238E27FC236}">
              <a16:creationId xmlns:a16="http://schemas.microsoft.com/office/drawing/2014/main" id="{69717F8C-30FE-4FED-A832-DEBD0DFFE135}"/>
            </a:ext>
          </a:extLst>
        </xdr:cNvPr>
        <xdr:cNvCxnSpPr/>
      </xdr:nvCxnSpPr>
      <xdr:spPr>
        <a:xfrm rot="16200000" flipH="1">
          <a:off x="14559950" y="16026153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115748</xdr:colOff>
      <xdr:row>87</xdr:row>
      <xdr:rowOff>57874</xdr:rowOff>
    </xdr:from>
    <xdr:to>
      <xdr:col>2</xdr:col>
      <xdr:colOff>212938</xdr:colOff>
      <xdr:row>88</xdr:row>
      <xdr:rowOff>164784</xdr:rowOff>
    </xdr:to>
    <xdr:cxnSp macro="">
      <xdr:nvCxnSpPr>
        <xdr:cNvPr id="3738" name="Elbow Connector 55">
          <a:extLst>
            <a:ext uri="{FF2B5EF4-FFF2-40B4-BE49-F238E27FC236}">
              <a16:creationId xmlns:a16="http://schemas.microsoft.com/office/drawing/2014/main" id="{02B5462B-AE14-4B64-9B8F-978D300089EA}"/>
            </a:ext>
          </a:extLst>
        </xdr:cNvPr>
        <xdr:cNvCxnSpPr/>
      </xdr:nvCxnSpPr>
      <xdr:spPr>
        <a:xfrm rot="16200000" flipH="1">
          <a:off x="525647" y="17636962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106102</xdr:colOff>
      <xdr:row>87</xdr:row>
      <xdr:rowOff>57875</xdr:rowOff>
    </xdr:from>
    <xdr:to>
      <xdr:col>4</xdr:col>
      <xdr:colOff>203292</xdr:colOff>
      <xdr:row>88</xdr:row>
      <xdr:rowOff>164785</xdr:rowOff>
    </xdr:to>
    <xdr:cxnSp macro="">
      <xdr:nvCxnSpPr>
        <xdr:cNvPr id="3739" name="Elbow Connector 55">
          <a:extLst>
            <a:ext uri="{FF2B5EF4-FFF2-40B4-BE49-F238E27FC236}">
              <a16:creationId xmlns:a16="http://schemas.microsoft.com/office/drawing/2014/main" id="{AF07FCB5-FC95-47D8-91AD-E8CB293D9081}"/>
            </a:ext>
          </a:extLst>
        </xdr:cNvPr>
        <xdr:cNvCxnSpPr/>
      </xdr:nvCxnSpPr>
      <xdr:spPr>
        <a:xfrm rot="16200000" flipH="1">
          <a:off x="1181545" y="17636963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115748</xdr:colOff>
      <xdr:row>31</xdr:row>
      <xdr:rowOff>48228</xdr:rowOff>
    </xdr:from>
    <xdr:to>
      <xdr:col>18</xdr:col>
      <xdr:colOff>212938</xdr:colOff>
      <xdr:row>32</xdr:row>
      <xdr:rowOff>155138</xdr:rowOff>
    </xdr:to>
    <xdr:cxnSp macro="">
      <xdr:nvCxnSpPr>
        <xdr:cNvPr id="3740" name="Elbow Connector 55">
          <a:extLst>
            <a:ext uri="{FF2B5EF4-FFF2-40B4-BE49-F238E27FC236}">
              <a16:creationId xmlns:a16="http://schemas.microsoft.com/office/drawing/2014/main" id="{A00624F0-F8E2-42DC-84FF-25A4F8672FB9}"/>
            </a:ext>
          </a:extLst>
        </xdr:cNvPr>
        <xdr:cNvCxnSpPr/>
      </xdr:nvCxnSpPr>
      <xdr:spPr>
        <a:xfrm rot="16200000" flipH="1">
          <a:off x="5956103" y="6342000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106102</xdr:colOff>
      <xdr:row>23</xdr:row>
      <xdr:rowOff>67520</xdr:rowOff>
    </xdr:from>
    <xdr:to>
      <xdr:col>38</xdr:col>
      <xdr:colOff>203292</xdr:colOff>
      <xdr:row>24</xdr:row>
      <xdr:rowOff>174430</xdr:rowOff>
    </xdr:to>
    <xdr:cxnSp macro="">
      <xdr:nvCxnSpPr>
        <xdr:cNvPr id="3741" name="Elbow Connector 55">
          <a:extLst>
            <a:ext uri="{FF2B5EF4-FFF2-40B4-BE49-F238E27FC236}">
              <a16:creationId xmlns:a16="http://schemas.microsoft.com/office/drawing/2014/main" id="{5140DBF6-3149-4D15-A45B-F9B985953BBD}"/>
            </a:ext>
          </a:extLst>
        </xdr:cNvPr>
        <xdr:cNvCxnSpPr/>
      </xdr:nvCxnSpPr>
      <xdr:spPr>
        <a:xfrm rot="16200000" flipH="1">
          <a:off x="12486153" y="476012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144684</xdr:colOff>
      <xdr:row>31</xdr:row>
      <xdr:rowOff>38583</xdr:rowOff>
    </xdr:from>
    <xdr:to>
      <xdr:col>6</xdr:col>
      <xdr:colOff>241874</xdr:colOff>
      <xdr:row>32</xdr:row>
      <xdr:rowOff>145493</xdr:rowOff>
    </xdr:to>
    <xdr:cxnSp macro="">
      <xdr:nvCxnSpPr>
        <xdr:cNvPr id="3742" name="Elbow Connector 55">
          <a:extLst>
            <a:ext uri="{FF2B5EF4-FFF2-40B4-BE49-F238E27FC236}">
              <a16:creationId xmlns:a16="http://schemas.microsoft.com/office/drawing/2014/main" id="{41758728-B9E0-4282-9A3B-91EB0545A657}"/>
            </a:ext>
          </a:extLst>
        </xdr:cNvPr>
        <xdr:cNvCxnSpPr/>
      </xdr:nvCxnSpPr>
      <xdr:spPr>
        <a:xfrm rot="16200000" flipH="1">
          <a:off x="1866380" y="6332355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163976</xdr:colOff>
      <xdr:row>87</xdr:row>
      <xdr:rowOff>28938</xdr:rowOff>
    </xdr:from>
    <xdr:to>
      <xdr:col>8</xdr:col>
      <xdr:colOff>259227</xdr:colOff>
      <xdr:row>88</xdr:row>
      <xdr:rowOff>128075</xdr:rowOff>
    </xdr:to>
    <xdr:cxnSp macro="">
      <xdr:nvCxnSpPr>
        <xdr:cNvPr id="3743" name="Elbow Connector 55">
          <a:extLst>
            <a:ext uri="{FF2B5EF4-FFF2-40B4-BE49-F238E27FC236}">
              <a16:creationId xmlns:a16="http://schemas.microsoft.com/office/drawing/2014/main" id="{8339E377-05CE-4BE6-99D7-A9EED516A146}"/>
            </a:ext>
          </a:extLst>
        </xdr:cNvPr>
        <xdr:cNvCxnSpPr/>
      </xdr:nvCxnSpPr>
      <xdr:spPr>
        <a:xfrm rot="16200000" flipH="1">
          <a:off x="2554135" y="17605108"/>
          <a:ext cx="349922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139700</xdr:colOff>
      <xdr:row>71</xdr:row>
      <xdr:rowOff>107950</xdr:rowOff>
    </xdr:from>
    <xdr:to>
      <xdr:col>20</xdr:col>
      <xdr:colOff>240176</xdr:colOff>
      <xdr:row>72</xdr:row>
      <xdr:rowOff>147366</xdr:rowOff>
    </xdr:to>
    <xdr:cxnSp macro="">
      <xdr:nvCxnSpPr>
        <xdr:cNvPr id="3744" name="Elbow Connector 55">
          <a:extLst>
            <a:ext uri="{FF2B5EF4-FFF2-40B4-BE49-F238E27FC236}">
              <a16:creationId xmlns:a16="http://schemas.microsoft.com/office/drawing/2014/main" id="{6547CE47-7DFC-4A1E-AD56-1006B24AD284}"/>
            </a:ext>
          </a:extLst>
        </xdr:cNvPr>
        <xdr:cNvCxnSpPr/>
      </xdr:nvCxnSpPr>
      <xdr:spPr>
        <a:xfrm rot="16200000" flipH="1">
          <a:off x="6723430" y="14307770"/>
          <a:ext cx="293416" cy="1004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144685</xdr:colOff>
      <xdr:row>71</xdr:row>
      <xdr:rowOff>19292</xdr:rowOff>
    </xdr:from>
    <xdr:to>
      <xdr:col>12</xdr:col>
      <xdr:colOff>239936</xdr:colOff>
      <xdr:row>72</xdr:row>
      <xdr:rowOff>118429</xdr:rowOff>
    </xdr:to>
    <xdr:cxnSp macro="">
      <xdr:nvCxnSpPr>
        <xdr:cNvPr id="3745" name="Elbow Connector 55">
          <a:extLst>
            <a:ext uri="{FF2B5EF4-FFF2-40B4-BE49-F238E27FC236}">
              <a16:creationId xmlns:a16="http://schemas.microsoft.com/office/drawing/2014/main" id="{228F62D3-C66F-411F-B62A-DE352320F5D3}"/>
            </a:ext>
          </a:extLst>
        </xdr:cNvPr>
        <xdr:cNvCxnSpPr/>
      </xdr:nvCxnSpPr>
      <xdr:spPr>
        <a:xfrm rot="16200000" flipH="1">
          <a:off x="3962388" y="14393133"/>
          <a:ext cx="349922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115748</xdr:colOff>
      <xdr:row>87</xdr:row>
      <xdr:rowOff>28938</xdr:rowOff>
    </xdr:from>
    <xdr:to>
      <xdr:col>12</xdr:col>
      <xdr:colOff>212938</xdr:colOff>
      <xdr:row>88</xdr:row>
      <xdr:rowOff>135848</xdr:rowOff>
    </xdr:to>
    <xdr:cxnSp macro="">
      <xdr:nvCxnSpPr>
        <xdr:cNvPr id="3746" name="Elbow Connector 55">
          <a:extLst>
            <a:ext uri="{FF2B5EF4-FFF2-40B4-BE49-F238E27FC236}">
              <a16:creationId xmlns:a16="http://schemas.microsoft.com/office/drawing/2014/main" id="{59F43535-0E83-46B1-8E89-18829BE040C5}"/>
            </a:ext>
          </a:extLst>
        </xdr:cNvPr>
        <xdr:cNvCxnSpPr/>
      </xdr:nvCxnSpPr>
      <xdr:spPr>
        <a:xfrm rot="16200000" flipH="1">
          <a:off x="3930533" y="1760802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135039</xdr:colOff>
      <xdr:row>87</xdr:row>
      <xdr:rowOff>48228</xdr:rowOff>
    </xdr:from>
    <xdr:to>
      <xdr:col>6</xdr:col>
      <xdr:colOff>232229</xdr:colOff>
      <xdr:row>88</xdr:row>
      <xdr:rowOff>155138</xdr:rowOff>
    </xdr:to>
    <xdr:cxnSp macro="">
      <xdr:nvCxnSpPr>
        <xdr:cNvPr id="3747" name="Elbow Connector 55">
          <a:extLst>
            <a:ext uri="{FF2B5EF4-FFF2-40B4-BE49-F238E27FC236}">
              <a16:creationId xmlns:a16="http://schemas.microsoft.com/office/drawing/2014/main" id="{8BBAA355-8B20-4DB7-A9FD-69BF33785FA9}"/>
            </a:ext>
          </a:extLst>
        </xdr:cNvPr>
        <xdr:cNvCxnSpPr/>
      </xdr:nvCxnSpPr>
      <xdr:spPr>
        <a:xfrm rot="16200000" flipH="1">
          <a:off x="1856735" y="1762731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144684</xdr:colOff>
      <xdr:row>71</xdr:row>
      <xdr:rowOff>48229</xdr:rowOff>
    </xdr:from>
    <xdr:to>
      <xdr:col>8</xdr:col>
      <xdr:colOff>241874</xdr:colOff>
      <xdr:row>72</xdr:row>
      <xdr:rowOff>155139</xdr:rowOff>
    </xdr:to>
    <xdr:cxnSp macro="">
      <xdr:nvCxnSpPr>
        <xdr:cNvPr id="3748" name="Elbow Connector 55">
          <a:extLst>
            <a:ext uri="{FF2B5EF4-FFF2-40B4-BE49-F238E27FC236}">
              <a16:creationId xmlns:a16="http://schemas.microsoft.com/office/drawing/2014/main" id="{A4A48AC1-185D-4011-9B87-81B1F7E0B22B}"/>
            </a:ext>
          </a:extLst>
        </xdr:cNvPr>
        <xdr:cNvCxnSpPr/>
      </xdr:nvCxnSpPr>
      <xdr:spPr>
        <a:xfrm rot="16200000" flipH="1">
          <a:off x="2531925" y="14424988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96456</xdr:colOff>
      <xdr:row>71</xdr:row>
      <xdr:rowOff>57875</xdr:rowOff>
    </xdr:from>
    <xdr:to>
      <xdr:col>6</xdr:col>
      <xdr:colOff>193646</xdr:colOff>
      <xdr:row>72</xdr:row>
      <xdr:rowOff>164785</xdr:rowOff>
    </xdr:to>
    <xdr:cxnSp macro="">
      <xdr:nvCxnSpPr>
        <xdr:cNvPr id="3749" name="Elbow Connector 55">
          <a:extLst>
            <a:ext uri="{FF2B5EF4-FFF2-40B4-BE49-F238E27FC236}">
              <a16:creationId xmlns:a16="http://schemas.microsoft.com/office/drawing/2014/main" id="{3C327A3F-7C71-4B33-BF57-3C2F6CBB01DE}"/>
            </a:ext>
          </a:extLst>
        </xdr:cNvPr>
        <xdr:cNvCxnSpPr/>
      </xdr:nvCxnSpPr>
      <xdr:spPr>
        <a:xfrm rot="16200000" flipH="1">
          <a:off x="1818152" y="14434634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115748</xdr:colOff>
      <xdr:row>63</xdr:row>
      <xdr:rowOff>67520</xdr:rowOff>
    </xdr:from>
    <xdr:to>
      <xdr:col>36</xdr:col>
      <xdr:colOff>212938</xdr:colOff>
      <xdr:row>64</xdr:row>
      <xdr:rowOff>174430</xdr:rowOff>
    </xdr:to>
    <xdr:cxnSp macro="">
      <xdr:nvCxnSpPr>
        <xdr:cNvPr id="3750" name="Elbow Connector 55">
          <a:extLst>
            <a:ext uri="{FF2B5EF4-FFF2-40B4-BE49-F238E27FC236}">
              <a16:creationId xmlns:a16="http://schemas.microsoft.com/office/drawing/2014/main" id="{011F6AF8-4B35-4BD2-95D3-B548DFF6CDE4}"/>
            </a:ext>
          </a:extLst>
        </xdr:cNvPr>
        <xdr:cNvCxnSpPr/>
      </xdr:nvCxnSpPr>
      <xdr:spPr>
        <a:xfrm rot="16200000" flipH="1">
          <a:off x="11810963" y="12843115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135467</xdr:colOff>
      <xdr:row>63</xdr:row>
      <xdr:rowOff>59267</xdr:rowOff>
    </xdr:from>
    <xdr:to>
      <xdr:col>34</xdr:col>
      <xdr:colOff>232657</xdr:colOff>
      <xdr:row>64</xdr:row>
      <xdr:rowOff>166177</xdr:rowOff>
    </xdr:to>
    <xdr:cxnSp macro="">
      <xdr:nvCxnSpPr>
        <xdr:cNvPr id="3735" name="Elbow Connector 55">
          <a:extLst>
            <a:ext uri="{FF2B5EF4-FFF2-40B4-BE49-F238E27FC236}">
              <a16:creationId xmlns:a16="http://schemas.microsoft.com/office/drawing/2014/main" id="{9E151929-F0EA-4D33-BB1E-CFE14C6027F5}"/>
            </a:ext>
          </a:extLst>
        </xdr:cNvPr>
        <xdr:cNvCxnSpPr/>
      </xdr:nvCxnSpPr>
      <xdr:spPr>
        <a:xfrm rot="16200000" flipH="1">
          <a:off x="11154207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110067</xdr:colOff>
      <xdr:row>63</xdr:row>
      <xdr:rowOff>76200</xdr:rowOff>
    </xdr:from>
    <xdr:to>
      <xdr:col>32</xdr:col>
      <xdr:colOff>207257</xdr:colOff>
      <xdr:row>64</xdr:row>
      <xdr:rowOff>183110</xdr:rowOff>
    </xdr:to>
    <xdr:cxnSp macro="">
      <xdr:nvCxnSpPr>
        <xdr:cNvPr id="3751" name="Elbow Connector 55">
          <a:extLst>
            <a:ext uri="{FF2B5EF4-FFF2-40B4-BE49-F238E27FC236}">
              <a16:creationId xmlns:a16="http://schemas.microsoft.com/office/drawing/2014/main" id="{CCFA87CF-3445-4607-A6DE-37FC826AA4BC}"/>
            </a:ext>
          </a:extLst>
        </xdr:cNvPr>
        <xdr:cNvCxnSpPr/>
      </xdr:nvCxnSpPr>
      <xdr:spPr>
        <a:xfrm rot="16200000" flipH="1">
          <a:off x="10485340" y="12967327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110067</xdr:colOff>
      <xdr:row>63</xdr:row>
      <xdr:rowOff>50800</xdr:rowOff>
    </xdr:from>
    <xdr:to>
      <xdr:col>30</xdr:col>
      <xdr:colOff>207257</xdr:colOff>
      <xdr:row>64</xdr:row>
      <xdr:rowOff>157710</xdr:rowOff>
    </xdr:to>
    <xdr:cxnSp macro="">
      <xdr:nvCxnSpPr>
        <xdr:cNvPr id="3752" name="Elbow Connector 55">
          <a:extLst>
            <a:ext uri="{FF2B5EF4-FFF2-40B4-BE49-F238E27FC236}">
              <a16:creationId xmlns:a16="http://schemas.microsoft.com/office/drawing/2014/main" id="{637F29AA-9D09-4E18-A620-11F3CD43EB81}"/>
            </a:ext>
          </a:extLst>
        </xdr:cNvPr>
        <xdr:cNvCxnSpPr/>
      </xdr:nvCxnSpPr>
      <xdr:spPr>
        <a:xfrm rot="16200000" flipH="1">
          <a:off x="9816474" y="12941927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169333</xdr:colOff>
      <xdr:row>63</xdr:row>
      <xdr:rowOff>59267</xdr:rowOff>
    </xdr:from>
    <xdr:to>
      <xdr:col>28</xdr:col>
      <xdr:colOff>266523</xdr:colOff>
      <xdr:row>64</xdr:row>
      <xdr:rowOff>166177</xdr:rowOff>
    </xdr:to>
    <xdr:cxnSp macro="">
      <xdr:nvCxnSpPr>
        <xdr:cNvPr id="3754" name="Elbow Connector 55">
          <a:extLst>
            <a:ext uri="{FF2B5EF4-FFF2-40B4-BE49-F238E27FC236}">
              <a16:creationId xmlns:a16="http://schemas.microsoft.com/office/drawing/2014/main" id="{5FDF94AB-CED3-47E0-9D8D-272EC135D178}"/>
            </a:ext>
          </a:extLst>
        </xdr:cNvPr>
        <xdr:cNvCxnSpPr/>
      </xdr:nvCxnSpPr>
      <xdr:spPr>
        <a:xfrm rot="16200000" flipH="1">
          <a:off x="9232273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101600</xdr:colOff>
      <xdr:row>63</xdr:row>
      <xdr:rowOff>42333</xdr:rowOff>
    </xdr:from>
    <xdr:to>
      <xdr:col>26</xdr:col>
      <xdr:colOff>198790</xdr:colOff>
      <xdr:row>64</xdr:row>
      <xdr:rowOff>149243</xdr:rowOff>
    </xdr:to>
    <xdr:cxnSp macro="">
      <xdr:nvCxnSpPr>
        <xdr:cNvPr id="3755" name="Elbow Connector 55">
          <a:extLst>
            <a:ext uri="{FF2B5EF4-FFF2-40B4-BE49-F238E27FC236}">
              <a16:creationId xmlns:a16="http://schemas.microsoft.com/office/drawing/2014/main" id="{D8CD8A07-B22D-48FC-AB50-EF819EF2E0B3}"/>
            </a:ext>
          </a:extLst>
        </xdr:cNvPr>
        <xdr:cNvCxnSpPr/>
      </xdr:nvCxnSpPr>
      <xdr:spPr>
        <a:xfrm rot="16200000" flipH="1">
          <a:off x="8495673" y="12933460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152400</xdr:colOff>
      <xdr:row>63</xdr:row>
      <xdr:rowOff>84667</xdr:rowOff>
    </xdr:from>
    <xdr:to>
      <xdr:col>24</xdr:col>
      <xdr:colOff>249590</xdr:colOff>
      <xdr:row>64</xdr:row>
      <xdr:rowOff>191577</xdr:rowOff>
    </xdr:to>
    <xdr:cxnSp macro="">
      <xdr:nvCxnSpPr>
        <xdr:cNvPr id="3756" name="Elbow Connector 55">
          <a:extLst>
            <a:ext uri="{FF2B5EF4-FFF2-40B4-BE49-F238E27FC236}">
              <a16:creationId xmlns:a16="http://schemas.microsoft.com/office/drawing/2014/main" id="{B920F63A-6859-4007-91C6-74C932B99F5D}"/>
            </a:ext>
          </a:extLst>
        </xdr:cNvPr>
        <xdr:cNvCxnSpPr/>
      </xdr:nvCxnSpPr>
      <xdr:spPr>
        <a:xfrm rot="16200000" flipH="1">
          <a:off x="7903007" y="129757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101600</xdr:colOff>
      <xdr:row>63</xdr:row>
      <xdr:rowOff>59266</xdr:rowOff>
    </xdr:from>
    <xdr:to>
      <xdr:col>22</xdr:col>
      <xdr:colOff>198790</xdr:colOff>
      <xdr:row>64</xdr:row>
      <xdr:rowOff>166176</xdr:rowOff>
    </xdr:to>
    <xdr:cxnSp macro="">
      <xdr:nvCxnSpPr>
        <xdr:cNvPr id="3757" name="Elbow Connector 55">
          <a:extLst>
            <a:ext uri="{FF2B5EF4-FFF2-40B4-BE49-F238E27FC236}">
              <a16:creationId xmlns:a16="http://schemas.microsoft.com/office/drawing/2014/main" id="{148E5CEF-DF8F-473D-9428-908AF707D94A}"/>
            </a:ext>
          </a:extLst>
        </xdr:cNvPr>
        <xdr:cNvCxnSpPr/>
      </xdr:nvCxnSpPr>
      <xdr:spPr>
        <a:xfrm rot="16200000" flipH="1">
          <a:off x="7208740" y="12950393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135466</xdr:colOff>
      <xdr:row>101</xdr:row>
      <xdr:rowOff>42334</xdr:rowOff>
    </xdr:from>
    <xdr:to>
      <xdr:col>26</xdr:col>
      <xdr:colOff>230717</xdr:colOff>
      <xdr:row>102</xdr:row>
      <xdr:rowOff>79375</xdr:rowOff>
    </xdr:to>
    <xdr:sp macro="" textlink="">
      <xdr:nvSpPr>
        <xdr:cNvPr id="3758" name="Freeform 10707">
          <a:extLst>
            <a:ext uri="{FF2B5EF4-FFF2-40B4-BE49-F238E27FC236}">
              <a16:creationId xmlns:a16="http://schemas.microsoft.com/office/drawing/2014/main" id="{81CB9E2B-46BB-4716-BE81-46F6659A94D7}"/>
            </a:ext>
          </a:extLst>
        </xdr:cNvPr>
        <xdr:cNvSpPr>
          <a:spLocks/>
        </xdr:cNvSpPr>
      </xdr:nvSpPr>
      <xdr:spPr bwMode="auto">
        <a:xfrm>
          <a:off x="8139112" y="20196969"/>
          <a:ext cx="756709" cy="2288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194734</xdr:colOff>
      <xdr:row>101</xdr:row>
      <xdr:rowOff>42332</xdr:rowOff>
    </xdr:from>
    <xdr:to>
      <xdr:col>28</xdr:col>
      <xdr:colOff>143933</xdr:colOff>
      <xdr:row>102</xdr:row>
      <xdr:rowOff>79374</xdr:rowOff>
    </xdr:to>
    <xdr:sp macro="" textlink="">
      <xdr:nvSpPr>
        <xdr:cNvPr id="3759" name="Freeform 10707">
          <a:extLst>
            <a:ext uri="{FF2B5EF4-FFF2-40B4-BE49-F238E27FC236}">
              <a16:creationId xmlns:a16="http://schemas.microsoft.com/office/drawing/2014/main" id="{991F6585-68DD-4371-81F3-430AC64FC0C9}"/>
            </a:ext>
          </a:extLst>
        </xdr:cNvPr>
        <xdr:cNvSpPr>
          <a:spLocks/>
        </xdr:cNvSpPr>
      </xdr:nvSpPr>
      <xdr:spPr bwMode="auto">
        <a:xfrm>
          <a:off x="8859838" y="20196967"/>
          <a:ext cx="643730" cy="2288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215080</xdr:colOff>
      <xdr:row>109</xdr:row>
      <xdr:rowOff>102419</xdr:rowOff>
    </xdr:from>
    <xdr:to>
      <xdr:col>4</xdr:col>
      <xdr:colOff>230715</xdr:colOff>
      <xdr:row>110</xdr:row>
      <xdr:rowOff>29634</xdr:rowOff>
    </xdr:to>
    <xdr:sp macro="" textlink="">
      <xdr:nvSpPr>
        <xdr:cNvPr id="3760" name="Freeform 10707">
          <a:extLst>
            <a:ext uri="{FF2B5EF4-FFF2-40B4-BE49-F238E27FC236}">
              <a16:creationId xmlns:a16="http://schemas.microsoft.com/office/drawing/2014/main" id="{8F70C034-D44D-4EE4-8BA2-D08F6D096E3A}"/>
            </a:ext>
          </a:extLst>
        </xdr:cNvPr>
        <xdr:cNvSpPr>
          <a:spLocks/>
        </xdr:cNvSpPr>
      </xdr:nvSpPr>
      <xdr:spPr bwMode="auto">
        <a:xfrm>
          <a:off x="737419" y="22163548"/>
          <a:ext cx="671119" cy="12181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101600</xdr:colOff>
      <xdr:row>63</xdr:row>
      <xdr:rowOff>59267</xdr:rowOff>
    </xdr:from>
    <xdr:to>
      <xdr:col>20</xdr:col>
      <xdr:colOff>198790</xdr:colOff>
      <xdr:row>64</xdr:row>
      <xdr:rowOff>166177</xdr:rowOff>
    </xdr:to>
    <xdr:cxnSp macro="">
      <xdr:nvCxnSpPr>
        <xdr:cNvPr id="3761" name="Elbow Connector 55">
          <a:extLst>
            <a:ext uri="{FF2B5EF4-FFF2-40B4-BE49-F238E27FC236}">
              <a16:creationId xmlns:a16="http://schemas.microsoft.com/office/drawing/2014/main" id="{DC9E7539-8ABF-4632-A06B-7641F5D8A69B}"/>
            </a:ext>
          </a:extLst>
        </xdr:cNvPr>
        <xdr:cNvCxnSpPr/>
      </xdr:nvCxnSpPr>
      <xdr:spPr>
        <a:xfrm rot="16200000" flipH="1">
          <a:off x="6565273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127000</xdr:colOff>
      <xdr:row>63</xdr:row>
      <xdr:rowOff>67734</xdr:rowOff>
    </xdr:from>
    <xdr:to>
      <xdr:col>2</xdr:col>
      <xdr:colOff>224190</xdr:colOff>
      <xdr:row>64</xdr:row>
      <xdr:rowOff>174644</xdr:rowOff>
    </xdr:to>
    <xdr:cxnSp macro="">
      <xdr:nvCxnSpPr>
        <xdr:cNvPr id="3763" name="Elbow Connector 55">
          <a:extLst>
            <a:ext uri="{FF2B5EF4-FFF2-40B4-BE49-F238E27FC236}">
              <a16:creationId xmlns:a16="http://schemas.microsoft.com/office/drawing/2014/main" id="{98BDB29D-0C60-4FAA-8EBF-3F6D50766737}"/>
            </a:ext>
          </a:extLst>
        </xdr:cNvPr>
        <xdr:cNvCxnSpPr/>
      </xdr:nvCxnSpPr>
      <xdr:spPr>
        <a:xfrm rot="16200000" flipH="1">
          <a:off x="537007" y="12958861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152400</xdr:colOff>
      <xdr:row>55</xdr:row>
      <xdr:rowOff>50800</xdr:rowOff>
    </xdr:from>
    <xdr:to>
      <xdr:col>44</xdr:col>
      <xdr:colOff>249590</xdr:colOff>
      <xdr:row>56</xdr:row>
      <xdr:rowOff>157710</xdr:rowOff>
    </xdr:to>
    <xdr:cxnSp macro="">
      <xdr:nvCxnSpPr>
        <xdr:cNvPr id="3764" name="Elbow Connector 55">
          <a:extLst>
            <a:ext uri="{FF2B5EF4-FFF2-40B4-BE49-F238E27FC236}">
              <a16:creationId xmlns:a16="http://schemas.microsoft.com/office/drawing/2014/main" id="{EED4E63F-ABCB-442B-8A73-A9AB227988F4}"/>
            </a:ext>
          </a:extLst>
        </xdr:cNvPr>
        <xdr:cNvCxnSpPr/>
      </xdr:nvCxnSpPr>
      <xdr:spPr>
        <a:xfrm rot="16200000" flipH="1">
          <a:off x="14549340" y="11324793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152400</xdr:colOff>
      <xdr:row>55</xdr:row>
      <xdr:rowOff>76200</xdr:rowOff>
    </xdr:from>
    <xdr:to>
      <xdr:col>38</xdr:col>
      <xdr:colOff>228208</xdr:colOff>
      <xdr:row>56</xdr:row>
      <xdr:rowOff>126738</xdr:rowOff>
    </xdr:to>
    <xdr:cxnSp macro="">
      <xdr:nvCxnSpPr>
        <xdr:cNvPr id="3683" name="Elbow Connector 55">
          <a:extLst>
            <a:ext uri="{FF2B5EF4-FFF2-40B4-BE49-F238E27FC236}">
              <a16:creationId xmlns:a16="http://schemas.microsoft.com/office/drawing/2014/main" id="{D6F01D66-62D9-47A3-91AD-278D8BA41DA9}"/>
            </a:ext>
          </a:extLst>
        </xdr:cNvPr>
        <xdr:cNvCxnSpPr/>
      </xdr:nvCxnSpPr>
      <xdr:spPr>
        <a:xfrm rot="16200000" flipH="1">
          <a:off x="12517902" y="1133269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152400</xdr:colOff>
      <xdr:row>55</xdr:row>
      <xdr:rowOff>93134</xdr:rowOff>
    </xdr:from>
    <xdr:to>
      <xdr:col>36</xdr:col>
      <xdr:colOff>228208</xdr:colOff>
      <xdr:row>56</xdr:row>
      <xdr:rowOff>143672</xdr:rowOff>
    </xdr:to>
    <xdr:cxnSp macro="">
      <xdr:nvCxnSpPr>
        <xdr:cNvPr id="3762" name="Elbow Connector 55">
          <a:extLst>
            <a:ext uri="{FF2B5EF4-FFF2-40B4-BE49-F238E27FC236}">
              <a16:creationId xmlns:a16="http://schemas.microsoft.com/office/drawing/2014/main" id="{6202999A-6E84-4631-B42A-DD8EEE3E9875}"/>
            </a:ext>
          </a:extLst>
        </xdr:cNvPr>
        <xdr:cNvCxnSpPr/>
      </xdr:nvCxnSpPr>
      <xdr:spPr>
        <a:xfrm rot="16200000" flipH="1">
          <a:off x="11832102" y="11349632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143934</xdr:colOff>
      <xdr:row>55</xdr:row>
      <xdr:rowOff>59267</xdr:rowOff>
    </xdr:from>
    <xdr:to>
      <xdr:col>14</xdr:col>
      <xdr:colOff>219742</xdr:colOff>
      <xdr:row>56</xdr:row>
      <xdr:rowOff>109805</xdr:rowOff>
    </xdr:to>
    <xdr:cxnSp macro="">
      <xdr:nvCxnSpPr>
        <xdr:cNvPr id="3765" name="Elbow Connector 55">
          <a:extLst>
            <a:ext uri="{FF2B5EF4-FFF2-40B4-BE49-F238E27FC236}">
              <a16:creationId xmlns:a16="http://schemas.microsoft.com/office/drawing/2014/main" id="{82C3F7D9-0FF8-438E-90E4-AF59F78C24E2}"/>
            </a:ext>
          </a:extLst>
        </xdr:cNvPr>
        <xdr:cNvCxnSpPr/>
      </xdr:nvCxnSpPr>
      <xdr:spPr>
        <a:xfrm rot="16200000" flipH="1">
          <a:off x="4610036" y="11315765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143933</xdr:colOff>
      <xdr:row>47</xdr:row>
      <xdr:rowOff>59266</xdr:rowOff>
    </xdr:from>
    <xdr:to>
      <xdr:col>38</xdr:col>
      <xdr:colOff>239184</xdr:colOff>
      <xdr:row>48</xdr:row>
      <xdr:rowOff>150373</xdr:rowOff>
    </xdr:to>
    <xdr:cxnSp macro="">
      <xdr:nvCxnSpPr>
        <xdr:cNvPr id="3766" name="Elbow Connector 55">
          <a:extLst>
            <a:ext uri="{FF2B5EF4-FFF2-40B4-BE49-F238E27FC236}">
              <a16:creationId xmlns:a16="http://schemas.microsoft.com/office/drawing/2014/main" id="{D6DCE090-66BB-4F44-9E18-62F32F5A575F}"/>
            </a:ext>
          </a:extLst>
        </xdr:cNvPr>
        <xdr:cNvCxnSpPr/>
      </xdr:nvCxnSpPr>
      <xdr:spPr>
        <a:xfrm rot="16200000" flipH="1">
          <a:off x="12498872" y="9632994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135467</xdr:colOff>
      <xdr:row>47</xdr:row>
      <xdr:rowOff>50800</xdr:rowOff>
    </xdr:from>
    <xdr:to>
      <xdr:col>40</xdr:col>
      <xdr:colOff>230718</xdr:colOff>
      <xdr:row>48</xdr:row>
      <xdr:rowOff>141907</xdr:rowOff>
    </xdr:to>
    <xdr:cxnSp macro="">
      <xdr:nvCxnSpPr>
        <xdr:cNvPr id="3767" name="Elbow Connector 55">
          <a:extLst>
            <a:ext uri="{FF2B5EF4-FFF2-40B4-BE49-F238E27FC236}">
              <a16:creationId xmlns:a16="http://schemas.microsoft.com/office/drawing/2014/main" id="{A41F495C-A9B9-4BC9-A9D1-58A51593B651}"/>
            </a:ext>
          </a:extLst>
        </xdr:cNvPr>
        <xdr:cNvCxnSpPr/>
      </xdr:nvCxnSpPr>
      <xdr:spPr>
        <a:xfrm rot="16200000" flipH="1">
          <a:off x="13133872" y="9624528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118533</xdr:colOff>
      <xdr:row>47</xdr:row>
      <xdr:rowOff>42333</xdr:rowOff>
    </xdr:from>
    <xdr:to>
      <xdr:col>32</xdr:col>
      <xdr:colOff>213784</xdr:colOff>
      <xdr:row>48</xdr:row>
      <xdr:rowOff>133440</xdr:rowOff>
    </xdr:to>
    <xdr:cxnSp macro="">
      <xdr:nvCxnSpPr>
        <xdr:cNvPr id="3768" name="Elbow Connector 55">
          <a:extLst>
            <a:ext uri="{FF2B5EF4-FFF2-40B4-BE49-F238E27FC236}">
              <a16:creationId xmlns:a16="http://schemas.microsoft.com/office/drawing/2014/main" id="{540CCD6D-40DF-4E33-B86D-945C6A3673B3}"/>
            </a:ext>
          </a:extLst>
        </xdr:cNvPr>
        <xdr:cNvCxnSpPr/>
      </xdr:nvCxnSpPr>
      <xdr:spPr>
        <a:xfrm rot="16200000" flipH="1">
          <a:off x="10500738" y="9616061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105053</xdr:colOff>
      <xdr:row>84</xdr:row>
      <xdr:rowOff>148695</xdr:rowOff>
    </xdr:from>
    <xdr:to>
      <xdr:col>22</xdr:col>
      <xdr:colOff>246601</xdr:colOff>
      <xdr:row>85</xdr:row>
      <xdr:rowOff>128201</xdr:rowOff>
    </xdr:to>
    <xdr:sp macro="" textlink="">
      <xdr:nvSpPr>
        <xdr:cNvPr id="3779" name="6-Point Star 717">
          <a:extLst>
            <a:ext uri="{FF2B5EF4-FFF2-40B4-BE49-F238E27FC236}">
              <a16:creationId xmlns:a16="http://schemas.microsoft.com/office/drawing/2014/main" id="{AC844CEB-2D85-4E55-8208-5F1045434304}"/>
            </a:ext>
          </a:extLst>
        </xdr:cNvPr>
        <xdr:cNvSpPr/>
      </xdr:nvSpPr>
      <xdr:spPr>
        <a:xfrm>
          <a:off x="7044696" y="1711874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136769</xdr:colOff>
      <xdr:row>15</xdr:row>
      <xdr:rowOff>78153</xdr:rowOff>
    </xdr:from>
    <xdr:to>
      <xdr:col>22</xdr:col>
      <xdr:colOff>232020</xdr:colOff>
      <xdr:row>16</xdr:row>
      <xdr:rowOff>167521</xdr:rowOff>
    </xdr:to>
    <xdr:cxnSp macro="">
      <xdr:nvCxnSpPr>
        <xdr:cNvPr id="3780" name="Elbow Connector 55">
          <a:extLst>
            <a:ext uri="{FF2B5EF4-FFF2-40B4-BE49-F238E27FC236}">
              <a16:creationId xmlns:a16="http://schemas.microsoft.com/office/drawing/2014/main" id="{E1C5BEFB-56F4-4B21-8EE8-D4455563D184}"/>
            </a:ext>
          </a:extLst>
        </xdr:cNvPr>
        <xdr:cNvCxnSpPr/>
      </xdr:nvCxnSpPr>
      <xdr:spPr>
        <a:xfrm rot="16200000" flipH="1">
          <a:off x="7256595" y="3176942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166077</xdr:colOff>
      <xdr:row>15</xdr:row>
      <xdr:rowOff>68385</xdr:rowOff>
    </xdr:from>
    <xdr:to>
      <xdr:col>24</xdr:col>
      <xdr:colOff>261328</xdr:colOff>
      <xdr:row>16</xdr:row>
      <xdr:rowOff>157753</xdr:rowOff>
    </xdr:to>
    <xdr:cxnSp macro="">
      <xdr:nvCxnSpPr>
        <xdr:cNvPr id="3781" name="Elbow Connector 55">
          <a:extLst>
            <a:ext uri="{FF2B5EF4-FFF2-40B4-BE49-F238E27FC236}">
              <a16:creationId xmlns:a16="http://schemas.microsoft.com/office/drawing/2014/main" id="{21345F88-0F53-49EC-A197-7FDC2A64E1D2}"/>
            </a:ext>
          </a:extLst>
        </xdr:cNvPr>
        <xdr:cNvCxnSpPr/>
      </xdr:nvCxnSpPr>
      <xdr:spPr>
        <a:xfrm rot="16200000" flipH="1">
          <a:off x="7930672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146538</xdr:colOff>
      <xdr:row>15</xdr:row>
      <xdr:rowOff>58616</xdr:rowOff>
    </xdr:from>
    <xdr:to>
      <xdr:col>26</xdr:col>
      <xdr:colOff>241789</xdr:colOff>
      <xdr:row>16</xdr:row>
      <xdr:rowOff>147984</xdr:rowOff>
    </xdr:to>
    <xdr:cxnSp macro="">
      <xdr:nvCxnSpPr>
        <xdr:cNvPr id="3689" name="Elbow Connector 55">
          <a:extLst>
            <a:ext uri="{FF2B5EF4-FFF2-40B4-BE49-F238E27FC236}">
              <a16:creationId xmlns:a16="http://schemas.microsoft.com/office/drawing/2014/main" id="{7C245872-E9F3-4F74-ACEC-020BDC16F8DD}"/>
            </a:ext>
          </a:extLst>
        </xdr:cNvPr>
        <xdr:cNvCxnSpPr/>
      </xdr:nvCxnSpPr>
      <xdr:spPr>
        <a:xfrm rot="16200000" flipH="1">
          <a:off x="8555903" y="3157405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117229</xdr:colOff>
      <xdr:row>15</xdr:row>
      <xdr:rowOff>78154</xdr:rowOff>
    </xdr:from>
    <xdr:to>
      <xdr:col>28</xdr:col>
      <xdr:colOff>253999</xdr:colOff>
      <xdr:row>16</xdr:row>
      <xdr:rowOff>127001</xdr:rowOff>
    </xdr:to>
    <xdr:cxnSp macro="">
      <xdr:nvCxnSpPr>
        <xdr:cNvPr id="3782" name="Elbow Connector 55">
          <a:extLst>
            <a:ext uri="{FF2B5EF4-FFF2-40B4-BE49-F238E27FC236}">
              <a16:creationId xmlns:a16="http://schemas.microsoft.com/office/drawing/2014/main" id="{AF6E68DE-398F-4313-9C9C-C814AC00501E}"/>
            </a:ext>
          </a:extLst>
        </xdr:cNvPr>
        <xdr:cNvCxnSpPr/>
      </xdr:nvCxnSpPr>
      <xdr:spPr>
        <a:xfrm rot="16200000" flipH="1">
          <a:off x="9241691" y="3135923"/>
          <a:ext cx="312616" cy="13677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146539</xdr:colOff>
      <xdr:row>15</xdr:row>
      <xdr:rowOff>87923</xdr:rowOff>
    </xdr:from>
    <xdr:to>
      <xdr:col>30</xdr:col>
      <xdr:colOff>241790</xdr:colOff>
      <xdr:row>16</xdr:row>
      <xdr:rowOff>177291</xdr:rowOff>
    </xdr:to>
    <xdr:cxnSp macro="">
      <xdr:nvCxnSpPr>
        <xdr:cNvPr id="3784" name="Elbow Connector 55">
          <a:extLst>
            <a:ext uri="{FF2B5EF4-FFF2-40B4-BE49-F238E27FC236}">
              <a16:creationId xmlns:a16="http://schemas.microsoft.com/office/drawing/2014/main" id="{FBE7A18C-6234-4ACB-B0E0-C5669D7437BD}"/>
            </a:ext>
          </a:extLst>
        </xdr:cNvPr>
        <xdr:cNvCxnSpPr/>
      </xdr:nvCxnSpPr>
      <xdr:spPr>
        <a:xfrm rot="16200000" flipH="1">
          <a:off x="9874750" y="3186712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156307</xdr:colOff>
      <xdr:row>15</xdr:row>
      <xdr:rowOff>68385</xdr:rowOff>
    </xdr:from>
    <xdr:to>
      <xdr:col>32</xdr:col>
      <xdr:colOff>251558</xdr:colOff>
      <xdr:row>16</xdr:row>
      <xdr:rowOff>157753</xdr:rowOff>
    </xdr:to>
    <xdr:cxnSp macro="">
      <xdr:nvCxnSpPr>
        <xdr:cNvPr id="3778" name="Elbow Connector 55">
          <a:extLst>
            <a:ext uri="{FF2B5EF4-FFF2-40B4-BE49-F238E27FC236}">
              <a16:creationId xmlns:a16="http://schemas.microsoft.com/office/drawing/2014/main" id="{894498C2-3C6C-4D26-B24C-F5E35D83274F}"/>
            </a:ext>
          </a:extLst>
        </xdr:cNvPr>
        <xdr:cNvCxnSpPr/>
      </xdr:nvCxnSpPr>
      <xdr:spPr>
        <a:xfrm rot="16200000" flipH="1">
          <a:off x="10558595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127000</xdr:colOff>
      <xdr:row>15</xdr:row>
      <xdr:rowOff>68385</xdr:rowOff>
    </xdr:from>
    <xdr:to>
      <xdr:col>34</xdr:col>
      <xdr:colOff>222251</xdr:colOff>
      <xdr:row>16</xdr:row>
      <xdr:rowOff>157753</xdr:rowOff>
    </xdr:to>
    <xdr:cxnSp macro="">
      <xdr:nvCxnSpPr>
        <xdr:cNvPr id="3783" name="Elbow Connector 55">
          <a:extLst>
            <a:ext uri="{FF2B5EF4-FFF2-40B4-BE49-F238E27FC236}">
              <a16:creationId xmlns:a16="http://schemas.microsoft.com/office/drawing/2014/main" id="{F2C759C1-C267-4DA3-9EC7-3CE8384D017C}"/>
            </a:ext>
          </a:extLst>
        </xdr:cNvPr>
        <xdr:cNvCxnSpPr/>
      </xdr:nvCxnSpPr>
      <xdr:spPr>
        <a:xfrm rot="16200000" flipH="1">
          <a:off x="11174057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175846</xdr:colOff>
      <xdr:row>109</xdr:row>
      <xdr:rowOff>48847</xdr:rowOff>
    </xdr:from>
    <xdr:to>
      <xdr:col>6</xdr:col>
      <xdr:colOff>166077</xdr:colOff>
      <xdr:row>110</xdr:row>
      <xdr:rowOff>2280</xdr:rowOff>
    </xdr:to>
    <xdr:sp macro="" textlink="">
      <xdr:nvSpPr>
        <xdr:cNvPr id="3785" name="Freeform 10707">
          <a:extLst>
            <a:ext uri="{FF2B5EF4-FFF2-40B4-BE49-F238E27FC236}">
              <a16:creationId xmlns:a16="http://schemas.microsoft.com/office/drawing/2014/main" id="{D737E1D1-B518-4338-98A2-DAB2B9DCEDB1}"/>
            </a:ext>
          </a:extLst>
        </xdr:cNvPr>
        <xdr:cNvSpPr>
          <a:spLocks/>
        </xdr:cNvSpPr>
      </xdr:nvSpPr>
      <xdr:spPr bwMode="auto">
        <a:xfrm>
          <a:off x="1387231" y="22166385"/>
          <a:ext cx="635000" cy="1488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156307</xdr:colOff>
      <xdr:row>109</xdr:row>
      <xdr:rowOff>39078</xdr:rowOff>
    </xdr:from>
    <xdr:to>
      <xdr:col>8</xdr:col>
      <xdr:colOff>226156</xdr:colOff>
      <xdr:row>109</xdr:row>
      <xdr:rowOff>187897</xdr:rowOff>
    </xdr:to>
    <xdr:sp macro="" textlink="">
      <xdr:nvSpPr>
        <xdr:cNvPr id="3786" name="Freeform 10707">
          <a:extLst>
            <a:ext uri="{FF2B5EF4-FFF2-40B4-BE49-F238E27FC236}">
              <a16:creationId xmlns:a16="http://schemas.microsoft.com/office/drawing/2014/main" id="{D0329145-2DE0-4A94-AAD9-AFC22B12DB26}"/>
            </a:ext>
          </a:extLst>
        </xdr:cNvPr>
        <xdr:cNvSpPr>
          <a:spLocks/>
        </xdr:cNvSpPr>
      </xdr:nvSpPr>
      <xdr:spPr bwMode="auto">
        <a:xfrm>
          <a:off x="2012461" y="22156616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214924</xdr:colOff>
      <xdr:row>109</xdr:row>
      <xdr:rowOff>39077</xdr:rowOff>
    </xdr:from>
    <xdr:to>
      <xdr:col>10</xdr:col>
      <xdr:colOff>216389</xdr:colOff>
      <xdr:row>109</xdr:row>
      <xdr:rowOff>187896</xdr:rowOff>
    </xdr:to>
    <xdr:sp macro="" textlink="">
      <xdr:nvSpPr>
        <xdr:cNvPr id="3787" name="Freeform 10707">
          <a:extLst>
            <a:ext uri="{FF2B5EF4-FFF2-40B4-BE49-F238E27FC236}">
              <a16:creationId xmlns:a16="http://schemas.microsoft.com/office/drawing/2014/main" id="{34F66563-0EAA-4FAA-8FA9-98216523BEBE}"/>
            </a:ext>
          </a:extLst>
        </xdr:cNvPr>
        <xdr:cNvSpPr>
          <a:spLocks/>
        </xdr:cNvSpPr>
      </xdr:nvSpPr>
      <xdr:spPr bwMode="auto">
        <a:xfrm>
          <a:off x="2745155" y="22156615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245805</xdr:colOff>
      <xdr:row>109</xdr:row>
      <xdr:rowOff>61452</xdr:rowOff>
    </xdr:from>
    <xdr:to>
      <xdr:col>12</xdr:col>
      <xdr:colOff>195384</xdr:colOff>
      <xdr:row>110</xdr:row>
      <xdr:rowOff>20484</xdr:rowOff>
    </xdr:to>
    <xdr:sp macro="" textlink="">
      <xdr:nvSpPr>
        <xdr:cNvPr id="3788" name="Freeform 10707">
          <a:extLst>
            <a:ext uri="{FF2B5EF4-FFF2-40B4-BE49-F238E27FC236}">
              <a16:creationId xmlns:a16="http://schemas.microsoft.com/office/drawing/2014/main" id="{D5C2570B-5D45-4ABB-9E4C-EF21ABE31F06}"/>
            </a:ext>
          </a:extLst>
        </xdr:cNvPr>
        <xdr:cNvSpPr>
          <a:spLocks/>
        </xdr:cNvSpPr>
      </xdr:nvSpPr>
      <xdr:spPr bwMode="auto">
        <a:xfrm>
          <a:off x="3420805" y="22122581"/>
          <a:ext cx="594821" cy="1536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175846</xdr:colOff>
      <xdr:row>109</xdr:row>
      <xdr:rowOff>39077</xdr:rowOff>
    </xdr:from>
    <xdr:to>
      <xdr:col>14</xdr:col>
      <xdr:colOff>275003</xdr:colOff>
      <xdr:row>110</xdr:row>
      <xdr:rowOff>40968</xdr:rowOff>
    </xdr:to>
    <xdr:sp macro="" textlink="">
      <xdr:nvSpPr>
        <xdr:cNvPr id="3789" name="Freeform 10707">
          <a:extLst>
            <a:ext uri="{FF2B5EF4-FFF2-40B4-BE49-F238E27FC236}">
              <a16:creationId xmlns:a16="http://schemas.microsoft.com/office/drawing/2014/main" id="{FAB722F8-C1FD-4334-A1C8-5065EC3F0B78}"/>
            </a:ext>
          </a:extLst>
        </xdr:cNvPr>
        <xdr:cNvSpPr>
          <a:spLocks/>
        </xdr:cNvSpPr>
      </xdr:nvSpPr>
      <xdr:spPr bwMode="auto">
        <a:xfrm>
          <a:off x="3996088" y="22100206"/>
          <a:ext cx="723915" cy="1964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156308</xdr:colOff>
      <xdr:row>109</xdr:row>
      <xdr:rowOff>39077</xdr:rowOff>
    </xdr:from>
    <xdr:to>
      <xdr:col>16</xdr:col>
      <xdr:colOff>255465</xdr:colOff>
      <xdr:row>109</xdr:row>
      <xdr:rowOff>187896</xdr:rowOff>
    </xdr:to>
    <xdr:sp macro="" textlink="">
      <xdr:nvSpPr>
        <xdr:cNvPr id="3790" name="Freeform 10707">
          <a:extLst>
            <a:ext uri="{FF2B5EF4-FFF2-40B4-BE49-F238E27FC236}">
              <a16:creationId xmlns:a16="http://schemas.microsoft.com/office/drawing/2014/main" id="{0B946A25-17C2-48B3-89FE-65CDA3FF8AA8}"/>
            </a:ext>
          </a:extLst>
        </xdr:cNvPr>
        <xdr:cNvSpPr>
          <a:spLocks/>
        </xdr:cNvSpPr>
      </xdr:nvSpPr>
      <xdr:spPr bwMode="auto">
        <a:xfrm>
          <a:off x="4738077" y="22156615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246123</xdr:colOff>
      <xdr:row>109</xdr:row>
      <xdr:rowOff>61453</xdr:rowOff>
    </xdr:from>
    <xdr:to>
      <xdr:col>18</xdr:col>
      <xdr:colOff>184355</xdr:colOff>
      <xdr:row>110</xdr:row>
      <xdr:rowOff>20484</xdr:rowOff>
    </xdr:to>
    <xdr:sp macro="" textlink="">
      <xdr:nvSpPr>
        <xdr:cNvPr id="3791" name="Freeform 10707">
          <a:extLst>
            <a:ext uri="{FF2B5EF4-FFF2-40B4-BE49-F238E27FC236}">
              <a16:creationId xmlns:a16="http://schemas.microsoft.com/office/drawing/2014/main" id="{BEBC5F96-2E0E-4F52-A553-F1ECB8D4B1A1}"/>
            </a:ext>
          </a:extLst>
        </xdr:cNvPr>
        <xdr:cNvSpPr>
          <a:spLocks/>
        </xdr:cNvSpPr>
      </xdr:nvSpPr>
      <xdr:spPr bwMode="auto">
        <a:xfrm>
          <a:off x="5315881" y="22122582"/>
          <a:ext cx="696135" cy="15362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185615</xdr:colOff>
      <xdr:row>109</xdr:row>
      <xdr:rowOff>61453</xdr:rowOff>
    </xdr:from>
    <xdr:to>
      <xdr:col>20</xdr:col>
      <xdr:colOff>194597</xdr:colOff>
      <xdr:row>110</xdr:row>
      <xdr:rowOff>40968</xdr:rowOff>
    </xdr:to>
    <xdr:sp macro="" textlink="">
      <xdr:nvSpPr>
        <xdr:cNvPr id="3792" name="Freeform 10707">
          <a:extLst>
            <a:ext uri="{FF2B5EF4-FFF2-40B4-BE49-F238E27FC236}">
              <a16:creationId xmlns:a16="http://schemas.microsoft.com/office/drawing/2014/main" id="{09903E2E-7DC2-4721-B387-C870E8C19771}"/>
            </a:ext>
          </a:extLst>
        </xdr:cNvPr>
        <xdr:cNvSpPr>
          <a:spLocks/>
        </xdr:cNvSpPr>
      </xdr:nvSpPr>
      <xdr:spPr bwMode="auto">
        <a:xfrm>
          <a:off x="6013276" y="22122582"/>
          <a:ext cx="633740" cy="17411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179448</xdr:colOff>
      <xdr:row>109</xdr:row>
      <xdr:rowOff>41608</xdr:rowOff>
    </xdr:from>
    <xdr:to>
      <xdr:col>22</xdr:col>
      <xdr:colOff>301767</xdr:colOff>
      <xdr:row>110</xdr:row>
      <xdr:rowOff>41607</xdr:rowOff>
    </xdr:to>
    <xdr:sp macro="" textlink="">
      <xdr:nvSpPr>
        <xdr:cNvPr id="3793" name="Freeform 10707">
          <a:extLst>
            <a:ext uri="{FF2B5EF4-FFF2-40B4-BE49-F238E27FC236}">
              <a16:creationId xmlns:a16="http://schemas.microsoft.com/office/drawing/2014/main" id="{ED4734D7-9779-4D58-A173-0EBA93617226}"/>
            </a:ext>
          </a:extLst>
        </xdr:cNvPr>
        <xdr:cNvSpPr>
          <a:spLocks/>
        </xdr:cNvSpPr>
      </xdr:nvSpPr>
      <xdr:spPr bwMode="auto">
        <a:xfrm>
          <a:off x="6860177" y="21790358"/>
          <a:ext cx="783778" cy="19182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166077</xdr:colOff>
      <xdr:row>109</xdr:row>
      <xdr:rowOff>58616</xdr:rowOff>
    </xdr:from>
    <xdr:to>
      <xdr:col>24</xdr:col>
      <xdr:colOff>195385</xdr:colOff>
      <xdr:row>110</xdr:row>
      <xdr:rowOff>61451</xdr:rowOff>
    </xdr:to>
    <xdr:sp macro="" textlink="">
      <xdr:nvSpPr>
        <xdr:cNvPr id="3794" name="Freeform 10707">
          <a:extLst>
            <a:ext uri="{FF2B5EF4-FFF2-40B4-BE49-F238E27FC236}">
              <a16:creationId xmlns:a16="http://schemas.microsoft.com/office/drawing/2014/main" id="{84C44FED-6E59-4F58-9AF5-AB55A429AF8A}"/>
            </a:ext>
          </a:extLst>
        </xdr:cNvPr>
        <xdr:cNvSpPr>
          <a:spLocks/>
        </xdr:cNvSpPr>
      </xdr:nvSpPr>
      <xdr:spPr bwMode="auto">
        <a:xfrm>
          <a:off x="7243254" y="22119745"/>
          <a:ext cx="654066" cy="19743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195385</xdr:colOff>
      <xdr:row>109</xdr:row>
      <xdr:rowOff>78153</xdr:rowOff>
    </xdr:from>
    <xdr:to>
      <xdr:col>26</xdr:col>
      <xdr:colOff>166077</xdr:colOff>
      <xdr:row>110</xdr:row>
      <xdr:rowOff>20483</xdr:rowOff>
    </xdr:to>
    <xdr:sp macro="" textlink="">
      <xdr:nvSpPr>
        <xdr:cNvPr id="3795" name="Freeform 10707">
          <a:extLst>
            <a:ext uri="{FF2B5EF4-FFF2-40B4-BE49-F238E27FC236}">
              <a16:creationId xmlns:a16="http://schemas.microsoft.com/office/drawing/2014/main" id="{185F7C72-C559-4FF7-AB24-55595950AC14}"/>
            </a:ext>
          </a:extLst>
        </xdr:cNvPr>
        <xdr:cNvSpPr>
          <a:spLocks/>
        </xdr:cNvSpPr>
      </xdr:nvSpPr>
      <xdr:spPr bwMode="auto">
        <a:xfrm>
          <a:off x="7897320" y="22139282"/>
          <a:ext cx="595451" cy="1369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195385</xdr:colOff>
      <xdr:row>109</xdr:row>
      <xdr:rowOff>58616</xdr:rowOff>
    </xdr:from>
    <xdr:to>
      <xdr:col>28</xdr:col>
      <xdr:colOff>224692</xdr:colOff>
      <xdr:row>110</xdr:row>
      <xdr:rowOff>20484</xdr:rowOff>
    </xdr:to>
    <xdr:sp macro="" textlink="">
      <xdr:nvSpPr>
        <xdr:cNvPr id="3796" name="Freeform 10707">
          <a:extLst>
            <a:ext uri="{FF2B5EF4-FFF2-40B4-BE49-F238E27FC236}">
              <a16:creationId xmlns:a16="http://schemas.microsoft.com/office/drawing/2014/main" id="{B3CFF4F0-BBE1-457A-8C43-DA8626D6AF8B}"/>
            </a:ext>
          </a:extLst>
        </xdr:cNvPr>
        <xdr:cNvSpPr>
          <a:spLocks/>
        </xdr:cNvSpPr>
      </xdr:nvSpPr>
      <xdr:spPr bwMode="auto">
        <a:xfrm>
          <a:off x="8522079" y="22119745"/>
          <a:ext cx="684790" cy="1564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153275</xdr:colOff>
      <xdr:row>15</xdr:row>
      <xdr:rowOff>109484</xdr:rowOff>
    </xdr:from>
    <xdr:to>
      <xdr:col>42</xdr:col>
      <xdr:colOff>248526</xdr:colOff>
      <xdr:row>17</xdr:row>
      <xdr:rowOff>12732</xdr:rowOff>
    </xdr:to>
    <xdr:cxnSp macro="">
      <xdr:nvCxnSpPr>
        <xdr:cNvPr id="3210" name="Elbow Connector 55">
          <a:extLst>
            <a:ext uri="{FF2B5EF4-FFF2-40B4-BE49-F238E27FC236}">
              <a16:creationId xmlns:a16="http://schemas.microsoft.com/office/drawing/2014/main" id="{77309470-C059-466A-B286-A4D0D4201A30}"/>
            </a:ext>
          </a:extLst>
        </xdr:cNvPr>
        <xdr:cNvCxnSpPr/>
      </xdr:nvCxnSpPr>
      <xdr:spPr>
        <a:xfrm rot="16200000" flipH="1">
          <a:off x="13469320" y="3095422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164224</xdr:colOff>
      <xdr:row>15</xdr:row>
      <xdr:rowOff>142329</xdr:rowOff>
    </xdr:from>
    <xdr:to>
      <xdr:col>44</xdr:col>
      <xdr:colOff>259475</xdr:colOff>
      <xdr:row>17</xdr:row>
      <xdr:rowOff>45577</xdr:rowOff>
    </xdr:to>
    <xdr:cxnSp macro="">
      <xdr:nvCxnSpPr>
        <xdr:cNvPr id="3672" name="Elbow Connector 55">
          <a:extLst>
            <a:ext uri="{FF2B5EF4-FFF2-40B4-BE49-F238E27FC236}">
              <a16:creationId xmlns:a16="http://schemas.microsoft.com/office/drawing/2014/main" id="{75EB32AD-6C6D-46F4-A48A-0D60C6C56FBA}"/>
            </a:ext>
          </a:extLst>
        </xdr:cNvPr>
        <xdr:cNvCxnSpPr/>
      </xdr:nvCxnSpPr>
      <xdr:spPr>
        <a:xfrm rot="16200000" flipH="1">
          <a:off x="14224752" y="3128267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120431</xdr:colOff>
      <xdr:row>23</xdr:row>
      <xdr:rowOff>109483</xdr:rowOff>
    </xdr:from>
    <xdr:to>
      <xdr:col>2</xdr:col>
      <xdr:colOff>215682</xdr:colOff>
      <xdr:row>25</xdr:row>
      <xdr:rowOff>23679</xdr:rowOff>
    </xdr:to>
    <xdr:cxnSp macro="">
      <xdr:nvCxnSpPr>
        <xdr:cNvPr id="3684" name="Elbow Connector 55">
          <a:extLst>
            <a:ext uri="{FF2B5EF4-FFF2-40B4-BE49-F238E27FC236}">
              <a16:creationId xmlns:a16="http://schemas.microsoft.com/office/drawing/2014/main" id="{7392933E-D85B-4BA5-BF65-1A6BC7B9048C}"/>
            </a:ext>
          </a:extLst>
        </xdr:cNvPr>
        <xdr:cNvCxnSpPr/>
      </xdr:nvCxnSpPr>
      <xdr:spPr>
        <a:xfrm rot="16200000" flipH="1">
          <a:off x="517510" y="4661024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153277</xdr:colOff>
      <xdr:row>23</xdr:row>
      <xdr:rowOff>120428</xdr:rowOff>
    </xdr:from>
    <xdr:to>
      <xdr:col>4</xdr:col>
      <xdr:colOff>248528</xdr:colOff>
      <xdr:row>25</xdr:row>
      <xdr:rowOff>34624</xdr:rowOff>
    </xdr:to>
    <xdr:cxnSp macro="">
      <xdr:nvCxnSpPr>
        <xdr:cNvPr id="3769" name="Elbow Connector 55">
          <a:extLst>
            <a:ext uri="{FF2B5EF4-FFF2-40B4-BE49-F238E27FC236}">
              <a16:creationId xmlns:a16="http://schemas.microsoft.com/office/drawing/2014/main" id="{EFC2F942-32F6-4993-AAD5-12C78D152503}"/>
            </a:ext>
          </a:extLst>
        </xdr:cNvPr>
        <xdr:cNvCxnSpPr/>
      </xdr:nvCxnSpPr>
      <xdr:spPr>
        <a:xfrm rot="16200000" flipH="1">
          <a:off x="1207253" y="4671969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153273</xdr:colOff>
      <xdr:row>23</xdr:row>
      <xdr:rowOff>120428</xdr:rowOff>
    </xdr:from>
    <xdr:to>
      <xdr:col>6</xdr:col>
      <xdr:colOff>248524</xdr:colOff>
      <xdr:row>25</xdr:row>
      <xdr:rowOff>34624</xdr:rowOff>
    </xdr:to>
    <xdr:cxnSp macro="">
      <xdr:nvCxnSpPr>
        <xdr:cNvPr id="3770" name="Elbow Connector 55">
          <a:extLst>
            <a:ext uri="{FF2B5EF4-FFF2-40B4-BE49-F238E27FC236}">
              <a16:creationId xmlns:a16="http://schemas.microsoft.com/office/drawing/2014/main" id="{381A3B14-9B99-445B-BB3C-783ED5E0C75C}"/>
            </a:ext>
          </a:extLst>
        </xdr:cNvPr>
        <xdr:cNvCxnSpPr/>
      </xdr:nvCxnSpPr>
      <xdr:spPr>
        <a:xfrm rot="16200000" flipH="1">
          <a:off x="1831301" y="4671969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164225</xdr:colOff>
      <xdr:row>15</xdr:row>
      <xdr:rowOff>76636</xdr:rowOff>
    </xdr:from>
    <xdr:to>
      <xdr:col>36</xdr:col>
      <xdr:colOff>259476</xdr:colOff>
      <xdr:row>16</xdr:row>
      <xdr:rowOff>166004</xdr:rowOff>
    </xdr:to>
    <xdr:cxnSp macro="">
      <xdr:nvCxnSpPr>
        <xdr:cNvPr id="3771" name="Elbow Connector 55">
          <a:extLst>
            <a:ext uri="{FF2B5EF4-FFF2-40B4-BE49-F238E27FC236}">
              <a16:creationId xmlns:a16="http://schemas.microsoft.com/office/drawing/2014/main" id="{BD675CC0-A8BA-48E1-8048-A07169F72F7C}"/>
            </a:ext>
          </a:extLst>
        </xdr:cNvPr>
        <xdr:cNvCxnSpPr/>
      </xdr:nvCxnSpPr>
      <xdr:spPr>
        <a:xfrm rot="16200000" flipH="1">
          <a:off x="11564321" y="3062574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142325</xdr:colOff>
      <xdr:row>15</xdr:row>
      <xdr:rowOff>76639</xdr:rowOff>
    </xdr:from>
    <xdr:to>
      <xdr:col>38</xdr:col>
      <xdr:colOff>237576</xdr:colOff>
      <xdr:row>16</xdr:row>
      <xdr:rowOff>166007</xdr:rowOff>
    </xdr:to>
    <xdr:cxnSp macro="">
      <xdr:nvCxnSpPr>
        <xdr:cNvPr id="3772" name="Elbow Connector 55">
          <a:extLst>
            <a:ext uri="{FF2B5EF4-FFF2-40B4-BE49-F238E27FC236}">
              <a16:creationId xmlns:a16="http://schemas.microsoft.com/office/drawing/2014/main" id="{34066384-5F58-456C-A102-F4924CB68E62}"/>
            </a:ext>
          </a:extLst>
        </xdr:cNvPr>
        <xdr:cNvCxnSpPr/>
      </xdr:nvCxnSpPr>
      <xdr:spPr>
        <a:xfrm rot="16200000" flipH="1">
          <a:off x="12210266" y="3062577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186117</xdr:colOff>
      <xdr:row>15</xdr:row>
      <xdr:rowOff>142328</xdr:rowOff>
    </xdr:from>
    <xdr:to>
      <xdr:col>40</xdr:col>
      <xdr:colOff>281368</xdr:colOff>
      <xdr:row>17</xdr:row>
      <xdr:rowOff>45576</xdr:rowOff>
    </xdr:to>
    <xdr:cxnSp macro="">
      <xdr:nvCxnSpPr>
        <xdr:cNvPr id="3773" name="Elbow Connector 55">
          <a:extLst>
            <a:ext uri="{FF2B5EF4-FFF2-40B4-BE49-F238E27FC236}">
              <a16:creationId xmlns:a16="http://schemas.microsoft.com/office/drawing/2014/main" id="{9F5C43CF-75DA-44EB-B1A5-6C97A8A639CC}"/>
            </a:ext>
          </a:extLst>
        </xdr:cNvPr>
        <xdr:cNvCxnSpPr/>
      </xdr:nvCxnSpPr>
      <xdr:spPr>
        <a:xfrm rot="16200000" flipH="1">
          <a:off x="12878110" y="3128266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153272</xdr:colOff>
      <xdr:row>39</xdr:row>
      <xdr:rowOff>87585</xdr:rowOff>
    </xdr:from>
    <xdr:to>
      <xdr:col>38</xdr:col>
      <xdr:colOff>248523</xdr:colOff>
      <xdr:row>40</xdr:row>
      <xdr:rowOff>178456</xdr:rowOff>
    </xdr:to>
    <xdr:cxnSp macro="">
      <xdr:nvCxnSpPr>
        <xdr:cNvPr id="3774" name="Elbow Connector 55">
          <a:extLst>
            <a:ext uri="{FF2B5EF4-FFF2-40B4-BE49-F238E27FC236}">
              <a16:creationId xmlns:a16="http://schemas.microsoft.com/office/drawing/2014/main" id="{F5935750-9097-4098-8D6E-0577E746D06F}"/>
            </a:ext>
          </a:extLst>
        </xdr:cNvPr>
        <xdr:cNvCxnSpPr/>
      </xdr:nvCxnSpPr>
      <xdr:spPr>
        <a:xfrm rot="16200000" flipH="1">
          <a:off x="12225936" y="7743714"/>
          <a:ext cx="34268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153273</xdr:colOff>
      <xdr:row>39</xdr:row>
      <xdr:rowOff>87584</xdr:rowOff>
    </xdr:from>
    <xdr:to>
      <xdr:col>40</xdr:col>
      <xdr:colOff>248524</xdr:colOff>
      <xdr:row>40</xdr:row>
      <xdr:rowOff>178455</xdr:rowOff>
    </xdr:to>
    <xdr:cxnSp macro="">
      <xdr:nvCxnSpPr>
        <xdr:cNvPr id="3775" name="Elbow Connector 55">
          <a:extLst>
            <a:ext uri="{FF2B5EF4-FFF2-40B4-BE49-F238E27FC236}">
              <a16:creationId xmlns:a16="http://schemas.microsoft.com/office/drawing/2014/main" id="{B49BFA46-E08D-4F0B-953B-C04C061EE45F}"/>
            </a:ext>
          </a:extLst>
        </xdr:cNvPr>
        <xdr:cNvCxnSpPr/>
      </xdr:nvCxnSpPr>
      <xdr:spPr>
        <a:xfrm rot="16200000" flipH="1">
          <a:off x="12849989" y="7743713"/>
          <a:ext cx="34268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98532</xdr:colOff>
      <xdr:row>28</xdr:row>
      <xdr:rowOff>142328</xdr:rowOff>
    </xdr:from>
    <xdr:to>
      <xdr:col>38</xdr:col>
      <xdr:colOff>240080</xdr:colOff>
      <xdr:row>29</xdr:row>
      <xdr:rowOff>126214</xdr:rowOff>
    </xdr:to>
    <xdr:sp macro="" textlink="">
      <xdr:nvSpPr>
        <xdr:cNvPr id="3800" name="6-Point Star 717">
          <a:extLst>
            <a:ext uri="{FF2B5EF4-FFF2-40B4-BE49-F238E27FC236}">
              <a16:creationId xmlns:a16="http://schemas.microsoft.com/office/drawing/2014/main" id="{75B5C0AC-8650-482C-A9DA-142BD1214485}"/>
            </a:ext>
          </a:extLst>
        </xdr:cNvPr>
        <xdr:cNvSpPr/>
      </xdr:nvSpPr>
      <xdr:spPr>
        <a:xfrm>
          <a:off x="12294911" y="5561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98538</xdr:colOff>
      <xdr:row>28</xdr:row>
      <xdr:rowOff>153276</xdr:rowOff>
    </xdr:from>
    <xdr:to>
      <xdr:col>44</xdr:col>
      <xdr:colOff>240086</xdr:colOff>
      <xdr:row>29</xdr:row>
      <xdr:rowOff>137162</xdr:rowOff>
    </xdr:to>
    <xdr:sp macro="" textlink="">
      <xdr:nvSpPr>
        <xdr:cNvPr id="3801" name="6-Point Star 717">
          <a:extLst>
            <a:ext uri="{FF2B5EF4-FFF2-40B4-BE49-F238E27FC236}">
              <a16:creationId xmlns:a16="http://schemas.microsoft.com/office/drawing/2014/main" id="{AF251BA4-3FD7-48CC-BF3A-902C0FB695E1}"/>
            </a:ext>
          </a:extLst>
        </xdr:cNvPr>
        <xdr:cNvSpPr/>
      </xdr:nvSpPr>
      <xdr:spPr>
        <a:xfrm>
          <a:off x="14287504" y="557267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87584</xdr:colOff>
      <xdr:row>37</xdr:row>
      <xdr:rowOff>2297</xdr:rowOff>
    </xdr:from>
    <xdr:to>
      <xdr:col>2</xdr:col>
      <xdr:colOff>229132</xdr:colOff>
      <xdr:row>37</xdr:row>
      <xdr:rowOff>176683</xdr:rowOff>
    </xdr:to>
    <xdr:sp macro="" textlink="">
      <xdr:nvSpPr>
        <xdr:cNvPr id="3802" name="6-Point Star 717">
          <a:extLst>
            <a:ext uri="{FF2B5EF4-FFF2-40B4-BE49-F238E27FC236}">
              <a16:creationId xmlns:a16="http://schemas.microsoft.com/office/drawing/2014/main" id="{C6F902E2-C19B-4EFC-9E34-97269F19F185}"/>
            </a:ext>
          </a:extLst>
        </xdr:cNvPr>
        <xdr:cNvSpPr/>
      </xdr:nvSpPr>
      <xdr:spPr>
        <a:xfrm>
          <a:off x="478109" y="7307972"/>
          <a:ext cx="141548" cy="17438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98533</xdr:colOff>
      <xdr:row>84</xdr:row>
      <xdr:rowOff>149589</xdr:rowOff>
    </xdr:from>
    <xdr:to>
      <xdr:col>26</xdr:col>
      <xdr:colOff>240081</xdr:colOff>
      <xdr:row>85</xdr:row>
      <xdr:rowOff>133475</xdr:rowOff>
    </xdr:to>
    <xdr:sp macro="" textlink="">
      <xdr:nvSpPr>
        <xdr:cNvPr id="3804" name="6-Point Star 717">
          <a:extLst>
            <a:ext uri="{FF2B5EF4-FFF2-40B4-BE49-F238E27FC236}">
              <a16:creationId xmlns:a16="http://schemas.microsoft.com/office/drawing/2014/main" id="{16CCA620-4FCD-4E99-A189-3768FE69CCAC}"/>
            </a:ext>
          </a:extLst>
        </xdr:cNvPr>
        <xdr:cNvSpPr/>
      </xdr:nvSpPr>
      <xdr:spPr>
        <a:xfrm>
          <a:off x="8282257" y="17119640"/>
          <a:ext cx="141548" cy="17827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87584</xdr:colOff>
      <xdr:row>100</xdr:row>
      <xdr:rowOff>153277</xdr:rowOff>
    </xdr:from>
    <xdr:to>
      <xdr:col>26</xdr:col>
      <xdr:colOff>229132</xdr:colOff>
      <xdr:row>101</xdr:row>
      <xdr:rowOff>128549</xdr:rowOff>
    </xdr:to>
    <xdr:sp macro="" textlink="">
      <xdr:nvSpPr>
        <xdr:cNvPr id="3805" name="6-Point Star 717">
          <a:extLst>
            <a:ext uri="{FF2B5EF4-FFF2-40B4-BE49-F238E27FC236}">
              <a16:creationId xmlns:a16="http://schemas.microsoft.com/office/drawing/2014/main" id="{9A03D630-D5F4-43DD-A95D-7558C0E02C15}"/>
            </a:ext>
          </a:extLst>
        </xdr:cNvPr>
        <xdr:cNvSpPr/>
      </xdr:nvSpPr>
      <xdr:spPr>
        <a:xfrm>
          <a:off x="8430170" y="19641208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109480</xdr:colOff>
      <xdr:row>109</xdr:row>
      <xdr:rowOff>0</xdr:rowOff>
    </xdr:from>
    <xdr:to>
      <xdr:col>4</xdr:col>
      <xdr:colOff>251028</xdr:colOff>
      <xdr:row>109</xdr:row>
      <xdr:rowOff>161393</xdr:rowOff>
    </xdr:to>
    <xdr:sp macro="" textlink="">
      <xdr:nvSpPr>
        <xdr:cNvPr id="3806" name="6-Point Star 717">
          <a:extLst>
            <a:ext uri="{FF2B5EF4-FFF2-40B4-BE49-F238E27FC236}">
              <a16:creationId xmlns:a16="http://schemas.microsoft.com/office/drawing/2014/main" id="{0743FC06-43BC-4564-938E-08D66612CB51}"/>
            </a:ext>
          </a:extLst>
        </xdr:cNvPr>
        <xdr:cNvSpPr/>
      </xdr:nvSpPr>
      <xdr:spPr>
        <a:xfrm>
          <a:off x="1291894" y="21228707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87584</xdr:colOff>
      <xdr:row>108</xdr:row>
      <xdr:rowOff>142324</xdr:rowOff>
    </xdr:from>
    <xdr:to>
      <xdr:col>6</xdr:col>
      <xdr:colOff>229132</xdr:colOff>
      <xdr:row>109</xdr:row>
      <xdr:rowOff>117596</xdr:rowOff>
    </xdr:to>
    <xdr:sp macro="" textlink="">
      <xdr:nvSpPr>
        <xdr:cNvPr id="3807" name="6-Point Star 717">
          <a:extLst>
            <a:ext uri="{FF2B5EF4-FFF2-40B4-BE49-F238E27FC236}">
              <a16:creationId xmlns:a16="http://schemas.microsoft.com/office/drawing/2014/main" id="{BFDF262F-E627-4791-8B93-8449CC1E26B2}"/>
            </a:ext>
          </a:extLst>
        </xdr:cNvPr>
        <xdr:cNvSpPr/>
      </xdr:nvSpPr>
      <xdr:spPr>
        <a:xfrm>
          <a:off x="1894050" y="21184910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109483</xdr:colOff>
      <xdr:row>108</xdr:row>
      <xdr:rowOff>164220</xdr:rowOff>
    </xdr:from>
    <xdr:to>
      <xdr:col>8</xdr:col>
      <xdr:colOff>251031</xdr:colOff>
      <xdr:row>109</xdr:row>
      <xdr:rowOff>139492</xdr:rowOff>
    </xdr:to>
    <xdr:sp macro="" textlink="">
      <xdr:nvSpPr>
        <xdr:cNvPr id="3808" name="6-Point Star 717">
          <a:extLst>
            <a:ext uri="{FF2B5EF4-FFF2-40B4-BE49-F238E27FC236}">
              <a16:creationId xmlns:a16="http://schemas.microsoft.com/office/drawing/2014/main" id="{1976EA51-8489-452A-99F8-AACB0C610483}"/>
            </a:ext>
          </a:extLst>
        </xdr:cNvPr>
        <xdr:cNvSpPr/>
      </xdr:nvSpPr>
      <xdr:spPr>
        <a:xfrm>
          <a:off x="2572845" y="21206806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124994</xdr:colOff>
      <xdr:row>108</xdr:row>
      <xdr:rowOff>149857</xdr:rowOff>
    </xdr:from>
    <xdr:to>
      <xdr:col>10</xdr:col>
      <xdr:colOff>297655</xdr:colOff>
      <xdr:row>109</xdr:row>
      <xdr:rowOff>112450</xdr:rowOff>
    </xdr:to>
    <xdr:sp macro="" textlink="">
      <xdr:nvSpPr>
        <xdr:cNvPr id="3809" name="6-Point Star 717">
          <a:extLst>
            <a:ext uri="{FF2B5EF4-FFF2-40B4-BE49-F238E27FC236}">
              <a16:creationId xmlns:a16="http://schemas.microsoft.com/office/drawing/2014/main" id="{31391A0D-8610-4118-9790-CA61F96CB52E}"/>
            </a:ext>
          </a:extLst>
        </xdr:cNvPr>
        <xdr:cNvSpPr/>
      </xdr:nvSpPr>
      <xdr:spPr>
        <a:xfrm>
          <a:off x="3385984" y="21706784"/>
          <a:ext cx="172661" cy="15441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98540</xdr:colOff>
      <xdr:row>108</xdr:row>
      <xdr:rowOff>160119</xdr:rowOff>
    </xdr:from>
    <xdr:to>
      <xdr:col>12</xdr:col>
      <xdr:colOff>240088</xdr:colOff>
      <xdr:row>109</xdr:row>
      <xdr:rowOff>135391</xdr:rowOff>
    </xdr:to>
    <xdr:sp macro="" textlink="">
      <xdr:nvSpPr>
        <xdr:cNvPr id="3810" name="6-Point Star 717">
          <a:extLst>
            <a:ext uri="{FF2B5EF4-FFF2-40B4-BE49-F238E27FC236}">
              <a16:creationId xmlns:a16="http://schemas.microsoft.com/office/drawing/2014/main" id="{5D273E67-6793-44A0-A71D-8C6ED83D77B6}"/>
            </a:ext>
          </a:extLst>
        </xdr:cNvPr>
        <xdr:cNvSpPr/>
      </xdr:nvSpPr>
      <xdr:spPr>
        <a:xfrm>
          <a:off x="4040832" y="21717046"/>
          <a:ext cx="141548" cy="16709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131376</xdr:colOff>
      <xdr:row>47</xdr:row>
      <xdr:rowOff>120429</xdr:rowOff>
    </xdr:from>
    <xdr:to>
      <xdr:col>26</xdr:col>
      <xdr:colOff>207184</xdr:colOff>
      <xdr:row>48</xdr:row>
      <xdr:rowOff>170967</xdr:rowOff>
    </xdr:to>
    <xdr:cxnSp macro="">
      <xdr:nvCxnSpPr>
        <xdr:cNvPr id="3776" name="Elbow Connector 55">
          <a:extLst>
            <a:ext uri="{FF2B5EF4-FFF2-40B4-BE49-F238E27FC236}">
              <a16:creationId xmlns:a16="http://schemas.microsoft.com/office/drawing/2014/main" id="{4DBFFB4B-7D5E-457D-927F-F5BB2049FAA4}"/>
            </a:ext>
          </a:extLst>
        </xdr:cNvPr>
        <xdr:cNvCxnSpPr/>
      </xdr:nvCxnSpPr>
      <xdr:spPr>
        <a:xfrm rot="16200000" flipH="1">
          <a:off x="8360692" y="9320768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153277</xdr:colOff>
      <xdr:row>47</xdr:row>
      <xdr:rowOff>109482</xdr:rowOff>
    </xdr:from>
    <xdr:to>
      <xdr:col>34</xdr:col>
      <xdr:colOff>229085</xdr:colOff>
      <xdr:row>48</xdr:row>
      <xdr:rowOff>160020</xdr:rowOff>
    </xdr:to>
    <xdr:cxnSp macro="">
      <xdr:nvCxnSpPr>
        <xdr:cNvPr id="3777" name="Elbow Connector 55">
          <a:extLst>
            <a:ext uri="{FF2B5EF4-FFF2-40B4-BE49-F238E27FC236}">
              <a16:creationId xmlns:a16="http://schemas.microsoft.com/office/drawing/2014/main" id="{4F981573-48AD-40D4-8B54-BFFD50A92E0B}"/>
            </a:ext>
          </a:extLst>
        </xdr:cNvPr>
        <xdr:cNvCxnSpPr/>
      </xdr:nvCxnSpPr>
      <xdr:spPr>
        <a:xfrm rot="16200000" flipH="1">
          <a:off x="10944490" y="9309821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186121</xdr:colOff>
      <xdr:row>47</xdr:row>
      <xdr:rowOff>109483</xdr:rowOff>
    </xdr:from>
    <xdr:to>
      <xdr:col>36</xdr:col>
      <xdr:colOff>261929</xdr:colOff>
      <xdr:row>48</xdr:row>
      <xdr:rowOff>160021</xdr:rowOff>
    </xdr:to>
    <xdr:cxnSp macro="">
      <xdr:nvCxnSpPr>
        <xdr:cNvPr id="3797" name="Elbow Connector 55">
          <a:extLst>
            <a:ext uri="{FF2B5EF4-FFF2-40B4-BE49-F238E27FC236}">
              <a16:creationId xmlns:a16="http://schemas.microsoft.com/office/drawing/2014/main" id="{06AA6E75-1E20-45BA-9F6B-F0278CF2BDA0}"/>
            </a:ext>
          </a:extLst>
        </xdr:cNvPr>
        <xdr:cNvCxnSpPr/>
      </xdr:nvCxnSpPr>
      <xdr:spPr>
        <a:xfrm rot="16200000" flipH="1">
          <a:off x="11601385" y="9309822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122622</xdr:colOff>
      <xdr:row>23</xdr:row>
      <xdr:rowOff>70070</xdr:rowOff>
    </xdr:from>
    <xdr:to>
      <xdr:col>8</xdr:col>
      <xdr:colOff>217873</xdr:colOff>
      <xdr:row>24</xdr:row>
      <xdr:rowOff>168196</xdr:rowOff>
    </xdr:to>
    <xdr:cxnSp macro="">
      <xdr:nvCxnSpPr>
        <xdr:cNvPr id="3798" name="Elbow Connector 55">
          <a:extLst>
            <a:ext uri="{FF2B5EF4-FFF2-40B4-BE49-F238E27FC236}">
              <a16:creationId xmlns:a16="http://schemas.microsoft.com/office/drawing/2014/main" id="{0DF1C79D-5ABE-4AAC-8960-3034D76B250D}"/>
            </a:ext>
          </a:extLst>
        </xdr:cNvPr>
        <xdr:cNvCxnSpPr/>
      </xdr:nvCxnSpPr>
      <xdr:spPr>
        <a:xfrm rot="16200000" flipH="1">
          <a:off x="2534185" y="4752990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148898</xdr:colOff>
      <xdr:row>23</xdr:row>
      <xdr:rowOff>61311</xdr:rowOff>
    </xdr:from>
    <xdr:to>
      <xdr:col>10</xdr:col>
      <xdr:colOff>244149</xdr:colOff>
      <xdr:row>24</xdr:row>
      <xdr:rowOff>159437</xdr:rowOff>
    </xdr:to>
    <xdr:cxnSp macro="">
      <xdr:nvCxnSpPr>
        <xdr:cNvPr id="3799" name="Elbow Connector 55">
          <a:extLst>
            <a:ext uri="{FF2B5EF4-FFF2-40B4-BE49-F238E27FC236}">
              <a16:creationId xmlns:a16="http://schemas.microsoft.com/office/drawing/2014/main" id="{97AD60A9-D320-4375-9693-7C5F65822E43}"/>
            </a:ext>
          </a:extLst>
        </xdr:cNvPr>
        <xdr:cNvCxnSpPr/>
      </xdr:nvCxnSpPr>
      <xdr:spPr>
        <a:xfrm rot="16200000" flipH="1">
          <a:off x="3313702" y="4744231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122622</xdr:colOff>
      <xdr:row>23</xdr:row>
      <xdr:rowOff>43794</xdr:rowOff>
    </xdr:from>
    <xdr:to>
      <xdr:col>12</xdr:col>
      <xdr:colOff>217873</xdr:colOff>
      <xdr:row>24</xdr:row>
      <xdr:rowOff>141920</xdr:rowOff>
    </xdr:to>
    <xdr:cxnSp macro="">
      <xdr:nvCxnSpPr>
        <xdr:cNvPr id="3811" name="Elbow Connector 55">
          <a:extLst>
            <a:ext uri="{FF2B5EF4-FFF2-40B4-BE49-F238E27FC236}">
              <a16:creationId xmlns:a16="http://schemas.microsoft.com/office/drawing/2014/main" id="{CDA67FBB-7B52-4BAA-A0DB-7EAC38D1C906}"/>
            </a:ext>
          </a:extLst>
        </xdr:cNvPr>
        <xdr:cNvCxnSpPr/>
      </xdr:nvCxnSpPr>
      <xdr:spPr>
        <a:xfrm rot="16200000" flipH="1">
          <a:off x="3961840" y="4726714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122622</xdr:colOff>
      <xdr:row>23</xdr:row>
      <xdr:rowOff>61311</xdr:rowOff>
    </xdr:from>
    <xdr:to>
      <xdr:col>18</xdr:col>
      <xdr:colOff>217873</xdr:colOff>
      <xdr:row>24</xdr:row>
      <xdr:rowOff>159437</xdr:rowOff>
    </xdr:to>
    <xdr:cxnSp macro="">
      <xdr:nvCxnSpPr>
        <xdr:cNvPr id="3812" name="Elbow Connector 55">
          <a:extLst>
            <a:ext uri="{FF2B5EF4-FFF2-40B4-BE49-F238E27FC236}">
              <a16:creationId xmlns:a16="http://schemas.microsoft.com/office/drawing/2014/main" id="{CC75970B-3BD4-4FB9-88EF-37F4B5F2D9DE}"/>
            </a:ext>
          </a:extLst>
        </xdr:cNvPr>
        <xdr:cNvCxnSpPr/>
      </xdr:nvCxnSpPr>
      <xdr:spPr>
        <a:xfrm rot="16200000" flipH="1">
          <a:off x="6046392" y="4744231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143988</xdr:colOff>
      <xdr:row>23</xdr:row>
      <xdr:rowOff>99682</xdr:rowOff>
    </xdr:from>
    <xdr:to>
      <xdr:col>26</xdr:col>
      <xdr:colOff>239239</xdr:colOff>
      <xdr:row>25</xdr:row>
      <xdr:rowOff>4432</xdr:rowOff>
    </xdr:to>
    <xdr:cxnSp macro="">
      <xdr:nvCxnSpPr>
        <xdr:cNvPr id="3813" name="Elbow Connector 55">
          <a:extLst>
            <a:ext uri="{FF2B5EF4-FFF2-40B4-BE49-F238E27FC236}">
              <a16:creationId xmlns:a16="http://schemas.microsoft.com/office/drawing/2014/main" id="{BCFDA9FA-54AB-423D-B711-0F15DC1AF998}"/>
            </a:ext>
          </a:extLst>
        </xdr:cNvPr>
        <xdr:cNvCxnSpPr/>
      </xdr:nvCxnSpPr>
      <xdr:spPr>
        <a:xfrm rot="16200000" flipH="1">
          <a:off x="8424093" y="470047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155064</xdr:colOff>
      <xdr:row>23</xdr:row>
      <xdr:rowOff>132912</xdr:rowOff>
    </xdr:from>
    <xdr:to>
      <xdr:col>28</xdr:col>
      <xdr:colOff>250315</xdr:colOff>
      <xdr:row>25</xdr:row>
      <xdr:rowOff>37662</xdr:rowOff>
    </xdr:to>
    <xdr:cxnSp macro="">
      <xdr:nvCxnSpPr>
        <xdr:cNvPr id="3815" name="Elbow Connector 55">
          <a:extLst>
            <a:ext uri="{FF2B5EF4-FFF2-40B4-BE49-F238E27FC236}">
              <a16:creationId xmlns:a16="http://schemas.microsoft.com/office/drawing/2014/main" id="{A1DCC46F-7B99-44B1-A1B1-2A0A7F68C7CD}"/>
            </a:ext>
          </a:extLst>
        </xdr:cNvPr>
        <xdr:cNvCxnSpPr/>
      </xdr:nvCxnSpPr>
      <xdr:spPr>
        <a:xfrm rot="16200000" flipH="1">
          <a:off x="9088629" y="47337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166137</xdr:colOff>
      <xdr:row>23</xdr:row>
      <xdr:rowOff>132912</xdr:rowOff>
    </xdr:from>
    <xdr:to>
      <xdr:col>30</xdr:col>
      <xdr:colOff>261388</xdr:colOff>
      <xdr:row>25</xdr:row>
      <xdr:rowOff>37662</xdr:rowOff>
    </xdr:to>
    <xdr:cxnSp macro="">
      <xdr:nvCxnSpPr>
        <xdr:cNvPr id="3816" name="Elbow Connector 55">
          <a:extLst>
            <a:ext uri="{FF2B5EF4-FFF2-40B4-BE49-F238E27FC236}">
              <a16:creationId xmlns:a16="http://schemas.microsoft.com/office/drawing/2014/main" id="{C699487D-E3A9-4A2D-8C97-CBE95280AD07}"/>
            </a:ext>
          </a:extLst>
        </xdr:cNvPr>
        <xdr:cNvCxnSpPr/>
      </xdr:nvCxnSpPr>
      <xdr:spPr>
        <a:xfrm rot="16200000" flipH="1">
          <a:off x="9731010" y="47337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143981</xdr:colOff>
      <xdr:row>31</xdr:row>
      <xdr:rowOff>99680</xdr:rowOff>
    </xdr:from>
    <xdr:to>
      <xdr:col>22</xdr:col>
      <xdr:colOff>239232</xdr:colOff>
      <xdr:row>33</xdr:row>
      <xdr:rowOff>4429</xdr:rowOff>
    </xdr:to>
    <xdr:cxnSp macro="">
      <xdr:nvCxnSpPr>
        <xdr:cNvPr id="3817" name="Elbow Connector 55">
          <a:extLst>
            <a:ext uri="{FF2B5EF4-FFF2-40B4-BE49-F238E27FC236}">
              <a16:creationId xmlns:a16="http://schemas.microsoft.com/office/drawing/2014/main" id="{ADB83C6E-A109-4560-AE23-D3D7E9F9BC0B}"/>
            </a:ext>
          </a:extLst>
        </xdr:cNvPr>
        <xdr:cNvCxnSpPr/>
      </xdr:nvCxnSpPr>
      <xdr:spPr>
        <a:xfrm rot="16200000" flipH="1">
          <a:off x="7161470" y="62732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143986</xdr:colOff>
      <xdr:row>39</xdr:row>
      <xdr:rowOff>55380</xdr:rowOff>
    </xdr:from>
    <xdr:to>
      <xdr:col>2</xdr:col>
      <xdr:colOff>239237</xdr:colOff>
      <xdr:row>40</xdr:row>
      <xdr:rowOff>148415</xdr:rowOff>
    </xdr:to>
    <xdr:cxnSp macro="">
      <xdr:nvCxnSpPr>
        <xdr:cNvPr id="3818" name="Elbow Connector 55">
          <a:extLst>
            <a:ext uri="{FF2B5EF4-FFF2-40B4-BE49-F238E27FC236}">
              <a16:creationId xmlns:a16="http://schemas.microsoft.com/office/drawing/2014/main" id="{7F219676-769A-44DC-81D4-F27DC0B629E9}"/>
            </a:ext>
          </a:extLst>
        </xdr:cNvPr>
        <xdr:cNvCxnSpPr/>
      </xdr:nvCxnSpPr>
      <xdr:spPr>
        <a:xfrm rot="16200000" flipH="1">
          <a:off x="549353" y="7801641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132908</xdr:colOff>
      <xdr:row>39</xdr:row>
      <xdr:rowOff>79745</xdr:rowOff>
    </xdr:from>
    <xdr:to>
      <xdr:col>42</xdr:col>
      <xdr:colOff>228159</xdr:colOff>
      <xdr:row>40</xdr:row>
      <xdr:rowOff>172900</xdr:rowOff>
    </xdr:to>
    <xdr:cxnSp macro="">
      <xdr:nvCxnSpPr>
        <xdr:cNvPr id="3814" name="Elbow Connector 55">
          <a:extLst>
            <a:ext uri="{FF2B5EF4-FFF2-40B4-BE49-F238E27FC236}">
              <a16:creationId xmlns:a16="http://schemas.microsoft.com/office/drawing/2014/main" id="{9D2AAE22-4622-4229-B62B-80994741E650}"/>
            </a:ext>
          </a:extLst>
        </xdr:cNvPr>
        <xdr:cNvCxnSpPr/>
      </xdr:nvCxnSpPr>
      <xdr:spPr>
        <a:xfrm rot="16200000" flipH="1">
          <a:off x="14018305" y="8017673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150629</xdr:colOff>
      <xdr:row>63</xdr:row>
      <xdr:rowOff>44304</xdr:rowOff>
    </xdr:from>
    <xdr:to>
      <xdr:col>16</xdr:col>
      <xdr:colOff>245880</xdr:colOff>
      <xdr:row>64</xdr:row>
      <xdr:rowOff>137459</xdr:rowOff>
    </xdr:to>
    <xdr:cxnSp macro="">
      <xdr:nvCxnSpPr>
        <xdr:cNvPr id="3819" name="Elbow Connector 55">
          <a:extLst>
            <a:ext uri="{FF2B5EF4-FFF2-40B4-BE49-F238E27FC236}">
              <a16:creationId xmlns:a16="http://schemas.microsoft.com/office/drawing/2014/main" id="{0D27A485-209A-49AB-A3E7-C4175870DBE2}"/>
            </a:ext>
          </a:extLst>
        </xdr:cNvPr>
        <xdr:cNvCxnSpPr/>
      </xdr:nvCxnSpPr>
      <xdr:spPr>
        <a:xfrm rot="16200000" flipH="1">
          <a:off x="5308468" y="12890930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132908</xdr:colOff>
      <xdr:row>63</xdr:row>
      <xdr:rowOff>53164</xdr:rowOff>
    </xdr:from>
    <xdr:to>
      <xdr:col>18</xdr:col>
      <xdr:colOff>228159</xdr:colOff>
      <xdr:row>64</xdr:row>
      <xdr:rowOff>146319</xdr:rowOff>
    </xdr:to>
    <xdr:cxnSp macro="">
      <xdr:nvCxnSpPr>
        <xdr:cNvPr id="3820" name="Elbow Connector 55">
          <a:extLst>
            <a:ext uri="{FF2B5EF4-FFF2-40B4-BE49-F238E27FC236}">
              <a16:creationId xmlns:a16="http://schemas.microsoft.com/office/drawing/2014/main" id="{DCD4B0A5-FBD0-4175-A0C2-2876A75555DB}"/>
            </a:ext>
          </a:extLst>
        </xdr:cNvPr>
        <xdr:cNvCxnSpPr/>
      </xdr:nvCxnSpPr>
      <xdr:spPr>
        <a:xfrm rot="16200000" flipH="1">
          <a:off x="6079329" y="12899790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106325</xdr:colOff>
      <xdr:row>108</xdr:row>
      <xdr:rowOff>124047</xdr:rowOff>
    </xdr:from>
    <xdr:to>
      <xdr:col>14</xdr:col>
      <xdr:colOff>247873</xdr:colOff>
      <xdr:row>109</xdr:row>
      <xdr:rowOff>99319</xdr:rowOff>
    </xdr:to>
    <xdr:sp macro="" textlink="">
      <xdr:nvSpPr>
        <xdr:cNvPr id="3821" name="6-Point Star 717">
          <a:extLst>
            <a:ext uri="{FF2B5EF4-FFF2-40B4-BE49-F238E27FC236}">
              <a16:creationId xmlns:a16="http://schemas.microsoft.com/office/drawing/2014/main" id="{1AC444BA-66F9-4311-BFFB-42D7C358D0B9}"/>
            </a:ext>
          </a:extLst>
        </xdr:cNvPr>
        <xdr:cNvSpPr/>
      </xdr:nvSpPr>
      <xdr:spPr>
        <a:xfrm>
          <a:off x="4731488" y="21938512"/>
          <a:ext cx="141548" cy="17020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124047</xdr:colOff>
      <xdr:row>108</xdr:row>
      <xdr:rowOff>124047</xdr:rowOff>
    </xdr:from>
    <xdr:to>
      <xdr:col>16</xdr:col>
      <xdr:colOff>265595</xdr:colOff>
      <xdr:row>109</xdr:row>
      <xdr:rowOff>99319</xdr:rowOff>
    </xdr:to>
    <xdr:sp macro="" textlink="">
      <xdr:nvSpPr>
        <xdr:cNvPr id="3822" name="6-Point Star 717">
          <a:extLst>
            <a:ext uri="{FF2B5EF4-FFF2-40B4-BE49-F238E27FC236}">
              <a16:creationId xmlns:a16="http://schemas.microsoft.com/office/drawing/2014/main" id="{0528A93D-5F15-4228-8538-FA8E95C0372E}"/>
            </a:ext>
          </a:extLst>
        </xdr:cNvPr>
        <xdr:cNvSpPr/>
      </xdr:nvSpPr>
      <xdr:spPr>
        <a:xfrm>
          <a:off x="5404884" y="21938512"/>
          <a:ext cx="141548" cy="17020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121920</xdr:colOff>
      <xdr:row>44</xdr:row>
      <xdr:rowOff>132080</xdr:rowOff>
    </xdr:from>
    <xdr:to>
      <xdr:col>44</xdr:col>
      <xdr:colOff>263468</xdr:colOff>
      <xdr:row>45</xdr:row>
      <xdr:rowOff>111586</xdr:rowOff>
    </xdr:to>
    <xdr:sp macro="" textlink="">
      <xdr:nvSpPr>
        <xdr:cNvPr id="3823" name="6-Point Star 717">
          <a:extLst>
            <a:ext uri="{FF2B5EF4-FFF2-40B4-BE49-F238E27FC236}">
              <a16:creationId xmlns:a16="http://schemas.microsoft.com/office/drawing/2014/main" id="{830011CA-9B3E-45C4-834D-0A0234FD1DCE}"/>
            </a:ext>
          </a:extLst>
        </xdr:cNvPr>
        <xdr:cNvSpPr/>
      </xdr:nvSpPr>
      <xdr:spPr>
        <a:xfrm>
          <a:off x="14853920" y="8930640"/>
          <a:ext cx="141548" cy="17254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111760</xdr:colOff>
      <xdr:row>44</xdr:row>
      <xdr:rowOff>132080</xdr:rowOff>
    </xdr:from>
    <xdr:to>
      <xdr:col>42</xdr:col>
      <xdr:colOff>253308</xdr:colOff>
      <xdr:row>45</xdr:row>
      <xdr:rowOff>111586</xdr:rowOff>
    </xdr:to>
    <xdr:sp macro="" textlink="">
      <xdr:nvSpPr>
        <xdr:cNvPr id="3824" name="6-Point Star 717">
          <a:extLst>
            <a:ext uri="{FF2B5EF4-FFF2-40B4-BE49-F238E27FC236}">
              <a16:creationId xmlns:a16="http://schemas.microsoft.com/office/drawing/2014/main" id="{7AAB7CF8-5A64-4559-AF15-842391D0AA37}"/>
            </a:ext>
          </a:extLst>
        </xdr:cNvPr>
        <xdr:cNvSpPr/>
      </xdr:nvSpPr>
      <xdr:spPr>
        <a:xfrm>
          <a:off x="14071600" y="8930640"/>
          <a:ext cx="141548" cy="17254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105138</xdr:colOff>
      <xdr:row>52</xdr:row>
      <xdr:rowOff>162824</xdr:rowOff>
    </xdr:from>
    <xdr:to>
      <xdr:col>6</xdr:col>
      <xdr:colOff>246686</xdr:colOff>
      <xdr:row>53</xdr:row>
      <xdr:rowOff>142331</xdr:rowOff>
    </xdr:to>
    <xdr:sp macro="" textlink="">
      <xdr:nvSpPr>
        <xdr:cNvPr id="3825" name="6-Point Star 717">
          <a:extLst>
            <a:ext uri="{FF2B5EF4-FFF2-40B4-BE49-F238E27FC236}">
              <a16:creationId xmlns:a16="http://schemas.microsoft.com/office/drawing/2014/main" id="{3724481F-9A54-403E-B7D6-01920C2CF4F6}"/>
            </a:ext>
          </a:extLst>
        </xdr:cNvPr>
        <xdr:cNvSpPr/>
      </xdr:nvSpPr>
      <xdr:spPr>
        <a:xfrm>
          <a:off x="1912944" y="10394100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92178</xdr:colOff>
      <xdr:row>108</xdr:row>
      <xdr:rowOff>143388</xdr:rowOff>
    </xdr:from>
    <xdr:to>
      <xdr:col>18</xdr:col>
      <xdr:colOff>233726</xdr:colOff>
      <xdr:row>109</xdr:row>
      <xdr:rowOff>118660</xdr:rowOff>
    </xdr:to>
    <xdr:sp macro="" textlink="">
      <xdr:nvSpPr>
        <xdr:cNvPr id="2823" name="6-Point Star 717">
          <a:extLst>
            <a:ext uri="{FF2B5EF4-FFF2-40B4-BE49-F238E27FC236}">
              <a16:creationId xmlns:a16="http://schemas.microsoft.com/office/drawing/2014/main" id="{64080310-1EC9-48D1-B841-4B0F88F06B55}"/>
            </a:ext>
          </a:extLst>
        </xdr:cNvPr>
        <xdr:cNvSpPr/>
      </xdr:nvSpPr>
      <xdr:spPr>
        <a:xfrm>
          <a:off x="5919839" y="22009920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92178</xdr:colOff>
      <xdr:row>108</xdr:row>
      <xdr:rowOff>122907</xdr:rowOff>
    </xdr:from>
    <xdr:to>
      <xdr:col>20</xdr:col>
      <xdr:colOff>233726</xdr:colOff>
      <xdr:row>109</xdr:row>
      <xdr:rowOff>98179</xdr:rowOff>
    </xdr:to>
    <xdr:sp macro="" textlink="">
      <xdr:nvSpPr>
        <xdr:cNvPr id="3826" name="6-Point Star 717">
          <a:extLst>
            <a:ext uri="{FF2B5EF4-FFF2-40B4-BE49-F238E27FC236}">
              <a16:creationId xmlns:a16="http://schemas.microsoft.com/office/drawing/2014/main" id="{6B145E3A-0403-452B-8E8A-B618414895DF}"/>
            </a:ext>
          </a:extLst>
        </xdr:cNvPr>
        <xdr:cNvSpPr/>
      </xdr:nvSpPr>
      <xdr:spPr>
        <a:xfrm>
          <a:off x="6544597" y="21989439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122904</xdr:colOff>
      <xdr:row>108</xdr:row>
      <xdr:rowOff>163871</xdr:rowOff>
    </xdr:from>
    <xdr:to>
      <xdr:col>22</xdr:col>
      <xdr:colOff>264452</xdr:colOff>
      <xdr:row>109</xdr:row>
      <xdr:rowOff>139143</xdr:rowOff>
    </xdr:to>
    <xdr:sp macro="" textlink="">
      <xdr:nvSpPr>
        <xdr:cNvPr id="3827" name="6-Point Star 717">
          <a:extLst>
            <a:ext uri="{FF2B5EF4-FFF2-40B4-BE49-F238E27FC236}">
              <a16:creationId xmlns:a16="http://schemas.microsoft.com/office/drawing/2014/main" id="{34FA0F1A-BCB8-47F9-8731-8E99D40C89D6}"/>
            </a:ext>
          </a:extLst>
        </xdr:cNvPr>
        <xdr:cNvSpPr/>
      </xdr:nvSpPr>
      <xdr:spPr>
        <a:xfrm>
          <a:off x="7200081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92178</xdr:colOff>
      <xdr:row>108</xdr:row>
      <xdr:rowOff>163871</xdr:rowOff>
    </xdr:from>
    <xdr:to>
      <xdr:col>24</xdr:col>
      <xdr:colOff>233726</xdr:colOff>
      <xdr:row>109</xdr:row>
      <xdr:rowOff>139143</xdr:rowOff>
    </xdr:to>
    <xdr:sp macro="" textlink="">
      <xdr:nvSpPr>
        <xdr:cNvPr id="3828" name="6-Point Star 717">
          <a:extLst>
            <a:ext uri="{FF2B5EF4-FFF2-40B4-BE49-F238E27FC236}">
              <a16:creationId xmlns:a16="http://schemas.microsoft.com/office/drawing/2014/main" id="{2962FA09-B341-43EA-9CB6-6054E0E1EB0D}"/>
            </a:ext>
          </a:extLst>
        </xdr:cNvPr>
        <xdr:cNvSpPr/>
      </xdr:nvSpPr>
      <xdr:spPr>
        <a:xfrm>
          <a:off x="7794113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92178</xdr:colOff>
      <xdr:row>108</xdr:row>
      <xdr:rowOff>184355</xdr:rowOff>
    </xdr:from>
    <xdr:to>
      <xdr:col>26</xdr:col>
      <xdr:colOff>233726</xdr:colOff>
      <xdr:row>109</xdr:row>
      <xdr:rowOff>159627</xdr:rowOff>
    </xdr:to>
    <xdr:sp macro="" textlink="">
      <xdr:nvSpPr>
        <xdr:cNvPr id="3829" name="6-Point Star 717">
          <a:extLst>
            <a:ext uri="{FF2B5EF4-FFF2-40B4-BE49-F238E27FC236}">
              <a16:creationId xmlns:a16="http://schemas.microsoft.com/office/drawing/2014/main" id="{BFAC4148-6D37-417E-9055-1DCACCD8E810}"/>
            </a:ext>
          </a:extLst>
        </xdr:cNvPr>
        <xdr:cNvSpPr/>
      </xdr:nvSpPr>
      <xdr:spPr>
        <a:xfrm>
          <a:off x="8418872" y="22050887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102420</xdr:colOff>
      <xdr:row>108</xdr:row>
      <xdr:rowOff>163871</xdr:rowOff>
    </xdr:from>
    <xdr:to>
      <xdr:col>32</xdr:col>
      <xdr:colOff>243968</xdr:colOff>
      <xdr:row>109</xdr:row>
      <xdr:rowOff>139143</xdr:rowOff>
    </xdr:to>
    <xdr:sp macro="" textlink="">
      <xdr:nvSpPr>
        <xdr:cNvPr id="3830" name="6-Point Star 717">
          <a:extLst>
            <a:ext uri="{FF2B5EF4-FFF2-40B4-BE49-F238E27FC236}">
              <a16:creationId xmlns:a16="http://schemas.microsoft.com/office/drawing/2014/main" id="{737A981F-FBE8-4A77-A406-B47C1B68D12D}"/>
            </a:ext>
          </a:extLst>
        </xdr:cNvPr>
        <xdr:cNvSpPr/>
      </xdr:nvSpPr>
      <xdr:spPr>
        <a:xfrm>
          <a:off x="10364839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93224</xdr:colOff>
      <xdr:row>108</xdr:row>
      <xdr:rowOff>153630</xdr:rowOff>
    </xdr:from>
    <xdr:to>
      <xdr:col>34</xdr:col>
      <xdr:colOff>234772</xdr:colOff>
      <xdr:row>109</xdr:row>
      <xdr:rowOff>133136</xdr:rowOff>
    </xdr:to>
    <xdr:sp macro="" textlink="">
      <xdr:nvSpPr>
        <xdr:cNvPr id="3831" name="6-Point Star 717">
          <a:extLst>
            <a:ext uri="{FF2B5EF4-FFF2-40B4-BE49-F238E27FC236}">
              <a16:creationId xmlns:a16="http://schemas.microsoft.com/office/drawing/2014/main" id="{C7CB089B-59E6-4888-87CF-5765ED19AD00}"/>
            </a:ext>
          </a:extLst>
        </xdr:cNvPr>
        <xdr:cNvSpPr/>
      </xdr:nvSpPr>
      <xdr:spPr>
        <a:xfrm>
          <a:off x="10823428" y="2196393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122904</xdr:colOff>
      <xdr:row>108</xdr:row>
      <xdr:rowOff>174114</xdr:rowOff>
    </xdr:from>
    <xdr:to>
      <xdr:col>36</xdr:col>
      <xdr:colOff>264452</xdr:colOff>
      <xdr:row>109</xdr:row>
      <xdr:rowOff>153620</xdr:rowOff>
    </xdr:to>
    <xdr:sp macro="" textlink="">
      <xdr:nvSpPr>
        <xdr:cNvPr id="3832" name="6-Point Star 717">
          <a:extLst>
            <a:ext uri="{FF2B5EF4-FFF2-40B4-BE49-F238E27FC236}">
              <a16:creationId xmlns:a16="http://schemas.microsoft.com/office/drawing/2014/main" id="{3804FF15-18AB-4CC9-A6E7-5719356BEFAF}"/>
            </a:ext>
          </a:extLst>
        </xdr:cNvPr>
        <xdr:cNvSpPr/>
      </xdr:nvSpPr>
      <xdr:spPr>
        <a:xfrm>
          <a:off x="11634839" y="22040646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92699</xdr:colOff>
      <xdr:row>108</xdr:row>
      <xdr:rowOff>143388</xdr:rowOff>
    </xdr:from>
    <xdr:to>
      <xdr:col>38</xdr:col>
      <xdr:colOff>234247</xdr:colOff>
      <xdr:row>109</xdr:row>
      <xdr:rowOff>122894</xdr:rowOff>
    </xdr:to>
    <xdr:sp macro="" textlink="">
      <xdr:nvSpPr>
        <xdr:cNvPr id="3833" name="6-Point Star 717">
          <a:extLst>
            <a:ext uri="{FF2B5EF4-FFF2-40B4-BE49-F238E27FC236}">
              <a16:creationId xmlns:a16="http://schemas.microsoft.com/office/drawing/2014/main" id="{D979D144-0FB0-48E5-8CD1-03FCAC640374}"/>
            </a:ext>
          </a:extLst>
        </xdr:cNvPr>
        <xdr:cNvSpPr/>
      </xdr:nvSpPr>
      <xdr:spPr>
        <a:xfrm>
          <a:off x="12115582" y="2195369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102420</xdr:colOff>
      <xdr:row>108</xdr:row>
      <xdr:rowOff>153630</xdr:rowOff>
    </xdr:from>
    <xdr:to>
      <xdr:col>40</xdr:col>
      <xdr:colOff>243968</xdr:colOff>
      <xdr:row>109</xdr:row>
      <xdr:rowOff>133136</xdr:rowOff>
    </xdr:to>
    <xdr:sp macro="" textlink="">
      <xdr:nvSpPr>
        <xdr:cNvPr id="3834" name="6-Point Star 717">
          <a:extLst>
            <a:ext uri="{FF2B5EF4-FFF2-40B4-BE49-F238E27FC236}">
              <a16:creationId xmlns:a16="http://schemas.microsoft.com/office/drawing/2014/main" id="{65DDE695-1E28-478D-A5CF-05153D0BFEA1}"/>
            </a:ext>
          </a:extLst>
        </xdr:cNvPr>
        <xdr:cNvSpPr/>
      </xdr:nvSpPr>
      <xdr:spPr>
        <a:xfrm>
          <a:off x="12904839" y="22020162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143388</xdr:colOff>
      <xdr:row>47</xdr:row>
      <xdr:rowOff>92178</xdr:rowOff>
    </xdr:from>
    <xdr:to>
      <xdr:col>28</xdr:col>
      <xdr:colOff>219196</xdr:colOff>
      <xdr:row>48</xdr:row>
      <xdr:rowOff>142716</xdr:rowOff>
    </xdr:to>
    <xdr:cxnSp macro="">
      <xdr:nvCxnSpPr>
        <xdr:cNvPr id="3835" name="Elbow Connector 55">
          <a:extLst>
            <a:ext uri="{FF2B5EF4-FFF2-40B4-BE49-F238E27FC236}">
              <a16:creationId xmlns:a16="http://schemas.microsoft.com/office/drawing/2014/main" id="{6E279B13-D4D3-4F08-A4E8-718099DB00C4}"/>
            </a:ext>
          </a:extLst>
        </xdr:cNvPr>
        <xdr:cNvCxnSpPr/>
      </xdr:nvCxnSpPr>
      <xdr:spPr>
        <a:xfrm rot="16200000" flipH="1">
          <a:off x="9071628" y="9640390"/>
          <a:ext cx="306586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133146</xdr:colOff>
      <xdr:row>47</xdr:row>
      <xdr:rowOff>71694</xdr:rowOff>
    </xdr:from>
    <xdr:to>
      <xdr:col>30</xdr:col>
      <xdr:colOff>208954</xdr:colOff>
      <xdr:row>48</xdr:row>
      <xdr:rowOff>122232</xdr:rowOff>
    </xdr:to>
    <xdr:cxnSp macro="">
      <xdr:nvCxnSpPr>
        <xdr:cNvPr id="3836" name="Elbow Connector 55">
          <a:extLst>
            <a:ext uri="{FF2B5EF4-FFF2-40B4-BE49-F238E27FC236}">
              <a16:creationId xmlns:a16="http://schemas.microsoft.com/office/drawing/2014/main" id="{C08DBBF9-DA7F-4AFB-9153-3B96A097802E}"/>
            </a:ext>
          </a:extLst>
        </xdr:cNvPr>
        <xdr:cNvCxnSpPr/>
      </xdr:nvCxnSpPr>
      <xdr:spPr>
        <a:xfrm rot="16200000" flipH="1">
          <a:off x="9686144" y="9619906"/>
          <a:ext cx="306586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148165</xdr:colOff>
      <xdr:row>55</xdr:row>
      <xdr:rowOff>84666</xdr:rowOff>
    </xdr:from>
    <xdr:to>
      <xdr:col>42</xdr:col>
      <xdr:colOff>245355</xdr:colOff>
      <xdr:row>57</xdr:row>
      <xdr:rowOff>1076</xdr:rowOff>
    </xdr:to>
    <xdr:cxnSp macro="">
      <xdr:nvCxnSpPr>
        <xdr:cNvPr id="3837" name="Elbow Connector 55">
          <a:extLst>
            <a:ext uri="{FF2B5EF4-FFF2-40B4-BE49-F238E27FC236}">
              <a16:creationId xmlns:a16="http://schemas.microsoft.com/office/drawing/2014/main" id="{9EBDF9EA-7421-4B88-A5CE-76902C256A71}"/>
            </a:ext>
          </a:extLst>
        </xdr:cNvPr>
        <xdr:cNvCxnSpPr/>
      </xdr:nvCxnSpPr>
      <xdr:spPr>
        <a:xfrm rot="16200000" flipH="1">
          <a:off x="13520638" y="11138526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158751</xdr:colOff>
      <xdr:row>63</xdr:row>
      <xdr:rowOff>63498</xdr:rowOff>
    </xdr:from>
    <xdr:to>
      <xdr:col>10</xdr:col>
      <xdr:colOff>255941</xdr:colOff>
      <xdr:row>64</xdr:row>
      <xdr:rowOff>170408</xdr:rowOff>
    </xdr:to>
    <xdr:cxnSp macro="">
      <xdr:nvCxnSpPr>
        <xdr:cNvPr id="3838" name="Elbow Connector 55">
          <a:extLst>
            <a:ext uri="{FF2B5EF4-FFF2-40B4-BE49-F238E27FC236}">
              <a16:creationId xmlns:a16="http://schemas.microsoft.com/office/drawing/2014/main" id="{006CF270-DD4A-408A-8850-65334C923F29}"/>
            </a:ext>
          </a:extLst>
        </xdr:cNvPr>
        <xdr:cNvCxnSpPr/>
      </xdr:nvCxnSpPr>
      <xdr:spPr>
        <a:xfrm rot="16200000" flipH="1">
          <a:off x="3212474" y="12704858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137582</xdr:colOff>
      <xdr:row>63</xdr:row>
      <xdr:rowOff>52915</xdr:rowOff>
    </xdr:from>
    <xdr:to>
      <xdr:col>12</xdr:col>
      <xdr:colOff>234772</xdr:colOff>
      <xdr:row>64</xdr:row>
      <xdr:rowOff>159825</xdr:rowOff>
    </xdr:to>
    <xdr:cxnSp macro="">
      <xdr:nvCxnSpPr>
        <xdr:cNvPr id="3839" name="Elbow Connector 55">
          <a:extLst>
            <a:ext uri="{FF2B5EF4-FFF2-40B4-BE49-F238E27FC236}">
              <a16:creationId xmlns:a16="http://schemas.microsoft.com/office/drawing/2014/main" id="{9D92360D-9BE5-4E93-9C7A-468521F4A062}"/>
            </a:ext>
          </a:extLst>
        </xdr:cNvPr>
        <xdr:cNvCxnSpPr/>
      </xdr:nvCxnSpPr>
      <xdr:spPr>
        <a:xfrm rot="16200000" flipH="1">
          <a:off x="3836889" y="12694275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137579</xdr:colOff>
      <xdr:row>63</xdr:row>
      <xdr:rowOff>74082</xdr:rowOff>
    </xdr:from>
    <xdr:to>
      <xdr:col>14</xdr:col>
      <xdr:colOff>234769</xdr:colOff>
      <xdr:row>64</xdr:row>
      <xdr:rowOff>180992</xdr:rowOff>
    </xdr:to>
    <xdr:cxnSp macro="">
      <xdr:nvCxnSpPr>
        <xdr:cNvPr id="3840" name="Elbow Connector 55">
          <a:extLst>
            <a:ext uri="{FF2B5EF4-FFF2-40B4-BE49-F238E27FC236}">
              <a16:creationId xmlns:a16="http://schemas.microsoft.com/office/drawing/2014/main" id="{079A0B86-54EE-4D8D-8FA5-E4A64ACEB997}"/>
            </a:ext>
          </a:extLst>
        </xdr:cNvPr>
        <xdr:cNvCxnSpPr/>
      </xdr:nvCxnSpPr>
      <xdr:spPr>
        <a:xfrm rot="16200000" flipH="1">
          <a:off x="4461302" y="12715442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145785</xdr:colOff>
      <xdr:row>55</xdr:row>
      <xdr:rowOff>97190</xdr:rowOff>
    </xdr:from>
    <xdr:to>
      <xdr:col>40</xdr:col>
      <xdr:colOff>242975</xdr:colOff>
      <xdr:row>57</xdr:row>
      <xdr:rowOff>13600</xdr:rowOff>
    </xdr:to>
    <xdr:cxnSp macro="">
      <xdr:nvCxnSpPr>
        <xdr:cNvPr id="3841" name="Elbow Connector 55">
          <a:extLst>
            <a:ext uri="{FF2B5EF4-FFF2-40B4-BE49-F238E27FC236}">
              <a16:creationId xmlns:a16="http://schemas.microsoft.com/office/drawing/2014/main" id="{4F2BDBF1-4442-4756-9B75-D8E117F8A2F0}"/>
            </a:ext>
          </a:extLst>
        </xdr:cNvPr>
        <xdr:cNvCxnSpPr/>
      </xdr:nvCxnSpPr>
      <xdr:spPr>
        <a:xfrm rot="16200000" flipH="1">
          <a:off x="12822782" y="11329887"/>
          <a:ext cx="363502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155506</xdr:colOff>
      <xdr:row>15</xdr:row>
      <xdr:rowOff>68033</xdr:rowOff>
    </xdr:from>
    <xdr:to>
      <xdr:col>16</xdr:col>
      <xdr:colOff>250757</xdr:colOff>
      <xdr:row>16</xdr:row>
      <xdr:rowOff>157401</xdr:rowOff>
    </xdr:to>
    <xdr:cxnSp macro="">
      <xdr:nvCxnSpPr>
        <xdr:cNvPr id="3753" name="Elbow Connector 55">
          <a:extLst>
            <a:ext uri="{FF2B5EF4-FFF2-40B4-BE49-F238E27FC236}">
              <a16:creationId xmlns:a16="http://schemas.microsoft.com/office/drawing/2014/main" id="{3B6B98FD-1E05-4DFF-8AB9-485A390E4C7D}"/>
            </a:ext>
          </a:extLst>
        </xdr:cNvPr>
        <xdr:cNvCxnSpPr/>
      </xdr:nvCxnSpPr>
      <xdr:spPr>
        <a:xfrm rot="16200000" flipH="1">
          <a:off x="5081318" y="3150997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136066</xdr:colOff>
      <xdr:row>15</xdr:row>
      <xdr:rowOff>58314</xdr:rowOff>
    </xdr:from>
    <xdr:to>
      <xdr:col>18</xdr:col>
      <xdr:colOff>231317</xdr:colOff>
      <xdr:row>16</xdr:row>
      <xdr:rowOff>147682</xdr:rowOff>
    </xdr:to>
    <xdr:cxnSp macro="">
      <xdr:nvCxnSpPr>
        <xdr:cNvPr id="3842" name="Elbow Connector 55">
          <a:extLst>
            <a:ext uri="{FF2B5EF4-FFF2-40B4-BE49-F238E27FC236}">
              <a16:creationId xmlns:a16="http://schemas.microsoft.com/office/drawing/2014/main" id="{9EB24240-2471-4373-BA98-144507AAD157}"/>
            </a:ext>
          </a:extLst>
        </xdr:cNvPr>
        <xdr:cNvCxnSpPr/>
      </xdr:nvCxnSpPr>
      <xdr:spPr>
        <a:xfrm rot="16200000" flipH="1">
          <a:off x="5751954" y="3141278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126347</xdr:colOff>
      <xdr:row>15</xdr:row>
      <xdr:rowOff>68033</xdr:rowOff>
    </xdr:from>
    <xdr:to>
      <xdr:col>20</xdr:col>
      <xdr:colOff>221598</xdr:colOff>
      <xdr:row>16</xdr:row>
      <xdr:rowOff>157401</xdr:rowOff>
    </xdr:to>
    <xdr:cxnSp macro="">
      <xdr:nvCxnSpPr>
        <xdr:cNvPr id="3843" name="Elbow Connector 55">
          <a:extLst>
            <a:ext uri="{FF2B5EF4-FFF2-40B4-BE49-F238E27FC236}">
              <a16:creationId xmlns:a16="http://schemas.microsoft.com/office/drawing/2014/main" id="{F291FC15-E33A-4703-9F68-2410E7461C40}"/>
            </a:ext>
          </a:extLst>
        </xdr:cNvPr>
        <xdr:cNvCxnSpPr/>
      </xdr:nvCxnSpPr>
      <xdr:spPr>
        <a:xfrm rot="16200000" flipH="1">
          <a:off x="6364276" y="3150997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194387</xdr:colOff>
      <xdr:row>29</xdr:row>
      <xdr:rowOff>71275</xdr:rowOff>
    </xdr:from>
    <xdr:to>
      <xdr:col>36</xdr:col>
      <xdr:colOff>194388</xdr:colOff>
      <xdr:row>30</xdr:row>
      <xdr:rowOff>113394</xdr:rowOff>
    </xdr:to>
    <xdr:sp macro="" textlink="">
      <xdr:nvSpPr>
        <xdr:cNvPr id="3844" name="Freeform 10707">
          <a:extLst>
            <a:ext uri="{FF2B5EF4-FFF2-40B4-BE49-F238E27FC236}">
              <a16:creationId xmlns:a16="http://schemas.microsoft.com/office/drawing/2014/main" id="{2A82F68B-AE2D-466B-B383-159260D6BEF9}"/>
            </a:ext>
          </a:extLst>
        </xdr:cNvPr>
        <xdr:cNvSpPr>
          <a:spLocks/>
        </xdr:cNvSpPr>
      </xdr:nvSpPr>
      <xdr:spPr bwMode="auto">
        <a:xfrm>
          <a:off x="11579030" y="5708520"/>
          <a:ext cx="673878" cy="2300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291581</xdr:colOff>
      <xdr:row>29</xdr:row>
      <xdr:rowOff>45355</xdr:rowOff>
    </xdr:from>
    <xdr:to>
      <xdr:col>38</xdr:col>
      <xdr:colOff>165229</xdr:colOff>
      <xdr:row>30</xdr:row>
      <xdr:rowOff>142550</xdr:rowOff>
    </xdr:to>
    <xdr:sp macro="" textlink="">
      <xdr:nvSpPr>
        <xdr:cNvPr id="3845" name="Freeform 10707">
          <a:extLst>
            <a:ext uri="{FF2B5EF4-FFF2-40B4-BE49-F238E27FC236}">
              <a16:creationId xmlns:a16="http://schemas.microsoft.com/office/drawing/2014/main" id="{3601C7AD-4A9C-4C0C-9E50-0E2155E8A943}"/>
            </a:ext>
          </a:extLst>
        </xdr:cNvPr>
        <xdr:cNvSpPr>
          <a:spLocks/>
        </xdr:cNvSpPr>
      </xdr:nvSpPr>
      <xdr:spPr bwMode="auto">
        <a:xfrm>
          <a:off x="12350101" y="5682600"/>
          <a:ext cx="573444" cy="28510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213826</xdr:colOff>
      <xdr:row>29</xdr:row>
      <xdr:rowOff>9719</xdr:rowOff>
    </xdr:from>
    <xdr:to>
      <xdr:col>40</xdr:col>
      <xdr:colOff>223545</xdr:colOff>
      <xdr:row>30</xdr:row>
      <xdr:rowOff>77754</xdr:rowOff>
    </xdr:to>
    <xdr:sp macro="" textlink="">
      <xdr:nvSpPr>
        <xdr:cNvPr id="3846" name="Freeform 10707">
          <a:extLst>
            <a:ext uri="{FF2B5EF4-FFF2-40B4-BE49-F238E27FC236}">
              <a16:creationId xmlns:a16="http://schemas.microsoft.com/office/drawing/2014/main" id="{6EEF97A4-FC76-4676-AF81-8B21CE72B9BC}"/>
            </a:ext>
          </a:extLst>
        </xdr:cNvPr>
        <xdr:cNvSpPr>
          <a:spLocks/>
        </xdr:cNvSpPr>
      </xdr:nvSpPr>
      <xdr:spPr bwMode="auto">
        <a:xfrm>
          <a:off x="12372780" y="5812193"/>
          <a:ext cx="631760" cy="2624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145791</xdr:colOff>
      <xdr:row>29</xdr:row>
      <xdr:rowOff>19439</xdr:rowOff>
    </xdr:from>
    <xdr:to>
      <xdr:col>42</xdr:col>
      <xdr:colOff>174950</xdr:colOff>
      <xdr:row>30</xdr:row>
      <xdr:rowOff>48597</xdr:rowOff>
    </xdr:to>
    <xdr:sp macro="" textlink="">
      <xdr:nvSpPr>
        <xdr:cNvPr id="3847" name="Freeform 10707">
          <a:extLst>
            <a:ext uri="{FF2B5EF4-FFF2-40B4-BE49-F238E27FC236}">
              <a16:creationId xmlns:a16="http://schemas.microsoft.com/office/drawing/2014/main" id="{EF5D16EC-C2CF-4E9D-A702-6E19A744178D}"/>
            </a:ext>
          </a:extLst>
        </xdr:cNvPr>
        <xdr:cNvSpPr>
          <a:spLocks/>
        </xdr:cNvSpPr>
      </xdr:nvSpPr>
      <xdr:spPr bwMode="auto">
        <a:xfrm>
          <a:off x="12926786" y="5821913"/>
          <a:ext cx="651200" cy="22354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42</xdr:col>
      <xdr:colOff>200869</xdr:colOff>
      <xdr:row>29</xdr:row>
      <xdr:rowOff>55077</xdr:rowOff>
    </xdr:from>
    <xdr:to>
      <xdr:col>44</xdr:col>
      <xdr:colOff>161991</xdr:colOff>
      <xdr:row>30</xdr:row>
      <xdr:rowOff>55077</xdr:rowOff>
    </xdr:to>
    <xdr:sp macro="" textlink="">
      <xdr:nvSpPr>
        <xdr:cNvPr id="3849" name="Freeform 10707">
          <a:extLst>
            <a:ext uri="{FF2B5EF4-FFF2-40B4-BE49-F238E27FC236}">
              <a16:creationId xmlns:a16="http://schemas.microsoft.com/office/drawing/2014/main" id="{E0987FCF-807B-4DFF-B99B-941F340BA02E}"/>
            </a:ext>
          </a:extLst>
        </xdr:cNvPr>
        <xdr:cNvSpPr>
          <a:spLocks/>
        </xdr:cNvSpPr>
      </xdr:nvSpPr>
      <xdr:spPr bwMode="auto">
        <a:xfrm>
          <a:off x="14281022" y="5692322"/>
          <a:ext cx="673877" cy="18790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44</xdr:col>
      <xdr:colOff>230026</xdr:colOff>
      <xdr:row>29</xdr:row>
      <xdr:rowOff>29158</xdr:rowOff>
    </xdr:from>
    <xdr:to>
      <xdr:col>47</xdr:col>
      <xdr:colOff>3240</xdr:colOff>
      <xdr:row>30</xdr:row>
      <xdr:rowOff>51966</xdr:rowOff>
    </xdr:to>
    <xdr:sp macro="" textlink="">
      <xdr:nvSpPr>
        <xdr:cNvPr id="3850" name="Freeform 10707">
          <a:extLst>
            <a:ext uri="{FF2B5EF4-FFF2-40B4-BE49-F238E27FC236}">
              <a16:creationId xmlns:a16="http://schemas.microsoft.com/office/drawing/2014/main" id="{3D88A98F-CBEB-4353-9308-40ADEBA05AD0}"/>
            </a:ext>
          </a:extLst>
        </xdr:cNvPr>
        <xdr:cNvSpPr>
          <a:spLocks/>
        </xdr:cNvSpPr>
      </xdr:nvSpPr>
      <xdr:spPr bwMode="auto">
        <a:xfrm>
          <a:off x="15022934" y="5666403"/>
          <a:ext cx="712755" cy="21071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0</xdr:col>
      <xdr:colOff>0</xdr:colOff>
      <xdr:row>37</xdr:row>
      <xdr:rowOff>104775</xdr:rowOff>
    </xdr:from>
    <xdr:to>
      <xdr:col>2</xdr:col>
      <xdr:colOff>171450</xdr:colOff>
      <xdr:row>38</xdr:row>
      <xdr:rowOff>124019</xdr:rowOff>
    </xdr:to>
    <xdr:sp macro="" textlink="">
      <xdr:nvSpPr>
        <xdr:cNvPr id="3851" name="Freeform 10707">
          <a:extLst>
            <a:ext uri="{FF2B5EF4-FFF2-40B4-BE49-F238E27FC236}">
              <a16:creationId xmlns:a16="http://schemas.microsoft.com/office/drawing/2014/main" id="{B4756974-5782-4336-AE00-4CB05100536C}"/>
            </a:ext>
          </a:extLst>
        </xdr:cNvPr>
        <xdr:cNvSpPr>
          <a:spLocks/>
        </xdr:cNvSpPr>
      </xdr:nvSpPr>
      <xdr:spPr bwMode="auto">
        <a:xfrm>
          <a:off x="0" y="7410450"/>
          <a:ext cx="561975" cy="2097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</xdr:col>
      <xdr:colOff>213243</xdr:colOff>
      <xdr:row>37</xdr:row>
      <xdr:rowOff>76200</xdr:rowOff>
    </xdr:from>
    <xdr:to>
      <xdr:col>4</xdr:col>
      <xdr:colOff>238125</xdr:colOff>
      <xdr:row>38</xdr:row>
      <xdr:rowOff>86696</xdr:rowOff>
    </xdr:to>
    <xdr:sp macro="" textlink="">
      <xdr:nvSpPr>
        <xdr:cNvPr id="3852" name="Freeform 10707">
          <a:extLst>
            <a:ext uri="{FF2B5EF4-FFF2-40B4-BE49-F238E27FC236}">
              <a16:creationId xmlns:a16="http://schemas.microsoft.com/office/drawing/2014/main" id="{1E948230-8689-49BB-95F4-0A539E5142B1}"/>
            </a:ext>
          </a:extLst>
        </xdr:cNvPr>
        <xdr:cNvSpPr>
          <a:spLocks/>
        </xdr:cNvSpPr>
      </xdr:nvSpPr>
      <xdr:spPr bwMode="auto">
        <a:xfrm>
          <a:off x="603768" y="7381875"/>
          <a:ext cx="729732" cy="2009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</xdr:col>
      <xdr:colOff>219074</xdr:colOff>
      <xdr:row>37</xdr:row>
      <xdr:rowOff>66675</xdr:rowOff>
    </xdr:from>
    <xdr:to>
      <xdr:col>6</xdr:col>
      <xdr:colOff>213825</xdr:colOff>
      <xdr:row>38</xdr:row>
      <xdr:rowOff>106912</xdr:rowOff>
    </xdr:to>
    <xdr:sp macro="" textlink="">
      <xdr:nvSpPr>
        <xdr:cNvPr id="3848" name="Freeform 10707">
          <a:extLst>
            <a:ext uri="{FF2B5EF4-FFF2-40B4-BE49-F238E27FC236}">
              <a16:creationId xmlns:a16="http://schemas.microsoft.com/office/drawing/2014/main" id="{DE1C37D6-750A-436C-BA6F-93D5468ADCD1}"/>
            </a:ext>
          </a:extLst>
        </xdr:cNvPr>
        <xdr:cNvSpPr>
          <a:spLocks/>
        </xdr:cNvSpPr>
      </xdr:nvSpPr>
      <xdr:spPr bwMode="auto">
        <a:xfrm>
          <a:off x="1314449" y="7372350"/>
          <a:ext cx="623401" cy="23073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6</xdr:col>
      <xdr:colOff>184284</xdr:colOff>
      <xdr:row>37</xdr:row>
      <xdr:rowOff>85725</xdr:rowOff>
    </xdr:from>
    <xdr:to>
      <xdr:col>8</xdr:col>
      <xdr:colOff>180975</xdr:colOff>
      <xdr:row>38</xdr:row>
      <xdr:rowOff>116243</xdr:rowOff>
    </xdr:to>
    <xdr:sp macro="" textlink="">
      <xdr:nvSpPr>
        <xdr:cNvPr id="3853" name="Freeform 10707">
          <a:extLst>
            <a:ext uri="{FF2B5EF4-FFF2-40B4-BE49-F238E27FC236}">
              <a16:creationId xmlns:a16="http://schemas.microsoft.com/office/drawing/2014/main" id="{C657B700-1191-48A7-80D6-922C1B48158B}"/>
            </a:ext>
          </a:extLst>
        </xdr:cNvPr>
        <xdr:cNvSpPr>
          <a:spLocks/>
        </xdr:cNvSpPr>
      </xdr:nvSpPr>
      <xdr:spPr bwMode="auto">
        <a:xfrm>
          <a:off x="1908309" y="7391400"/>
          <a:ext cx="653916" cy="2210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242405</xdr:colOff>
      <xdr:row>37</xdr:row>
      <xdr:rowOff>76200</xdr:rowOff>
    </xdr:from>
    <xdr:to>
      <xdr:col>10</xdr:col>
      <xdr:colOff>200025</xdr:colOff>
      <xdr:row>38</xdr:row>
      <xdr:rowOff>107689</xdr:rowOff>
    </xdr:to>
    <xdr:sp macro="" textlink="">
      <xdr:nvSpPr>
        <xdr:cNvPr id="3854" name="Freeform 10707">
          <a:extLst>
            <a:ext uri="{FF2B5EF4-FFF2-40B4-BE49-F238E27FC236}">
              <a16:creationId xmlns:a16="http://schemas.microsoft.com/office/drawing/2014/main" id="{407F1704-7461-49F9-B18D-C60293B3088D}"/>
            </a:ext>
          </a:extLst>
        </xdr:cNvPr>
        <xdr:cNvSpPr>
          <a:spLocks/>
        </xdr:cNvSpPr>
      </xdr:nvSpPr>
      <xdr:spPr bwMode="auto">
        <a:xfrm>
          <a:off x="2623655" y="7381875"/>
          <a:ext cx="681520" cy="22198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222573</xdr:colOff>
      <xdr:row>37</xdr:row>
      <xdr:rowOff>67452</xdr:rowOff>
    </xdr:from>
    <xdr:to>
      <xdr:col>12</xdr:col>
      <xdr:colOff>173976</xdr:colOff>
      <xdr:row>38</xdr:row>
      <xdr:rowOff>96609</xdr:rowOff>
    </xdr:to>
    <xdr:sp macro="" textlink="">
      <xdr:nvSpPr>
        <xdr:cNvPr id="3855" name="Freeform 10707">
          <a:extLst>
            <a:ext uri="{FF2B5EF4-FFF2-40B4-BE49-F238E27FC236}">
              <a16:creationId xmlns:a16="http://schemas.microsoft.com/office/drawing/2014/main" id="{5EA22CC5-C3AA-4104-9D54-DA702E2E9973}"/>
            </a:ext>
          </a:extLst>
        </xdr:cNvPr>
        <xdr:cNvSpPr>
          <a:spLocks/>
        </xdr:cNvSpPr>
      </xdr:nvSpPr>
      <xdr:spPr bwMode="auto">
        <a:xfrm>
          <a:off x="3327723" y="7373127"/>
          <a:ext cx="599103" cy="21965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204107</xdr:colOff>
      <xdr:row>37</xdr:row>
      <xdr:rowOff>76199</xdr:rowOff>
    </xdr:from>
    <xdr:to>
      <xdr:col>14</xdr:col>
      <xdr:colOff>200025</xdr:colOff>
      <xdr:row>38</xdr:row>
      <xdr:rowOff>77754</xdr:rowOff>
    </xdr:to>
    <xdr:sp macro="" textlink="">
      <xdr:nvSpPr>
        <xdr:cNvPr id="3856" name="Freeform 10707">
          <a:extLst>
            <a:ext uri="{FF2B5EF4-FFF2-40B4-BE49-F238E27FC236}">
              <a16:creationId xmlns:a16="http://schemas.microsoft.com/office/drawing/2014/main" id="{8B6F187E-4FEB-4366-BAF4-E16D13D3834F}"/>
            </a:ext>
          </a:extLst>
        </xdr:cNvPr>
        <xdr:cNvSpPr>
          <a:spLocks/>
        </xdr:cNvSpPr>
      </xdr:nvSpPr>
      <xdr:spPr bwMode="auto">
        <a:xfrm>
          <a:off x="3956957" y="7381874"/>
          <a:ext cx="624568" cy="19205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14</xdr:col>
      <xdr:colOff>174952</xdr:colOff>
      <xdr:row>37</xdr:row>
      <xdr:rowOff>71276</xdr:rowOff>
    </xdr:from>
    <xdr:to>
      <xdr:col>16</xdr:col>
      <xdr:colOff>145791</xdr:colOff>
      <xdr:row>38</xdr:row>
      <xdr:rowOff>119872</xdr:rowOff>
    </xdr:to>
    <xdr:sp macro="" textlink="">
      <xdr:nvSpPr>
        <xdr:cNvPr id="3857" name="Freeform 10707">
          <a:extLst>
            <a:ext uri="{FF2B5EF4-FFF2-40B4-BE49-F238E27FC236}">
              <a16:creationId xmlns:a16="http://schemas.microsoft.com/office/drawing/2014/main" id="{B9285851-5C68-4F41-9CF6-4ECAB0D74B9B}"/>
            </a:ext>
          </a:extLst>
        </xdr:cNvPr>
        <xdr:cNvSpPr>
          <a:spLocks/>
        </xdr:cNvSpPr>
      </xdr:nvSpPr>
      <xdr:spPr bwMode="auto">
        <a:xfrm>
          <a:off x="4781942" y="7276582"/>
          <a:ext cx="670635" cy="2365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87472</xdr:colOff>
      <xdr:row>28</xdr:row>
      <xdr:rowOff>155509</xdr:rowOff>
    </xdr:from>
    <xdr:to>
      <xdr:col>34</xdr:col>
      <xdr:colOff>252703</xdr:colOff>
      <xdr:row>29</xdr:row>
      <xdr:rowOff>106912</xdr:rowOff>
    </xdr:to>
    <xdr:sp macro="" textlink="">
      <xdr:nvSpPr>
        <xdr:cNvPr id="3858" name="6-Point Star 717">
          <a:extLst>
            <a:ext uri="{FF2B5EF4-FFF2-40B4-BE49-F238E27FC236}">
              <a16:creationId xmlns:a16="http://schemas.microsoft.com/office/drawing/2014/main" id="{EE5ABE80-E822-4B72-9B81-311DD13A5F20}"/>
            </a:ext>
          </a:extLst>
        </xdr:cNvPr>
        <xdr:cNvSpPr/>
      </xdr:nvSpPr>
      <xdr:spPr>
        <a:xfrm flipH="1" flipV="1">
          <a:off x="10953748" y="5763596"/>
          <a:ext cx="165231" cy="14579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80990</xdr:colOff>
      <xdr:row>28</xdr:row>
      <xdr:rowOff>165227</xdr:rowOff>
    </xdr:from>
    <xdr:to>
      <xdr:col>40</xdr:col>
      <xdr:colOff>217066</xdr:colOff>
      <xdr:row>29</xdr:row>
      <xdr:rowOff>184667</xdr:rowOff>
    </xdr:to>
    <xdr:sp macro="" textlink="">
      <xdr:nvSpPr>
        <xdr:cNvPr id="3859" name="6-Point Star 717">
          <a:extLst>
            <a:ext uri="{FF2B5EF4-FFF2-40B4-BE49-F238E27FC236}">
              <a16:creationId xmlns:a16="http://schemas.microsoft.com/office/drawing/2014/main" id="{5B27FFBE-AA1D-4BEF-96DD-EAD57CA8BC15}"/>
            </a:ext>
          </a:extLst>
        </xdr:cNvPr>
        <xdr:cNvSpPr/>
      </xdr:nvSpPr>
      <xdr:spPr>
        <a:xfrm flipH="1" flipV="1">
          <a:off x="13532623" y="5614564"/>
          <a:ext cx="136076" cy="20734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77755</xdr:colOff>
      <xdr:row>36</xdr:row>
      <xdr:rowOff>194384</xdr:rowOff>
    </xdr:from>
    <xdr:to>
      <xdr:col>6</xdr:col>
      <xdr:colOff>219303</xdr:colOff>
      <xdr:row>37</xdr:row>
      <xdr:rowOff>173890</xdr:rowOff>
    </xdr:to>
    <xdr:sp macro="" textlink="">
      <xdr:nvSpPr>
        <xdr:cNvPr id="3860" name="6-Point Star 717">
          <a:extLst>
            <a:ext uri="{FF2B5EF4-FFF2-40B4-BE49-F238E27FC236}">
              <a16:creationId xmlns:a16="http://schemas.microsoft.com/office/drawing/2014/main" id="{FE9781EF-FEE6-464A-A3D8-5461B0A7A6CF}"/>
            </a:ext>
          </a:extLst>
        </xdr:cNvPr>
        <xdr:cNvSpPr/>
      </xdr:nvSpPr>
      <xdr:spPr>
        <a:xfrm>
          <a:off x="1924439" y="741588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97191</xdr:colOff>
      <xdr:row>36</xdr:row>
      <xdr:rowOff>136076</xdr:rowOff>
    </xdr:from>
    <xdr:to>
      <xdr:col>38</xdr:col>
      <xdr:colOff>238739</xdr:colOff>
      <xdr:row>37</xdr:row>
      <xdr:rowOff>115582</xdr:rowOff>
    </xdr:to>
    <xdr:sp macro="" textlink="">
      <xdr:nvSpPr>
        <xdr:cNvPr id="3861" name="6-Point Star 717">
          <a:extLst>
            <a:ext uri="{FF2B5EF4-FFF2-40B4-BE49-F238E27FC236}">
              <a16:creationId xmlns:a16="http://schemas.microsoft.com/office/drawing/2014/main" id="{4B87EC35-98B2-4D26-8C1A-1A59BE7DB265}"/>
            </a:ext>
          </a:extLst>
        </xdr:cNvPr>
        <xdr:cNvSpPr/>
      </xdr:nvSpPr>
      <xdr:spPr>
        <a:xfrm>
          <a:off x="12256145" y="735758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87473</xdr:colOff>
      <xdr:row>36</xdr:row>
      <xdr:rowOff>136074</xdr:rowOff>
    </xdr:from>
    <xdr:to>
      <xdr:col>40</xdr:col>
      <xdr:colOff>229021</xdr:colOff>
      <xdr:row>37</xdr:row>
      <xdr:rowOff>115580</xdr:rowOff>
    </xdr:to>
    <xdr:sp macro="" textlink="">
      <xdr:nvSpPr>
        <xdr:cNvPr id="3862" name="6-Point Star 717">
          <a:extLst>
            <a:ext uri="{FF2B5EF4-FFF2-40B4-BE49-F238E27FC236}">
              <a16:creationId xmlns:a16="http://schemas.microsoft.com/office/drawing/2014/main" id="{0D78D410-F279-4EF1-B8DE-B817D0015580}"/>
            </a:ext>
          </a:extLst>
        </xdr:cNvPr>
        <xdr:cNvSpPr/>
      </xdr:nvSpPr>
      <xdr:spPr>
        <a:xfrm>
          <a:off x="12868468" y="735757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236504</xdr:colOff>
      <xdr:row>37</xdr:row>
      <xdr:rowOff>68037</xdr:rowOff>
    </xdr:from>
    <xdr:to>
      <xdr:col>18</xdr:col>
      <xdr:colOff>178184</xdr:colOff>
      <xdr:row>38</xdr:row>
      <xdr:rowOff>106913</xdr:rowOff>
    </xdr:to>
    <xdr:sp macro="" textlink="">
      <xdr:nvSpPr>
        <xdr:cNvPr id="3863" name="Freeform 10707">
          <a:extLst>
            <a:ext uri="{FF2B5EF4-FFF2-40B4-BE49-F238E27FC236}">
              <a16:creationId xmlns:a16="http://schemas.microsoft.com/office/drawing/2014/main" id="{2B35E736-95F6-4F17-A593-4F7B646FF767}"/>
            </a:ext>
          </a:extLst>
        </xdr:cNvPr>
        <xdr:cNvSpPr>
          <a:spLocks/>
        </xdr:cNvSpPr>
      </xdr:nvSpPr>
      <xdr:spPr bwMode="auto">
        <a:xfrm>
          <a:off x="5543290" y="7273343"/>
          <a:ext cx="667394" cy="2267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200867</xdr:colOff>
      <xdr:row>37</xdr:row>
      <xdr:rowOff>97194</xdr:rowOff>
    </xdr:from>
    <xdr:to>
      <xdr:col>20</xdr:col>
      <xdr:colOff>187909</xdr:colOff>
      <xdr:row>38</xdr:row>
      <xdr:rowOff>100434</xdr:rowOff>
    </xdr:to>
    <xdr:sp macro="" textlink="">
      <xdr:nvSpPr>
        <xdr:cNvPr id="3864" name="Freeform 10707">
          <a:extLst>
            <a:ext uri="{FF2B5EF4-FFF2-40B4-BE49-F238E27FC236}">
              <a16:creationId xmlns:a16="http://schemas.microsoft.com/office/drawing/2014/main" id="{6822DBF1-9784-46B5-872A-6448021F7CDF}"/>
            </a:ext>
          </a:extLst>
        </xdr:cNvPr>
        <xdr:cNvSpPr>
          <a:spLocks/>
        </xdr:cNvSpPr>
      </xdr:nvSpPr>
      <xdr:spPr bwMode="auto">
        <a:xfrm>
          <a:off x="6233367" y="7302500"/>
          <a:ext cx="647960" cy="19114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233266</xdr:colOff>
      <xdr:row>37</xdr:row>
      <xdr:rowOff>97192</xdr:rowOff>
    </xdr:from>
    <xdr:to>
      <xdr:col>22</xdr:col>
      <xdr:colOff>174946</xdr:colOff>
      <xdr:row>38</xdr:row>
      <xdr:rowOff>145789</xdr:rowOff>
    </xdr:to>
    <xdr:sp macro="" textlink="">
      <xdr:nvSpPr>
        <xdr:cNvPr id="3865" name="Freeform 10707">
          <a:extLst>
            <a:ext uri="{FF2B5EF4-FFF2-40B4-BE49-F238E27FC236}">
              <a16:creationId xmlns:a16="http://schemas.microsoft.com/office/drawing/2014/main" id="{BF0EA226-8556-47B4-8ABE-60233960FA51}"/>
            </a:ext>
          </a:extLst>
        </xdr:cNvPr>
        <xdr:cNvSpPr>
          <a:spLocks/>
        </xdr:cNvSpPr>
      </xdr:nvSpPr>
      <xdr:spPr bwMode="auto">
        <a:xfrm>
          <a:off x="6686939" y="7513085"/>
          <a:ext cx="563721" cy="2429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213827</xdr:colOff>
      <xdr:row>37</xdr:row>
      <xdr:rowOff>68035</xdr:rowOff>
    </xdr:from>
    <xdr:to>
      <xdr:col>24</xdr:col>
      <xdr:colOff>174946</xdr:colOff>
      <xdr:row>38</xdr:row>
      <xdr:rowOff>106912</xdr:rowOff>
    </xdr:to>
    <xdr:sp macro="" textlink="">
      <xdr:nvSpPr>
        <xdr:cNvPr id="3866" name="Freeform 10707">
          <a:extLst>
            <a:ext uri="{FF2B5EF4-FFF2-40B4-BE49-F238E27FC236}">
              <a16:creationId xmlns:a16="http://schemas.microsoft.com/office/drawing/2014/main" id="{3301B78B-FA79-4115-9A4A-C888D056E82A}"/>
            </a:ext>
          </a:extLst>
        </xdr:cNvPr>
        <xdr:cNvSpPr>
          <a:spLocks/>
        </xdr:cNvSpPr>
      </xdr:nvSpPr>
      <xdr:spPr bwMode="auto">
        <a:xfrm>
          <a:off x="7153470" y="7483928"/>
          <a:ext cx="583160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223546</xdr:colOff>
      <xdr:row>37</xdr:row>
      <xdr:rowOff>48597</xdr:rowOff>
    </xdr:from>
    <xdr:to>
      <xdr:col>26</xdr:col>
      <xdr:colOff>116633</xdr:colOff>
      <xdr:row>38</xdr:row>
      <xdr:rowOff>58316</xdr:rowOff>
    </xdr:to>
    <xdr:sp macro="" textlink="">
      <xdr:nvSpPr>
        <xdr:cNvPr id="3867" name="Freeform 10707">
          <a:extLst>
            <a:ext uri="{FF2B5EF4-FFF2-40B4-BE49-F238E27FC236}">
              <a16:creationId xmlns:a16="http://schemas.microsoft.com/office/drawing/2014/main" id="{8E2C44C1-25E5-49A3-9A7B-7C8BDF012FB9}"/>
            </a:ext>
          </a:extLst>
        </xdr:cNvPr>
        <xdr:cNvSpPr>
          <a:spLocks/>
        </xdr:cNvSpPr>
      </xdr:nvSpPr>
      <xdr:spPr bwMode="auto">
        <a:xfrm>
          <a:off x="7921301" y="7464490"/>
          <a:ext cx="515128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223546</xdr:colOff>
      <xdr:row>37</xdr:row>
      <xdr:rowOff>38099</xdr:rowOff>
    </xdr:from>
    <xdr:to>
      <xdr:col>28</xdr:col>
      <xdr:colOff>257175</xdr:colOff>
      <xdr:row>38</xdr:row>
      <xdr:rowOff>48596</xdr:rowOff>
    </xdr:to>
    <xdr:sp macro="" textlink="">
      <xdr:nvSpPr>
        <xdr:cNvPr id="3868" name="Freeform 10707">
          <a:extLst>
            <a:ext uri="{FF2B5EF4-FFF2-40B4-BE49-F238E27FC236}">
              <a16:creationId xmlns:a16="http://schemas.microsoft.com/office/drawing/2014/main" id="{654441DD-5E0D-47E7-854C-99D9BEE46A1E}"/>
            </a:ext>
          </a:extLst>
        </xdr:cNvPr>
        <xdr:cNvSpPr>
          <a:spLocks/>
        </xdr:cNvSpPr>
      </xdr:nvSpPr>
      <xdr:spPr bwMode="auto">
        <a:xfrm>
          <a:off x="8481721" y="7343774"/>
          <a:ext cx="690854" cy="20099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28</xdr:col>
      <xdr:colOff>194582</xdr:colOff>
      <xdr:row>37</xdr:row>
      <xdr:rowOff>38100</xdr:rowOff>
    </xdr:from>
    <xdr:to>
      <xdr:col>30</xdr:col>
      <xdr:colOff>228600</xdr:colOff>
      <xdr:row>38</xdr:row>
      <xdr:rowOff>58315</xdr:rowOff>
    </xdr:to>
    <xdr:sp macro="" textlink="">
      <xdr:nvSpPr>
        <xdr:cNvPr id="3869" name="Freeform 10707">
          <a:extLst>
            <a:ext uri="{FF2B5EF4-FFF2-40B4-BE49-F238E27FC236}">
              <a16:creationId xmlns:a16="http://schemas.microsoft.com/office/drawing/2014/main" id="{01AE7F60-707B-48B1-A639-38DE95F7793F}"/>
            </a:ext>
          </a:extLst>
        </xdr:cNvPr>
        <xdr:cNvSpPr>
          <a:spLocks/>
        </xdr:cNvSpPr>
      </xdr:nvSpPr>
      <xdr:spPr bwMode="auto">
        <a:xfrm>
          <a:off x="9109982" y="7343775"/>
          <a:ext cx="662668" cy="21071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184862</xdr:colOff>
      <xdr:row>37</xdr:row>
      <xdr:rowOff>47624</xdr:rowOff>
    </xdr:from>
    <xdr:to>
      <xdr:col>32</xdr:col>
      <xdr:colOff>219075</xdr:colOff>
      <xdr:row>38</xdr:row>
      <xdr:rowOff>77947</xdr:rowOff>
    </xdr:to>
    <xdr:sp macro="" textlink="">
      <xdr:nvSpPr>
        <xdr:cNvPr id="3870" name="Freeform 10707">
          <a:extLst>
            <a:ext uri="{FF2B5EF4-FFF2-40B4-BE49-F238E27FC236}">
              <a16:creationId xmlns:a16="http://schemas.microsoft.com/office/drawing/2014/main" id="{85B37700-909E-4446-9A80-FEAAD39EB799}"/>
            </a:ext>
          </a:extLst>
        </xdr:cNvPr>
        <xdr:cNvSpPr>
          <a:spLocks/>
        </xdr:cNvSpPr>
      </xdr:nvSpPr>
      <xdr:spPr bwMode="auto">
        <a:xfrm>
          <a:off x="9728912" y="7353299"/>
          <a:ext cx="691438" cy="2208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194193</xdr:colOff>
      <xdr:row>37</xdr:row>
      <xdr:rowOff>28769</xdr:rowOff>
    </xdr:from>
    <xdr:to>
      <xdr:col>34</xdr:col>
      <xdr:colOff>203909</xdr:colOff>
      <xdr:row>38</xdr:row>
      <xdr:rowOff>77365</xdr:rowOff>
    </xdr:to>
    <xdr:sp macro="" textlink="">
      <xdr:nvSpPr>
        <xdr:cNvPr id="3871" name="Freeform 10707">
          <a:extLst>
            <a:ext uri="{FF2B5EF4-FFF2-40B4-BE49-F238E27FC236}">
              <a16:creationId xmlns:a16="http://schemas.microsoft.com/office/drawing/2014/main" id="{D0D4E794-83BD-4A71-94AD-E7F60BE76703}"/>
            </a:ext>
          </a:extLst>
        </xdr:cNvPr>
        <xdr:cNvSpPr>
          <a:spLocks/>
        </xdr:cNvSpPr>
      </xdr:nvSpPr>
      <xdr:spPr bwMode="auto">
        <a:xfrm>
          <a:off x="10395468" y="7334444"/>
          <a:ext cx="638366" cy="2390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142875</xdr:colOff>
      <xdr:row>37</xdr:row>
      <xdr:rowOff>28575</xdr:rowOff>
    </xdr:from>
    <xdr:to>
      <xdr:col>36</xdr:col>
      <xdr:colOff>133350</xdr:colOff>
      <xdr:row>38</xdr:row>
      <xdr:rowOff>38101</xdr:rowOff>
    </xdr:to>
    <xdr:sp macro="" textlink="">
      <xdr:nvSpPr>
        <xdr:cNvPr id="3872" name="Freeform 10707">
          <a:extLst>
            <a:ext uri="{FF2B5EF4-FFF2-40B4-BE49-F238E27FC236}">
              <a16:creationId xmlns:a16="http://schemas.microsoft.com/office/drawing/2014/main" id="{5AD4BE48-2FCE-4C60-B554-0AB22EEA93A3}"/>
            </a:ext>
          </a:extLst>
        </xdr:cNvPr>
        <xdr:cNvSpPr>
          <a:spLocks/>
        </xdr:cNvSpPr>
      </xdr:nvSpPr>
      <xdr:spPr bwMode="auto">
        <a:xfrm>
          <a:off x="10972800" y="7334250"/>
          <a:ext cx="628650" cy="2000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242207</xdr:colOff>
      <xdr:row>37</xdr:row>
      <xdr:rowOff>57149</xdr:rowOff>
    </xdr:from>
    <xdr:to>
      <xdr:col>38</xdr:col>
      <xdr:colOff>152400</xdr:colOff>
      <xdr:row>38</xdr:row>
      <xdr:rowOff>67450</xdr:rowOff>
    </xdr:to>
    <xdr:sp macro="" textlink="">
      <xdr:nvSpPr>
        <xdr:cNvPr id="3873" name="Freeform 10707">
          <a:extLst>
            <a:ext uri="{FF2B5EF4-FFF2-40B4-BE49-F238E27FC236}">
              <a16:creationId xmlns:a16="http://schemas.microsoft.com/office/drawing/2014/main" id="{52E419AE-2A29-4EF2-B60F-6167AD52DF5E}"/>
            </a:ext>
          </a:extLst>
        </xdr:cNvPr>
        <xdr:cNvSpPr>
          <a:spLocks/>
        </xdr:cNvSpPr>
      </xdr:nvSpPr>
      <xdr:spPr bwMode="auto">
        <a:xfrm>
          <a:off x="11710307" y="7362824"/>
          <a:ext cx="576943" cy="20080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223546</xdr:colOff>
      <xdr:row>37</xdr:row>
      <xdr:rowOff>29157</xdr:rowOff>
    </xdr:from>
    <xdr:to>
      <xdr:col>40</xdr:col>
      <xdr:colOff>184666</xdr:colOff>
      <xdr:row>38</xdr:row>
      <xdr:rowOff>38876</xdr:rowOff>
    </xdr:to>
    <xdr:sp macro="" textlink="">
      <xdr:nvSpPr>
        <xdr:cNvPr id="3874" name="Freeform 10707">
          <a:extLst>
            <a:ext uri="{FF2B5EF4-FFF2-40B4-BE49-F238E27FC236}">
              <a16:creationId xmlns:a16="http://schemas.microsoft.com/office/drawing/2014/main" id="{8E1CFE34-2E56-49C3-9BD0-2CF6F670C535}"/>
            </a:ext>
          </a:extLst>
        </xdr:cNvPr>
        <xdr:cNvSpPr>
          <a:spLocks/>
        </xdr:cNvSpPr>
      </xdr:nvSpPr>
      <xdr:spPr bwMode="auto">
        <a:xfrm>
          <a:off x="12382500" y="7445050"/>
          <a:ext cx="583161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193999</xdr:colOff>
      <xdr:row>37</xdr:row>
      <xdr:rowOff>38100</xdr:rowOff>
    </xdr:from>
    <xdr:to>
      <xdr:col>42</xdr:col>
      <xdr:colOff>203715</xdr:colOff>
      <xdr:row>38</xdr:row>
      <xdr:rowOff>86696</xdr:rowOff>
    </xdr:to>
    <xdr:sp macro="" textlink="">
      <xdr:nvSpPr>
        <xdr:cNvPr id="3875" name="Freeform 10707">
          <a:extLst>
            <a:ext uri="{FF2B5EF4-FFF2-40B4-BE49-F238E27FC236}">
              <a16:creationId xmlns:a16="http://schemas.microsoft.com/office/drawing/2014/main" id="{447F9469-B8E5-4F79-805A-AD998B042221}"/>
            </a:ext>
          </a:extLst>
        </xdr:cNvPr>
        <xdr:cNvSpPr>
          <a:spLocks/>
        </xdr:cNvSpPr>
      </xdr:nvSpPr>
      <xdr:spPr bwMode="auto">
        <a:xfrm>
          <a:off x="12986074" y="7343775"/>
          <a:ext cx="609791" cy="2390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42</xdr:col>
      <xdr:colOff>97190</xdr:colOff>
      <xdr:row>76</xdr:row>
      <xdr:rowOff>155505</xdr:rowOff>
    </xdr:from>
    <xdr:to>
      <xdr:col>42</xdr:col>
      <xdr:colOff>238738</xdr:colOff>
      <xdr:row>77</xdr:row>
      <xdr:rowOff>135012</xdr:rowOff>
    </xdr:to>
    <xdr:sp macro="" textlink="">
      <xdr:nvSpPr>
        <xdr:cNvPr id="3728" name="6-Point Star 717">
          <a:extLst>
            <a:ext uri="{FF2B5EF4-FFF2-40B4-BE49-F238E27FC236}">
              <a16:creationId xmlns:a16="http://schemas.microsoft.com/office/drawing/2014/main" id="{D06B9625-B89E-4A48-8426-E82CAD36FC02}"/>
            </a:ext>
          </a:extLst>
        </xdr:cNvPr>
        <xdr:cNvSpPr/>
      </xdr:nvSpPr>
      <xdr:spPr>
        <a:xfrm>
          <a:off x="13500226" y="1551213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97192</xdr:colOff>
      <xdr:row>84</xdr:row>
      <xdr:rowOff>155510</xdr:rowOff>
    </xdr:from>
    <xdr:to>
      <xdr:col>4</xdr:col>
      <xdr:colOff>238740</xdr:colOff>
      <xdr:row>85</xdr:row>
      <xdr:rowOff>135016</xdr:rowOff>
    </xdr:to>
    <xdr:sp macro="" textlink="">
      <xdr:nvSpPr>
        <xdr:cNvPr id="3876" name="6-Point Star 717">
          <a:extLst>
            <a:ext uri="{FF2B5EF4-FFF2-40B4-BE49-F238E27FC236}">
              <a16:creationId xmlns:a16="http://schemas.microsoft.com/office/drawing/2014/main" id="{2A36A8AB-3296-40E8-A0C0-F2217321ACB9}"/>
            </a:ext>
          </a:extLst>
        </xdr:cNvPr>
        <xdr:cNvSpPr/>
      </xdr:nvSpPr>
      <xdr:spPr>
        <a:xfrm>
          <a:off x="1321835" y="1712556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126347</xdr:colOff>
      <xdr:row>84</xdr:row>
      <xdr:rowOff>136066</xdr:rowOff>
    </xdr:from>
    <xdr:to>
      <xdr:col>2</xdr:col>
      <xdr:colOff>267895</xdr:colOff>
      <xdr:row>85</xdr:row>
      <xdr:rowOff>115572</xdr:rowOff>
    </xdr:to>
    <xdr:sp macro="" textlink="">
      <xdr:nvSpPr>
        <xdr:cNvPr id="3877" name="6-Point Star 717">
          <a:extLst>
            <a:ext uri="{FF2B5EF4-FFF2-40B4-BE49-F238E27FC236}">
              <a16:creationId xmlns:a16="http://schemas.microsoft.com/office/drawing/2014/main" id="{646E5014-65C9-487F-B5D2-34C428D1DD6E}"/>
            </a:ext>
          </a:extLst>
        </xdr:cNvPr>
        <xdr:cNvSpPr/>
      </xdr:nvSpPr>
      <xdr:spPr>
        <a:xfrm>
          <a:off x="651194" y="1710611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97388</xdr:colOff>
      <xdr:row>76</xdr:row>
      <xdr:rowOff>145593</xdr:rowOff>
    </xdr:from>
    <xdr:to>
      <xdr:col>40</xdr:col>
      <xdr:colOff>238936</xdr:colOff>
      <xdr:row>77</xdr:row>
      <xdr:rowOff>125100</xdr:rowOff>
    </xdr:to>
    <xdr:sp macro="" textlink="">
      <xdr:nvSpPr>
        <xdr:cNvPr id="3878" name="6-Point Star 717">
          <a:extLst>
            <a:ext uri="{FF2B5EF4-FFF2-40B4-BE49-F238E27FC236}">
              <a16:creationId xmlns:a16="http://schemas.microsoft.com/office/drawing/2014/main" id="{F25ABBC5-574C-4BCB-91A0-6B4AB22ECB78}"/>
            </a:ext>
          </a:extLst>
        </xdr:cNvPr>
        <xdr:cNvSpPr/>
      </xdr:nvSpPr>
      <xdr:spPr>
        <a:xfrm>
          <a:off x="12889463" y="15290343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116630</xdr:colOff>
      <xdr:row>76</xdr:row>
      <xdr:rowOff>174946</xdr:rowOff>
    </xdr:from>
    <xdr:to>
      <xdr:col>44</xdr:col>
      <xdr:colOff>258178</xdr:colOff>
      <xdr:row>77</xdr:row>
      <xdr:rowOff>154453</xdr:rowOff>
    </xdr:to>
    <xdr:sp macro="" textlink="">
      <xdr:nvSpPr>
        <xdr:cNvPr id="3879" name="6-Point Star 717">
          <a:extLst>
            <a:ext uri="{FF2B5EF4-FFF2-40B4-BE49-F238E27FC236}">
              <a16:creationId xmlns:a16="http://schemas.microsoft.com/office/drawing/2014/main" id="{4DBAB289-6CB8-4B62-9A17-BD9FFC5CCF71}"/>
            </a:ext>
          </a:extLst>
        </xdr:cNvPr>
        <xdr:cNvSpPr/>
      </xdr:nvSpPr>
      <xdr:spPr>
        <a:xfrm>
          <a:off x="14258339" y="1553157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116630</xdr:colOff>
      <xdr:row>84</xdr:row>
      <xdr:rowOff>126355</xdr:rowOff>
    </xdr:from>
    <xdr:to>
      <xdr:col>6</xdr:col>
      <xdr:colOff>258178</xdr:colOff>
      <xdr:row>85</xdr:row>
      <xdr:rowOff>105861</xdr:rowOff>
    </xdr:to>
    <xdr:sp macro="" textlink="">
      <xdr:nvSpPr>
        <xdr:cNvPr id="3880" name="6-Point Star 717">
          <a:extLst>
            <a:ext uri="{FF2B5EF4-FFF2-40B4-BE49-F238E27FC236}">
              <a16:creationId xmlns:a16="http://schemas.microsoft.com/office/drawing/2014/main" id="{9FA00F10-C112-4197-896E-F79B4D257E40}"/>
            </a:ext>
          </a:extLst>
        </xdr:cNvPr>
        <xdr:cNvSpPr/>
      </xdr:nvSpPr>
      <xdr:spPr>
        <a:xfrm>
          <a:off x="1963314" y="1709640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174950</xdr:colOff>
      <xdr:row>29</xdr:row>
      <xdr:rowOff>38873</xdr:rowOff>
    </xdr:from>
    <xdr:to>
      <xdr:col>10</xdr:col>
      <xdr:colOff>194388</xdr:colOff>
      <xdr:row>30</xdr:row>
      <xdr:rowOff>106914</xdr:rowOff>
    </xdr:to>
    <xdr:sp macro="" textlink="">
      <xdr:nvSpPr>
        <xdr:cNvPr id="3881" name="Freeform 10707">
          <a:extLst>
            <a:ext uri="{FF2B5EF4-FFF2-40B4-BE49-F238E27FC236}">
              <a16:creationId xmlns:a16="http://schemas.microsoft.com/office/drawing/2014/main" id="{F8384BEE-772A-4D0A-BCA0-3C00D924B436}"/>
            </a:ext>
          </a:extLst>
        </xdr:cNvPr>
        <xdr:cNvSpPr>
          <a:spLocks/>
        </xdr:cNvSpPr>
      </xdr:nvSpPr>
      <xdr:spPr bwMode="auto">
        <a:xfrm>
          <a:off x="2536761" y="5841347"/>
          <a:ext cx="738673" cy="2624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213825</xdr:colOff>
      <xdr:row>29</xdr:row>
      <xdr:rowOff>29159</xdr:rowOff>
    </xdr:from>
    <xdr:to>
      <xdr:col>12</xdr:col>
      <xdr:colOff>204106</xdr:colOff>
      <xdr:row>30</xdr:row>
      <xdr:rowOff>97194</xdr:rowOff>
    </xdr:to>
    <xdr:sp macro="" textlink="">
      <xdr:nvSpPr>
        <xdr:cNvPr id="3882" name="Freeform 10707">
          <a:extLst>
            <a:ext uri="{FF2B5EF4-FFF2-40B4-BE49-F238E27FC236}">
              <a16:creationId xmlns:a16="http://schemas.microsoft.com/office/drawing/2014/main" id="{D3F2886B-C3A6-4056-8CF5-036AE5A0DC6A}"/>
            </a:ext>
          </a:extLst>
        </xdr:cNvPr>
        <xdr:cNvSpPr>
          <a:spLocks/>
        </xdr:cNvSpPr>
      </xdr:nvSpPr>
      <xdr:spPr bwMode="auto">
        <a:xfrm>
          <a:off x="3294871" y="5831633"/>
          <a:ext cx="631761" cy="2624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155510</xdr:colOff>
      <xdr:row>29</xdr:row>
      <xdr:rowOff>68034</xdr:rowOff>
    </xdr:from>
    <xdr:to>
      <xdr:col>14</xdr:col>
      <xdr:colOff>242985</xdr:colOff>
      <xdr:row>30</xdr:row>
      <xdr:rowOff>106913</xdr:rowOff>
    </xdr:to>
    <xdr:sp macro="" textlink="">
      <xdr:nvSpPr>
        <xdr:cNvPr id="3883" name="Freeform 10707">
          <a:extLst>
            <a:ext uri="{FF2B5EF4-FFF2-40B4-BE49-F238E27FC236}">
              <a16:creationId xmlns:a16="http://schemas.microsoft.com/office/drawing/2014/main" id="{7C7B102E-8369-47A9-B3EA-C33197C08976}"/>
            </a:ext>
          </a:extLst>
        </xdr:cNvPr>
        <xdr:cNvSpPr>
          <a:spLocks/>
        </xdr:cNvSpPr>
      </xdr:nvSpPr>
      <xdr:spPr bwMode="auto">
        <a:xfrm>
          <a:off x="3878036" y="5870508"/>
          <a:ext cx="709515" cy="2332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14</xdr:col>
      <xdr:colOff>184667</xdr:colOff>
      <xdr:row>29</xdr:row>
      <xdr:rowOff>58317</xdr:rowOff>
    </xdr:from>
    <xdr:to>
      <xdr:col>16</xdr:col>
      <xdr:colOff>252703</xdr:colOff>
      <xdr:row>30</xdr:row>
      <xdr:rowOff>116633</xdr:rowOff>
    </xdr:to>
    <xdr:sp macro="" textlink="">
      <xdr:nvSpPr>
        <xdr:cNvPr id="3884" name="Freeform 10707">
          <a:extLst>
            <a:ext uri="{FF2B5EF4-FFF2-40B4-BE49-F238E27FC236}">
              <a16:creationId xmlns:a16="http://schemas.microsoft.com/office/drawing/2014/main" id="{6FD8F68B-83FE-4072-BF22-66B4A7A0C49F}"/>
            </a:ext>
          </a:extLst>
        </xdr:cNvPr>
        <xdr:cNvSpPr>
          <a:spLocks/>
        </xdr:cNvSpPr>
      </xdr:nvSpPr>
      <xdr:spPr bwMode="auto">
        <a:xfrm>
          <a:off x="4529233" y="5860791"/>
          <a:ext cx="728955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16</xdr:col>
      <xdr:colOff>233264</xdr:colOff>
      <xdr:row>29</xdr:row>
      <xdr:rowOff>58317</xdr:rowOff>
    </xdr:from>
    <xdr:to>
      <xdr:col>18</xdr:col>
      <xdr:colOff>204107</xdr:colOff>
      <xdr:row>30</xdr:row>
      <xdr:rowOff>145790</xdr:rowOff>
    </xdr:to>
    <xdr:sp macro="" textlink="">
      <xdr:nvSpPr>
        <xdr:cNvPr id="3885" name="Freeform 10707">
          <a:extLst>
            <a:ext uri="{FF2B5EF4-FFF2-40B4-BE49-F238E27FC236}">
              <a16:creationId xmlns:a16="http://schemas.microsoft.com/office/drawing/2014/main" id="{FDACCEB8-4BD1-46F0-9FE1-293F51AEA3AA}"/>
            </a:ext>
          </a:extLst>
        </xdr:cNvPr>
        <xdr:cNvSpPr>
          <a:spLocks/>
        </xdr:cNvSpPr>
      </xdr:nvSpPr>
      <xdr:spPr bwMode="auto">
        <a:xfrm>
          <a:off x="5238749" y="5860791"/>
          <a:ext cx="660919" cy="28186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145791</xdr:colOff>
      <xdr:row>29</xdr:row>
      <xdr:rowOff>29158</xdr:rowOff>
    </xdr:from>
    <xdr:to>
      <xdr:col>20</xdr:col>
      <xdr:colOff>223546</xdr:colOff>
      <xdr:row>30</xdr:row>
      <xdr:rowOff>87472</xdr:rowOff>
    </xdr:to>
    <xdr:sp macro="" textlink="">
      <xdr:nvSpPr>
        <xdr:cNvPr id="3886" name="Freeform 10707">
          <a:extLst>
            <a:ext uri="{FF2B5EF4-FFF2-40B4-BE49-F238E27FC236}">
              <a16:creationId xmlns:a16="http://schemas.microsoft.com/office/drawing/2014/main" id="{9C6A1553-B944-443A-B07A-C80AF2439BAD}"/>
            </a:ext>
          </a:extLst>
        </xdr:cNvPr>
        <xdr:cNvSpPr>
          <a:spLocks/>
        </xdr:cNvSpPr>
      </xdr:nvSpPr>
      <xdr:spPr bwMode="auto">
        <a:xfrm>
          <a:off x="5841352" y="5831632"/>
          <a:ext cx="699796" cy="25270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136073</xdr:colOff>
      <xdr:row>29</xdr:row>
      <xdr:rowOff>38878</xdr:rowOff>
    </xdr:from>
    <xdr:to>
      <xdr:col>22</xdr:col>
      <xdr:colOff>204108</xdr:colOff>
      <xdr:row>30</xdr:row>
      <xdr:rowOff>106914</xdr:rowOff>
    </xdr:to>
    <xdr:sp macro="" textlink="">
      <xdr:nvSpPr>
        <xdr:cNvPr id="3887" name="Freeform 10707">
          <a:extLst>
            <a:ext uri="{FF2B5EF4-FFF2-40B4-BE49-F238E27FC236}">
              <a16:creationId xmlns:a16="http://schemas.microsoft.com/office/drawing/2014/main" id="{992CC2E3-A5B4-4145-AB83-7F38B595355F}"/>
            </a:ext>
          </a:extLst>
        </xdr:cNvPr>
        <xdr:cNvSpPr>
          <a:spLocks/>
        </xdr:cNvSpPr>
      </xdr:nvSpPr>
      <xdr:spPr bwMode="auto">
        <a:xfrm>
          <a:off x="6453675" y="5841352"/>
          <a:ext cx="690076" cy="26242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194388</xdr:colOff>
      <xdr:row>29</xdr:row>
      <xdr:rowOff>19440</xdr:rowOff>
    </xdr:from>
    <xdr:to>
      <xdr:col>24</xdr:col>
      <xdr:colOff>204107</xdr:colOff>
      <xdr:row>30</xdr:row>
      <xdr:rowOff>126352</xdr:rowOff>
    </xdr:to>
    <xdr:sp macro="" textlink="">
      <xdr:nvSpPr>
        <xdr:cNvPr id="3888" name="Freeform 10707">
          <a:extLst>
            <a:ext uri="{FF2B5EF4-FFF2-40B4-BE49-F238E27FC236}">
              <a16:creationId xmlns:a16="http://schemas.microsoft.com/office/drawing/2014/main" id="{99F15684-683F-47AB-B3FB-B1500E987F95}"/>
            </a:ext>
          </a:extLst>
        </xdr:cNvPr>
        <xdr:cNvSpPr>
          <a:spLocks/>
        </xdr:cNvSpPr>
      </xdr:nvSpPr>
      <xdr:spPr bwMode="auto">
        <a:xfrm>
          <a:off x="7134031" y="5821914"/>
          <a:ext cx="631760" cy="3013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174949</xdr:colOff>
      <xdr:row>29</xdr:row>
      <xdr:rowOff>38879</xdr:rowOff>
    </xdr:from>
    <xdr:to>
      <xdr:col>26</xdr:col>
      <xdr:colOff>194388</xdr:colOff>
      <xdr:row>30</xdr:row>
      <xdr:rowOff>126353</xdr:rowOff>
    </xdr:to>
    <xdr:sp macro="" textlink="">
      <xdr:nvSpPr>
        <xdr:cNvPr id="3889" name="Freeform 10707">
          <a:extLst>
            <a:ext uri="{FF2B5EF4-FFF2-40B4-BE49-F238E27FC236}">
              <a16:creationId xmlns:a16="http://schemas.microsoft.com/office/drawing/2014/main" id="{EF9800CB-1CA1-4EB2-8A8E-CB5F25427146}"/>
            </a:ext>
          </a:extLst>
        </xdr:cNvPr>
        <xdr:cNvSpPr>
          <a:spLocks/>
        </xdr:cNvSpPr>
      </xdr:nvSpPr>
      <xdr:spPr bwMode="auto">
        <a:xfrm>
          <a:off x="7736633" y="5841353"/>
          <a:ext cx="641479" cy="2818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184668</xdr:colOff>
      <xdr:row>29</xdr:row>
      <xdr:rowOff>58317</xdr:rowOff>
    </xdr:from>
    <xdr:to>
      <xdr:col>28</xdr:col>
      <xdr:colOff>223546</xdr:colOff>
      <xdr:row>30</xdr:row>
      <xdr:rowOff>126351</xdr:rowOff>
    </xdr:to>
    <xdr:sp macro="" textlink="">
      <xdr:nvSpPr>
        <xdr:cNvPr id="3890" name="Freeform 10707">
          <a:extLst>
            <a:ext uri="{FF2B5EF4-FFF2-40B4-BE49-F238E27FC236}">
              <a16:creationId xmlns:a16="http://schemas.microsoft.com/office/drawing/2014/main" id="{B7FF394E-10CB-491F-842C-C7A74DA1EF33}"/>
            </a:ext>
          </a:extLst>
        </xdr:cNvPr>
        <xdr:cNvSpPr>
          <a:spLocks/>
        </xdr:cNvSpPr>
      </xdr:nvSpPr>
      <xdr:spPr bwMode="auto">
        <a:xfrm>
          <a:off x="8368392" y="5860791"/>
          <a:ext cx="690077" cy="26242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28</xdr:col>
      <xdr:colOff>155510</xdr:colOff>
      <xdr:row>29</xdr:row>
      <xdr:rowOff>48597</xdr:rowOff>
    </xdr:from>
    <xdr:to>
      <xdr:col>30</xdr:col>
      <xdr:colOff>233265</xdr:colOff>
      <xdr:row>30</xdr:row>
      <xdr:rowOff>145791</xdr:rowOff>
    </xdr:to>
    <xdr:sp macro="" textlink="">
      <xdr:nvSpPr>
        <xdr:cNvPr id="3891" name="Freeform 10707">
          <a:extLst>
            <a:ext uri="{FF2B5EF4-FFF2-40B4-BE49-F238E27FC236}">
              <a16:creationId xmlns:a16="http://schemas.microsoft.com/office/drawing/2014/main" id="{90F030EB-AFFC-46E4-A446-1D3DEE366EB0}"/>
            </a:ext>
          </a:extLst>
        </xdr:cNvPr>
        <xdr:cNvSpPr>
          <a:spLocks/>
        </xdr:cNvSpPr>
      </xdr:nvSpPr>
      <xdr:spPr bwMode="auto">
        <a:xfrm>
          <a:off x="8990433" y="5851071"/>
          <a:ext cx="699796" cy="29158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184668</xdr:colOff>
      <xdr:row>29</xdr:row>
      <xdr:rowOff>29159</xdr:rowOff>
    </xdr:from>
    <xdr:to>
      <xdr:col>32</xdr:col>
      <xdr:colOff>223546</xdr:colOff>
      <xdr:row>30</xdr:row>
      <xdr:rowOff>106914</xdr:rowOff>
    </xdr:to>
    <xdr:sp macro="" textlink="">
      <xdr:nvSpPr>
        <xdr:cNvPr id="3892" name="Freeform 10707">
          <a:extLst>
            <a:ext uri="{FF2B5EF4-FFF2-40B4-BE49-F238E27FC236}">
              <a16:creationId xmlns:a16="http://schemas.microsoft.com/office/drawing/2014/main" id="{C1474FC2-7DD2-4221-8FC3-29110B5EA22F}"/>
            </a:ext>
          </a:extLst>
        </xdr:cNvPr>
        <xdr:cNvSpPr>
          <a:spLocks/>
        </xdr:cNvSpPr>
      </xdr:nvSpPr>
      <xdr:spPr bwMode="auto">
        <a:xfrm>
          <a:off x="9641632" y="5831633"/>
          <a:ext cx="690077" cy="2721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194388</xdr:colOff>
      <xdr:row>29</xdr:row>
      <xdr:rowOff>29160</xdr:rowOff>
    </xdr:from>
    <xdr:to>
      <xdr:col>34</xdr:col>
      <xdr:colOff>155510</xdr:colOff>
      <xdr:row>30</xdr:row>
      <xdr:rowOff>106914</xdr:rowOff>
    </xdr:to>
    <xdr:sp macro="" textlink="">
      <xdr:nvSpPr>
        <xdr:cNvPr id="3893" name="Freeform 10707">
          <a:extLst>
            <a:ext uri="{FF2B5EF4-FFF2-40B4-BE49-F238E27FC236}">
              <a16:creationId xmlns:a16="http://schemas.microsoft.com/office/drawing/2014/main" id="{F51BA28E-DA91-46D5-864E-73F409E039E0}"/>
            </a:ext>
          </a:extLst>
        </xdr:cNvPr>
        <xdr:cNvSpPr>
          <a:spLocks/>
        </xdr:cNvSpPr>
      </xdr:nvSpPr>
      <xdr:spPr bwMode="auto">
        <a:xfrm>
          <a:off x="10302551" y="5831634"/>
          <a:ext cx="583163" cy="2721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155507</xdr:colOff>
      <xdr:row>111</xdr:row>
      <xdr:rowOff>48595</xdr:rowOff>
    </xdr:from>
    <xdr:to>
      <xdr:col>30</xdr:col>
      <xdr:colOff>250758</xdr:colOff>
      <xdr:row>112</xdr:row>
      <xdr:rowOff>147732</xdr:rowOff>
    </xdr:to>
    <xdr:cxnSp macro="">
      <xdr:nvCxnSpPr>
        <xdr:cNvPr id="3894" name="Elbow Connector 55">
          <a:extLst>
            <a:ext uri="{FF2B5EF4-FFF2-40B4-BE49-F238E27FC236}">
              <a16:creationId xmlns:a16="http://schemas.microsoft.com/office/drawing/2014/main" id="{FD93610C-CDDE-4DDA-BC22-3648F7D54C58}"/>
            </a:ext>
          </a:extLst>
        </xdr:cNvPr>
        <xdr:cNvCxnSpPr/>
      </xdr:nvCxnSpPr>
      <xdr:spPr>
        <a:xfrm rot="16200000" flipH="1">
          <a:off x="9484176" y="22570359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155507</xdr:colOff>
      <xdr:row>119</xdr:row>
      <xdr:rowOff>58314</xdr:rowOff>
    </xdr:from>
    <xdr:to>
      <xdr:col>12</xdr:col>
      <xdr:colOff>250758</xdr:colOff>
      <xdr:row>120</xdr:row>
      <xdr:rowOff>157451</xdr:rowOff>
    </xdr:to>
    <xdr:cxnSp macro="">
      <xdr:nvCxnSpPr>
        <xdr:cNvPr id="3895" name="Elbow Connector 55">
          <a:extLst>
            <a:ext uri="{FF2B5EF4-FFF2-40B4-BE49-F238E27FC236}">
              <a16:creationId xmlns:a16="http://schemas.microsoft.com/office/drawing/2014/main" id="{189BE2E3-6CA9-4056-B33D-7A8465F06EBF}"/>
            </a:ext>
          </a:extLst>
        </xdr:cNvPr>
        <xdr:cNvCxnSpPr/>
      </xdr:nvCxnSpPr>
      <xdr:spPr>
        <a:xfrm rot="16200000" flipH="1">
          <a:off x="3749738" y="24193497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145787</xdr:colOff>
      <xdr:row>119</xdr:row>
      <xdr:rowOff>77754</xdr:rowOff>
    </xdr:from>
    <xdr:to>
      <xdr:col>32</xdr:col>
      <xdr:colOff>241038</xdr:colOff>
      <xdr:row>120</xdr:row>
      <xdr:rowOff>176891</xdr:rowOff>
    </xdr:to>
    <xdr:cxnSp macro="">
      <xdr:nvCxnSpPr>
        <xdr:cNvPr id="3896" name="Elbow Connector 55">
          <a:extLst>
            <a:ext uri="{FF2B5EF4-FFF2-40B4-BE49-F238E27FC236}">
              <a16:creationId xmlns:a16="http://schemas.microsoft.com/office/drawing/2014/main" id="{8A4FCD4C-0F5D-4881-87A5-077999971FCF}"/>
            </a:ext>
          </a:extLst>
        </xdr:cNvPr>
        <xdr:cNvCxnSpPr/>
      </xdr:nvCxnSpPr>
      <xdr:spPr>
        <a:xfrm rot="16200000" flipH="1">
          <a:off x="10125655" y="24212937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145787</xdr:colOff>
      <xdr:row>119</xdr:row>
      <xdr:rowOff>58315</xdr:rowOff>
    </xdr:from>
    <xdr:to>
      <xdr:col>40</xdr:col>
      <xdr:colOff>241038</xdr:colOff>
      <xdr:row>120</xdr:row>
      <xdr:rowOff>157452</xdr:rowOff>
    </xdr:to>
    <xdr:cxnSp macro="">
      <xdr:nvCxnSpPr>
        <xdr:cNvPr id="3897" name="Elbow Connector 55">
          <a:extLst>
            <a:ext uri="{FF2B5EF4-FFF2-40B4-BE49-F238E27FC236}">
              <a16:creationId xmlns:a16="http://schemas.microsoft.com/office/drawing/2014/main" id="{807F50C3-EE10-42ED-ACAF-F7B053041ED7}"/>
            </a:ext>
          </a:extLst>
        </xdr:cNvPr>
        <xdr:cNvCxnSpPr/>
      </xdr:nvCxnSpPr>
      <xdr:spPr>
        <a:xfrm rot="16200000" flipH="1">
          <a:off x="12662415" y="24193498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136069</xdr:colOff>
      <xdr:row>127</xdr:row>
      <xdr:rowOff>58314</xdr:rowOff>
    </xdr:from>
    <xdr:to>
      <xdr:col>8</xdr:col>
      <xdr:colOff>231320</xdr:colOff>
      <xdr:row>128</xdr:row>
      <xdr:rowOff>157451</xdr:rowOff>
    </xdr:to>
    <xdr:cxnSp macro="">
      <xdr:nvCxnSpPr>
        <xdr:cNvPr id="3898" name="Elbow Connector 55">
          <a:extLst>
            <a:ext uri="{FF2B5EF4-FFF2-40B4-BE49-F238E27FC236}">
              <a16:creationId xmlns:a16="http://schemas.microsoft.com/office/drawing/2014/main" id="{BAB78893-ECE0-4F26-A007-DA2F171A481C}"/>
            </a:ext>
          </a:extLst>
        </xdr:cNvPr>
        <xdr:cNvCxnSpPr/>
      </xdr:nvCxnSpPr>
      <xdr:spPr>
        <a:xfrm rot="16200000" flipH="1">
          <a:off x="2369585" y="2580691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145787</xdr:colOff>
      <xdr:row>127</xdr:row>
      <xdr:rowOff>58314</xdr:rowOff>
    </xdr:from>
    <xdr:to>
      <xdr:col>10</xdr:col>
      <xdr:colOff>241038</xdr:colOff>
      <xdr:row>128</xdr:row>
      <xdr:rowOff>157451</xdr:rowOff>
    </xdr:to>
    <xdr:cxnSp macro="">
      <xdr:nvCxnSpPr>
        <xdr:cNvPr id="3899" name="Elbow Connector 55">
          <a:extLst>
            <a:ext uri="{FF2B5EF4-FFF2-40B4-BE49-F238E27FC236}">
              <a16:creationId xmlns:a16="http://schemas.microsoft.com/office/drawing/2014/main" id="{B41442D0-3163-48A9-8BA4-9139D202CDE2}"/>
            </a:ext>
          </a:extLst>
        </xdr:cNvPr>
        <xdr:cNvCxnSpPr/>
      </xdr:nvCxnSpPr>
      <xdr:spPr>
        <a:xfrm rot="16200000" flipH="1">
          <a:off x="3098538" y="2580691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165230</xdr:colOff>
      <xdr:row>29</xdr:row>
      <xdr:rowOff>0</xdr:rowOff>
    </xdr:from>
    <xdr:to>
      <xdr:col>8</xdr:col>
      <xdr:colOff>213832</xdr:colOff>
      <xdr:row>30</xdr:row>
      <xdr:rowOff>116633</xdr:rowOff>
    </xdr:to>
    <xdr:sp macro="" textlink="">
      <xdr:nvSpPr>
        <xdr:cNvPr id="3900" name="Freeform 10707">
          <a:extLst>
            <a:ext uri="{FF2B5EF4-FFF2-40B4-BE49-F238E27FC236}">
              <a16:creationId xmlns:a16="http://schemas.microsoft.com/office/drawing/2014/main" id="{2A14DC15-15D3-4B7E-92FD-9752A0374707}"/>
            </a:ext>
          </a:extLst>
        </xdr:cNvPr>
        <xdr:cNvSpPr>
          <a:spLocks/>
        </xdr:cNvSpPr>
      </xdr:nvSpPr>
      <xdr:spPr bwMode="auto">
        <a:xfrm>
          <a:off x="1875842" y="5802474"/>
          <a:ext cx="699801" cy="31102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87480</xdr:colOff>
      <xdr:row>29</xdr:row>
      <xdr:rowOff>9712</xdr:rowOff>
    </xdr:from>
    <xdr:to>
      <xdr:col>8</xdr:col>
      <xdr:colOff>229028</xdr:colOff>
      <xdr:row>29</xdr:row>
      <xdr:rowOff>183606</xdr:rowOff>
    </xdr:to>
    <xdr:sp macro="" textlink="">
      <xdr:nvSpPr>
        <xdr:cNvPr id="3901" name="6-Point Star 717">
          <a:extLst>
            <a:ext uri="{FF2B5EF4-FFF2-40B4-BE49-F238E27FC236}">
              <a16:creationId xmlns:a16="http://schemas.microsoft.com/office/drawing/2014/main" id="{7B411B5A-1A13-4537-BA64-03C512F46255}"/>
            </a:ext>
          </a:extLst>
        </xdr:cNvPr>
        <xdr:cNvSpPr/>
      </xdr:nvSpPr>
      <xdr:spPr>
        <a:xfrm>
          <a:off x="2449291" y="581218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106911</xdr:colOff>
      <xdr:row>29</xdr:row>
      <xdr:rowOff>9712</xdr:rowOff>
    </xdr:from>
    <xdr:to>
      <xdr:col>10</xdr:col>
      <xdr:colOff>248459</xdr:colOff>
      <xdr:row>29</xdr:row>
      <xdr:rowOff>183606</xdr:rowOff>
    </xdr:to>
    <xdr:sp macro="" textlink="">
      <xdr:nvSpPr>
        <xdr:cNvPr id="3902" name="6-Point Star 717">
          <a:extLst>
            <a:ext uri="{FF2B5EF4-FFF2-40B4-BE49-F238E27FC236}">
              <a16:creationId xmlns:a16="http://schemas.microsoft.com/office/drawing/2014/main" id="{7B8B0796-BEAB-428B-A08D-3D503BED57AC}"/>
            </a:ext>
          </a:extLst>
        </xdr:cNvPr>
        <xdr:cNvSpPr/>
      </xdr:nvSpPr>
      <xdr:spPr>
        <a:xfrm>
          <a:off x="3187957" y="581218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116623</xdr:colOff>
      <xdr:row>29</xdr:row>
      <xdr:rowOff>1</xdr:rowOff>
    </xdr:from>
    <xdr:to>
      <xdr:col>12</xdr:col>
      <xdr:colOff>258171</xdr:colOff>
      <xdr:row>29</xdr:row>
      <xdr:rowOff>173895</xdr:rowOff>
    </xdr:to>
    <xdr:sp macro="" textlink="">
      <xdr:nvSpPr>
        <xdr:cNvPr id="3903" name="6-Point Star 717">
          <a:extLst>
            <a:ext uri="{FF2B5EF4-FFF2-40B4-BE49-F238E27FC236}">
              <a16:creationId xmlns:a16="http://schemas.microsoft.com/office/drawing/2014/main" id="{9123FEC0-2120-47CA-9B19-3B5273874D3D}"/>
            </a:ext>
          </a:extLst>
        </xdr:cNvPr>
        <xdr:cNvSpPr/>
      </xdr:nvSpPr>
      <xdr:spPr>
        <a:xfrm>
          <a:off x="3839149" y="580247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194393</xdr:colOff>
      <xdr:row>85</xdr:row>
      <xdr:rowOff>48597</xdr:rowOff>
    </xdr:from>
    <xdr:to>
      <xdr:col>8</xdr:col>
      <xdr:colOff>233265</xdr:colOff>
      <xdr:row>86</xdr:row>
      <xdr:rowOff>145790</xdr:rowOff>
    </xdr:to>
    <xdr:sp macro="" textlink="">
      <xdr:nvSpPr>
        <xdr:cNvPr id="3904" name="Freeform 10707">
          <a:extLst>
            <a:ext uri="{FF2B5EF4-FFF2-40B4-BE49-F238E27FC236}">
              <a16:creationId xmlns:a16="http://schemas.microsoft.com/office/drawing/2014/main" id="{3CD5FC38-5ACF-4594-94E0-3E88A0FA428D}"/>
            </a:ext>
          </a:extLst>
        </xdr:cNvPr>
        <xdr:cNvSpPr>
          <a:spLocks/>
        </xdr:cNvSpPr>
      </xdr:nvSpPr>
      <xdr:spPr bwMode="auto">
        <a:xfrm>
          <a:off x="1905005" y="17213036"/>
          <a:ext cx="690071" cy="29158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213831</xdr:colOff>
      <xdr:row>85</xdr:row>
      <xdr:rowOff>48598</xdr:rowOff>
    </xdr:from>
    <xdr:to>
      <xdr:col>10</xdr:col>
      <xdr:colOff>223546</xdr:colOff>
      <xdr:row>86</xdr:row>
      <xdr:rowOff>126352</xdr:rowOff>
    </xdr:to>
    <xdr:sp macro="" textlink="">
      <xdr:nvSpPr>
        <xdr:cNvPr id="3905" name="Freeform 10707">
          <a:extLst>
            <a:ext uri="{FF2B5EF4-FFF2-40B4-BE49-F238E27FC236}">
              <a16:creationId xmlns:a16="http://schemas.microsoft.com/office/drawing/2014/main" id="{33C6CDCF-BC1E-476D-94DE-4FAE9B18F151}"/>
            </a:ext>
          </a:extLst>
        </xdr:cNvPr>
        <xdr:cNvSpPr>
          <a:spLocks/>
        </xdr:cNvSpPr>
      </xdr:nvSpPr>
      <xdr:spPr bwMode="auto">
        <a:xfrm>
          <a:off x="2575642" y="17213037"/>
          <a:ext cx="728950" cy="2721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184673</xdr:colOff>
      <xdr:row>85</xdr:row>
      <xdr:rowOff>38876</xdr:rowOff>
    </xdr:from>
    <xdr:to>
      <xdr:col>12</xdr:col>
      <xdr:colOff>204105</xdr:colOff>
      <xdr:row>86</xdr:row>
      <xdr:rowOff>77755</xdr:rowOff>
    </xdr:to>
    <xdr:sp macro="" textlink="">
      <xdr:nvSpPr>
        <xdr:cNvPr id="3906" name="Freeform 10707">
          <a:extLst>
            <a:ext uri="{FF2B5EF4-FFF2-40B4-BE49-F238E27FC236}">
              <a16:creationId xmlns:a16="http://schemas.microsoft.com/office/drawing/2014/main" id="{7561E3A1-5F18-45F4-B4B3-FC4FE75EBD8D}"/>
            </a:ext>
          </a:extLst>
        </xdr:cNvPr>
        <xdr:cNvSpPr>
          <a:spLocks/>
        </xdr:cNvSpPr>
      </xdr:nvSpPr>
      <xdr:spPr bwMode="auto">
        <a:xfrm>
          <a:off x="3265719" y="17203315"/>
          <a:ext cx="660912" cy="2332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165233</xdr:colOff>
      <xdr:row>85</xdr:row>
      <xdr:rowOff>38876</xdr:rowOff>
    </xdr:from>
    <xdr:to>
      <xdr:col>14</xdr:col>
      <xdr:colOff>204105</xdr:colOff>
      <xdr:row>86</xdr:row>
      <xdr:rowOff>87474</xdr:rowOff>
    </xdr:to>
    <xdr:sp macro="" textlink="">
      <xdr:nvSpPr>
        <xdr:cNvPr id="3907" name="Freeform 10707">
          <a:extLst>
            <a:ext uri="{FF2B5EF4-FFF2-40B4-BE49-F238E27FC236}">
              <a16:creationId xmlns:a16="http://schemas.microsoft.com/office/drawing/2014/main" id="{7F0F8F0E-FF27-49F6-8300-98C58AAA9D3F}"/>
            </a:ext>
          </a:extLst>
        </xdr:cNvPr>
        <xdr:cNvSpPr>
          <a:spLocks/>
        </xdr:cNvSpPr>
      </xdr:nvSpPr>
      <xdr:spPr bwMode="auto">
        <a:xfrm>
          <a:off x="3887759" y="17203315"/>
          <a:ext cx="660912" cy="24298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204114</xdr:colOff>
      <xdr:row>85</xdr:row>
      <xdr:rowOff>58315</xdr:rowOff>
    </xdr:from>
    <xdr:to>
      <xdr:col>16</xdr:col>
      <xdr:colOff>262423</xdr:colOff>
      <xdr:row>86</xdr:row>
      <xdr:rowOff>77754</xdr:rowOff>
    </xdr:to>
    <xdr:sp macro="" textlink="">
      <xdr:nvSpPr>
        <xdr:cNvPr id="3908" name="Freeform 10707">
          <a:extLst>
            <a:ext uri="{FF2B5EF4-FFF2-40B4-BE49-F238E27FC236}">
              <a16:creationId xmlns:a16="http://schemas.microsoft.com/office/drawing/2014/main" id="{FEAF451A-9A59-443C-BB56-968EACEA35B5}"/>
            </a:ext>
          </a:extLst>
        </xdr:cNvPr>
        <xdr:cNvSpPr>
          <a:spLocks/>
        </xdr:cNvSpPr>
      </xdr:nvSpPr>
      <xdr:spPr bwMode="auto">
        <a:xfrm>
          <a:off x="4548680" y="17222754"/>
          <a:ext cx="719228" cy="2138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194395</xdr:colOff>
      <xdr:row>85</xdr:row>
      <xdr:rowOff>38877</xdr:rowOff>
    </xdr:from>
    <xdr:to>
      <xdr:col>18</xdr:col>
      <xdr:colOff>213827</xdr:colOff>
      <xdr:row>86</xdr:row>
      <xdr:rowOff>38877</xdr:rowOff>
    </xdr:to>
    <xdr:sp macro="" textlink="">
      <xdr:nvSpPr>
        <xdr:cNvPr id="3909" name="Freeform 10707">
          <a:extLst>
            <a:ext uri="{FF2B5EF4-FFF2-40B4-BE49-F238E27FC236}">
              <a16:creationId xmlns:a16="http://schemas.microsoft.com/office/drawing/2014/main" id="{826FE189-8B2F-4746-856E-B5CB62F5AA5F}"/>
            </a:ext>
          </a:extLst>
        </xdr:cNvPr>
        <xdr:cNvSpPr>
          <a:spLocks/>
        </xdr:cNvSpPr>
      </xdr:nvSpPr>
      <xdr:spPr bwMode="auto">
        <a:xfrm>
          <a:off x="5199880" y="17203316"/>
          <a:ext cx="709508" cy="1943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145798</xdr:colOff>
      <xdr:row>85</xdr:row>
      <xdr:rowOff>57732</xdr:rowOff>
    </xdr:from>
    <xdr:to>
      <xdr:col>20</xdr:col>
      <xdr:colOff>184669</xdr:colOff>
      <xdr:row>86</xdr:row>
      <xdr:rowOff>95250</xdr:rowOff>
    </xdr:to>
    <xdr:sp macro="" textlink="">
      <xdr:nvSpPr>
        <xdr:cNvPr id="3910" name="Freeform 10707">
          <a:extLst>
            <a:ext uri="{FF2B5EF4-FFF2-40B4-BE49-F238E27FC236}">
              <a16:creationId xmlns:a16="http://schemas.microsoft.com/office/drawing/2014/main" id="{CF581669-8F0A-4420-AEE8-EAB4D3AD6937}"/>
            </a:ext>
          </a:extLst>
        </xdr:cNvPr>
        <xdr:cNvSpPr>
          <a:spLocks/>
        </xdr:cNvSpPr>
      </xdr:nvSpPr>
      <xdr:spPr bwMode="auto">
        <a:xfrm>
          <a:off x="5889373" y="16983657"/>
          <a:ext cx="667521" cy="2280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228600</xdr:colOff>
      <xdr:row>85</xdr:row>
      <xdr:rowOff>57150</xdr:rowOff>
    </xdr:from>
    <xdr:to>
      <xdr:col>22</xdr:col>
      <xdr:colOff>152400</xdr:colOff>
      <xdr:row>86</xdr:row>
      <xdr:rowOff>107106</xdr:rowOff>
    </xdr:to>
    <xdr:sp macro="" textlink="">
      <xdr:nvSpPr>
        <xdr:cNvPr id="3911" name="Freeform 10707">
          <a:extLst>
            <a:ext uri="{FF2B5EF4-FFF2-40B4-BE49-F238E27FC236}">
              <a16:creationId xmlns:a16="http://schemas.microsoft.com/office/drawing/2014/main" id="{8C230C52-49D5-4D68-B1D3-5DAF172AFC2E}"/>
            </a:ext>
          </a:extLst>
        </xdr:cNvPr>
        <xdr:cNvSpPr>
          <a:spLocks/>
        </xdr:cNvSpPr>
      </xdr:nvSpPr>
      <xdr:spPr bwMode="auto">
        <a:xfrm>
          <a:off x="6600825" y="16983075"/>
          <a:ext cx="552450" cy="24045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165233</xdr:colOff>
      <xdr:row>85</xdr:row>
      <xdr:rowOff>38876</xdr:rowOff>
    </xdr:from>
    <xdr:to>
      <xdr:col>24</xdr:col>
      <xdr:colOff>204104</xdr:colOff>
      <xdr:row>86</xdr:row>
      <xdr:rowOff>106913</xdr:rowOff>
    </xdr:to>
    <xdr:sp macro="" textlink="">
      <xdr:nvSpPr>
        <xdr:cNvPr id="3912" name="Freeform 10707">
          <a:extLst>
            <a:ext uri="{FF2B5EF4-FFF2-40B4-BE49-F238E27FC236}">
              <a16:creationId xmlns:a16="http://schemas.microsoft.com/office/drawing/2014/main" id="{1044C657-C43F-4290-9FEF-DD9F7F7FD322}"/>
            </a:ext>
          </a:extLst>
        </xdr:cNvPr>
        <xdr:cNvSpPr>
          <a:spLocks/>
        </xdr:cNvSpPr>
      </xdr:nvSpPr>
      <xdr:spPr bwMode="auto">
        <a:xfrm>
          <a:off x="7104876" y="17203315"/>
          <a:ext cx="660912" cy="2624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241630</xdr:colOff>
      <xdr:row>85</xdr:row>
      <xdr:rowOff>57150</xdr:rowOff>
    </xdr:from>
    <xdr:to>
      <xdr:col>26</xdr:col>
      <xdr:colOff>180975</xdr:colOff>
      <xdr:row>86</xdr:row>
      <xdr:rowOff>87472</xdr:rowOff>
    </xdr:to>
    <xdr:sp macro="" textlink="">
      <xdr:nvSpPr>
        <xdr:cNvPr id="3913" name="Freeform 10707">
          <a:extLst>
            <a:ext uri="{FF2B5EF4-FFF2-40B4-BE49-F238E27FC236}">
              <a16:creationId xmlns:a16="http://schemas.microsoft.com/office/drawing/2014/main" id="{59357C49-BC83-4241-BCFE-570C08E95F7C}"/>
            </a:ext>
          </a:extLst>
        </xdr:cNvPr>
        <xdr:cNvSpPr>
          <a:spLocks/>
        </xdr:cNvSpPr>
      </xdr:nvSpPr>
      <xdr:spPr bwMode="auto">
        <a:xfrm>
          <a:off x="7871155" y="16983075"/>
          <a:ext cx="567995" cy="22082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238125</xdr:colOff>
      <xdr:row>85</xdr:row>
      <xdr:rowOff>57149</xdr:rowOff>
    </xdr:from>
    <xdr:to>
      <xdr:col>28</xdr:col>
      <xdr:colOff>214409</xdr:colOff>
      <xdr:row>86</xdr:row>
      <xdr:rowOff>117020</xdr:rowOff>
    </xdr:to>
    <xdr:sp macro="" textlink="">
      <xdr:nvSpPr>
        <xdr:cNvPr id="3914" name="Freeform 10707">
          <a:extLst>
            <a:ext uri="{FF2B5EF4-FFF2-40B4-BE49-F238E27FC236}">
              <a16:creationId xmlns:a16="http://schemas.microsoft.com/office/drawing/2014/main" id="{A9581129-94F5-471B-A4FB-A4A83C18114F}"/>
            </a:ext>
          </a:extLst>
        </xdr:cNvPr>
        <xdr:cNvSpPr>
          <a:spLocks/>
        </xdr:cNvSpPr>
      </xdr:nvSpPr>
      <xdr:spPr bwMode="auto">
        <a:xfrm>
          <a:off x="8496300" y="16983074"/>
          <a:ext cx="633509" cy="25037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165237</xdr:colOff>
      <xdr:row>85</xdr:row>
      <xdr:rowOff>38100</xdr:rowOff>
    </xdr:from>
    <xdr:to>
      <xdr:col>30</xdr:col>
      <xdr:colOff>133350</xdr:colOff>
      <xdr:row>86</xdr:row>
      <xdr:rowOff>77755</xdr:rowOff>
    </xdr:to>
    <xdr:sp macro="" textlink="">
      <xdr:nvSpPr>
        <xdr:cNvPr id="3915" name="Freeform 10707">
          <a:extLst>
            <a:ext uri="{FF2B5EF4-FFF2-40B4-BE49-F238E27FC236}">
              <a16:creationId xmlns:a16="http://schemas.microsoft.com/office/drawing/2014/main" id="{C6F10162-E431-4A99-B2A4-F25F5DC189A4}"/>
            </a:ext>
          </a:extLst>
        </xdr:cNvPr>
        <xdr:cNvSpPr>
          <a:spLocks/>
        </xdr:cNvSpPr>
      </xdr:nvSpPr>
      <xdr:spPr bwMode="auto">
        <a:xfrm>
          <a:off x="9080637" y="16964025"/>
          <a:ext cx="596763" cy="23015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126351</xdr:colOff>
      <xdr:row>28</xdr:row>
      <xdr:rowOff>174944</xdr:rowOff>
    </xdr:from>
    <xdr:to>
      <xdr:col>14</xdr:col>
      <xdr:colOff>267899</xdr:colOff>
      <xdr:row>29</xdr:row>
      <xdr:rowOff>154451</xdr:rowOff>
    </xdr:to>
    <xdr:sp macro="" textlink="">
      <xdr:nvSpPr>
        <xdr:cNvPr id="3916" name="6-Point Star 717">
          <a:extLst>
            <a:ext uri="{FF2B5EF4-FFF2-40B4-BE49-F238E27FC236}">
              <a16:creationId xmlns:a16="http://schemas.microsoft.com/office/drawing/2014/main" id="{E849B968-43C1-4466-B324-99806BB00DBB}"/>
            </a:ext>
          </a:extLst>
        </xdr:cNvPr>
        <xdr:cNvSpPr/>
      </xdr:nvSpPr>
      <xdr:spPr>
        <a:xfrm>
          <a:off x="4470917" y="578303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126347</xdr:colOff>
      <xdr:row>28</xdr:row>
      <xdr:rowOff>155506</xdr:rowOff>
    </xdr:from>
    <xdr:to>
      <xdr:col>16</xdr:col>
      <xdr:colOff>267895</xdr:colOff>
      <xdr:row>29</xdr:row>
      <xdr:rowOff>135013</xdr:rowOff>
    </xdr:to>
    <xdr:sp macro="" textlink="">
      <xdr:nvSpPr>
        <xdr:cNvPr id="3917" name="6-Point Star 717">
          <a:extLst>
            <a:ext uri="{FF2B5EF4-FFF2-40B4-BE49-F238E27FC236}">
              <a16:creationId xmlns:a16="http://schemas.microsoft.com/office/drawing/2014/main" id="{7AC92566-1A57-439A-BDB8-DBAA944E9059}"/>
            </a:ext>
          </a:extLst>
        </xdr:cNvPr>
        <xdr:cNvSpPr/>
      </xdr:nvSpPr>
      <xdr:spPr>
        <a:xfrm>
          <a:off x="5131832" y="576359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87475</xdr:colOff>
      <xdr:row>29</xdr:row>
      <xdr:rowOff>19437</xdr:rowOff>
    </xdr:from>
    <xdr:to>
      <xdr:col>18</xdr:col>
      <xdr:colOff>229023</xdr:colOff>
      <xdr:row>29</xdr:row>
      <xdr:rowOff>193331</xdr:rowOff>
    </xdr:to>
    <xdr:sp macro="" textlink="">
      <xdr:nvSpPr>
        <xdr:cNvPr id="3918" name="6-Point Star 717">
          <a:extLst>
            <a:ext uri="{FF2B5EF4-FFF2-40B4-BE49-F238E27FC236}">
              <a16:creationId xmlns:a16="http://schemas.microsoft.com/office/drawing/2014/main" id="{E4B1948F-9589-4020-AE6B-B7713A256C47}"/>
            </a:ext>
          </a:extLst>
        </xdr:cNvPr>
        <xdr:cNvSpPr/>
      </xdr:nvSpPr>
      <xdr:spPr>
        <a:xfrm>
          <a:off x="5783036" y="582191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87471</xdr:colOff>
      <xdr:row>28</xdr:row>
      <xdr:rowOff>165225</xdr:rowOff>
    </xdr:from>
    <xdr:to>
      <xdr:col>20</xdr:col>
      <xdr:colOff>229019</xdr:colOff>
      <xdr:row>29</xdr:row>
      <xdr:rowOff>144732</xdr:rowOff>
    </xdr:to>
    <xdr:sp macro="" textlink="">
      <xdr:nvSpPr>
        <xdr:cNvPr id="3919" name="6-Point Star 717">
          <a:extLst>
            <a:ext uri="{FF2B5EF4-FFF2-40B4-BE49-F238E27FC236}">
              <a16:creationId xmlns:a16="http://schemas.microsoft.com/office/drawing/2014/main" id="{E067783B-E5EA-42E6-BD53-E9843B26B154}"/>
            </a:ext>
          </a:extLst>
        </xdr:cNvPr>
        <xdr:cNvSpPr/>
      </xdr:nvSpPr>
      <xdr:spPr>
        <a:xfrm>
          <a:off x="6405073" y="577331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97196</xdr:colOff>
      <xdr:row>28</xdr:row>
      <xdr:rowOff>165224</xdr:rowOff>
    </xdr:from>
    <xdr:to>
      <xdr:col>22</xdr:col>
      <xdr:colOff>238744</xdr:colOff>
      <xdr:row>29</xdr:row>
      <xdr:rowOff>144731</xdr:rowOff>
    </xdr:to>
    <xdr:sp macro="" textlink="">
      <xdr:nvSpPr>
        <xdr:cNvPr id="3920" name="6-Point Star 717">
          <a:extLst>
            <a:ext uri="{FF2B5EF4-FFF2-40B4-BE49-F238E27FC236}">
              <a16:creationId xmlns:a16="http://schemas.microsoft.com/office/drawing/2014/main" id="{0B0B0863-930D-43BC-8E6B-43FECFE1DE29}"/>
            </a:ext>
          </a:extLst>
        </xdr:cNvPr>
        <xdr:cNvSpPr/>
      </xdr:nvSpPr>
      <xdr:spPr>
        <a:xfrm>
          <a:off x="7036839" y="577331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116634</xdr:colOff>
      <xdr:row>28</xdr:row>
      <xdr:rowOff>165224</xdr:rowOff>
    </xdr:from>
    <xdr:to>
      <xdr:col>24</xdr:col>
      <xdr:colOff>258182</xdr:colOff>
      <xdr:row>29</xdr:row>
      <xdr:rowOff>144731</xdr:rowOff>
    </xdr:to>
    <xdr:sp macro="" textlink="">
      <xdr:nvSpPr>
        <xdr:cNvPr id="3921" name="6-Point Star 717">
          <a:extLst>
            <a:ext uri="{FF2B5EF4-FFF2-40B4-BE49-F238E27FC236}">
              <a16:creationId xmlns:a16="http://schemas.microsoft.com/office/drawing/2014/main" id="{F3547FFB-C5B2-4A98-91E8-0DD6C2BCD4D9}"/>
            </a:ext>
          </a:extLst>
        </xdr:cNvPr>
        <xdr:cNvSpPr/>
      </xdr:nvSpPr>
      <xdr:spPr>
        <a:xfrm>
          <a:off x="7678318" y="577331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87474</xdr:colOff>
      <xdr:row>28</xdr:row>
      <xdr:rowOff>184662</xdr:rowOff>
    </xdr:from>
    <xdr:to>
      <xdr:col>26</xdr:col>
      <xdr:colOff>229022</xdr:colOff>
      <xdr:row>29</xdr:row>
      <xdr:rowOff>164169</xdr:rowOff>
    </xdr:to>
    <xdr:sp macro="" textlink="">
      <xdr:nvSpPr>
        <xdr:cNvPr id="3922" name="6-Point Star 717">
          <a:extLst>
            <a:ext uri="{FF2B5EF4-FFF2-40B4-BE49-F238E27FC236}">
              <a16:creationId xmlns:a16="http://schemas.microsoft.com/office/drawing/2014/main" id="{3A69F4B1-AA54-49F4-93BC-74EA89B8CEEA}"/>
            </a:ext>
          </a:extLst>
        </xdr:cNvPr>
        <xdr:cNvSpPr/>
      </xdr:nvSpPr>
      <xdr:spPr>
        <a:xfrm>
          <a:off x="8271198" y="579274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97191</xdr:colOff>
      <xdr:row>28</xdr:row>
      <xdr:rowOff>174946</xdr:rowOff>
    </xdr:from>
    <xdr:to>
      <xdr:col>28</xdr:col>
      <xdr:colOff>238739</xdr:colOff>
      <xdr:row>29</xdr:row>
      <xdr:rowOff>154453</xdr:rowOff>
    </xdr:to>
    <xdr:sp macro="" textlink="">
      <xdr:nvSpPr>
        <xdr:cNvPr id="3923" name="6-Point Star 717">
          <a:extLst>
            <a:ext uri="{FF2B5EF4-FFF2-40B4-BE49-F238E27FC236}">
              <a16:creationId xmlns:a16="http://schemas.microsoft.com/office/drawing/2014/main" id="{8B883D3F-354E-4037-99E8-8425BAA92EB3}"/>
            </a:ext>
          </a:extLst>
        </xdr:cNvPr>
        <xdr:cNvSpPr/>
      </xdr:nvSpPr>
      <xdr:spPr>
        <a:xfrm>
          <a:off x="8932114" y="578303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116631</xdr:colOff>
      <xdr:row>28</xdr:row>
      <xdr:rowOff>126347</xdr:rowOff>
    </xdr:from>
    <xdr:to>
      <xdr:col>30</xdr:col>
      <xdr:colOff>258179</xdr:colOff>
      <xdr:row>29</xdr:row>
      <xdr:rowOff>105854</xdr:rowOff>
    </xdr:to>
    <xdr:sp macro="" textlink="">
      <xdr:nvSpPr>
        <xdr:cNvPr id="3924" name="6-Point Star 717">
          <a:extLst>
            <a:ext uri="{FF2B5EF4-FFF2-40B4-BE49-F238E27FC236}">
              <a16:creationId xmlns:a16="http://schemas.microsoft.com/office/drawing/2014/main" id="{88602834-8B8B-466B-B651-AF0D4AA9CF92}"/>
            </a:ext>
          </a:extLst>
        </xdr:cNvPr>
        <xdr:cNvSpPr/>
      </xdr:nvSpPr>
      <xdr:spPr>
        <a:xfrm>
          <a:off x="9573595" y="573443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106913</xdr:colOff>
      <xdr:row>28</xdr:row>
      <xdr:rowOff>184667</xdr:rowOff>
    </xdr:from>
    <xdr:to>
      <xdr:col>32</xdr:col>
      <xdr:colOff>248461</xdr:colOff>
      <xdr:row>29</xdr:row>
      <xdr:rowOff>164174</xdr:rowOff>
    </xdr:to>
    <xdr:sp macro="" textlink="">
      <xdr:nvSpPr>
        <xdr:cNvPr id="3925" name="6-Point Star 717">
          <a:extLst>
            <a:ext uri="{FF2B5EF4-FFF2-40B4-BE49-F238E27FC236}">
              <a16:creationId xmlns:a16="http://schemas.microsoft.com/office/drawing/2014/main" id="{0A24E4A6-CC5E-486C-AB41-D39930E29DBA}"/>
            </a:ext>
          </a:extLst>
        </xdr:cNvPr>
        <xdr:cNvSpPr/>
      </xdr:nvSpPr>
      <xdr:spPr>
        <a:xfrm>
          <a:off x="10215076" y="579275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165230</xdr:colOff>
      <xdr:row>21</xdr:row>
      <xdr:rowOff>48596</xdr:rowOff>
    </xdr:from>
    <xdr:to>
      <xdr:col>30</xdr:col>
      <xdr:colOff>242990</xdr:colOff>
      <xdr:row>22</xdr:row>
      <xdr:rowOff>136071</xdr:rowOff>
    </xdr:to>
    <xdr:sp macro="" textlink="">
      <xdr:nvSpPr>
        <xdr:cNvPr id="3926" name="Freeform 10707">
          <a:extLst>
            <a:ext uri="{FF2B5EF4-FFF2-40B4-BE49-F238E27FC236}">
              <a16:creationId xmlns:a16="http://schemas.microsoft.com/office/drawing/2014/main" id="{9937BFF2-DD7F-40FD-9B60-EA2D1F5F9B1A}"/>
            </a:ext>
          </a:extLst>
        </xdr:cNvPr>
        <xdr:cNvSpPr>
          <a:spLocks/>
        </xdr:cNvSpPr>
      </xdr:nvSpPr>
      <xdr:spPr bwMode="auto">
        <a:xfrm>
          <a:off x="9000153" y="4237652"/>
          <a:ext cx="699801" cy="2818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184669</xdr:colOff>
      <xdr:row>21</xdr:row>
      <xdr:rowOff>68037</xdr:rowOff>
    </xdr:from>
    <xdr:to>
      <xdr:col>32</xdr:col>
      <xdr:colOff>233271</xdr:colOff>
      <xdr:row>22</xdr:row>
      <xdr:rowOff>165229</xdr:rowOff>
    </xdr:to>
    <xdr:sp macro="" textlink="">
      <xdr:nvSpPr>
        <xdr:cNvPr id="3927" name="Freeform 10707">
          <a:extLst>
            <a:ext uri="{FF2B5EF4-FFF2-40B4-BE49-F238E27FC236}">
              <a16:creationId xmlns:a16="http://schemas.microsoft.com/office/drawing/2014/main" id="{6F39EFDE-CC9B-49F1-83AA-9B27C15275CA}"/>
            </a:ext>
          </a:extLst>
        </xdr:cNvPr>
        <xdr:cNvSpPr>
          <a:spLocks/>
        </xdr:cNvSpPr>
      </xdr:nvSpPr>
      <xdr:spPr bwMode="auto">
        <a:xfrm>
          <a:off x="9641633" y="4257093"/>
          <a:ext cx="699801" cy="29158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184669</xdr:colOff>
      <xdr:row>21</xdr:row>
      <xdr:rowOff>68035</xdr:rowOff>
    </xdr:from>
    <xdr:to>
      <xdr:col>34</xdr:col>
      <xdr:colOff>213827</xdr:colOff>
      <xdr:row>23</xdr:row>
      <xdr:rowOff>38877</xdr:rowOff>
    </xdr:to>
    <xdr:sp macro="" textlink="">
      <xdr:nvSpPr>
        <xdr:cNvPr id="3928" name="Freeform 10707">
          <a:extLst>
            <a:ext uri="{FF2B5EF4-FFF2-40B4-BE49-F238E27FC236}">
              <a16:creationId xmlns:a16="http://schemas.microsoft.com/office/drawing/2014/main" id="{666DBB1E-918B-463C-B283-1FF11BA7B83D}"/>
            </a:ext>
          </a:extLst>
        </xdr:cNvPr>
        <xdr:cNvSpPr>
          <a:spLocks/>
        </xdr:cNvSpPr>
      </xdr:nvSpPr>
      <xdr:spPr bwMode="auto">
        <a:xfrm>
          <a:off x="10292832" y="4257091"/>
          <a:ext cx="651199" cy="3596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184669</xdr:colOff>
      <xdr:row>21</xdr:row>
      <xdr:rowOff>68035</xdr:rowOff>
    </xdr:from>
    <xdr:to>
      <xdr:col>36</xdr:col>
      <xdr:colOff>194389</xdr:colOff>
      <xdr:row>22</xdr:row>
      <xdr:rowOff>174948</xdr:rowOff>
    </xdr:to>
    <xdr:sp macro="" textlink="">
      <xdr:nvSpPr>
        <xdr:cNvPr id="3929" name="Freeform 10707">
          <a:extLst>
            <a:ext uri="{FF2B5EF4-FFF2-40B4-BE49-F238E27FC236}">
              <a16:creationId xmlns:a16="http://schemas.microsoft.com/office/drawing/2014/main" id="{5AD096B5-06EB-4077-8E79-36BAA1B506C1}"/>
            </a:ext>
          </a:extLst>
        </xdr:cNvPr>
        <xdr:cNvSpPr>
          <a:spLocks/>
        </xdr:cNvSpPr>
      </xdr:nvSpPr>
      <xdr:spPr bwMode="auto">
        <a:xfrm>
          <a:off x="10914873" y="4257091"/>
          <a:ext cx="641480" cy="30130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145791</xdr:colOff>
      <xdr:row>21</xdr:row>
      <xdr:rowOff>29158</xdr:rowOff>
    </xdr:from>
    <xdr:to>
      <xdr:col>38</xdr:col>
      <xdr:colOff>184673</xdr:colOff>
      <xdr:row>22</xdr:row>
      <xdr:rowOff>106914</xdr:rowOff>
    </xdr:to>
    <xdr:sp macro="" textlink="">
      <xdr:nvSpPr>
        <xdr:cNvPr id="3930" name="Freeform 10707">
          <a:extLst>
            <a:ext uri="{FF2B5EF4-FFF2-40B4-BE49-F238E27FC236}">
              <a16:creationId xmlns:a16="http://schemas.microsoft.com/office/drawing/2014/main" id="{B79698C9-1F50-4E65-9399-0D2141063388}"/>
            </a:ext>
          </a:extLst>
        </xdr:cNvPr>
        <xdr:cNvSpPr>
          <a:spLocks/>
        </xdr:cNvSpPr>
      </xdr:nvSpPr>
      <xdr:spPr bwMode="auto">
        <a:xfrm>
          <a:off x="11507755" y="4218214"/>
          <a:ext cx="699801" cy="2721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136072</xdr:colOff>
      <xdr:row>21</xdr:row>
      <xdr:rowOff>9720</xdr:rowOff>
    </xdr:from>
    <xdr:to>
      <xdr:col>42</xdr:col>
      <xdr:colOff>213832</xdr:colOff>
      <xdr:row>22</xdr:row>
      <xdr:rowOff>126353</xdr:rowOff>
    </xdr:to>
    <xdr:sp macro="" textlink="">
      <xdr:nvSpPr>
        <xdr:cNvPr id="3931" name="Freeform 10707">
          <a:extLst>
            <a:ext uri="{FF2B5EF4-FFF2-40B4-BE49-F238E27FC236}">
              <a16:creationId xmlns:a16="http://schemas.microsoft.com/office/drawing/2014/main" id="{CB197F6B-2376-409B-A0AA-311ADB5A625E}"/>
            </a:ext>
          </a:extLst>
        </xdr:cNvPr>
        <xdr:cNvSpPr>
          <a:spLocks/>
        </xdr:cNvSpPr>
      </xdr:nvSpPr>
      <xdr:spPr bwMode="auto">
        <a:xfrm>
          <a:off x="12780995" y="4198776"/>
          <a:ext cx="699801" cy="31102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145791</xdr:colOff>
      <xdr:row>21</xdr:row>
      <xdr:rowOff>29158</xdr:rowOff>
    </xdr:from>
    <xdr:to>
      <xdr:col>40</xdr:col>
      <xdr:colOff>223552</xdr:colOff>
      <xdr:row>22</xdr:row>
      <xdr:rowOff>145791</xdr:rowOff>
    </xdr:to>
    <xdr:sp macro="" textlink="">
      <xdr:nvSpPr>
        <xdr:cNvPr id="3932" name="Freeform 10707">
          <a:extLst>
            <a:ext uri="{FF2B5EF4-FFF2-40B4-BE49-F238E27FC236}">
              <a16:creationId xmlns:a16="http://schemas.microsoft.com/office/drawing/2014/main" id="{2ACE1255-E9E6-4C99-9543-C8F03F4AD321}"/>
            </a:ext>
          </a:extLst>
        </xdr:cNvPr>
        <xdr:cNvSpPr>
          <a:spLocks/>
        </xdr:cNvSpPr>
      </xdr:nvSpPr>
      <xdr:spPr bwMode="auto">
        <a:xfrm>
          <a:off x="12168674" y="4218214"/>
          <a:ext cx="699801" cy="31102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42</xdr:col>
      <xdr:colOff>165230</xdr:colOff>
      <xdr:row>21</xdr:row>
      <xdr:rowOff>29158</xdr:rowOff>
    </xdr:from>
    <xdr:to>
      <xdr:col>44</xdr:col>
      <xdr:colOff>204107</xdr:colOff>
      <xdr:row>22</xdr:row>
      <xdr:rowOff>77756</xdr:rowOff>
    </xdr:to>
    <xdr:sp macro="" textlink="">
      <xdr:nvSpPr>
        <xdr:cNvPr id="3933" name="Freeform 10707">
          <a:extLst>
            <a:ext uri="{FF2B5EF4-FFF2-40B4-BE49-F238E27FC236}">
              <a16:creationId xmlns:a16="http://schemas.microsoft.com/office/drawing/2014/main" id="{CF7B1C8E-63C4-4C53-8FCC-58BB39DB5C00}"/>
            </a:ext>
          </a:extLst>
        </xdr:cNvPr>
        <xdr:cNvSpPr>
          <a:spLocks/>
        </xdr:cNvSpPr>
      </xdr:nvSpPr>
      <xdr:spPr bwMode="auto">
        <a:xfrm>
          <a:off x="13432194" y="4218214"/>
          <a:ext cx="777551" cy="24298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0</xdr:col>
      <xdr:colOff>0</xdr:colOff>
      <xdr:row>29</xdr:row>
      <xdr:rowOff>42022</xdr:rowOff>
    </xdr:from>
    <xdr:to>
      <xdr:col>2</xdr:col>
      <xdr:colOff>231121</xdr:colOff>
      <xdr:row>30</xdr:row>
      <xdr:rowOff>112058</xdr:rowOff>
    </xdr:to>
    <xdr:sp macro="" textlink="">
      <xdr:nvSpPr>
        <xdr:cNvPr id="3934" name="Freeform 10707">
          <a:extLst>
            <a:ext uri="{FF2B5EF4-FFF2-40B4-BE49-F238E27FC236}">
              <a16:creationId xmlns:a16="http://schemas.microsoft.com/office/drawing/2014/main" id="{26FD2049-82F5-4004-A657-BBF6EBBDC9BC}"/>
            </a:ext>
          </a:extLst>
        </xdr:cNvPr>
        <xdr:cNvSpPr>
          <a:spLocks/>
        </xdr:cNvSpPr>
      </xdr:nvSpPr>
      <xdr:spPr bwMode="auto">
        <a:xfrm>
          <a:off x="0" y="5729007"/>
          <a:ext cx="623327" cy="25913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</xdr:col>
      <xdr:colOff>213826</xdr:colOff>
      <xdr:row>29</xdr:row>
      <xdr:rowOff>48599</xdr:rowOff>
    </xdr:from>
    <xdr:to>
      <xdr:col>4</xdr:col>
      <xdr:colOff>213832</xdr:colOff>
      <xdr:row>30</xdr:row>
      <xdr:rowOff>77757</xdr:rowOff>
    </xdr:to>
    <xdr:sp macro="" textlink="">
      <xdr:nvSpPr>
        <xdr:cNvPr id="3935" name="Freeform 10707">
          <a:extLst>
            <a:ext uri="{FF2B5EF4-FFF2-40B4-BE49-F238E27FC236}">
              <a16:creationId xmlns:a16="http://schemas.microsoft.com/office/drawing/2014/main" id="{1FDE5BEB-6D1E-4602-9C67-833D0D2E304A}"/>
            </a:ext>
          </a:extLst>
        </xdr:cNvPr>
        <xdr:cNvSpPr>
          <a:spLocks/>
        </xdr:cNvSpPr>
      </xdr:nvSpPr>
      <xdr:spPr bwMode="auto">
        <a:xfrm>
          <a:off x="602602" y="5851073"/>
          <a:ext cx="699801" cy="22354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</xdr:col>
      <xdr:colOff>116633</xdr:colOff>
      <xdr:row>29</xdr:row>
      <xdr:rowOff>48598</xdr:rowOff>
    </xdr:from>
    <xdr:to>
      <xdr:col>6</xdr:col>
      <xdr:colOff>194393</xdr:colOff>
      <xdr:row>30</xdr:row>
      <xdr:rowOff>87476</xdr:rowOff>
    </xdr:to>
    <xdr:sp macro="" textlink="">
      <xdr:nvSpPr>
        <xdr:cNvPr id="3936" name="Freeform 10707">
          <a:extLst>
            <a:ext uri="{FF2B5EF4-FFF2-40B4-BE49-F238E27FC236}">
              <a16:creationId xmlns:a16="http://schemas.microsoft.com/office/drawing/2014/main" id="{EB19BBEF-F794-48DB-8860-08D9DBB178E1}"/>
            </a:ext>
          </a:extLst>
        </xdr:cNvPr>
        <xdr:cNvSpPr>
          <a:spLocks/>
        </xdr:cNvSpPr>
      </xdr:nvSpPr>
      <xdr:spPr bwMode="auto">
        <a:xfrm>
          <a:off x="1205204" y="5851072"/>
          <a:ext cx="699801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116632</xdr:colOff>
      <xdr:row>21</xdr:row>
      <xdr:rowOff>19433</xdr:rowOff>
    </xdr:from>
    <xdr:to>
      <xdr:col>30</xdr:col>
      <xdr:colOff>258180</xdr:colOff>
      <xdr:row>21</xdr:row>
      <xdr:rowOff>193327</xdr:rowOff>
    </xdr:to>
    <xdr:sp macro="" textlink="">
      <xdr:nvSpPr>
        <xdr:cNvPr id="3939" name="6-Point Star 717">
          <a:extLst>
            <a:ext uri="{FF2B5EF4-FFF2-40B4-BE49-F238E27FC236}">
              <a16:creationId xmlns:a16="http://schemas.microsoft.com/office/drawing/2014/main" id="{171714AA-BC62-4FA2-B46D-5C7B2040AC12}"/>
            </a:ext>
          </a:extLst>
        </xdr:cNvPr>
        <xdr:cNvSpPr/>
      </xdr:nvSpPr>
      <xdr:spPr>
        <a:xfrm>
          <a:off x="9573596" y="420848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97192</xdr:colOff>
      <xdr:row>21</xdr:row>
      <xdr:rowOff>19437</xdr:rowOff>
    </xdr:from>
    <xdr:to>
      <xdr:col>32</xdr:col>
      <xdr:colOff>238740</xdr:colOff>
      <xdr:row>21</xdr:row>
      <xdr:rowOff>193331</xdr:rowOff>
    </xdr:to>
    <xdr:sp macro="" textlink="">
      <xdr:nvSpPr>
        <xdr:cNvPr id="3940" name="6-Point Star 717">
          <a:extLst>
            <a:ext uri="{FF2B5EF4-FFF2-40B4-BE49-F238E27FC236}">
              <a16:creationId xmlns:a16="http://schemas.microsoft.com/office/drawing/2014/main" id="{6C9EE11E-25C2-411E-BB43-9179B85FA510}"/>
            </a:ext>
          </a:extLst>
        </xdr:cNvPr>
        <xdr:cNvSpPr/>
      </xdr:nvSpPr>
      <xdr:spPr>
        <a:xfrm>
          <a:off x="10205355" y="420849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174949</xdr:colOff>
      <xdr:row>21</xdr:row>
      <xdr:rowOff>29159</xdr:rowOff>
    </xdr:from>
    <xdr:to>
      <xdr:col>16</xdr:col>
      <xdr:colOff>213831</xdr:colOff>
      <xdr:row>22</xdr:row>
      <xdr:rowOff>116634</xdr:rowOff>
    </xdr:to>
    <xdr:sp macro="" textlink="">
      <xdr:nvSpPr>
        <xdr:cNvPr id="3937" name="Freeform 10707">
          <a:extLst>
            <a:ext uri="{FF2B5EF4-FFF2-40B4-BE49-F238E27FC236}">
              <a16:creationId xmlns:a16="http://schemas.microsoft.com/office/drawing/2014/main" id="{E79A3C1F-8032-4D7C-B46A-EBC590E9BA79}"/>
            </a:ext>
          </a:extLst>
        </xdr:cNvPr>
        <xdr:cNvSpPr>
          <a:spLocks/>
        </xdr:cNvSpPr>
      </xdr:nvSpPr>
      <xdr:spPr bwMode="auto">
        <a:xfrm>
          <a:off x="4519515" y="4218215"/>
          <a:ext cx="699801" cy="2818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16</xdr:col>
      <xdr:colOff>204106</xdr:colOff>
      <xdr:row>21</xdr:row>
      <xdr:rowOff>38877</xdr:rowOff>
    </xdr:from>
    <xdr:to>
      <xdr:col>18</xdr:col>
      <xdr:colOff>213831</xdr:colOff>
      <xdr:row>22</xdr:row>
      <xdr:rowOff>126352</xdr:rowOff>
    </xdr:to>
    <xdr:sp macro="" textlink="">
      <xdr:nvSpPr>
        <xdr:cNvPr id="3938" name="Freeform 10707">
          <a:extLst>
            <a:ext uri="{FF2B5EF4-FFF2-40B4-BE49-F238E27FC236}">
              <a16:creationId xmlns:a16="http://schemas.microsoft.com/office/drawing/2014/main" id="{16EEE099-C27D-48B3-8CFA-CCE12D865B4B}"/>
            </a:ext>
          </a:extLst>
        </xdr:cNvPr>
        <xdr:cNvSpPr>
          <a:spLocks/>
        </xdr:cNvSpPr>
      </xdr:nvSpPr>
      <xdr:spPr bwMode="auto">
        <a:xfrm>
          <a:off x="5209591" y="4227933"/>
          <a:ext cx="699801" cy="2818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155511</xdr:colOff>
      <xdr:row>21</xdr:row>
      <xdr:rowOff>38878</xdr:rowOff>
    </xdr:from>
    <xdr:to>
      <xdr:col>20</xdr:col>
      <xdr:colOff>242986</xdr:colOff>
      <xdr:row>22</xdr:row>
      <xdr:rowOff>97194</xdr:rowOff>
    </xdr:to>
    <xdr:sp macro="" textlink="">
      <xdr:nvSpPr>
        <xdr:cNvPr id="3941" name="Freeform 10707">
          <a:extLst>
            <a:ext uri="{FF2B5EF4-FFF2-40B4-BE49-F238E27FC236}">
              <a16:creationId xmlns:a16="http://schemas.microsoft.com/office/drawing/2014/main" id="{DCEA8D3D-A70A-4B7D-ABDF-67F110636850}"/>
            </a:ext>
          </a:extLst>
        </xdr:cNvPr>
        <xdr:cNvSpPr>
          <a:spLocks/>
        </xdr:cNvSpPr>
      </xdr:nvSpPr>
      <xdr:spPr bwMode="auto">
        <a:xfrm>
          <a:off x="5851072" y="4227934"/>
          <a:ext cx="709516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194389</xdr:colOff>
      <xdr:row>21</xdr:row>
      <xdr:rowOff>19439</xdr:rowOff>
    </xdr:from>
    <xdr:to>
      <xdr:col>22</xdr:col>
      <xdr:colOff>262424</xdr:colOff>
      <xdr:row>22</xdr:row>
      <xdr:rowOff>58317</xdr:rowOff>
    </xdr:to>
    <xdr:sp macro="" textlink="">
      <xdr:nvSpPr>
        <xdr:cNvPr id="3942" name="Freeform 10707">
          <a:extLst>
            <a:ext uri="{FF2B5EF4-FFF2-40B4-BE49-F238E27FC236}">
              <a16:creationId xmlns:a16="http://schemas.microsoft.com/office/drawing/2014/main" id="{AD4EDB8D-9F53-4E78-8E41-6F1023F1507A}"/>
            </a:ext>
          </a:extLst>
        </xdr:cNvPr>
        <xdr:cNvSpPr>
          <a:spLocks/>
        </xdr:cNvSpPr>
      </xdr:nvSpPr>
      <xdr:spPr bwMode="auto">
        <a:xfrm>
          <a:off x="6511991" y="4208495"/>
          <a:ext cx="690076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184668</xdr:colOff>
      <xdr:row>21</xdr:row>
      <xdr:rowOff>29158</xdr:rowOff>
    </xdr:from>
    <xdr:to>
      <xdr:col>24</xdr:col>
      <xdr:colOff>242984</xdr:colOff>
      <xdr:row>22</xdr:row>
      <xdr:rowOff>58317</xdr:rowOff>
    </xdr:to>
    <xdr:sp macro="" textlink="">
      <xdr:nvSpPr>
        <xdr:cNvPr id="3943" name="Freeform 10707">
          <a:extLst>
            <a:ext uri="{FF2B5EF4-FFF2-40B4-BE49-F238E27FC236}">
              <a16:creationId xmlns:a16="http://schemas.microsoft.com/office/drawing/2014/main" id="{481991DC-94B9-4C11-ABE1-868002C2934C}"/>
            </a:ext>
          </a:extLst>
        </xdr:cNvPr>
        <xdr:cNvSpPr>
          <a:spLocks/>
        </xdr:cNvSpPr>
      </xdr:nvSpPr>
      <xdr:spPr bwMode="auto">
        <a:xfrm>
          <a:off x="7124311" y="4218214"/>
          <a:ext cx="680357" cy="2235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184668</xdr:colOff>
      <xdr:row>21</xdr:row>
      <xdr:rowOff>38878</xdr:rowOff>
    </xdr:from>
    <xdr:to>
      <xdr:col>26</xdr:col>
      <xdr:colOff>252705</xdr:colOff>
      <xdr:row>22</xdr:row>
      <xdr:rowOff>77753</xdr:rowOff>
    </xdr:to>
    <xdr:sp macro="" textlink="">
      <xdr:nvSpPr>
        <xdr:cNvPr id="3944" name="Freeform 10707">
          <a:extLst>
            <a:ext uri="{FF2B5EF4-FFF2-40B4-BE49-F238E27FC236}">
              <a16:creationId xmlns:a16="http://schemas.microsoft.com/office/drawing/2014/main" id="{8FBAA2C7-3AF7-4393-898A-4493C907BD8B}"/>
            </a:ext>
          </a:extLst>
        </xdr:cNvPr>
        <xdr:cNvSpPr>
          <a:spLocks/>
        </xdr:cNvSpPr>
      </xdr:nvSpPr>
      <xdr:spPr bwMode="auto">
        <a:xfrm>
          <a:off x="7746352" y="4227934"/>
          <a:ext cx="690077" cy="2332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184670</xdr:colOff>
      <xdr:row>21</xdr:row>
      <xdr:rowOff>48597</xdr:rowOff>
    </xdr:from>
    <xdr:to>
      <xdr:col>28</xdr:col>
      <xdr:colOff>233267</xdr:colOff>
      <xdr:row>22</xdr:row>
      <xdr:rowOff>97194</xdr:rowOff>
    </xdr:to>
    <xdr:sp macro="" textlink="">
      <xdr:nvSpPr>
        <xdr:cNvPr id="3945" name="Freeform 10707">
          <a:extLst>
            <a:ext uri="{FF2B5EF4-FFF2-40B4-BE49-F238E27FC236}">
              <a16:creationId xmlns:a16="http://schemas.microsoft.com/office/drawing/2014/main" id="{03CCA0BE-362C-4343-908F-717E2DBD7B26}"/>
            </a:ext>
          </a:extLst>
        </xdr:cNvPr>
        <xdr:cNvSpPr>
          <a:spLocks/>
        </xdr:cNvSpPr>
      </xdr:nvSpPr>
      <xdr:spPr bwMode="auto">
        <a:xfrm>
          <a:off x="8368394" y="4237653"/>
          <a:ext cx="699796" cy="2429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213826</xdr:colOff>
      <xdr:row>21</xdr:row>
      <xdr:rowOff>48597</xdr:rowOff>
    </xdr:from>
    <xdr:to>
      <xdr:col>12</xdr:col>
      <xdr:colOff>204108</xdr:colOff>
      <xdr:row>22</xdr:row>
      <xdr:rowOff>136071</xdr:rowOff>
    </xdr:to>
    <xdr:sp macro="" textlink="">
      <xdr:nvSpPr>
        <xdr:cNvPr id="3946" name="Freeform 10707">
          <a:extLst>
            <a:ext uri="{FF2B5EF4-FFF2-40B4-BE49-F238E27FC236}">
              <a16:creationId xmlns:a16="http://schemas.microsoft.com/office/drawing/2014/main" id="{BCD30A64-FD13-4781-96D4-008088F9AC7C}"/>
            </a:ext>
          </a:extLst>
        </xdr:cNvPr>
        <xdr:cNvSpPr>
          <a:spLocks/>
        </xdr:cNvSpPr>
      </xdr:nvSpPr>
      <xdr:spPr bwMode="auto">
        <a:xfrm>
          <a:off x="3294872" y="4237653"/>
          <a:ext cx="631762" cy="2818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155512</xdr:colOff>
      <xdr:row>21</xdr:row>
      <xdr:rowOff>48597</xdr:rowOff>
    </xdr:from>
    <xdr:to>
      <xdr:col>14</xdr:col>
      <xdr:colOff>233273</xdr:colOff>
      <xdr:row>22</xdr:row>
      <xdr:rowOff>106913</xdr:rowOff>
    </xdr:to>
    <xdr:sp macro="" textlink="">
      <xdr:nvSpPr>
        <xdr:cNvPr id="3947" name="Freeform 10707">
          <a:extLst>
            <a:ext uri="{FF2B5EF4-FFF2-40B4-BE49-F238E27FC236}">
              <a16:creationId xmlns:a16="http://schemas.microsoft.com/office/drawing/2014/main" id="{CE499EFE-3F28-44D7-A59E-7A2C89518B36}"/>
            </a:ext>
          </a:extLst>
        </xdr:cNvPr>
        <xdr:cNvSpPr>
          <a:spLocks/>
        </xdr:cNvSpPr>
      </xdr:nvSpPr>
      <xdr:spPr bwMode="auto">
        <a:xfrm>
          <a:off x="3878038" y="4237653"/>
          <a:ext cx="699801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106911</xdr:colOff>
      <xdr:row>21</xdr:row>
      <xdr:rowOff>9715</xdr:rowOff>
    </xdr:from>
    <xdr:to>
      <xdr:col>34</xdr:col>
      <xdr:colOff>248459</xdr:colOff>
      <xdr:row>21</xdr:row>
      <xdr:rowOff>183609</xdr:rowOff>
    </xdr:to>
    <xdr:sp macro="" textlink="">
      <xdr:nvSpPr>
        <xdr:cNvPr id="3948" name="6-Point Star 717">
          <a:extLst>
            <a:ext uri="{FF2B5EF4-FFF2-40B4-BE49-F238E27FC236}">
              <a16:creationId xmlns:a16="http://schemas.microsoft.com/office/drawing/2014/main" id="{C000860F-37FF-4909-8537-46729107B2DE}"/>
            </a:ext>
          </a:extLst>
        </xdr:cNvPr>
        <xdr:cNvSpPr/>
      </xdr:nvSpPr>
      <xdr:spPr>
        <a:xfrm>
          <a:off x="10837115" y="419877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126348</xdr:colOff>
      <xdr:row>20</xdr:row>
      <xdr:rowOff>194385</xdr:rowOff>
    </xdr:from>
    <xdr:to>
      <xdr:col>36</xdr:col>
      <xdr:colOff>267896</xdr:colOff>
      <xdr:row>21</xdr:row>
      <xdr:rowOff>173891</xdr:rowOff>
    </xdr:to>
    <xdr:sp macro="" textlink="">
      <xdr:nvSpPr>
        <xdr:cNvPr id="3949" name="6-Point Star 717">
          <a:extLst>
            <a:ext uri="{FF2B5EF4-FFF2-40B4-BE49-F238E27FC236}">
              <a16:creationId xmlns:a16="http://schemas.microsoft.com/office/drawing/2014/main" id="{D18CFDFB-C753-4DB2-B808-B66921367621}"/>
            </a:ext>
          </a:extLst>
        </xdr:cNvPr>
        <xdr:cNvSpPr/>
      </xdr:nvSpPr>
      <xdr:spPr>
        <a:xfrm>
          <a:off x="11488312" y="418905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87473</xdr:colOff>
      <xdr:row>20</xdr:row>
      <xdr:rowOff>165226</xdr:rowOff>
    </xdr:from>
    <xdr:to>
      <xdr:col>38</xdr:col>
      <xdr:colOff>229021</xdr:colOff>
      <xdr:row>21</xdr:row>
      <xdr:rowOff>144732</xdr:rowOff>
    </xdr:to>
    <xdr:sp macro="" textlink="">
      <xdr:nvSpPr>
        <xdr:cNvPr id="3950" name="6-Point Star 717">
          <a:extLst>
            <a:ext uri="{FF2B5EF4-FFF2-40B4-BE49-F238E27FC236}">
              <a16:creationId xmlns:a16="http://schemas.microsoft.com/office/drawing/2014/main" id="{5384621D-C564-40D7-9F85-4E2191BCDA9F}"/>
            </a:ext>
          </a:extLst>
        </xdr:cNvPr>
        <xdr:cNvSpPr/>
      </xdr:nvSpPr>
      <xdr:spPr>
        <a:xfrm>
          <a:off x="12110356" y="415989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97191</xdr:colOff>
      <xdr:row>20</xdr:row>
      <xdr:rowOff>174946</xdr:rowOff>
    </xdr:from>
    <xdr:to>
      <xdr:col>20</xdr:col>
      <xdr:colOff>238739</xdr:colOff>
      <xdr:row>21</xdr:row>
      <xdr:rowOff>154452</xdr:rowOff>
    </xdr:to>
    <xdr:sp macro="" textlink="">
      <xdr:nvSpPr>
        <xdr:cNvPr id="3951" name="6-Point Star 717">
          <a:extLst>
            <a:ext uri="{FF2B5EF4-FFF2-40B4-BE49-F238E27FC236}">
              <a16:creationId xmlns:a16="http://schemas.microsoft.com/office/drawing/2014/main" id="{15788B5C-AAD1-40E2-94E5-23AF6DC67F01}"/>
            </a:ext>
          </a:extLst>
        </xdr:cNvPr>
        <xdr:cNvSpPr/>
      </xdr:nvSpPr>
      <xdr:spPr>
        <a:xfrm>
          <a:off x="6414793" y="416961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87472</xdr:colOff>
      <xdr:row>20</xdr:row>
      <xdr:rowOff>155505</xdr:rowOff>
    </xdr:from>
    <xdr:to>
      <xdr:col>18</xdr:col>
      <xdr:colOff>229020</xdr:colOff>
      <xdr:row>21</xdr:row>
      <xdr:rowOff>135011</xdr:rowOff>
    </xdr:to>
    <xdr:sp macro="" textlink="">
      <xdr:nvSpPr>
        <xdr:cNvPr id="3952" name="6-Point Star 717">
          <a:extLst>
            <a:ext uri="{FF2B5EF4-FFF2-40B4-BE49-F238E27FC236}">
              <a16:creationId xmlns:a16="http://schemas.microsoft.com/office/drawing/2014/main" id="{1FFD7016-8084-46B0-9BA4-202ED52B844E}"/>
            </a:ext>
          </a:extLst>
        </xdr:cNvPr>
        <xdr:cNvSpPr/>
      </xdr:nvSpPr>
      <xdr:spPr>
        <a:xfrm>
          <a:off x="5783033" y="415017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106912</xdr:colOff>
      <xdr:row>20</xdr:row>
      <xdr:rowOff>155505</xdr:rowOff>
    </xdr:from>
    <xdr:to>
      <xdr:col>16</xdr:col>
      <xdr:colOff>248460</xdr:colOff>
      <xdr:row>21</xdr:row>
      <xdr:rowOff>135011</xdr:rowOff>
    </xdr:to>
    <xdr:sp macro="" textlink="">
      <xdr:nvSpPr>
        <xdr:cNvPr id="3953" name="6-Point Star 717">
          <a:extLst>
            <a:ext uri="{FF2B5EF4-FFF2-40B4-BE49-F238E27FC236}">
              <a16:creationId xmlns:a16="http://schemas.microsoft.com/office/drawing/2014/main" id="{F34B9686-FD5C-44FB-B7D8-C7ABFADD9BB7}"/>
            </a:ext>
          </a:extLst>
        </xdr:cNvPr>
        <xdr:cNvSpPr/>
      </xdr:nvSpPr>
      <xdr:spPr>
        <a:xfrm>
          <a:off x="5112397" y="415017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184668</xdr:colOff>
      <xdr:row>21</xdr:row>
      <xdr:rowOff>9720</xdr:rowOff>
    </xdr:from>
    <xdr:to>
      <xdr:col>4</xdr:col>
      <xdr:colOff>204109</xdr:colOff>
      <xdr:row>22</xdr:row>
      <xdr:rowOff>97193</xdr:rowOff>
    </xdr:to>
    <xdr:sp macro="" textlink="">
      <xdr:nvSpPr>
        <xdr:cNvPr id="3954" name="Freeform 10707">
          <a:extLst>
            <a:ext uri="{FF2B5EF4-FFF2-40B4-BE49-F238E27FC236}">
              <a16:creationId xmlns:a16="http://schemas.microsoft.com/office/drawing/2014/main" id="{3EB1CD3C-2E87-492F-BF2B-39C508A04072}"/>
            </a:ext>
          </a:extLst>
        </xdr:cNvPr>
        <xdr:cNvSpPr>
          <a:spLocks/>
        </xdr:cNvSpPr>
      </xdr:nvSpPr>
      <xdr:spPr bwMode="auto">
        <a:xfrm>
          <a:off x="573444" y="4198776"/>
          <a:ext cx="719236" cy="28186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</xdr:col>
      <xdr:colOff>184668</xdr:colOff>
      <xdr:row>21</xdr:row>
      <xdr:rowOff>57539</xdr:rowOff>
    </xdr:from>
    <xdr:to>
      <xdr:col>6</xdr:col>
      <xdr:colOff>233267</xdr:colOff>
      <xdr:row>22</xdr:row>
      <xdr:rowOff>106136</xdr:rowOff>
    </xdr:to>
    <xdr:sp macro="" textlink="">
      <xdr:nvSpPr>
        <xdr:cNvPr id="3955" name="Freeform 10707">
          <a:extLst>
            <a:ext uri="{FF2B5EF4-FFF2-40B4-BE49-F238E27FC236}">
              <a16:creationId xmlns:a16="http://schemas.microsoft.com/office/drawing/2014/main" id="{858F2BDB-5DEF-4C20-A785-0F4D3E30FAC3}"/>
            </a:ext>
          </a:extLst>
        </xdr:cNvPr>
        <xdr:cNvSpPr>
          <a:spLocks/>
        </xdr:cNvSpPr>
      </xdr:nvSpPr>
      <xdr:spPr bwMode="auto">
        <a:xfrm>
          <a:off x="1280043" y="4181864"/>
          <a:ext cx="677249" cy="23909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6</xdr:col>
      <xdr:colOff>155511</xdr:colOff>
      <xdr:row>21</xdr:row>
      <xdr:rowOff>48597</xdr:rowOff>
    </xdr:from>
    <xdr:to>
      <xdr:col>8</xdr:col>
      <xdr:colOff>262424</xdr:colOff>
      <xdr:row>22</xdr:row>
      <xdr:rowOff>136071</xdr:rowOff>
    </xdr:to>
    <xdr:sp macro="" textlink="">
      <xdr:nvSpPr>
        <xdr:cNvPr id="3956" name="Freeform 10707">
          <a:extLst>
            <a:ext uri="{FF2B5EF4-FFF2-40B4-BE49-F238E27FC236}">
              <a16:creationId xmlns:a16="http://schemas.microsoft.com/office/drawing/2014/main" id="{D9512D38-053E-45FE-9301-DA6D9FE87D7F}"/>
            </a:ext>
          </a:extLst>
        </xdr:cNvPr>
        <xdr:cNvSpPr>
          <a:spLocks/>
        </xdr:cNvSpPr>
      </xdr:nvSpPr>
      <xdr:spPr bwMode="auto">
        <a:xfrm>
          <a:off x="1866123" y="4237653"/>
          <a:ext cx="758112" cy="2818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184668</xdr:colOff>
      <xdr:row>21</xdr:row>
      <xdr:rowOff>58315</xdr:rowOff>
    </xdr:from>
    <xdr:to>
      <xdr:col>10</xdr:col>
      <xdr:colOff>204107</xdr:colOff>
      <xdr:row>22</xdr:row>
      <xdr:rowOff>136071</xdr:rowOff>
    </xdr:to>
    <xdr:sp macro="" textlink="">
      <xdr:nvSpPr>
        <xdr:cNvPr id="3957" name="Freeform 10707">
          <a:extLst>
            <a:ext uri="{FF2B5EF4-FFF2-40B4-BE49-F238E27FC236}">
              <a16:creationId xmlns:a16="http://schemas.microsoft.com/office/drawing/2014/main" id="{F481C979-37FE-48B7-BCA1-F5DA03F293E2}"/>
            </a:ext>
          </a:extLst>
        </xdr:cNvPr>
        <xdr:cNvSpPr>
          <a:spLocks/>
        </xdr:cNvSpPr>
      </xdr:nvSpPr>
      <xdr:spPr bwMode="auto">
        <a:xfrm>
          <a:off x="2546479" y="4247371"/>
          <a:ext cx="738674" cy="2721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106909</xdr:colOff>
      <xdr:row>20</xdr:row>
      <xdr:rowOff>155508</xdr:rowOff>
    </xdr:from>
    <xdr:to>
      <xdr:col>22</xdr:col>
      <xdr:colOff>248457</xdr:colOff>
      <xdr:row>21</xdr:row>
      <xdr:rowOff>135014</xdr:rowOff>
    </xdr:to>
    <xdr:sp macro="" textlink="">
      <xdr:nvSpPr>
        <xdr:cNvPr id="3958" name="6-Point Star 717">
          <a:extLst>
            <a:ext uri="{FF2B5EF4-FFF2-40B4-BE49-F238E27FC236}">
              <a16:creationId xmlns:a16="http://schemas.microsoft.com/office/drawing/2014/main" id="{1A2CB496-B440-428B-9254-6B22457B48A5}"/>
            </a:ext>
          </a:extLst>
        </xdr:cNvPr>
        <xdr:cNvSpPr/>
      </xdr:nvSpPr>
      <xdr:spPr>
        <a:xfrm>
          <a:off x="7046552" y="415017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97190</xdr:colOff>
      <xdr:row>20</xdr:row>
      <xdr:rowOff>155517</xdr:rowOff>
    </xdr:from>
    <xdr:to>
      <xdr:col>24</xdr:col>
      <xdr:colOff>238738</xdr:colOff>
      <xdr:row>21</xdr:row>
      <xdr:rowOff>135023</xdr:rowOff>
    </xdr:to>
    <xdr:sp macro="" textlink="">
      <xdr:nvSpPr>
        <xdr:cNvPr id="3959" name="6-Point Star 717">
          <a:extLst>
            <a:ext uri="{FF2B5EF4-FFF2-40B4-BE49-F238E27FC236}">
              <a16:creationId xmlns:a16="http://schemas.microsoft.com/office/drawing/2014/main" id="{2107396C-FAB7-4D1B-BFFB-F0C1D4A320C5}"/>
            </a:ext>
          </a:extLst>
        </xdr:cNvPr>
        <xdr:cNvSpPr/>
      </xdr:nvSpPr>
      <xdr:spPr>
        <a:xfrm>
          <a:off x="7658874" y="415018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77753</xdr:colOff>
      <xdr:row>20</xdr:row>
      <xdr:rowOff>165226</xdr:rowOff>
    </xdr:from>
    <xdr:to>
      <xdr:col>26</xdr:col>
      <xdr:colOff>219301</xdr:colOff>
      <xdr:row>21</xdr:row>
      <xdr:rowOff>144732</xdr:rowOff>
    </xdr:to>
    <xdr:sp macro="" textlink="">
      <xdr:nvSpPr>
        <xdr:cNvPr id="3960" name="6-Point Star 717">
          <a:extLst>
            <a:ext uri="{FF2B5EF4-FFF2-40B4-BE49-F238E27FC236}">
              <a16:creationId xmlns:a16="http://schemas.microsoft.com/office/drawing/2014/main" id="{3041DBA0-256C-4640-9ABB-45C7D2D2A8C2}"/>
            </a:ext>
          </a:extLst>
        </xdr:cNvPr>
        <xdr:cNvSpPr/>
      </xdr:nvSpPr>
      <xdr:spPr>
        <a:xfrm>
          <a:off x="8261477" y="415989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97195</xdr:colOff>
      <xdr:row>76</xdr:row>
      <xdr:rowOff>165227</xdr:rowOff>
    </xdr:from>
    <xdr:to>
      <xdr:col>26</xdr:col>
      <xdr:colOff>238743</xdr:colOff>
      <xdr:row>77</xdr:row>
      <xdr:rowOff>144734</xdr:rowOff>
    </xdr:to>
    <xdr:sp macro="" textlink="">
      <xdr:nvSpPr>
        <xdr:cNvPr id="3961" name="6-Point Star 717">
          <a:extLst>
            <a:ext uri="{FF2B5EF4-FFF2-40B4-BE49-F238E27FC236}">
              <a16:creationId xmlns:a16="http://schemas.microsoft.com/office/drawing/2014/main" id="{5C8909C0-0300-473F-B131-F8D38716DCAD}"/>
            </a:ext>
          </a:extLst>
        </xdr:cNvPr>
        <xdr:cNvSpPr/>
      </xdr:nvSpPr>
      <xdr:spPr>
        <a:xfrm>
          <a:off x="8280919" y="15521860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97194</xdr:colOff>
      <xdr:row>76</xdr:row>
      <xdr:rowOff>136070</xdr:rowOff>
    </xdr:from>
    <xdr:to>
      <xdr:col>28</xdr:col>
      <xdr:colOff>238742</xdr:colOff>
      <xdr:row>77</xdr:row>
      <xdr:rowOff>115577</xdr:rowOff>
    </xdr:to>
    <xdr:sp macro="" textlink="">
      <xdr:nvSpPr>
        <xdr:cNvPr id="3962" name="6-Point Star 717">
          <a:extLst>
            <a:ext uri="{FF2B5EF4-FFF2-40B4-BE49-F238E27FC236}">
              <a16:creationId xmlns:a16="http://schemas.microsoft.com/office/drawing/2014/main" id="{9E23E5AF-AB22-4328-AE8C-C176853C4387}"/>
            </a:ext>
          </a:extLst>
        </xdr:cNvPr>
        <xdr:cNvSpPr/>
      </xdr:nvSpPr>
      <xdr:spPr>
        <a:xfrm>
          <a:off x="8932117" y="1549270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97195</xdr:colOff>
      <xdr:row>76</xdr:row>
      <xdr:rowOff>174948</xdr:rowOff>
    </xdr:from>
    <xdr:to>
      <xdr:col>32</xdr:col>
      <xdr:colOff>238743</xdr:colOff>
      <xdr:row>77</xdr:row>
      <xdr:rowOff>154455</xdr:rowOff>
    </xdr:to>
    <xdr:sp macro="" textlink="">
      <xdr:nvSpPr>
        <xdr:cNvPr id="3963" name="6-Point Star 717">
          <a:extLst>
            <a:ext uri="{FF2B5EF4-FFF2-40B4-BE49-F238E27FC236}">
              <a16:creationId xmlns:a16="http://schemas.microsoft.com/office/drawing/2014/main" id="{49CF2529-F84F-4CDD-8415-B36147237521}"/>
            </a:ext>
          </a:extLst>
        </xdr:cNvPr>
        <xdr:cNvSpPr/>
      </xdr:nvSpPr>
      <xdr:spPr>
        <a:xfrm>
          <a:off x="10205358" y="1553158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97192</xdr:colOff>
      <xdr:row>76</xdr:row>
      <xdr:rowOff>184665</xdr:rowOff>
    </xdr:from>
    <xdr:to>
      <xdr:col>24</xdr:col>
      <xdr:colOff>238740</xdr:colOff>
      <xdr:row>77</xdr:row>
      <xdr:rowOff>164172</xdr:rowOff>
    </xdr:to>
    <xdr:sp macro="" textlink="">
      <xdr:nvSpPr>
        <xdr:cNvPr id="3964" name="6-Point Star 717">
          <a:extLst>
            <a:ext uri="{FF2B5EF4-FFF2-40B4-BE49-F238E27FC236}">
              <a16:creationId xmlns:a16="http://schemas.microsoft.com/office/drawing/2014/main" id="{0DB51A3A-EF15-46AE-A9B3-A2BBFAE5FFDB}"/>
            </a:ext>
          </a:extLst>
        </xdr:cNvPr>
        <xdr:cNvSpPr/>
      </xdr:nvSpPr>
      <xdr:spPr>
        <a:xfrm>
          <a:off x="7658876" y="1554129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116631</xdr:colOff>
      <xdr:row>76</xdr:row>
      <xdr:rowOff>145791</xdr:rowOff>
    </xdr:from>
    <xdr:to>
      <xdr:col>20</xdr:col>
      <xdr:colOff>258179</xdr:colOff>
      <xdr:row>77</xdr:row>
      <xdr:rowOff>125298</xdr:rowOff>
    </xdr:to>
    <xdr:sp macro="" textlink="">
      <xdr:nvSpPr>
        <xdr:cNvPr id="3965" name="6-Point Star 717">
          <a:extLst>
            <a:ext uri="{FF2B5EF4-FFF2-40B4-BE49-F238E27FC236}">
              <a16:creationId xmlns:a16="http://schemas.microsoft.com/office/drawing/2014/main" id="{77633BEB-52BC-4F8D-90BA-97FE73C3A2CE}"/>
            </a:ext>
          </a:extLst>
        </xdr:cNvPr>
        <xdr:cNvSpPr/>
      </xdr:nvSpPr>
      <xdr:spPr>
        <a:xfrm>
          <a:off x="6434233" y="1550242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97194</xdr:colOff>
      <xdr:row>76</xdr:row>
      <xdr:rowOff>155511</xdr:rowOff>
    </xdr:from>
    <xdr:to>
      <xdr:col>18</xdr:col>
      <xdr:colOff>238742</xdr:colOff>
      <xdr:row>77</xdr:row>
      <xdr:rowOff>135018</xdr:rowOff>
    </xdr:to>
    <xdr:sp macro="" textlink="">
      <xdr:nvSpPr>
        <xdr:cNvPr id="3966" name="6-Point Star 717">
          <a:extLst>
            <a:ext uri="{FF2B5EF4-FFF2-40B4-BE49-F238E27FC236}">
              <a16:creationId xmlns:a16="http://schemas.microsoft.com/office/drawing/2014/main" id="{1ED08CE3-EF22-4901-B17C-8AD1CE9D00DD}"/>
            </a:ext>
          </a:extLst>
        </xdr:cNvPr>
        <xdr:cNvSpPr/>
      </xdr:nvSpPr>
      <xdr:spPr>
        <a:xfrm>
          <a:off x="5792755" y="1551214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126352</xdr:colOff>
      <xdr:row>76</xdr:row>
      <xdr:rowOff>174948</xdr:rowOff>
    </xdr:from>
    <xdr:to>
      <xdr:col>16</xdr:col>
      <xdr:colOff>267900</xdr:colOff>
      <xdr:row>77</xdr:row>
      <xdr:rowOff>154455</xdr:rowOff>
    </xdr:to>
    <xdr:sp macro="" textlink="">
      <xdr:nvSpPr>
        <xdr:cNvPr id="3967" name="6-Point Star 717">
          <a:extLst>
            <a:ext uri="{FF2B5EF4-FFF2-40B4-BE49-F238E27FC236}">
              <a16:creationId xmlns:a16="http://schemas.microsoft.com/office/drawing/2014/main" id="{8F4D11FD-E165-4CBD-BFE0-DCC23F4EA90A}"/>
            </a:ext>
          </a:extLst>
        </xdr:cNvPr>
        <xdr:cNvSpPr/>
      </xdr:nvSpPr>
      <xdr:spPr>
        <a:xfrm>
          <a:off x="5131837" y="1553158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87474</xdr:colOff>
      <xdr:row>76</xdr:row>
      <xdr:rowOff>126740</xdr:rowOff>
    </xdr:from>
    <xdr:to>
      <xdr:col>22</xdr:col>
      <xdr:colOff>229022</xdr:colOff>
      <xdr:row>77</xdr:row>
      <xdr:rowOff>106247</xdr:rowOff>
    </xdr:to>
    <xdr:sp macro="" textlink="">
      <xdr:nvSpPr>
        <xdr:cNvPr id="3968" name="6-Point Star 717">
          <a:extLst>
            <a:ext uri="{FF2B5EF4-FFF2-40B4-BE49-F238E27FC236}">
              <a16:creationId xmlns:a16="http://schemas.microsoft.com/office/drawing/2014/main" id="{B77972F3-A933-4011-85FD-CD27F792B08A}"/>
            </a:ext>
          </a:extLst>
        </xdr:cNvPr>
        <xdr:cNvSpPr/>
      </xdr:nvSpPr>
      <xdr:spPr>
        <a:xfrm>
          <a:off x="7088349" y="15271490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87862</xdr:colOff>
      <xdr:row>76</xdr:row>
      <xdr:rowOff>152400</xdr:rowOff>
    </xdr:from>
    <xdr:to>
      <xdr:col>30</xdr:col>
      <xdr:colOff>257176</xdr:colOff>
      <xdr:row>77</xdr:row>
      <xdr:rowOff>155512</xdr:rowOff>
    </xdr:to>
    <xdr:sp macro="" textlink="">
      <xdr:nvSpPr>
        <xdr:cNvPr id="3969" name="6-Point Star 717">
          <a:extLst>
            <a:ext uri="{FF2B5EF4-FFF2-40B4-BE49-F238E27FC236}">
              <a16:creationId xmlns:a16="http://schemas.microsoft.com/office/drawing/2014/main" id="{81B85AA6-3374-4576-9AC7-79B4B9FA4543}"/>
            </a:ext>
          </a:extLst>
        </xdr:cNvPr>
        <xdr:cNvSpPr/>
      </xdr:nvSpPr>
      <xdr:spPr>
        <a:xfrm flipV="1">
          <a:off x="9631912" y="15297150"/>
          <a:ext cx="169314" cy="19361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126351</xdr:colOff>
      <xdr:row>77</xdr:row>
      <xdr:rowOff>9717</xdr:rowOff>
    </xdr:from>
    <xdr:to>
      <xdr:col>14</xdr:col>
      <xdr:colOff>267899</xdr:colOff>
      <xdr:row>77</xdr:row>
      <xdr:rowOff>183611</xdr:rowOff>
    </xdr:to>
    <xdr:sp macro="" textlink="">
      <xdr:nvSpPr>
        <xdr:cNvPr id="3970" name="6-Point Star 717">
          <a:extLst>
            <a:ext uri="{FF2B5EF4-FFF2-40B4-BE49-F238E27FC236}">
              <a16:creationId xmlns:a16="http://schemas.microsoft.com/office/drawing/2014/main" id="{B59D6DD0-5702-4589-97A7-B59B162072F2}"/>
            </a:ext>
          </a:extLst>
        </xdr:cNvPr>
        <xdr:cNvSpPr/>
      </xdr:nvSpPr>
      <xdr:spPr>
        <a:xfrm>
          <a:off x="4470917" y="1556073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165230</xdr:colOff>
      <xdr:row>77</xdr:row>
      <xdr:rowOff>29157</xdr:rowOff>
    </xdr:from>
    <xdr:to>
      <xdr:col>36</xdr:col>
      <xdr:colOff>223541</xdr:colOff>
      <xdr:row>78</xdr:row>
      <xdr:rowOff>48596</xdr:rowOff>
    </xdr:to>
    <xdr:sp macro="" textlink="">
      <xdr:nvSpPr>
        <xdr:cNvPr id="3971" name="Freeform 10707">
          <a:extLst>
            <a:ext uri="{FF2B5EF4-FFF2-40B4-BE49-F238E27FC236}">
              <a16:creationId xmlns:a16="http://schemas.microsoft.com/office/drawing/2014/main" id="{C71A4C7C-1980-48B8-B0DC-DAE4F8CBCF60}"/>
            </a:ext>
          </a:extLst>
        </xdr:cNvPr>
        <xdr:cNvSpPr>
          <a:spLocks/>
        </xdr:cNvSpPr>
      </xdr:nvSpPr>
      <xdr:spPr bwMode="auto">
        <a:xfrm>
          <a:off x="10895434" y="15580177"/>
          <a:ext cx="690071" cy="2138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194388</xdr:colOff>
      <xdr:row>77</xdr:row>
      <xdr:rowOff>19438</xdr:rowOff>
    </xdr:from>
    <xdr:to>
      <xdr:col>38</xdr:col>
      <xdr:colOff>223540</xdr:colOff>
      <xdr:row>78</xdr:row>
      <xdr:rowOff>58316</xdr:rowOff>
    </xdr:to>
    <xdr:sp macro="" textlink="">
      <xdr:nvSpPr>
        <xdr:cNvPr id="3972" name="Freeform 10707">
          <a:extLst>
            <a:ext uri="{FF2B5EF4-FFF2-40B4-BE49-F238E27FC236}">
              <a16:creationId xmlns:a16="http://schemas.microsoft.com/office/drawing/2014/main" id="{F407B183-4713-48EF-9BF0-5E949BA9E1A1}"/>
            </a:ext>
          </a:extLst>
        </xdr:cNvPr>
        <xdr:cNvSpPr>
          <a:spLocks/>
        </xdr:cNvSpPr>
      </xdr:nvSpPr>
      <xdr:spPr bwMode="auto">
        <a:xfrm>
          <a:off x="11556352" y="15570458"/>
          <a:ext cx="690071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231321</xdr:colOff>
      <xdr:row>77</xdr:row>
      <xdr:rowOff>57150</xdr:rowOff>
    </xdr:from>
    <xdr:to>
      <xdr:col>40</xdr:col>
      <xdr:colOff>142875</xdr:colOff>
      <xdr:row>78</xdr:row>
      <xdr:rowOff>95250</xdr:rowOff>
    </xdr:to>
    <xdr:sp macro="" textlink="">
      <xdr:nvSpPr>
        <xdr:cNvPr id="3973" name="Freeform 10707">
          <a:extLst>
            <a:ext uri="{FF2B5EF4-FFF2-40B4-BE49-F238E27FC236}">
              <a16:creationId xmlns:a16="http://schemas.microsoft.com/office/drawing/2014/main" id="{9C6D96E9-AA9D-419A-8CB2-F0CEF6CA88D3}"/>
            </a:ext>
          </a:extLst>
        </xdr:cNvPr>
        <xdr:cNvSpPr>
          <a:spLocks/>
        </xdr:cNvSpPr>
      </xdr:nvSpPr>
      <xdr:spPr bwMode="auto">
        <a:xfrm>
          <a:off x="12366171" y="15392400"/>
          <a:ext cx="568779" cy="2286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222767</xdr:colOff>
      <xdr:row>77</xdr:row>
      <xdr:rowOff>28575</xdr:rowOff>
    </xdr:from>
    <xdr:to>
      <xdr:col>42</xdr:col>
      <xdr:colOff>152400</xdr:colOff>
      <xdr:row>78</xdr:row>
      <xdr:rowOff>77172</xdr:rowOff>
    </xdr:to>
    <xdr:sp macro="" textlink="">
      <xdr:nvSpPr>
        <xdr:cNvPr id="3974" name="Freeform 10707">
          <a:extLst>
            <a:ext uri="{FF2B5EF4-FFF2-40B4-BE49-F238E27FC236}">
              <a16:creationId xmlns:a16="http://schemas.microsoft.com/office/drawing/2014/main" id="{EA79022B-A514-4441-9C2F-A56629E2CCEF}"/>
            </a:ext>
          </a:extLst>
        </xdr:cNvPr>
        <xdr:cNvSpPr>
          <a:spLocks/>
        </xdr:cNvSpPr>
      </xdr:nvSpPr>
      <xdr:spPr bwMode="auto">
        <a:xfrm>
          <a:off x="13014842" y="15363825"/>
          <a:ext cx="529708" cy="23909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213632</xdr:colOff>
      <xdr:row>77</xdr:row>
      <xdr:rowOff>47625</xdr:rowOff>
    </xdr:from>
    <xdr:to>
      <xdr:col>44</xdr:col>
      <xdr:colOff>161925</xdr:colOff>
      <xdr:row>78</xdr:row>
      <xdr:rowOff>104775</xdr:rowOff>
    </xdr:to>
    <xdr:sp macro="" textlink="">
      <xdr:nvSpPr>
        <xdr:cNvPr id="3975" name="Freeform 10707">
          <a:extLst>
            <a:ext uri="{FF2B5EF4-FFF2-40B4-BE49-F238E27FC236}">
              <a16:creationId xmlns:a16="http://schemas.microsoft.com/office/drawing/2014/main" id="{A4D9AA60-CBE9-4246-B7F6-998A4717B1D9}"/>
            </a:ext>
          </a:extLst>
        </xdr:cNvPr>
        <xdr:cNvSpPr>
          <a:spLocks/>
        </xdr:cNvSpPr>
      </xdr:nvSpPr>
      <xdr:spPr bwMode="auto">
        <a:xfrm>
          <a:off x="13605782" y="15382875"/>
          <a:ext cx="624568" cy="2476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252705</xdr:colOff>
      <xdr:row>77</xdr:row>
      <xdr:rowOff>9719</xdr:rowOff>
    </xdr:from>
    <xdr:to>
      <xdr:col>47</xdr:col>
      <xdr:colOff>48592</xdr:colOff>
      <xdr:row>78</xdr:row>
      <xdr:rowOff>106912</xdr:rowOff>
    </xdr:to>
    <xdr:sp macro="" textlink="">
      <xdr:nvSpPr>
        <xdr:cNvPr id="3976" name="Freeform 10707">
          <a:extLst>
            <a:ext uri="{FF2B5EF4-FFF2-40B4-BE49-F238E27FC236}">
              <a16:creationId xmlns:a16="http://schemas.microsoft.com/office/drawing/2014/main" id="{6C57086C-0575-453E-B52B-C0C76A705C0C}"/>
            </a:ext>
          </a:extLst>
        </xdr:cNvPr>
        <xdr:cNvSpPr>
          <a:spLocks/>
        </xdr:cNvSpPr>
      </xdr:nvSpPr>
      <xdr:spPr bwMode="auto">
        <a:xfrm>
          <a:off x="14190307" y="15560739"/>
          <a:ext cx="690071" cy="29158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85</xdr:row>
      <xdr:rowOff>58317</xdr:rowOff>
    </xdr:from>
    <xdr:to>
      <xdr:col>2</xdr:col>
      <xdr:colOff>223545</xdr:colOff>
      <xdr:row>86</xdr:row>
      <xdr:rowOff>87474</xdr:rowOff>
    </xdr:to>
    <xdr:sp macro="" textlink="">
      <xdr:nvSpPr>
        <xdr:cNvPr id="3977" name="Freeform 10707">
          <a:extLst>
            <a:ext uri="{FF2B5EF4-FFF2-40B4-BE49-F238E27FC236}">
              <a16:creationId xmlns:a16="http://schemas.microsoft.com/office/drawing/2014/main" id="{ACCA846C-BD2A-4078-AFD2-E856BDFAC28A}"/>
            </a:ext>
          </a:extLst>
        </xdr:cNvPr>
        <xdr:cNvSpPr>
          <a:spLocks/>
        </xdr:cNvSpPr>
      </xdr:nvSpPr>
      <xdr:spPr bwMode="auto">
        <a:xfrm>
          <a:off x="0" y="17222756"/>
          <a:ext cx="612321" cy="22354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213827</xdr:colOff>
      <xdr:row>85</xdr:row>
      <xdr:rowOff>77755</xdr:rowOff>
    </xdr:from>
    <xdr:to>
      <xdr:col>4</xdr:col>
      <xdr:colOff>184670</xdr:colOff>
      <xdr:row>86</xdr:row>
      <xdr:rowOff>116631</xdr:rowOff>
    </xdr:to>
    <xdr:sp macro="" textlink="">
      <xdr:nvSpPr>
        <xdr:cNvPr id="3978" name="Freeform 10707">
          <a:extLst>
            <a:ext uri="{FF2B5EF4-FFF2-40B4-BE49-F238E27FC236}">
              <a16:creationId xmlns:a16="http://schemas.microsoft.com/office/drawing/2014/main" id="{A7674033-32CE-4E51-AF9B-7852F95C6441}"/>
            </a:ext>
          </a:extLst>
        </xdr:cNvPr>
        <xdr:cNvSpPr>
          <a:spLocks/>
        </xdr:cNvSpPr>
      </xdr:nvSpPr>
      <xdr:spPr bwMode="auto">
        <a:xfrm>
          <a:off x="602603" y="17242194"/>
          <a:ext cx="670638" cy="2332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155511</xdr:colOff>
      <xdr:row>85</xdr:row>
      <xdr:rowOff>48597</xdr:rowOff>
    </xdr:from>
    <xdr:to>
      <xdr:col>6</xdr:col>
      <xdr:colOff>204108</xdr:colOff>
      <xdr:row>86</xdr:row>
      <xdr:rowOff>106912</xdr:rowOff>
    </xdr:to>
    <xdr:sp macro="" textlink="">
      <xdr:nvSpPr>
        <xdr:cNvPr id="3979" name="Freeform 10707">
          <a:extLst>
            <a:ext uri="{FF2B5EF4-FFF2-40B4-BE49-F238E27FC236}">
              <a16:creationId xmlns:a16="http://schemas.microsoft.com/office/drawing/2014/main" id="{0D66739E-2CA8-44D2-AE49-E0D047295FAB}"/>
            </a:ext>
          </a:extLst>
        </xdr:cNvPr>
        <xdr:cNvSpPr>
          <a:spLocks/>
        </xdr:cNvSpPr>
      </xdr:nvSpPr>
      <xdr:spPr bwMode="auto">
        <a:xfrm>
          <a:off x="1244082" y="17213036"/>
          <a:ext cx="670638" cy="25270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194388</xdr:colOff>
      <xdr:row>13</xdr:row>
      <xdr:rowOff>58316</xdr:rowOff>
    </xdr:from>
    <xdr:to>
      <xdr:col>34</xdr:col>
      <xdr:colOff>213822</xdr:colOff>
      <xdr:row>14</xdr:row>
      <xdr:rowOff>97194</xdr:rowOff>
    </xdr:to>
    <xdr:sp macro="" textlink="">
      <xdr:nvSpPr>
        <xdr:cNvPr id="3980" name="Freeform 10707">
          <a:extLst>
            <a:ext uri="{FF2B5EF4-FFF2-40B4-BE49-F238E27FC236}">
              <a16:creationId xmlns:a16="http://schemas.microsoft.com/office/drawing/2014/main" id="{2D4F9F05-D5FA-46C9-9302-BF628DB787E3}"/>
            </a:ext>
          </a:extLst>
        </xdr:cNvPr>
        <xdr:cNvSpPr>
          <a:spLocks/>
        </xdr:cNvSpPr>
      </xdr:nvSpPr>
      <xdr:spPr bwMode="auto">
        <a:xfrm>
          <a:off x="10302551" y="2624234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184669</xdr:colOff>
      <xdr:row>13</xdr:row>
      <xdr:rowOff>58314</xdr:rowOff>
    </xdr:from>
    <xdr:to>
      <xdr:col>36</xdr:col>
      <xdr:colOff>242980</xdr:colOff>
      <xdr:row>14</xdr:row>
      <xdr:rowOff>126351</xdr:rowOff>
    </xdr:to>
    <xdr:sp macro="" textlink="">
      <xdr:nvSpPr>
        <xdr:cNvPr id="3981" name="Freeform 10707">
          <a:extLst>
            <a:ext uri="{FF2B5EF4-FFF2-40B4-BE49-F238E27FC236}">
              <a16:creationId xmlns:a16="http://schemas.microsoft.com/office/drawing/2014/main" id="{B4E7DEEC-B6E1-43EC-B097-3869A935784D}"/>
            </a:ext>
          </a:extLst>
        </xdr:cNvPr>
        <xdr:cNvSpPr>
          <a:spLocks/>
        </xdr:cNvSpPr>
      </xdr:nvSpPr>
      <xdr:spPr bwMode="auto">
        <a:xfrm>
          <a:off x="10914873" y="2624232"/>
          <a:ext cx="690071" cy="2624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165230</xdr:colOff>
      <xdr:row>13</xdr:row>
      <xdr:rowOff>38875</xdr:rowOff>
    </xdr:from>
    <xdr:to>
      <xdr:col>38</xdr:col>
      <xdr:colOff>194382</xdr:colOff>
      <xdr:row>14</xdr:row>
      <xdr:rowOff>77754</xdr:rowOff>
    </xdr:to>
    <xdr:sp macro="" textlink="">
      <xdr:nvSpPr>
        <xdr:cNvPr id="3982" name="Freeform 10707">
          <a:extLst>
            <a:ext uri="{FF2B5EF4-FFF2-40B4-BE49-F238E27FC236}">
              <a16:creationId xmlns:a16="http://schemas.microsoft.com/office/drawing/2014/main" id="{B4C076C8-81CC-4E0F-968E-39CFEA4F8276}"/>
            </a:ext>
          </a:extLst>
        </xdr:cNvPr>
        <xdr:cNvSpPr>
          <a:spLocks/>
        </xdr:cNvSpPr>
      </xdr:nvSpPr>
      <xdr:spPr bwMode="auto">
        <a:xfrm>
          <a:off x="11527194" y="2604793"/>
          <a:ext cx="690071" cy="2332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145790</xdr:colOff>
      <xdr:row>13</xdr:row>
      <xdr:rowOff>58316</xdr:rowOff>
    </xdr:from>
    <xdr:to>
      <xdr:col>40</xdr:col>
      <xdr:colOff>204107</xdr:colOff>
      <xdr:row>14</xdr:row>
      <xdr:rowOff>77754</xdr:rowOff>
    </xdr:to>
    <xdr:sp macro="" textlink="">
      <xdr:nvSpPr>
        <xdr:cNvPr id="3983" name="Freeform 10707">
          <a:extLst>
            <a:ext uri="{FF2B5EF4-FFF2-40B4-BE49-F238E27FC236}">
              <a16:creationId xmlns:a16="http://schemas.microsoft.com/office/drawing/2014/main" id="{0B06B9E1-E9C2-4584-85A8-3B9133B4C094}"/>
            </a:ext>
          </a:extLst>
        </xdr:cNvPr>
        <xdr:cNvSpPr>
          <a:spLocks/>
        </xdr:cNvSpPr>
      </xdr:nvSpPr>
      <xdr:spPr bwMode="auto">
        <a:xfrm>
          <a:off x="12168673" y="2624234"/>
          <a:ext cx="709516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136071</xdr:colOff>
      <xdr:row>13</xdr:row>
      <xdr:rowOff>58317</xdr:rowOff>
    </xdr:from>
    <xdr:to>
      <xdr:col>42</xdr:col>
      <xdr:colOff>184669</xdr:colOff>
      <xdr:row>14</xdr:row>
      <xdr:rowOff>77755</xdr:rowOff>
    </xdr:to>
    <xdr:sp macro="" textlink="">
      <xdr:nvSpPr>
        <xdr:cNvPr id="3984" name="Freeform 10707">
          <a:extLst>
            <a:ext uri="{FF2B5EF4-FFF2-40B4-BE49-F238E27FC236}">
              <a16:creationId xmlns:a16="http://schemas.microsoft.com/office/drawing/2014/main" id="{60048FD2-86E1-49B5-8F64-C454E01466CB}"/>
            </a:ext>
          </a:extLst>
        </xdr:cNvPr>
        <xdr:cNvSpPr>
          <a:spLocks/>
        </xdr:cNvSpPr>
      </xdr:nvSpPr>
      <xdr:spPr bwMode="auto">
        <a:xfrm>
          <a:off x="12810153" y="2624235"/>
          <a:ext cx="670638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136073</xdr:colOff>
      <xdr:row>13</xdr:row>
      <xdr:rowOff>48597</xdr:rowOff>
    </xdr:from>
    <xdr:to>
      <xdr:col>44</xdr:col>
      <xdr:colOff>242985</xdr:colOff>
      <xdr:row>14</xdr:row>
      <xdr:rowOff>87475</xdr:rowOff>
    </xdr:to>
    <xdr:sp macro="" textlink="">
      <xdr:nvSpPr>
        <xdr:cNvPr id="3985" name="Freeform 10707">
          <a:extLst>
            <a:ext uri="{FF2B5EF4-FFF2-40B4-BE49-F238E27FC236}">
              <a16:creationId xmlns:a16="http://schemas.microsoft.com/office/drawing/2014/main" id="{80FBDDB6-B30C-4B15-A1E2-F5A42C4AC40D}"/>
            </a:ext>
          </a:extLst>
        </xdr:cNvPr>
        <xdr:cNvSpPr>
          <a:spLocks/>
        </xdr:cNvSpPr>
      </xdr:nvSpPr>
      <xdr:spPr bwMode="auto">
        <a:xfrm>
          <a:off x="13432195" y="2614515"/>
          <a:ext cx="845586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204107</xdr:colOff>
      <xdr:row>13</xdr:row>
      <xdr:rowOff>19439</xdr:rowOff>
    </xdr:from>
    <xdr:to>
      <xdr:col>46</xdr:col>
      <xdr:colOff>126346</xdr:colOff>
      <xdr:row>14</xdr:row>
      <xdr:rowOff>68036</xdr:rowOff>
    </xdr:to>
    <xdr:sp macro="" textlink="">
      <xdr:nvSpPr>
        <xdr:cNvPr id="3986" name="Freeform 10707">
          <a:extLst>
            <a:ext uri="{FF2B5EF4-FFF2-40B4-BE49-F238E27FC236}">
              <a16:creationId xmlns:a16="http://schemas.microsoft.com/office/drawing/2014/main" id="{64CBE40D-82AC-45C6-B6BE-464FEA5DBBF2}"/>
            </a:ext>
          </a:extLst>
        </xdr:cNvPr>
        <xdr:cNvSpPr>
          <a:spLocks/>
        </xdr:cNvSpPr>
      </xdr:nvSpPr>
      <xdr:spPr bwMode="auto">
        <a:xfrm>
          <a:off x="14170867" y="2585357"/>
          <a:ext cx="690071" cy="2429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21</xdr:row>
      <xdr:rowOff>47626</xdr:rowOff>
    </xdr:from>
    <xdr:to>
      <xdr:col>2</xdr:col>
      <xdr:colOff>219075</xdr:colOff>
      <xdr:row>22</xdr:row>
      <xdr:rowOff>77562</xdr:rowOff>
    </xdr:to>
    <xdr:sp macro="" textlink="">
      <xdr:nvSpPr>
        <xdr:cNvPr id="3987" name="Freeform 10707">
          <a:extLst>
            <a:ext uri="{FF2B5EF4-FFF2-40B4-BE49-F238E27FC236}">
              <a16:creationId xmlns:a16="http://schemas.microsoft.com/office/drawing/2014/main" id="{2F7DF7B8-0147-4152-88DF-9C0A63426228}"/>
            </a:ext>
          </a:extLst>
        </xdr:cNvPr>
        <xdr:cNvSpPr>
          <a:spLocks/>
        </xdr:cNvSpPr>
      </xdr:nvSpPr>
      <xdr:spPr bwMode="auto">
        <a:xfrm>
          <a:off x="0" y="4171951"/>
          <a:ext cx="609600" cy="22043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97197</xdr:colOff>
      <xdr:row>76</xdr:row>
      <xdr:rowOff>165229</xdr:rowOff>
    </xdr:from>
    <xdr:to>
      <xdr:col>12</xdr:col>
      <xdr:colOff>238745</xdr:colOff>
      <xdr:row>77</xdr:row>
      <xdr:rowOff>144736</xdr:rowOff>
    </xdr:to>
    <xdr:sp macro="" textlink="">
      <xdr:nvSpPr>
        <xdr:cNvPr id="3988" name="6-Point Star 717">
          <a:extLst>
            <a:ext uri="{FF2B5EF4-FFF2-40B4-BE49-F238E27FC236}">
              <a16:creationId xmlns:a16="http://schemas.microsoft.com/office/drawing/2014/main" id="{EA3BDA73-2DF2-4E8F-845E-1DE945FCD79F}"/>
            </a:ext>
          </a:extLst>
        </xdr:cNvPr>
        <xdr:cNvSpPr/>
      </xdr:nvSpPr>
      <xdr:spPr>
        <a:xfrm>
          <a:off x="3819723" y="1552186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116628</xdr:colOff>
      <xdr:row>84</xdr:row>
      <xdr:rowOff>155508</xdr:rowOff>
    </xdr:from>
    <xdr:to>
      <xdr:col>14</xdr:col>
      <xdr:colOff>258176</xdr:colOff>
      <xdr:row>85</xdr:row>
      <xdr:rowOff>135014</xdr:rowOff>
    </xdr:to>
    <xdr:sp macro="" textlink="">
      <xdr:nvSpPr>
        <xdr:cNvPr id="3989" name="6-Point Star 717">
          <a:extLst>
            <a:ext uri="{FF2B5EF4-FFF2-40B4-BE49-F238E27FC236}">
              <a16:creationId xmlns:a16="http://schemas.microsoft.com/office/drawing/2014/main" id="{94F4AADA-271F-44FD-9C12-97BCCB52BACA}"/>
            </a:ext>
          </a:extLst>
        </xdr:cNvPr>
        <xdr:cNvSpPr/>
      </xdr:nvSpPr>
      <xdr:spPr>
        <a:xfrm>
          <a:off x="4461194" y="1712555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126349</xdr:colOff>
      <xdr:row>85</xdr:row>
      <xdr:rowOff>9721</xdr:rowOff>
    </xdr:from>
    <xdr:to>
      <xdr:col>16</xdr:col>
      <xdr:colOff>267897</xdr:colOff>
      <xdr:row>85</xdr:row>
      <xdr:rowOff>183615</xdr:rowOff>
    </xdr:to>
    <xdr:sp macro="" textlink="">
      <xdr:nvSpPr>
        <xdr:cNvPr id="3990" name="6-Point Star 717">
          <a:extLst>
            <a:ext uri="{FF2B5EF4-FFF2-40B4-BE49-F238E27FC236}">
              <a16:creationId xmlns:a16="http://schemas.microsoft.com/office/drawing/2014/main" id="{3BD30FC8-BC65-41C9-989D-F475CA6B2DD1}"/>
            </a:ext>
          </a:extLst>
        </xdr:cNvPr>
        <xdr:cNvSpPr/>
      </xdr:nvSpPr>
      <xdr:spPr>
        <a:xfrm>
          <a:off x="5131834" y="17174160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87472</xdr:colOff>
      <xdr:row>84</xdr:row>
      <xdr:rowOff>155506</xdr:rowOff>
    </xdr:from>
    <xdr:to>
      <xdr:col>24</xdr:col>
      <xdr:colOff>229020</xdr:colOff>
      <xdr:row>85</xdr:row>
      <xdr:rowOff>135012</xdr:rowOff>
    </xdr:to>
    <xdr:sp macro="" textlink="">
      <xdr:nvSpPr>
        <xdr:cNvPr id="3991" name="6-Point Star 717">
          <a:extLst>
            <a:ext uri="{FF2B5EF4-FFF2-40B4-BE49-F238E27FC236}">
              <a16:creationId xmlns:a16="http://schemas.microsoft.com/office/drawing/2014/main" id="{D9745E02-93D7-4382-AFD4-C13A9AD8D6BE}"/>
            </a:ext>
          </a:extLst>
        </xdr:cNvPr>
        <xdr:cNvSpPr/>
      </xdr:nvSpPr>
      <xdr:spPr>
        <a:xfrm>
          <a:off x="7649156" y="1712555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145788</xdr:colOff>
      <xdr:row>119</xdr:row>
      <xdr:rowOff>48595</xdr:rowOff>
    </xdr:from>
    <xdr:to>
      <xdr:col>22</xdr:col>
      <xdr:colOff>241039</xdr:colOff>
      <xdr:row>120</xdr:row>
      <xdr:rowOff>147733</xdr:rowOff>
    </xdr:to>
    <xdr:cxnSp macro="">
      <xdr:nvCxnSpPr>
        <xdr:cNvPr id="3992" name="Elbow Connector 55">
          <a:extLst>
            <a:ext uri="{FF2B5EF4-FFF2-40B4-BE49-F238E27FC236}">
              <a16:creationId xmlns:a16="http://schemas.microsoft.com/office/drawing/2014/main" id="{869DF740-47A8-42E2-8F95-8F5454B63FF6}"/>
            </a:ext>
          </a:extLst>
        </xdr:cNvPr>
        <xdr:cNvCxnSpPr/>
      </xdr:nvCxnSpPr>
      <xdr:spPr>
        <a:xfrm rot="16200000" flipH="1">
          <a:off x="6957136" y="24183778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136066</xdr:colOff>
      <xdr:row>119</xdr:row>
      <xdr:rowOff>77753</xdr:rowOff>
    </xdr:from>
    <xdr:to>
      <xdr:col>24</xdr:col>
      <xdr:colOff>231317</xdr:colOff>
      <xdr:row>120</xdr:row>
      <xdr:rowOff>176891</xdr:rowOff>
    </xdr:to>
    <xdr:cxnSp macro="">
      <xdr:nvCxnSpPr>
        <xdr:cNvPr id="3993" name="Elbow Connector 55">
          <a:extLst>
            <a:ext uri="{FF2B5EF4-FFF2-40B4-BE49-F238E27FC236}">
              <a16:creationId xmlns:a16="http://schemas.microsoft.com/office/drawing/2014/main" id="{70032A08-C4BF-410C-A8DA-13441D765FC6}"/>
            </a:ext>
          </a:extLst>
        </xdr:cNvPr>
        <xdr:cNvCxnSpPr/>
      </xdr:nvCxnSpPr>
      <xdr:spPr>
        <a:xfrm rot="16200000" flipH="1">
          <a:off x="7569455" y="24212936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145786</xdr:colOff>
      <xdr:row>95</xdr:row>
      <xdr:rowOff>68036</xdr:rowOff>
    </xdr:from>
    <xdr:to>
      <xdr:col>32</xdr:col>
      <xdr:colOff>221594</xdr:colOff>
      <xdr:row>96</xdr:row>
      <xdr:rowOff>118574</xdr:rowOff>
    </xdr:to>
    <xdr:cxnSp macro="">
      <xdr:nvCxnSpPr>
        <xdr:cNvPr id="3994" name="Elbow Connector 55">
          <a:extLst>
            <a:ext uri="{FF2B5EF4-FFF2-40B4-BE49-F238E27FC236}">
              <a16:creationId xmlns:a16="http://schemas.microsoft.com/office/drawing/2014/main" id="{4D6C9AC8-F1A1-4EAA-A230-72AF6044A58D}"/>
            </a:ext>
          </a:extLst>
        </xdr:cNvPr>
        <xdr:cNvCxnSpPr/>
      </xdr:nvCxnSpPr>
      <xdr:spPr>
        <a:xfrm rot="16200000" flipH="1">
          <a:off x="10140232" y="19348386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155506</xdr:colOff>
      <xdr:row>95</xdr:row>
      <xdr:rowOff>97190</xdr:rowOff>
    </xdr:from>
    <xdr:to>
      <xdr:col>18</xdr:col>
      <xdr:colOff>231314</xdr:colOff>
      <xdr:row>96</xdr:row>
      <xdr:rowOff>147728</xdr:rowOff>
    </xdr:to>
    <xdr:cxnSp macro="">
      <xdr:nvCxnSpPr>
        <xdr:cNvPr id="3995" name="Elbow Connector 55">
          <a:extLst>
            <a:ext uri="{FF2B5EF4-FFF2-40B4-BE49-F238E27FC236}">
              <a16:creationId xmlns:a16="http://schemas.microsoft.com/office/drawing/2014/main" id="{EC06AAA1-0744-4EB0-B52A-5E0482326796}"/>
            </a:ext>
          </a:extLst>
        </xdr:cNvPr>
        <xdr:cNvCxnSpPr/>
      </xdr:nvCxnSpPr>
      <xdr:spPr>
        <a:xfrm rot="16200000" flipH="1">
          <a:off x="5737350" y="19377540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136067</xdr:colOff>
      <xdr:row>55</xdr:row>
      <xdr:rowOff>116629</xdr:rowOff>
    </xdr:from>
    <xdr:to>
      <xdr:col>18</xdr:col>
      <xdr:colOff>211875</xdr:colOff>
      <xdr:row>56</xdr:row>
      <xdr:rowOff>167167</xdr:rowOff>
    </xdr:to>
    <xdr:cxnSp macro="">
      <xdr:nvCxnSpPr>
        <xdr:cNvPr id="3996" name="Elbow Connector 55">
          <a:extLst>
            <a:ext uri="{FF2B5EF4-FFF2-40B4-BE49-F238E27FC236}">
              <a16:creationId xmlns:a16="http://schemas.microsoft.com/office/drawing/2014/main" id="{5D4782AD-0012-4CF1-9835-EB3F1902AB8E}"/>
            </a:ext>
          </a:extLst>
        </xdr:cNvPr>
        <xdr:cNvCxnSpPr/>
      </xdr:nvCxnSpPr>
      <xdr:spPr>
        <a:xfrm rot="16200000" flipH="1">
          <a:off x="5717911" y="1132988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184668</xdr:colOff>
      <xdr:row>77</xdr:row>
      <xdr:rowOff>114300</xdr:rowOff>
    </xdr:from>
    <xdr:to>
      <xdr:col>14</xdr:col>
      <xdr:colOff>142875</xdr:colOff>
      <xdr:row>78</xdr:row>
      <xdr:rowOff>106913</xdr:rowOff>
    </xdr:to>
    <xdr:sp macro="" textlink="">
      <xdr:nvSpPr>
        <xdr:cNvPr id="3997" name="Freeform 10707">
          <a:extLst>
            <a:ext uri="{FF2B5EF4-FFF2-40B4-BE49-F238E27FC236}">
              <a16:creationId xmlns:a16="http://schemas.microsoft.com/office/drawing/2014/main" id="{BCFB9E6B-30F6-4846-8808-9811C0EEE692}"/>
            </a:ext>
          </a:extLst>
        </xdr:cNvPr>
        <xdr:cNvSpPr>
          <a:spLocks/>
        </xdr:cNvSpPr>
      </xdr:nvSpPr>
      <xdr:spPr bwMode="auto">
        <a:xfrm>
          <a:off x="3937518" y="15449550"/>
          <a:ext cx="586857" cy="18311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233267</xdr:colOff>
      <xdr:row>77</xdr:row>
      <xdr:rowOff>114300</xdr:rowOff>
    </xdr:from>
    <xdr:to>
      <xdr:col>16</xdr:col>
      <xdr:colOff>171451</xdr:colOff>
      <xdr:row>78</xdr:row>
      <xdr:rowOff>76200</xdr:rowOff>
    </xdr:to>
    <xdr:sp macro="" textlink="">
      <xdr:nvSpPr>
        <xdr:cNvPr id="3998" name="Freeform 10707">
          <a:extLst>
            <a:ext uri="{FF2B5EF4-FFF2-40B4-BE49-F238E27FC236}">
              <a16:creationId xmlns:a16="http://schemas.microsoft.com/office/drawing/2014/main" id="{973CBD76-F335-4C47-BF94-4B525139DBC2}"/>
            </a:ext>
          </a:extLst>
        </xdr:cNvPr>
        <xdr:cNvSpPr>
          <a:spLocks/>
        </xdr:cNvSpPr>
      </xdr:nvSpPr>
      <xdr:spPr bwMode="auto">
        <a:xfrm>
          <a:off x="4614767" y="15449550"/>
          <a:ext cx="604934" cy="1524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223548</xdr:colOff>
      <xdr:row>77</xdr:row>
      <xdr:rowOff>48597</xdr:rowOff>
    </xdr:from>
    <xdr:to>
      <xdr:col>18</xdr:col>
      <xdr:colOff>174951</xdr:colOff>
      <xdr:row>78</xdr:row>
      <xdr:rowOff>77754</xdr:rowOff>
    </xdr:to>
    <xdr:sp macro="" textlink="">
      <xdr:nvSpPr>
        <xdr:cNvPr id="3999" name="Freeform 10707">
          <a:extLst>
            <a:ext uri="{FF2B5EF4-FFF2-40B4-BE49-F238E27FC236}">
              <a16:creationId xmlns:a16="http://schemas.microsoft.com/office/drawing/2014/main" id="{8E1B53AD-3F80-40C9-8E90-414965740EBA}"/>
            </a:ext>
          </a:extLst>
        </xdr:cNvPr>
        <xdr:cNvSpPr>
          <a:spLocks/>
        </xdr:cNvSpPr>
      </xdr:nvSpPr>
      <xdr:spPr bwMode="auto">
        <a:xfrm>
          <a:off x="5229033" y="15599617"/>
          <a:ext cx="641479" cy="22354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185254</xdr:colOff>
      <xdr:row>77</xdr:row>
      <xdr:rowOff>58120</xdr:rowOff>
    </xdr:from>
    <xdr:to>
      <xdr:col>20</xdr:col>
      <xdr:colOff>204692</xdr:colOff>
      <xdr:row>78</xdr:row>
      <xdr:rowOff>87277</xdr:rowOff>
    </xdr:to>
    <xdr:sp macro="" textlink="">
      <xdr:nvSpPr>
        <xdr:cNvPr id="4000" name="Freeform 10707">
          <a:extLst>
            <a:ext uri="{FF2B5EF4-FFF2-40B4-BE49-F238E27FC236}">
              <a16:creationId xmlns:a16="http://schemas.microsoft.com/office/drawing/2014/main" id="{40ABEB3C-644F-4273-AF87-EC29BDB4F6C2}"/>
            </a:ext>
          </a:extLst>
        </xdr:cNvPr>
        <xdr:cNvSpPr>
          <a:spLocks/>
        </xdr:cNvSpPr>
      </xdr:nvSpPr>
      <xdr:spPr bwMode="auto">
        <a:xfrm>
          <a:off x="5928829" y="15393370"/>
          <a:ext cx="648088" cy="21965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184868</xdr:colOff>
      <xdr:row>77</xdr:row>
      <xdr:rowOff>39265</xdr:rowOff>
    </xdr:from>
    <xdr:to>
      <xdr:col>22</xdr:col>
      <xdr:colOff>204306</xdr:colOff>
      <xdr:row>78</xdr:row>
      <xdr:rowOff>78143</xdr:rowOff>
    </xdr:to>
    <xdr:sp macro="" textlink="">
      <xdr:nvSpPr>
        <xdr:cNvPr id="4001" name="Freeform 10707">
          <a:extLst>
            <a:ext uri="{FF2B5EF4-FFF2-40B4-BE49-F238E27FC236}">
              <a16:creationId xmlns:a16="http://schemas.microsoft.com/office/drawing/2014/main" id="{A3762570-E96D-45E0-A0B1-31691DC6F1C0}"/>
            </a:ext>
          </a:extLst>
        </xdr:cNvPr>
        <xdr:cNvSpPr>
          <a:spLocks/>
        </xdr:cNvSpPr>
      </xdr:nvSpPr>
      <xdr:spPr bwMode="auto">
        <a:xfrm>
          <a:off x="6557093" y="15374515"/>
          <a:ext cx="648088" cy="22937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193997</xdr:colOff>
      <xdr:row>77</xdr:row>
      <xdr:rowOff>38099</xdr:rowOff>
    </xdr:from>
    <xdr:to>
      <xdr:col>24</xdr:col>
      <xdr:colOff>171450</xdr:colOff>
      <xdr:row>78</xdr:row>
      <xdr:rowOff>58702</xdr:rowOff>
    </xdr:to>
    <xdr:sp macro="" textlink="">
      <xdr:nvSpPr>
        <xdr:cNvPr id="4002" name="Freeform 10707">
          <a:extLst>
            <a:ext uri="{FF2B5EF4-FFF2-40B4-BE49-F238E27FC236}">
              <a16:creationId xmlns:a16="http://schemas.microsoft.com/office/drawing/2014/main" id="{FB9C478B-FC9C-40BF-93C4-A808BD224D97}"/>
            </a:ext>
          </a:extLst>
        </xdr:cNvPr>
        <xdr:cNvSpPr>
          <a:spLocks/>
        </xdr:cNvSpPr>
      </xdr:nvSpPr>
      <xdr:spPr bwMode="auto">
        <a:xfrm>
          <a:off x="7194872" y="15373349"/>
          <a:ext cx="606103" cy="21110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232490</xdr:colOff>
      <xdr:row>77</xdr:row>
      <xdr:rowOff>76200</xdr:rowOff>
    </xdr:from>
    <xdr:to>
      <xdr:col>26</xdr:col>
      <xdr:colOff>142875</xdr:colOff>
      <xdr:row>78</xdr:row>
      <xdr:rowOff>106719</xdr:rowOff>
    </xdr:to>
    <xdr:sp macro="" textlink="">
      <xdr:nvSpPr>
        <xdr:cNvPr id="4003" name="Freeform 10707">
          <a:extLst>
            <a:ext uri="{FF2B5EF4-FFF2-40B4-BE49-F238E27FC236}">
              <a16:creationId xmlns:a16="http://schemas.microsoft.com/office/drawing/2014/main" id="{29F7001A-EDED-4B0A-BBC7-C99EEB2F04E4}"/>
            </a:ext>
          </a:extLst>
        </xdr:cNvPr>
        <xdr:cNvSpPr>
          <a:spLocks/>
        </xdr:cNvSpPr>
      </xdr:nvSpPr>
      <xdr:spPr bwMode="auto">
        <a:xfrm>
          <a:off x="7862015" y="15411450"/>
          <a:ext cx="539035" cy="2210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223354</xdr:colOff>
      <xdr:row>77</xdr:row>
      <xdr:rowOff>48209</xdr:rowOff>
    </xdr:from>
    <xdr:to>
      <xdr:col>28</xdr:col>
      <xdr:colOff>174755</xdr:colOff>
      <xdr:row>78</xdr:row>
      <xdr:rowOff>96805</xdr:rowOff>
    </xdr:to>
    <xdr:sp macro="" textlink="">
      <xdr:nvSpPr>
        <xdr:cNvPr id="4004" name="Freeform 10707">
          <a:extLst>
            <a:ext uri="{FF2B5EF4-FFF2-40B4-BE49-F238E27FC236}">
              <a16:creationId xmlns:a16="http://schemas.microsoft.com/office/drawing/2014/main" id="{C207EB86-85A8-4C39-AB87-214EFC864387}"/>
            </a:ext>
          </a:extLst>
        </xdr:cNvPr>
        <xdr:cNvSpPr>
          <a:spLocks/>
        </xdr:cNvSpPr>
      </xdr:nvSpPr>
      <xdr:spPr bwMode="auto">
        <a:xfrm>
          <a:off x="8481529" y="15383459"/>
          <a:ext cx="608626" cy="2390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200025</xdr:colOff>
      <xdr:row>77</xdr:row>
      <xdr:rowOff>85725</xdr:rowOff>
    </xdr:from>
    <xdr:to>
      <xdr:col>30</xdr:col>
      <xdr:colOff>142875</xdr:colOff>
      <xdr:row>78</xdr:row>
      <xdr:rowOff>95250</xdr:rowOff>
    </xdr:to>
    <xdr:sp macro="" textlink="">
      <xdr:nvSpPr>
        <xdr:cNvPr id="4005" name="Freeform 10707">
          <a:extLst>
            <a:ext uri="{FF2B5EF4-FFF2-40B4-BE49-F238E27FC236}">
              <a16:creationId xmlns:a16="http://schemas.microsoft.com/office/drawing/2014/main" id="{A7CD70F4-18CA-485E-BB87-08F7056B51AC}"/>
            </a:ext>
          </a:extLst>
        </xdr:cNvPr>
        <xdr:cNvSpPr>
          <a:spLocks/>
        </xdr:cNvSpPr>
      </xdr:nvSpPr>
      <xdr:spPr bwMode="auto">
        <a:xfrm>
          <a:off x="9115425" y="15420975"/>
          <a:ext cx="571500" cy="2000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247649</xdr:colOff>
      <xdr:row>77</xdr:row>
      <xdr:rowOff>95249</xdr:rowOff>
    </xdr:from>
    <xdr:to>
      <xdr:col>32</xdr:col>
      <xdr:colOff>133349</xdr:colOff>
      <xdr:row>78</xdr:row>
      <xdr:rowOff>106912</xdr:rowOff>
    </xdr:to>
    <xdr:sp macro="" textlink="">
      <xdr:nvSpPr>
        <xdr:cNvPr id="4006" name="Freeform 10707">
          <a:extLst>
            <a:ext uri="{FF2B5EF4-FFF2-40B4-BE49-F238E27FC236}">
              <a16:creationId xmlns:a16="http://schemas.microsoft.com/office/drawing/2014/main" id="{D08B4F80-8035-4709-95E4-C4F91A04F702}"/>
            </a:ext>
          </a:extLst>
        </xdr:cNvPr>
        <xdr:cNvSpPr>
          <a:spLocks/>
        </xdr:cNvSpPr>
      </xdr:nvSpPr>
      <xdr:spPr bwMode="auto">
        <a:xfrm>
          <a:off x="9791699" y="15430499"/>
          <a:ext cx="542925" cy="2021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213051</xdr:colOff>
      <xdr:row>77</xdr:row>
      <xdr:rowOff>57732</xdr:rowOff>
    </xdr:from>
    <xdr:to>
      <xdr:col>34</xdr:col>
      <xdr:colOff>232489</xdr:colOff>
      <xdr:row>78</xdr:row>
      <xdr:rowOff>86889</xdr:rowOff>
    </xdr:to>
    <xdr:sp macro="" textlink="">
      <xdr:nvSpPr>
        <xdr:cNvPr id="4007" name="Freeform 10707">
          <a:extLst>
            <a:ext uri="{FF2B5EF4-FFF2-40B4-BE49-F238E27FC236}">
              <a16:creationId xmlns:a16="http://schemas.microsoft.com/office/drawing/2014/main" id="{6EDC89A4-6060-4876-B04A-BA38CBC77B57}"/>
            </a:ext>
          </a:extLst>
        </xdr:cNvPr>
        <xdr:cNvSpPr>
          <a:spLocks/>
        </xdr:cNvSpPr>
      </xdr:nvSpPr>
      <xdr:spPr bwMode="auto">
        <a:xfrm>
          <a:off x="10414326" y="15392982"/>
          <a:ext cx="648088" cy="21965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155512</xdr:colOff>
      <xdr:row>13</xdr:row>
      <xdr:rowOff>58315</xdr:rowOff>
    </xdr:from>
    <xdr:to>
      <xdr:col>20</xdr:col>
      <xdr:colOff>174946</xdr:colOff>
      <xdr:row>14</xdr:row>
      <xdr:rowOff>97193</xdr:rowOff>
    </xdr:to>
    <xdr:sp macro="" textlink="">
      <xdr:nvSpPr>
        <xdr:cNvPr id="4008" name="Freeform 10707">
          <a:extLst>
            <a:ext uri="{FF2B5EF4-FFF2-40B4-BE49-F238E27FC236}">
              <a16:creationId xmlns:a16="http://schemas.microsoft.com/office/drawing/2014/main" id="{5BCE25E3-DF09-4A26-B794-128334600EAE}"/>
            </a:ext>
          </a:extLst>
        </xdr:cNvPr>
        <xdr:cNvSpPr>
          <a:spLocks/>
        </xdr:cNvSpPr>
      </xdr:nvSpPr>
      <xdr:spPr bwMode="auto">
        <a:xfrm>
          <a:off x="5851073" y="2624233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204110</xdr:colOff>
      <xdr:row>13</xdr:row>
      <xdr:rowOff>58315</xdr:rowOff>
    </xdr:from>
    <xdr:to>
      <xdr:col>22</xdr:col>
      <xdr:colOff>223544</xdr:colOff>
      <xdr:row>14</xdr:row>
      <xdr:rowOff>97193</xdr:rowOff>
    </xdr:to>
    <xdr:sp macro="" textlink="">
      <xdr:nvSpPr>
        <xdr:cNvPr id="4009" name="Freeform 10707">
          <a:extLst>
            <a:ext uri="{FF2B5EF4-FFF2-40B4-BE49-F238E27FC236}">
              <a16:creationId xmlns:a16="http://schemas.microsoft.com/office/drawing/2014/main" id="{11320092-5BBB-49A4-B277-B7A017FE01FD}"/>
            </a:ext>
          </a:extLst>
        </xdr:cNvPr>
        <xdr:cNvSpPr>
          <a:spLocks/>
        </xdr:cNvSpPr>
      </xdr:nvSpPr>
      <xdr:spPr bwMode="auto">
        <a:xfrm>
          <a:off x="6521712" y="2624233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204108</xdr:colOff>
      <xdr:row>13</xdr:row>
      <xdr:rowOff>58316</xdr:rowOff>
    </xdr:from>
    <xdr:to>
      <xdr:col>24</xdr:col>
      <xdr:colOff>223546</xdr:colOff>
      <xdr:row>14</xdr:row>
      <xdr:rowOff>87473</xdr:rowOff>
    </xdr:to>
    <xdr:sp macro="" textlink="">
      <xdr:nvSpPr>
        <xdr:cNvPr id="4010" name="Freeform 10707">
          <a:extLst>
            <a:ext uri="{FF2B5EF4-FFF2-40B4-BE49-F238E27FC236}">
              <a16:creationId xmlns:a16="http://schemas.microsoft.com/office/drawing/2014/main" id="{DB279F64-1F03-42D6-BE09-B1A71505346B}"/>
            </a:ext>
          </a:extLst>
        </xdr:cNvPr>
        <xdr:cNvSpPr>
          <a:spLocks/>
        </xdr:cNvSpPr>
      </xdr:nvSpPr>
      <xdr:spPr bwMode="auto">
        <a:xfrm>
          <a:off x="7143751" y="2624234"/>
          <a:ext cx="641479" cy="22354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165232</xdr:colOff>
      <xdr:row>13</xdr:row>
      <xdr:rowOff>58315</xdr:rowOff>
    </xdr:from>
    <xdr:to>
      <xdr:col>26</xdr:col>
      <xdr:colOff>184667</xdr:colOff>
      <xdr:row>14</xdr:row>
      <xdr:rowOff>97193</xdr:rowOff>
    </xdr:to>
    <xdr:sp macro="" textlink="">
      <xdr:nvSpPr>
        <xdr:cNvPr id="4011" name="Freeform 10707">
          <a:extLst>
            <a:ext uri="{FF2B5EF4-FFF2-40B4-BE49-F238E27FC236}">
              <a16:creationId xmlns:a16="http://schemas.microsoft.com/office/drawing/2014/main" id="{03B912D8-B057-4F07-91BD-988FE04E32E2}"/>
            </a:ext>
          </a:extLst>
        </xdr:cNvPr>
        <xdr:cNvSpPr>
          <a:spLocks/>
        </xdr:cNvSpPr>
      </xdr:nvSpPr>
      <xdr:spPr bwMode="auto">
        <a:xfrm>
          <a:off x="7726916" y="2624233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204109</xdr:colOff>
      <xdr:row>13</xdr:row>
      <xdr:rowOff>48597</xdr:rowOff>
    </xdr:from>
    <xdr:to>
      <xdr:col>28</xdr:col>
      <xdr:colOff>204108</xdr:colOff>
      <xdr:row>14</xdr:row>
      <xdr:rowOff>68035</xdr:rowOff>
    </xdr:to>
    <xdr:sp macro="" textlink="">
      <xdr:nvSpPr>
        <xdr:cNvPr id="4012" name="Freeform 10707">
          <a:extLst>
            <a:ext uri="{FF2B5EF4-FFF2-40B4-BE49-F238E27FC236}">
              <a16:creationId xmlns:a16="http://schemas.microsoft.com/office/drawing/2014/main" id="{EC7EA826-6EA6-45B8-9B0E-8CA43239DCD6}"/>
            </a:ext>
          </a:extLst>
        </xdr:cNvPr>
        <xdr:cNvSpPr>
          <a:spLocks/>
        </xdr:cNvSpPr>
      </xdr:nvSpPr>
      <xdr:spPr bwMode="auto">
        <a:xfrm>
          <a:off x="8387833" y="2614515"/>
          <a:ext cx="651198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184671</xdr:colOff>
      <xdr:row>13</xdr:row>
      <xdr:rowOff>38877</xdr:rowOff>
    </xdr:from>
    <xdr:to>
      <xdr:col>30</xdr:col>
      <xdr:colOff>204105</xdr:colOff>
      <xdr:row>14</xdr:row>
      <xdr:rowOff>77755</xdr:rowOff>
    </xdr:to>
    <xdr:sp macro="" textlink="">
      <xdr:nvSpPr>
        <xdr:cNvPr id="4013" name="Freeform 10707">
          <a:extLst>
            <a:ext uri="{FF2B5EF4-FFF2-40B4-BE49-F238E27FC236}">
              <a16:creationId xmlns:a16="http://schemas.microsoft.com/office/drawing/2014/main" id="{B1EF63A3-D87D-4938-B455-6A3547DE9EF6}"/>
            </a:ext>
          </a:extLst>
        </xdr:cNvPr>
        <xdr:cNvSpPr>
          <a:spLocks/>
        </xdr:cNvSpPr>
      </xdr:nvSpPr>
      <xdr:spPr bwMode="auto">
        <a:xfrm>
          <a:off x="9019594" y="2604795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155515</xdr:colOff>
      <xdr:row>13</xdr:row>
      <xdr:rowOff>48597</xdr:rowOff>
    </xdr:from>
    <xdr:to>
      <xdr:col>32</xdr:col>
      <xdr:colOff>184670</xdr:colOff>
      <xdr:row>14</xdr:row>
      <xdr:rowOff>58316</xdr:rowOff>
    </xdr:to>
    <xdr:sp macro="" textlink="">
      <xdr:nvSpPr>
        <xdr:cNvPr id="4014" name="Freeform 10707">
          <a:extLst>
            <a:ext uri="{FF2B5EF4-FFF2-40B4-BE49-F238E27FC236}">
              <a16:creationId xmlns:a16="http://schemas.microsoft.com/office/drawing/2014/main" id="{35161928-10F7-4157-A6B8-9838E633EA5A}"/>
            </a:ext>
          </a:extLst>
        </xdr:cNvPr>
        <xdr:cNvSpPr>
          <a:spLocks/>
        </xdr:cNvSpPr>
      </xdr:nvSpPr>
      <xdr:spPr bwMode="auto">
        <a:xfrm>
          <a:off x="9612479" y="2614515"/>
          <a:ext cx="680354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197688</xdr:colOff>
      <xdr:row>13</xdr:row>
      <xdr:rowOff>38099</xdr:rowOff>
    </xdr:from>
    <xdr:to>
      <xdr:col>18</xdr:col>
      <xdr:colOff>209550</xdr:colOff>
      <xdr:row>14</xdr:row>
      <xdr:rowOff>62360</xdr:rowOff>
    </xdr:to>
    <xdr:sp macro="" textlink="">
      <xdr:nvSpPr>
        <xdr:cNvPr id="4015" name="Freeform 10707">
          <a:extLst>
            <a:ext uri="{FF2B5EF4-FFF2-40B4-BE49-F238E27FC236}">
              <a16:creationId xmlns:a16="http://schemas.microsoft.com/office/drawing/2014/main" id="{547B8075-76EB-4C70-B9C7-F7339CD161F4}"/>
            </a:ext>
          </a:extLst>
        </xdr:cNvPr>
        <xdr:cNvSpPr>
          <a:spLocks/>
        </xdr:cNvSpPr>
      </xdr:nvSpPr>
      <xdr:spPr bwMode="auto">
        <a:xfrm>
          <a:off x="5245938" y="2562224"/>
          <a:ext cx="707187" cy="21476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215345</xdr:colOff>
      <xdr:row>77</xdr:row>
      <xdr:rowOff>49695</xdr:rowOff>
    </xdr:from>
    <xdr:to>
      <xdr:col>4</xdr:col>
      <xdr:colOff>215348</xdr:colOff>
      <xdr:row>78</xdr:row>
      <xdr:rowOff>63726</xdr:rowOff>
    </xdr:to>
    <xdr:sp macro="" textlink="">
      <xdr:nvSpPr>
        <xdr:cNvPr id="4016" name="Freeform 10707">
          <a:extLst>
            <a:ext uri="{FF2B5EF4-FFF2-40B4-BE49-F238E27FC236}">
              <a16:creationId xmlns:a16="http://schemas.microsoft.com/office/drawing/2014/main" id="{8E83D184-5FB4-4345-AAF3-B21931500F11}"/>
            </a:ext>
          </a:extLst>
        </xdr:cNvPr>
        <xdr:cNvSpPr>
          <a:spLocks/>
        </xdr:cNvSpPr>
      </xdr:nvSpPr>
      <xdr:spPr bwMode="auto">
        <a:xfrm>
          <a:off x="612910" y="15380804"/>
          <a:ext cx="704025" cy="20453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165648</xdr:colOff>
      <xdr:row>77</xdr:row>
      <xdr:rowOff>57981</xdr:rowOff>
    </xdr:from>
    <xdr:to>
      <xdr:col>6</xdr:col>
      <xdr:colOff>165649</xdr:colOff>
      <xdr:row>78</xdr:row>
      <xdr:rowOff>96858</xdr:rowOff>
    </xdr:to>
    <xdr:sp macro="" textlink="">
      <xdr:nvSpPr>
        <xdr:cNvPr id="4017" name="Freeform 10707">
          <a:extLst>
            <a:ext uri="{FF2B5EF4-FFF2-40B4-BE49-F238E27FC236}">
              <a16:creationId xmlns:a16="http://schemas.microsoft.com/office/drawing/2014/main" id="{DE54490B-352B-4B03-814D-9DA4BFB91099}"/>
            </a:ext>
          </a:extLst>
        </xdr:cNvPr>
        <xdr:cNvSpPr>
          <a:spLocks/>
        </xdr:cNvSpPr>
      </xdr:nvSpPr>
      <xdr:spPr bwMode="auto">
        <a:xfrm>
          <a:off x="1267235" y="15389090"/>
          <a:ext cx="629479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198777</xdr:colOff>
      <xdr:row>77</xdr:row>
      <xdr:rowOff>57150</xdr:rowOff>
    </xdr:from>
    <xdr:to>
      <xdr:col>8</xdr:col>
      <xdr:colOff>247649</xdr:colOff>
      <xdr:row>78</xdr:row>
      <xdr:rowOff>80292</xdr:rowOff>
    </xdr:to>
    <xdr:sp macro="" textlink="">
      <xdr:nvSpPr>
        <xdr:cNvPr id="4018" name="Freeform 10707">
          <a:extLst>
            <a:ext uri="{FF2B5EF4-FFF2-40B4-BE49-F238E27FC236}">
              <a16:creationId xmlns:a16="http://schemas.microsoft.com/office/drawing/2014/main" id="{D921CC29-CBA0-4B38-B566-E7801F90EEA7}"/>
            </a:ext>
          </a:extLst>
        </xdr:cNvPr>
        <xdr:cNvSpPr>
          <a:spLocks/>
        </xdr:cNvSpPr>
      </xdr:nvSpPr>
      <xdr:spPr bwMode="auto">
        <a:xfrm>
          <a:off x="1922802" y="15392400"/>
          <a:ext cx="706097" cy="2136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207064</xdr:colOff>
      <xdr:row>77</xdr:row>
      <xdr:rowOff>66261</xdr:rowOff>
    </xdr:from>
    <xdr:to>
      <xdr:col>10</xdr:col>
      <xdr:colOff>198782</xdr:colOff>
      <xdr:row>78</xdr:row>
      <xdr:rowOff>96858</xdr:rowOff>
    </xdr:to>
    <xdr:sp macro="" textlink="">
      <xdr:nvSpPr>
        <xdr:cNvPr id="4019" name="Freeform 10707">
          <a:extLst>
            <a:ext uri="{FF2B5EF4-FFF2-40B4-BE49-F238E27FC236}">
              <a16:creationId xmlns:a16="http://schemas.microsoft.com/office/drawing/2014/main" id="{D7AD54F6-C98F-44E8-876B-4E0556C01DAF}"/>
            </a:ext>
          </a:extLst>
        </xdr:cNvPr>
        <xdr:cNvSpPr>
          <a:spLocks/>
        </xdr:cNvSpPr>
      </xdr:nvSpPr>
      <xdr:spPr bwMode="auto">
        <a:xfrm>
          <a:off x="2592455" y="15397370"/>
          <a:ext cx="720588" cy="22109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190500</xdr:colOff>
      <xdr:row>77</xdr:row>
      <xdr:rowOff>66262</xdr:rowOff>
    </xdr:from>
    <xdr:to>
      <xdr:col>12</xdr:col>
      <xdr:colOff>165653</xdr:colOff>
      <xdr:row>78</xdr:row>
      <xdr:rowOff>105139</xdr:rowOff>
    </xdr:to>
    <xdr:sp macro="" textlink="">
      <xdr:nvSpPr>
        <xdr:cNvPr id="4020" name="Freeform 10707">
          <a:extLst>
            <a:ext uri="{FF2B5EF4-FFF2-40B4-BE49-F238E27FC236}">
              <a16:creationId xmlns:a16="http://schemas.microsoft.com/office/drawing/2014/main" id="{ABAAADF8-D1B5-47A8-BEBC-F903ED915B0E}"/>
            </a:ext>
          </a:extLst>
        </xdr:cNvPr>
        <xdr:cNvSpPr>
          <a:spLocks/>
        </xdr:cNvSpPr>
      </xdr:nvSpPr>
      <xdr:spPr bwMode="auto">
        <a:xfrm>
          <a:off x="3304761" y="15397371"/>
          <a:ext cx="629479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163167</xdr:colOff>
      <xdr:row>69</xdr:row>
      <xdr:rowOff>0</xdr:rowOff>
    </xdr:from>
    <xdr:to>
      <xdr:col>36</xdr:col>
      <xdr:colOff>180975</xdr:colOff>
      <xdr:row>70</xdr:row>
      <xdr:rowOff>19050</xdr:rowOff>
    </xdr:to>
    <xdr:sp macro="" textlink="">
      <xdr:nvSpPr>
        <xdr:cNvPr id="4021" name="Freeform 10707">
          <a:extLst>
            <a:ext uri="{FF2B5EF4-FFF2-40B4-BE49-F238E27FC236}">
              <a16:creationId xmlns:a16="http://schemas.microsoft.com/office/drawing/2014/main" id="{14C3D3D6-02AE-4292-A00A-FAEAF58B6F3B}"/>
            </a:ext>
          </a:extLst>
        </xdr:cNvPr>
        <xdr:cNvSpPr>
          <a:spLocks/>
        </xdr:cNvSpPr>
      </xdr:nvSpPr>
      <xdr:spPr bwMode="auto">
        <a:xfrm>
          <a:off x="10993092" y="13744575"/>
          <a:ext cx="655983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240193</xdr:colOff>
      <xdr:row>69</xdr:row>
      <xdr:rowOff>8283</xdr:rowOff>
    </xdr:from>
    <xdr:to>
      <xdr:col>38</xdr:col>
      <xdr:colOff>198780</xdr:colOff>
      <xdr:row>70</xdr:row>
      <xdr:rowOff>47160</xdr:rowOff>
    </xdr:to>
    <xdr:sp macro="" textlink="">
      <xdr:nvSpPr>
        <xdr:cNvPr id="4022" name="Freeform 10707">
          <a:extLst>
            <a:ext uri="{FF2B5EF4-FFF2-40B4-BE49-F238E27FC236}">
              <a16:creationId xmlns:a16="http://schemas.microsoft.com/office/drawing/2014/main" id="{A580DB28-0D7D-4C67-928F-C9B5B1B92481}"/>
            </a:ext>
          </a:extLst>
        </xdr:cNvPr>
        <xdr:cNvSpPr>
          <a:spLocks/>
        </xdr:cNvSpPr>
      </xdr:nvSpPr>
      <xdr:spPr bwMode="auto">
        <a:xfrm>
          <a:off x="11728171" y="13749131"/>
          <a:ext cx="629479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157371</xdr:colOff>
      <xdr:row>69</xdr:row>
      <xdr:rowOff>16565</xdr:rowOff>
    </xdr:from>
    <xdr:to>
      <xdr:col>40</xdr:col>
      <xdr:colOff>198782</xdr:colOff>
      <xdr:row>70</xdr:row>
      <xdr:rowOff>38877</xdr:rowOff>
    </xdr:to>
    <xdr:sp macro="" textlink="">
      <xdr:nvSpPr>
        <xdr:cNvPr id="4023" name="Freeform 10707">
          <a:extLst>
            <a:ext uri="{FF2B5EF4-FFF2-40B4-BE49-F238E27FC236}">
              <a16:creationId xmlns:a16="http://schemas.microsoft.com/office/drawing/2014/main" id="{6969D76F-B77D-41C8-8BC8-635B7B022970}"/>
            </a:ext>
          </a:extLst>
        </xdr:cNvPr>
        <xdr:cNvSpPr>
          <a:spLocks/>
        </xdr:cNvSpPr>
      </xdr:nvSpPr>
      <xdr:spPr bwMode="auto">
        <a:xfrm>
          <a:off x="12316241" y="13757413"/>
          <a:ext cx="695737" cy="21281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198781</xdr:colOff>
      <xdr:row>69</xdr:row>
      <xdr:rowOff>0</xdr:rowOff>
    </xdr:from>
    <xdr:to>
      <xdr:col>42</xdr:col>
      <xdr:colOff>231913</xdr:colOff>
      <xdr:row>70</xdr:row>
      <xdr:rowOff>38877</xdr:rowOff>
    </xdr:to>
    <xdr:sp macro="" textlink="">
      <xdr:nvSpPr>
        <xdr:cNvPr id="4024" name="Freeform 10707">
          <a:extLst>
            <a:ext uri="{FF2B5EF4-FFF2-40B4-BE49-F238E27FC236}">
              <a16:creationId xmlns:a16="http://schemas.microsoft.com/office/drawing/2014/main" id="{BF3DA37C-2D52-4F39-8927-DFEBCD1A0649}"/>
            </a:ext>
          </a:extLst>
        </xdr:cNvPr>
        <xdr:cNvSpPr>
          <a:spLocks/>
        </xdr:cNvSpPr>
      </xdr:nvSpPr>
      <xdr:spPr bwMode="auto">
        <a:xfrm>
          <a:off x="13011977" y="13740848"/>
          <a:ext cx="629479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223630</xdr:colOff>
      <xdr:row>69</xdr:row>
      <xdr:rowOff>0</xdr:rowOff>
    </xdr:from>
    <xdr:to>
      <xdr:col>44</xdr:col>
      <xdr:colOff>223630</xdr:colOff>
      <xdr:row>70</xdr:row>
      <xdr:rowOff>38877</xdr:rowOff>
    </xdr:to>
    <xdr:sp macro="" textlink="">
      <xdr:nvSpPr>
        <xdr:cNvPr id="4025" name="Freeform 10707">
          <a:extLst>
            <a:ext uri="{FF2B5EF4-FFF2-40B4-BE49-F238E27FC236}">
              <a16:creationId xmlns:a16="http://schemas.microsoft.com/office/drawing/2014/main" id="{A774581E-9509-4F33-A7E2-AD7FF3D505C8}"/>
            </a:ext>
          </a:extLst>
        </xdr:cNvPr>
        <xdr:cNvSpPr>
          <a:spLocks/>
        </xdr:cNvSpPr>
      </xdr:nvSpPr>
      <xdr:spPr bwMode="auto">
        <a:xfrm>
          <a:off x="13633173" y="13740848"/>
          <a:ext cx="670892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207065</xdr:colOff>
      <xdr:row>69</xdr:row>
      <xdr:rowOff>51837</xdr:rowOff>
    </xdr:from>
    <xdr:to>
      <xdr:col>45</xdr:col>
      <xdr:colOff>395255</xdr:colOff>
      <xdr:row>70</xdr:row>
      <xdr:rowOff>38877</xdr:rowOff>
    </xdr:to>
    <xdr:sp macro="" textlink="">
      <xdr:nvSpPr>
        <xdr:cNvPr id="4026" name="Freeform 10707">
          <a:extLst>
            <a:ext uri="{FF2B5EF4-FFF2-40B4-BE49-F238E27FC236}">
              <a16:creationId xmlns:a16="http://schemas.microsoft.com/office/drawing/2014/main" id="{9F1F06BD-6303-4006-BC3A-8CEB1C03BEC3}"/>
            </a:ext>
          </a:extLst>
        </xdr:cNvPr>
        <xdr:cNvSpPr>
          <a:spLocks/>
        </xdr:cNvSpPr>
      </xdr:nvSpPr>
      <xdr:spPr bwMode="auto">
        <a:xfrm>
          <a:off x="14999973" y="13607143"/>
          <a:ext cx="576966" cy="17494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133350</xdr:colOff>
      <xdr:row>12</xdr:row>
      <xdr:rowOff>180975</xdr:rowOff>
    </xdr:from>
    <xdr:to>
      <xdr:col>16</xdr:col>
      <xdr:colOff>274898</xdr:colOff>
      <xdr:row>13</xdr:row>
      <xdr:rowOff>160481</xdr:rowOff>
    </xdr:to>
    <xdr:sp macro="" textlink="">
      <xdr:nvSpPr>
        <xdr:cNvPr id="4039" name="6-Point Star 717">
          <a:extLst>
            <a:ext uri="{FF2B5EF4-FFF2-40B4-BE49-F238E27FC236}">
              <a16:creationId xmlns:a16="http://schemas.microsoft.com/office/drawing/2014/main" id="{823EBBEC-0832-4258-A488-75E27294A80D}"/>
            </a:ext>
          </a:extLst>
        </xdr:cNvPr>
        <xdr:cNvSpPr/>
      </xdr:nvSpPr>
      <xdr:spPr>
        <a:xfrm>
          <a:off x="5181600" y="25146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104775</xdr:colOff>
      <xdr:row>13</xdr:row>
      <xdr:rowOff>0</xdr:rowOff>
    </xdr:from>
    <xdr:to>
      <xdr:col>18</xdr:col>
      <xdr:colOff>246323</xdr:colOff>
      <xdr:row>13</xdr:row>
      <xdr:rowOff>170006</xdr:rowOff>
    </xdr:to>
    <xdr:sp macro="" textlink="">
      <xdr:nvSpPr>
        <xdr:cNvPr id="4040" name="6-Point Star 717">
          <a:extLst>
            <a:ext uri="{FF2B5EF4-FFF2-40B4-BE49-F238E27FC236}">
              <a16:creationId xmlns:a16="http://schemas.microsoft.com/office/drawing/2014/main" id="{2689F01A-9B39-42A1-B2B5-367DEFE8104A}"/>
            </a:ext>
          </a:extLst>
        </xdr:cNvPr>
        <xdr:cNvSpPr/>
      </xdr:nvSpPr>
      <xdr:spPr>
        <a:xfrm>
          <a:off x="5848350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104775</xdr:colOff>
      <xdr:row>13</xdr:row>
      <xdr:rowOff>0</xdr:rowOff>
    </xdr:from>
    <xdr:to>
      <xdr:col>20</xdr:col>
      <xdr:colOff>246323</xdr:colOff>
      <xdr:row>13</xdr:row>
      <xdr:rowOff>170006</xdr:rowOff>
    </xdr:to>
    <xdr:sp macro="" textlink="">
      <xdr:nvSpPr>
        <xdr:cNvPr id="4041" name="6-Point Star 717">
          <a:extLst>
            <a:ext uri="{FF2B5EF4-FFF2-40B4-BE49-F238E27FC236}">
              <a16:creationId xmlns:a16="http://schemas.microsoft.com/office/drawing/2014/main" id="{84F59C7A-0181-4630-AB32-7CAA3EEDA115}"/>
            </a:ext>
          </a:extLst>
        </xdr:cNvPr>
        <xdr:cNvSpPr/>
      </xdr:nvSpPr>
      <xdr:spPr>
        <a:xfrm>
          <a:off x="6477000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95250</xdr:colOff>
      <xdr:row>13</xdr:row>
      <xdr:rowOff>0</xdr:rowOff>
    </xdr:from>
    <xdr:to>
      <xdr:col>22</xdr:col>
      <xdr:colOff>236798</xdr:colOff>
      <xdr:row>13</xdr:row>
      <xdr:rowOff>170006</xdr:rowOff>
    </xdr:to>
    <xdr:sp macro="" textlink="">
      <xdr:nvSpPr>
        <xdr:cNvPr id="4042" name="6-Point Star 717">
          <a:extLst>
            <a:ext uri="{FF2B5EF4-FFF2-40B4-BE49-F238E27FC236}">
              <a16:creationId xmlns:a16="http://schemas.microsoft.com/office/drawing/2014/main" id="{307479A6-192F-4B19-AFDA-072D6F597591}"/>
            </a:ext>
          </a:extLst>
        </xdr:cNvPr>
        <xdr:cNvSpPr/>
      </xdr:nvSpPr>
      <xdr:spPr>
        <a:xfrm>
          <a:off x="7096125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85725</xdr:colOff>
      <xdr:row>13</xdr:row>
      <xdr:rowOff>9525</xdr:rowOff>
    </xdr:from>
    <xdr:to>
      <xdr:col>24</xdr:col>
      <xdr:colOff>227273</xdr:colOff>
      <xdr:row>13</xdr:row>
      <xdr:rowOff>179531</xdr:rowOff>
    </xdr:to>
    <xdr:sp macro="" textlink="">
      <xdr:nvSpPr>
        <xdr:cNvPr id="4043" name="6-Point Star 717">
          <a:extLst>
            <a:ext uri="{FF2B5EF4-FFF2-40B4-BE49-F238E27FC236}">
              <a16:creationId xmlns:a16="http://schemas.microsoft.com/office/drawing/2014/main" id="{BAF8AB52-AA09-4EE2-91FA-3EFB358A7F2F}"/>
            </a:ext>
          </a:extLst>
        </xdr:cNvPr>
        <xdr:cNvSpPr/>
      </xdr:nvSpPr>
      <xdr:spPr>
        <a:xfrm>
          <a:off x="7715250" y="25336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104775</xdr:colOff>
      <xdr:row>12</xdr:row>
      <xdr:rowOff>161925</xdr:rowOff>
    </xdr:from>
    <xdr:to>
      <xdr:col>26</xdr:col>
      <xdr:colOff>246323</xdr:colOff>
      <xdr:row>13</xdr:row>
      <xdr:rowOff>141431</xdr:rowOff>
    </xdr:to>
    <xdr:sp macro="" textlink="">
      <xdr:nvSpPr>
        <xdr:cNvPr id="4044" name="6-Point Star 717">
          <a:extLst>
            <a:ext uri="{FF2B5EF4-FFF2-40B4-BE49-F238E27FC236}">
              <a16:creationId xmlns:a16="http://schemas.microsoft.com/office/drawing/2014/main" id="{0319D8BF-FBD7-418F-8BFE-2E036ACC33BC}"/>
            </a:ext>
          </a:extLst>
        </xdr:cNvPr>
        <xdr:cNvSpPr/>
      </xdr:nvSpPr>
      <xdr:spPr>
        <a:xfrm>
          <a:off x="8362950" y="2495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104775</xdr:colOff>
      <xdr:row>12</xdr:row>
      <xdr:rowOff>142875</xdr:rowOff>
    </xdr:from>
    <xdr:to>
      <xdr:col>28</xdr:col>
      <xdr:colOff>246323</xdr:colOff>
      <xdr:row>13</xdr:row>
      <xdr:rowOff>122381</xdr:rowOff>
    </xdr:to>
    <xdr:sp macro="" textlink="">
      <xdr:nvSpPr>
        <xdr:cNvPr id="4045" name="6-Point Star 717">
          <a:extLst>
            <a:ext uri="{FF2B5EF4-FFF2-40B4-BE49-F238E27FC236}">
              <a16:creationId xmlns:a16="http://schemas.microsoft.com/office/drawing/2014/main" id="{601A9549-82B4-4A52-A0C6-36F4D799C5BF}"/>
            </a:ext>
          </a:extLst>
        </xdr:cNvPr>
        <xdr:cNvSpPr/>
      </xdr:nvSpPr>
      <xdr:spPr>
        <a:xfrm>
          <a:off x="9020175" y="24765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95250</xdr:colOff>
      <xdr:row>12</xdr:row>
      <xdr:rowOff>171450</xdr:rowOff>
    </xdr:from>
    <xdr:to>
      <xdr:col>30</xdr:col>
      <xdr:colOff>236798</xdr:colOff>
      <xdr:row>13</xdr:row>
      <xdr:rowOff>150956</xdr:rowOff>
    </xdr:to>
    <xdr:sp macro="" textlink="">
      <xdr:nvSpPr>
        <xdr:cNvPr id="4046" name="6-Point Star 717">
          <a:extLst>
            <a:ext uri="{FF2B5EF4-FFF2-40B4-BE49-F238E27FC236}">
              <a16:creationId xmlns:a16="http://schemas.microsoft.com/office/drawing/2014/main" id="{7A278D40-0630-4121-A968-7CB66BD60B24}"/>
            </a:ext>
          </a:extLst>
        </xdr:cNvPr>
        <xdr:cNvSpPr/>
      </xdr:nvSpPr>
      <xdr:spPr>
        <a:xfrm>
          <a:off x="9639300" y="25050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95250</xdr:colOff>
      <xdr:row>12</xdr:row>
      <xdr:rowOff>142875</xdr:rowOff>
    </xdr:from>
    <xdr:to>
      <xdr:col>32</xdr:col>
      <xdr:colOff>236798</xdr:colOff>
      <xdr:row>13</xdr:row>
      <xdr:rowOff>122381</xdr:rowOff>
    </xdr:to>
    <xdr:sp macro="" textlink="">
      <xdr:nvSpPr>
        <xdr:cNvPr id="4047" name="6-Point Star 717">
          <a:extLst>
            <a:ext uri="{FF2B5EF4-FFF2-40B4-BE49-F238E27FC236}">
              <a16:creationId xmlns:a16="http://schemas.microsoft.com/office/drawing/2014/main" id="{D89A7A81-8AB4-47C0-980A-E29FC95665CA}"/>
            </a:ext>
          </a:extLst>
        </xdr:cNvPr>
        <xdr:cNvSpPr/>
      </xdr:nvSpPr>
      <xdr:spPr>
        <a:xfrm>
          <a:off x="10296525" y="24765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95250</xdr:colOff>
      <xdr:row>12</xdr:row>
      <xdr:rowOff>161925</xdr:rowOff>
    </xdr:from>
    <xdr:to>
      <xdr:col>34</xdr:col>
      <xdr:colOff>236798</xdr:colOff>
      <xdr:row>13</xdr:row>
      <xdr:rowOff>141431</xdr:rowOff>
    </xdr:to>
    <xdr:sp macro="" textlink="">
      <xdr:nvSpPr>
        <xdr:cNvPr id="4048" name="6-Point Star 717">
          <a:extLst>
            <a:ext uri="{FF2B5EF4-FFF2-40B4-BE49-F238E27FC236}">
              <a16:creationId xmlns:a16="http://schemas.microsoft.com/office/drawing/2014/main" id="{5A321AF4-10D6-4302-834C-3A476956A66A}"/>
            </a:ext>
          </a:extLst>
        </xdr:cNvPr>
        <xdr:cNvSpPr/>
      </xdr:nvSpPr>
      <xdr:spPr>
        <a:xfrm>
          <a:off x="10925175" y="2495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123825</xdr:colOff>
      <xdr:row>13</xdr:row>
      <xdr:rowOff>9525</xdr:rowOff>
    </xdr:from>
    <xdr:to>
      <xdr:col>36</xdr:col>
      <xdr:colOff>265373</xdr:colOff>
      <xdr:row>13</xdr:row>
      <xdr:rowOff>179531</xdr:rowOff>
    </xdr:to>
    <xdr:sp macro="" textlink="">
      <xdr:nvSpPr>
        <xdr:cNvPr id="4049" name="6-Point Star 717">
          <a:extLst>
            <a:ext uri="{FF2B5EF4-FFF2-40B4-BE49-F238E27FC236}">
              <a16:creationId xmlns:a16="http://schemas.microsoft.com/office/drawing/2014/main" id="{186532CD-5B61-4771-9995-466E2121CB89}"/>
            </a:ext>
          </a:extLst>
        </xdr:cNvPr>
        <xdr:cNvSpPr/>
      </xdr:nvSpPr>
      <xdr:spPr>
        <a:xfrm>
          <a:off x="11591925" y="25336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85725</xdr:colOff>
      <xdr:row>13</xdr:row>
      <xdr:rowOff>0</xdr:rowOff>
    </xdr:from>
    <xdr:to>
      <xdr:col>38</xdr:col>
      <xdr:colOff>227273</xdr:colOff>
      <xdr:row>13</xdr:row>
      <xdr:rowOff>170006</xdr:rowOff>
    </xdr:to>
    <xdr:sp macro="" textlink="">
      <xdr:nvSpPr>
        <xdr:cNvPr id="4050" name="6-Point Star 717">
          <a:extLst>
            <a:ext uri="{FF2B5EF4-FFF2-40B4-BE49-F238E27FC236}">
              <a16:creationId xmlns:a16="http://schemas.microsoft.com/office/drawing/2014/main" id="{27DC9302-C262-4CD8-903F-7EFA0A9D7FB3}"/>
            </a:ext>
          </a:extLst>
        </xdr:cNvPr>
        <xdr:cNvSpPr/>
      </xdr:nvSpPr>
      <xdr:spPr>
        <a:xfrm>
          <a:off x="12220575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101730</xdr:colOff>
      <xdr:row>12</xdr:row>
      <xdr:rowOff>168470</xdr:rowOff>
    </xdr:from>
    <xdr:to>
      <xdr:col>40</xdr:col>
      <xdr:colOff>233265</xdr:colOff>
      <xdr:row>13</xdr:row>
      <xdr:rowOff>145254</xdr:rowOff>
    </xdr:to>
    <xdr:sp macro="" textlink="">
      <xdr:nvSpPr>
        <xdr:cNvPr id="4051" name="6-Point Star 717">
          <a:extLst>
            <a:ext uri="{FF2B5EF4-FFF2-40B4-BE49-F238E27FC236}">
              <a16:creationId xmlns:a16="http://schemas.microsoft.com/office/drawing/2014/main" id="{14B4D2B5-A934-4540-989C-583B9C13F348}"/>
            </a:ext>
          </a:extLst>
        </xdr:cNvPr>
        <xdr:cNvSpPr/>
      </xdr:nvSpPr>
      <xdr:spPr>
        <a:xfrm>
          <a:off x="13553363" y="2468725"/>
          <a:ext cx="131535" cy="16469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85725</xdr:colOff>
      <xdr:row>12</xdr:row>
      <xdr:rowOff>161925</xdr:rowOff>
    </xdr:from>
    <xdr:to>
      <xdr:col>42</xdr:col>
      <xdr:colOff>227273</xdr:colOff>
      <xdr:row>13</xdr:row>
      <xdr:rowOff>141431</xdr:rowOff>
    </xdr:to>
    <xdr:sp macro="" textlink="">
      <xdr:nvSpPr>
        <xdr:cNvPr id="4052" name="6-Point Star 717">
          <a:extLst>
            <a:ext uri="{FF2B5EF4-FFF2-40B4-BE49-F238E27FC236}">
              <a16:creationId xmlns:a16="http://schemas.microsoft.com/office/drawing/2014/main" id="{6D906347-E98F-410F-8C3D-009E2D7C0CBE}"/>
            </a:ext>
          </a:extLst>
        </xdr:cNvPr>
        <xdr:cNvSpPr/>
      </xdr:nvSpPr>
      <xdr:spPr>
        <a:xfrm>
          <a:off x="13477875" y="2495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104775</xdr:colOff>
      <xdr:row>13</xdr:row>
      <xdr:rowOff>0</xdr:rowOff>
    </xdr:from>
    <xdr:to>
      <xdr:col>44</xdr:col>
      <xdr:colOff>246323</xdr:colOff>
      <xdr:row>13</xdr:row>
      <xdr:rowOff>170006</xdr:rowOff>
    </xdr:to>
    <xdr:sp macro="" textlink="">
      <xdr:nvSpPr>
        <xdr:cNvPr id="4053" name="6-Point Star 717">
          <a:extLst>
            <a:ext uri="{FF2B5EF4-FFF2-40B4-BE49-F238E27FC236}">
              <a16:creationId xmlns:a16="http://schemas.microsoft.com/office/drawing/2014/main" id="{ECB14BA7-4DA4-4370-99FE-07B8F3E31991}"/>
            </a:ext>
          </a:extLst>
        </xdr:cNvPr>
        <xdr:cNvSpPr/>
      </xdr:nvSpPr>
      <xdr:spPr>
        <a:xfrm>
          <a:off x="14173200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114300</xdr:colOff>
      <xdr:row>21</xdr:row>
      <xdr:rowOff>0</xdr:rowOff>
    </xdr:from>
    <xdr:to>
      <xdr:col>2</xdr:col>
      <xdr:colOff>255848</xdr:colOff>
      <xdr:row>21</xdr:row>
      <xdr:rowOff>170006</xdr:rowOff>
    </xdr:to>
    <xdr:sp macro="" textlink="">
      <xdr:nvSpPr>
        <xdr:cNvPr id="4054" name="6-Point Star 717">
          <a:extLst>
            <a:ext uri="{FF2B5EF4-FFF2-40B4-BE49-F238E27FC236}">
              <a16:creationId xmlns:a16="http://schemas.microsoft.com/office/drawing/2014/main" id="{E4819D3D-8A8D-48EB-A18D-E1D1E4318056}"/>
            </a:ext>
          </a:extLst>
        </xdr:cNvPr>
        <xdr:cNvSpPr/>
      </xdr:nvSpPr>
      <xdr:spPr>
        <a:xfrm>
          <a:off x="504825" y="41243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95250</xdr:colOff>
      <xdr:row>20</xdr:row>
      <xdr:rowOff>142875</xdr:rowOff>
    </xdr:from>
    <xdr:to>
      <xdr:col>4</xdr:col>
      <xdr:colOff>236798</xdr:colOff>
      <xdr:row>21</xdr:row>
      <xdr:rowOff>122381</xdr:rowOff>
    </xdr:to>
    <xdr:sp macro="" textlink="">
      <xdr:nvSpPr>
        <xdr:cNvPr id="4055" name="6-Point Star 717">
          <a:extLst>
            <a:ext uri="{FF2B5EF4-FFF2-40B4-BE49-F238E27FC236}">
              <a16:creationId xmlns:a16="http://schemas.microsoft.com/office/drawing/2014/main" id="{C2203169-D497-423E-B872-3F1E6346AA21}"/>
            </a:ext>
          </a:extLst>
        </xdr:cNvPr>
        <xdr:cNvSpPr/>
      </xdr:nvSpPr>
      <xdr:spPr>
        <a:xfrm>
          <a:off x="1190625" y="40767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114300</xdr:colOff>
      <xdr:row>21</xdr:row>
      <xdr:rowOff>19050</xdr:rowOff>
    </xdr:from>
    <xdr:to>
      <xdr:col>6</xdr:col>
      <xdr:colOff>255848</xdr:colOff>
      <xdr:row>21</xdr:row>
      <xdr:rowOff>189056</xdr:rowOff>
    </xdr:to>
    <xdr:sp macro="" textlink="">
      <xdr:nvSpPr>
        <xdr:cNvPr id="4056" name="6-Point Star 717">
          <a:extLst>
            <a:ext uri="{FF2B5EF4-FFF2-40B4-BE49-F238E27FC236}">
              <a16:creationId xmlns:a16="http://schemas.microsoft.com/office/drawing/2014/main" id="{FAB14E11-A44F-44B0-9369-F183C37D8B73}"/>
            </a:ext>
          </a:extLst>
        </xdr:cNvPr>
        <xdr:cNvSpPr/>
      </xdr:nvSpPr>
      <xdr:spPr>
        <a:xfrm>
          <a:off x="1838325" y="41433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104775</xdr:colOff>
      <xdr:row>20</xdr:row>
      <xdr:rowOff>161925</xdr:rowOff>
    </xdr:from>
    <xdr:to>
      <xdr:col>8</xdr:col>
      <xdr:colOff>246323</xdr:colOff>
      <xdr:row>21</xdr:row>
      <xdr:rowOff>141431</xdr:rowOff>
    </xdr:to>
    <xdr:sp macro="" textlink="">
      <xdr:nvSpPr>
        <xdr:cNvPr id="4057" name="6-Point Star 717">
          <a:extLst>
            <a:ext uri="{FF2B5EF4-FFF2-40B4-BE49-F238E27FC236}">
              <a16:creationId xmlns:a16="http://schemas.microsoft.com/office/drawing/2014/main" id="{C97CFECD-EA74-484B-BCD0-17845C12B006}"/>
            </a:ext>
          </a:extLst>
        </xdr:cNvPr>
        <xdr:cNvSpPr/>
      </xdr:nvSpPr>
      <xdr:spPr>
        <a:xfrm>
          <a:off x="2486025" y="40957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85725</xdr:colOff>
      <xdr:row>21</xdr:row>
      <xdr:rowOff>0</xdr:rowOff>
    </xdr:from>
    <xdr:to>
      <xdr:col>10</xdr:col>
      <xdr:colOff>227273</xdr:colOff>
      <xdr:row>21</xdr:row>
      <xdr:rowOff>170006</xdr:rowOff>
    </xdr:to>
    <xdr:sp macro="" textlink="">
      <xdr:nvSpPr>
        <xdr:cNvPr id="4058" name="6-Point Star 717">
          <a:extLst>
            <a:ext uri="{FF2B5EF4-FFF2-40B4-BE49-F238E27FC236}">
              <a16:creationId xmlns:a16="http://schemas.microsoft.com/office/drawing/2014/main" id="{508FB241-4056-41A5-942F-508B1EC379DE}"/>
            </a:ext>
          </a:extLst>
        </xdr:cNvPr>
        <xdr:cNvSpPr/>
      </xdr:nvSpPr>
      <xdr:spPr>
        <a:xfrm>
          <a:off x="3190875" y="41243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95250</xdr:colOff>
      <xdr:row>20</xdr:row>
      <xdr:rowOff>133350</xdr:rowOff>
    </xdr:from>
    <xdr:to>
      <xdr:col>12</xdr:col>
      <xdr:colOff>236798</xdr:colOff>
      <xdr:row>21</xdr:row>
      <xdr:rowOff>112856</xdr:rowOff>
    </xdr:to>
    <xdr:sp macro="" textlink="">
      <xdr:nvSpPr>
        <xdr:cNvPr id="4059" name="6-Point Star 717">
          <a:extLst>
            <a:ext uri="{FF2B5EF4-FFF2-40B4-BE49-F238E27FC236}">
              <a16:creationId xmlns:a16="http://schemas.microsoft.com/office/drawing/2014/main" id="{582497B4-69C8-4D00-B42C-86ECEE5C9E35}"/>
            </a:ext>
          </a:extLst>
        </xdr:cNvPr>
        <xdr:cNvSpPr/>
      </xdr:nvSpPr>
      <xdr:spPr>
        <a:xfrm>
          <a:off x="3848100" y="40671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123825</xdr:colOff>
      <xdr:row>20</xdr:row>
      <xdr:rowOff>133350</xdr:rowOff>
    </xdr:from>
    <xdr:to>
      <xdr:col>14</xdr:col>
      <xdr:colOff>265373</xdr:colOff>
      <xdr:row>21</xdr:row>
      <xdr:rowOff>112856</xdr:rowOff>
    </xdr:to>
    <xdr:sp macro="" textlink="">
      <xdr:nvSpPr>
        <xdr:cNvPr id="4060" name="6-Point Star 717">
          <a:extLst>
            <a:ext uri="{FF2B5EF4-FFF2-40B4-BE49-F238E27FC236}">
              <a16:creationId xmlns:a16="http://schemas.microsoft.com/office/drawing/2014/main" id="{2005E076-E654-423C-B7AB-F1812279F9A6}"/>
            </a:ext>
          </a:extLst>
        </xdr:cNvPr>
        <xdr:cNvSpPr/>
      </xdr:nvSpPr>
      <xdr:spPr>
        <a:xfrm>
          <a:off x="4505325" y="40671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104775</xdr:colOff>
      <xdr:row>21</xdr:row>
      <xdr:rowOff>0</xdr:rowOff>
    </xdr:from>
    <xdr:to>
      <xdr:col>28</xdr:col>
      <xdr:colOff>246323</xdr:colOff>
      <xdr:row>21</xdr:row>
      <xdr:rowOff>170006</xdr:rowOff>
    </xdr:to>
    <xdr:sp macro="" textlink="">
      <xdr:nvSpPr>
        <xdr:cNvPr id="4061" name="6-Point Star 717">
          <a:extLst>
            <a:ext uri="{FF2B5EF4-FFF2-40B4-BE49-F238E27FC236}">
              <a16:creationId xmlns:a16="http://schemas.microsoft.com/office/drawing/2014/main" id="{54498423-E132-4105-816D-5FE52FFD7708}"/>
            </a:ext>
          </a:extLst>
        </xdr:cNvPr>
        <xdr:cNvSpPr/>
      </xdr:nvSpPr>
      <xdr:spPr>
        <a:xfrm>
          <a:off x="9020175" y="41243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104775</xdr:colOff>
      <xdr:row>21</xdr:row>
      <xdr:rowOff>9525</xdr:rowOff>
    </xdr:from>
    <xdr:to>
      <xdr:col>40</xdr:col>
      <xdr:colOff>246323</xdr:colOff>
      <xdr:row>21</xdr:row>
      <xdr:rowOff>179531</xdr:rowOff>
    </xdr:to>
    <xdr:sp macro="" textlink="">
      <xdr:nvSpPr>
        <xdr:cNvPr id="4062" name="6-Point Star 717">
          <a:extLst>
            <a:ext uri="{FF2B5EF4-FFF2-40B4-BE49-F238E27FC236}">
              <a16:creationId xmlns:a16="http://schemas.microsoft.com/office/drawing/2014/main" id="{EBDBF0BD-1418-40A0-BDE4-972CC4D8A330}"/>
            </a:ext>
          </a:extLst>
        </xdr:cNvPr>
        <xdr:cNvSpPr/>
      </xdr:nvSpPr>
      <xdr:spPr>
        <a:xfrm>
          <a:off x="12896850" y="41338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123825</xdr:colOff>
      <xdr:row>20</xdr:row>
      <xdr:rowOff>171450</xdr:rowOff>
    </xdr:from>
    <xdr:to>
      <xdr:col>44</xdr:col>
      <xdr:colOff>276225</xdr:colOff>
      <xdr:row>21</xdr:row>
      <xdr:rowOff>142875</xdr:rowOff>
    </xdr:to>
    <xdr:sp macro="" textlink="">
      <xdr:nvSpPr>
        <xdr:cNvPr id="4063" name="6-Point Star 717">
          <a:extLst>
            <a:ext uri="{FF2B5EF4-FFF2-40B4-BE49-F238E27FC236}">
              <a16:creationId xmlns:a16="http://schemas.microsoft.com/office/drawing/2014/main" id="{81CA91E4-A1CE-4AC5-8726-DF52F25790F2}"/>
            </a:ext>
          </a:extLst>
        </xdr:cNvPr>
        <xdr:cNvSpPr/>
      </xdr:nvSpPr>
      <xdr:spPr>
        <a:xfrm>
          <a:off x="14192250" y="4105275"/>
          <a:ext cx="152400" cy="16192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238125</xdr:colOff>
      <xdr:row>21</xdr:row>
      <xdr:rowOff>57149</xdr:rowOff>
    </xdr:from>
    <xdr:to>
      <xdr:col>46</xdr:col>
      <xdr:colOff>57150</xdr:colOff>
      <xdr:row>22</xdr:row>
      <xdr:rowOff>39072</xdr:rowOff>
    </xdr:to>
    <xdr:sp macro="" textlink="">
      <xdr:nvSpPr>
        <xdr:cNvPr id="4064" name="Freeform 10707">
          <a:extLst>
            <a:ext uri="{FF2B5EF4-FFF2-40B4-BE49-F238E27FC236}">
              <a16:creationId xmlns:a16="http://schemas.microsoft.com/office/drawing/2014/main" id="{40E537FE-4202-42F1-9A4B-F8A6CB1C7B94}"/>
            </a:ext>
          </a:extLst>
        </xdr:cNvPr>
        <xdr:cNvSpPr>
          <a:spLocks/>
        </xdr:cNvSpPr>
      </xdr:nvSpPr>
      <xdr:spPr bwMode="auto">
        <a:xfrm>
          <a:off x="14306550" y="4181474"/>
          <a:ext cx="590550" cy="1724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</xdr:col>
      <xdr:colOff>85725</xdr:colOff>
      <xdr:row>28</xdr:row>
      <xdr:rowOff>142875</xdr:rowOff>
    </xdr:from>
    <xdr:to>
      <xdr:col>2</xdr:col>
      <xdr:colOff>227273</xdr:colOff>
      <xdr:row>29</xdr:row>
      <xdr:rowOff>122381</xdr:rowOff>
    </xdr:to>
    <xdr:sp macro="" textlink="">
      <xdr:nvSpPr>
        <xdr:cNvPr id="4066" name="6-Point Star 717">
          <a:extLst>
            <a:ext uri="{FF2B5EF4-FFF2-40B4-BE49-F238E27FC236}">
              <a16:creationId xmlns:a16="http://schemas.microsoft.com/office/drawing/2014/main" id="{5446397C-22BD-4721-94C1-42BC5548440E}"/>
            </a:ext>
          </a:extLst>
        </xdr:cNvPr>
        <xdr:cNvSpPr/>
      </xdr:nvSpPr>
      <xdr:spPr>
        <a:xfrm>
          <a:off x="476250" y="56673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85725</xdr:colOff>
      <xdr:row>28</xdr:row>
      <xdr:rowOff>171450</xdr:rowOff>
    </xdr:from>
    <xdr:to>
      <xdr:col>4</xdr:col>
      <xdr:colOff>227273</xdr:colOff>
      <xdr:row>29</xdr:row>
      <xdr:rowOff>150956</xdr:rowOff>
    </xdr:to>
    <xdr:sp macro="" textlink="">
      <xdr:nvSpPr>
        <xdr:cNvPr id="4067" name="6-Point Star 717">
          <a:extLst>
            <a:ext uri="{FF2B5EF4-FFF2-40B4-BE49-F238E27FC236}">
              <a16:creationId xmlns:a16="http://schemas.microsoft.com/office/drawing/2014/main" id="{7F472359-2154-445C-9169-41F5443CF0D3}"/>
            </a:ext>
          </a:extLst>
        </xdr:cNvPr>
        <xdr:cNvSpPr/>
      </xdr:nvSpPr>
      <xdr:spPr>
        <a:xfrm>
          <a:off x="1181100" y="56959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104775</xdr:colOff>
      <xdr:row>28</xdr:row>
      <xdr:rowOff>133350</xdr:rowOff>
    </xdr:from>
    <xdr:to>
      <xdr:col>6</xdr:col>
      <xdr:colOff>246323</xdr:colOff>
      <xdr:row>29</xdr:row>
      <xdr:rowOff>112856</xdr:rowOff>
    </xdr:to>
    <xdr:sp macro="" textlink="">
      <xdr:nvSpPr>
        <xdr:cNvPr id="4068" name="6-Point Star 717">
          <a:extLst>
            <a:ext uri="{FF2B5EF4-FFF2-40B4-BE49-F238E27FC236}">
              <a16:creationId xmlns:a16="http://schemas.microsoft.com/office/drawing/2014/main" id="{EB858226-4612-481B-8846-A3FAF780D7B4}"/>
            </a:ext>
          </a:extLst>
        </xdr:cNvPr>
        <xdr:cNvSpPr/>
      </xdr:nvSpPr>
      <xdr:spPr>
        <a:xfrm>
          <a:off x="1828800" y="56578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104775</xdr:colOff>
      <xdr:row>44</xdr:row>
      <xdr:rowOff>171450</xdr:rowOff>
    </xdr:from>
    <xdr:to>
      <xdr:col>8</xdr:col>
      <xdr:colOff>246323</xdr:colOff>
      <xdr:row>45</xdr:row>
      <xdr:rowOff>150956</xdr:rowOff>
    </xdr:to>
    <xdr:sp macro="" textlink="">
      <xdr:nvSpPr>
        <xdr:cNvPr id="4070" name="6-Point Star 717">
          <a:extLst>
            <a:ext uri="{FF2B5EF4-FFF2-40B4-BE49-F238E27FC236}">
              <a16:creationId xmlns:a16="http://schemas.microsoft.com/office/drawing/2014/main" id="{27F602C0-9E5B-419E-9AB1-8DEDEA8B0727}"/>
            </a:ext>
          </a:extLst>
        </xdr:cNvPr>
        <xdr:cNvSpPr/>
      </xdr:nvSpPr>
      <xdr:spPr>
        <a:xfrm>
          <a:off x="2486025" y="8877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95250</xdr:colOff>
      <xdr:row>44</xdr:row>
      <xdr:rowOff>161925</xdr:rowOff>
    </xdr:from>
    <xdr:to>
      <xdr:col>10</xdr:col>
      <xdr:colOff>236798</xdr:colOff>
      <xdr:row>45</xdr:row>
      <xdr:rowOff>141431</xdr:rowOff>
    </xdr:to>
    <xdr:sp macro="" textlink="">
      <xdr:nvSpPr>
        <xdr:cNvPr id="4071" name="6-Point Star 717">
          <a:extLst>
            <a:ext uri="{FF2B5EF4-FFF2-40B4-BE49-F238E27FC236}">
              <a16:creationId xmlns:a16="http://schemas.microsoft.com/office/drawing/2014/main" id="{9DDCE200-BB1F-4415-BA08-103C65BBB115}"/>
            </a:ext>
          </a:extLst>
        </xdr:cNvPr>
        <xdr:cNvSpPr/>
      </xdr:nvSpPr>
      <xdr:spPr>
        <a:xfrm>
          <a:off x="3200400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85725</xdr:colOff>
      <xdr:row>44</xdr:row>
      <xdr:rowOff>171450</xdr:rowOff>
    </xdr:from>
    <xdr:to>
      <xdr:col>12</xdr:col>
      <xdr:colOff>227273</xdr:colOff>
      <xdr:row>45</xdr:row>
      <xdr:rowOff>150956</xdr:rowOff>
    </xdr:to>
    <xdr:sp macro="" textlink="">
      <xdr:nvSpPr>
        <xdr:cNvPr id="4072" name="6-Point Star 717">
          <a:extLst>
            <a:ext uri="{FF2B5EF4-FFF2-40B4-BE49-F238E27FC236}">
              <a16:creationId xmlns:a16="http://schemas.microsoft.com/office/drawing/2014/main" id="{18C5DF90-91BF-4B7D-91CF-6AC05B7116D7}"/>
            </a:ext>
          </a:extLst>
        </xdr:cNvPr>
        <xdr:cNvSpPr/>
      </xdr:nvSpPr>
      <xdr:spPr>
        <a:xfrm>
          <a:off x="3838575" y="8877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104775</xdr:colOff>
      <xdr:row>45</xdr:row>
      <xdr:rowOff>0</xdr:rowOff>
    </xdr:from>
    <xdr:to>
      <xdr:col>20</xdr:col>
      <xdr:colOff>246323</xdr:colOff>
      <xdr:row>45</xdr:row>
      <xdr:rowOff>170006</xdr:rowOff>
    </xdr:to>
    <xdr:sp macro="" textlink="">
      <xdr:nvSpPr>
        <xdr:cNvPr id="4073" name="6-Point Star 717">
          <a:extLst>
            <a:ext uri="{FF2B5EF4-FFF2-40B4-BE49-F238E27FC236}">
              <a16:creationId xmlns:a16="http://schemas.microsoft.com/office/drawing/2014/main" id="{7C1C757E-4918-43D7-B053-7C52930E74F6}"/>
            </a:ext>
          </a:extLst>
        </xdr:cNvPr>
        <xdr:cNvSpPr/>
      </xdr:nvSpPr>
      <xdr:spPr>
        <a:xfrm>
          <a:off x="6477000" y="88963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114300</xdr:colOff>
      <xdr:row>44</xdr:row>
      <xdr:rowOff>161925</xdr:rowOff>
    </xdr:from>
    <xdr:to>
      <xdr:col>22</xdr:col>
      <xdr:colOff>255848</xdr:colOff>
      <xdr:row>45</xdr:row>
      <xdr:rowOff>141431</xdr:rowOff>
    </xdr:to>
    <xdr:sp macro="" textlink="">
      <xdr:nvSpPr>
        <xdr:cNvPr id="4074" name="6-Point Star 717">
          <a:extLst>
            <a:ext uri="{FF2B5EF4-FFF2-40B4-BE49-F238E27FC236}">
              <a16:creationId xmlns:a16="http://schemas.microsoft.com/office/drawing/2014/main" id="{62CA4DA8-CE13-4880-89A0-90909B181780}"/>
            </a:ext>
          </a:extLst>
        </xdr:cNvPr>
        <xdr:cNvSpPr/>
      </xdr:nvSpPr>
      <xdr:spPr>
        <a:xfrm>
          <a:off x="711517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114300</xdr:colOff>
      <xdr:row>44</xdr:row>
      <xdr:rowOff>142875</xdr:rowOff>
    </xdr:from>
    <xdr:to>
      <xdr:col>28</xdr:col>
      <xdr:colOff>255848</xdr:colOff>
      <xdr:row>45</xdr:row>
      <xdr:rowOff>122381</xdr:rowOff>
    </xdr:to>
    <xdr:sp macro="" textlink="">
      <xdr:nvSpPr>
        <xdr:cNvPr id="4075" name="6-Point Star 717">
          <a:extLst>
            <a:ext uri="{FF2B5EF4-FFF2-40B4-BE49-F238E27FC236}">
              <a16:creationId xmlns:a16="http://schemas.microsoft.com/office/drawing/2014/main" id="{BD42BB4B-55EA-4E17-B99A-7FDC7B1E5335}"/>
            </a:ext>
          </a:extLst>
        </xdr:cNvPr>
        <xdr:cNvSpPr/>
      </xdr:nvSpPr>
      <xdr:spPr>
        <a:xfrm>
          <a:off x="9029700" y="8848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104775</xdr:colOff>
      <xdr:row>44</xdr:row>
      <xdr:rowOff>142875</xdr:rowOff>
    </xdr:from>
    <xdr:to>
      <xdr:col>30</xdr:col>
      <xdr:colOff>246323</xdr:colOff>
      <xdr:row>45</xdr:row>
      <xdr:rowOff>122381</xdr:rowOff>
    </xdr:to>
    <xdr:sp macro="" textlink="">
      <xdr:nvSpPr>
        <xdr:cNvPr id="4076" name="6-Point Star 717">
          <a:extLst>
            <a:ext uri="{FF2B5EF4-FFF2-40B4-BE49-F238E27FC236}">
              <a16:creationId xmlns:a16="http://schemas.microsoft.com/office/drawing/2014/main" id="{2E2EE738-9227-41CE-AAF6-6F5D5BFDF77A}"/>
            </a:ext>
          </a:extLst>
        </xdr:cNvPr>
        <xdr:cNvSpPr/>
      </xdr:nvSpPr>
      <xdr:spPr>
        <a:xfrm>
          <a:off x="9648825" y="8848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114300</xdr:colOff>
      <xdr:row>44</xdr:row>
      <xdr:rowOff>161925</xdr:rowOff>
    </xdr:from>
    <xdr:to>
      <xdr:col>34</xdr:col>
      <xdr:colOff>255848</xdr:colOff>
      <xdr:row>45</xdr:row>
      <xdr:rowOff>141431</xdr:rowOff>
    </xdr:to>
    <xdr:sp macro="" textlink="">
      <xdr:nvSpPr>
        <xdr:cNvPr id="4077" name="6-Point Star 717">
          <a:extLst>
            <a:ext uri="{FF2B5EF4-FFF2-40B4-BE49-F238E27FC236}">
              <a16:creationId xmlns:a16="http://schemas.microsoft.com/office/drawing/2014/main" id="{3D5B6753-203B-43F6-A347-92FB5167832D}"/>
            </a:ext>
          </a:extLst>
        </xdr:cNvPr>
        <xdr:cNvSpPr/>
      </xdr:nvSpPr>
      <xdr:spPr>
        <a:xfrm>
          <a:off x="1094422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123825</xdr:colOff>
      <xdr:row>44</xdr:row>
      <xdr:rowOff>161925</xdr:rowOff>
    </xdr:from>
    <xdr:to>
      <xdr:col>36</xdr:col>
      <xdr:colOff>265373</xdr:colOff>
      <xdr:row>45</xdr:row>
      <xdr:rowOff>141431</xdr:rowOff>
    </xdr:to>
    <xdr:sp macro="" textlink="">
      <xdr:nvSpPr>
        <xdr:cNvPr id="4078" name="6-Point Star 717">
          <a:extLst>
            <a:ext uri="{FF2B5EF4-FFF2-40B4-BE49-F238E27FC236}">
              <a16:creationId xmlns:a16="http://schemas.microsoft.com/office/drawing/2014/main" id="{58BFD437-3FAA-4629-9132-77D55423DA0E}"/>
            </a:ext>
          </a:extLst>
        </xdr:cNvPr>
        <xdr:cNvSpPr/>
      </xdr:nvSpPr>
      <xdr:spPr>
        <a:xfrm>
          <a:off x="1159192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123825</xdr:colOff>
      <xdr:row>60</xdr:row>
      <xdr:rowOff>178860</xdr:rowOff>
    </xdr:from>
    <xdr:to>
      <xdr:col>36</xdr:col>
      <xdr:colOff>265373</xdr:colOff>
      <xdr:row>61</xdr:row>
      <xdr:rowOff>158366</xdr:rowOff>
    </xdr:to>
    <xdr:sp macro="" textlink="">
      <xdr:nvSpPr>
        <xdr:cNvPr id="4079" name="6-Point Star 717">
          <a:extLst>
            <a:ext uri="{FF2B5EF4-FFF2-40B4-BE49-F238E27FC236}">
              <a16:creationId xmlns:a16="http://schemas.microsoft.com/office/drawing/2014/main" id="{183C5148-AAB0-4861-87E6-4DFF56CCEA9C}"/>
            </a:ext>
          </a:extLst>
        </xdr:cNvPr>
        <xdr:cNvSpPr/>
      </xdr:nvSpPr>
      <xdr:spPr>
        <a:xfrm>
          <a:off x="12175596" y="1217110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117475</xdr:colOff>
      <xdr:row>68</xdr:row>
      <xdr:rowOff>171450</xdr:rowOff>
    </xdr:from>
    <xdr:to>
      <xdr:col>10</xdr:col>
      <xdr:colOff>259023</xdr:colOff>
      <xdr:row>69</xdr:row>
      <xdr:rowOff>150956</xdr:rowOff>
    </xdr:to>
    <xdr:sp macro="" textlink="">
      <xdr:nvSpPr>
        <xdr:cNvPr id="4081" name="6-Point Star 717">
          <a:extLst>
            <a:ext uri="{FF2B5EF4-FFF2-40B4-BE49-F238E27FC236}">
              <a16:creationId xmlns:a16="http://schemas.microsoft.com/office/drawing/2014/main" id="{F234F3C9-43B3-46EB-BEA0-57E5BCD7C2FD}"/>
            </a:ext>
          </a:extLst>
        </xdr:cNvPr>
        <xdr:cNvSpPr/>
      </xdr:nvSpPr>
      <xdr:spPr>
        <a:xfrm>
          <a:off x="3375025" y="13703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95250</xdr:colOff>
      <xdr:row>68</xdr:row>
      <xdr:rowOff>171450</xdr:rowOff>
    </xdr:from>
    <xdr:to>
      <xdr:col>38</xdr:col>
      <xdr:colOff>236798</xdr:colOff>
      <xdr:row>69</xdr:row>
      <xdr:rowOff>150956</xdr:rowOff>
    </xdr:to>
    <xdr:sp macro="" textlink="">
      <xdr:nvSpPr>
        <xdr:cNvPr id="4082" name="6-Point Star 717">
          <a:extLst>
            <a:ext uri="{FF2B5EF4-FFF2-40B4-BE49-F238E27FC236}">
              <a16:creationId xmlns:a16="http://schemas.microsoft.com/office/drawing/2014/main" id="{340F36D9-34A6-440D-881D-DA7B9C2FC623}"/>
            </a:ext>
          </a:extLst>
        </xdr:cNvPr>
        <xdr:cNvSpPr/>
      </xdr:nvSpPr>
      <xdr:spPr>
        <a:xfrm>
          <a:off x="12230100" y="137255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0</xdr:col>
      <xdr:colOff>0</xdr:colOff>
      <xdr:row>77</xdr:row>
      <xdr:rowOff>47625</xdr:rowOff>
    </xdr:from>
    <xdr:to>
      <xdr:col>2</xdr:col>
      <xdr:colOff>247650</xdr:colOff>
      <xdr:row>78</xdr:row>
      <xdr:rowOff>42606</xdr:rowOff>
    </xdr:to>
    <xdr:sp macro="" textlink="">
      <xdr:nvSpPr>
        <xdr:cNvPr id="4083" name="Freeform 10707">
          <a:extLst>
            <a:ext uri="{FF2B5EF4-FFF2-40B4-BE49-F238E27FC236}">
              <a16:creationId xmlns:a16="http://schemas.microsoft.com/office/drawing/2014/main" id="{FD567B8C-4399-4DC2-BA3C-DA26B7279FF2}"/>
            </a:ext>
          </a:extLst>
        </xdr:cNvPr>
        <xdr:cNvSpPr>
          <a:spLocks/>
        </xdr:cNvSpPr>
      </xdr:nvSpPr>
      <xdr:spPr bwMode="auto">
        <a:xfrm>
          <a:off x="0" y="15382875"/>
          <a:ext cx="638175" cy="18548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95250</xdr:colOff>
      <xdr:row>68</xdr:row>
      <xdr:rowOff>171450</xdr:rowOff>
    </xdr:from>
    <xdr:to>
      <xdr:col>40</xdr:col>
      <xdr:colOff>236798</xdr:colOff>
      <xdr:row>69</xdr:row>
      <xdr:rowOff>150956</xdr:rowOff>
    </xdr:to>
    <xdr:sp macro="" textlink="">
      <xdr:nvSpPr>
        <xdr:cNvPr id="4084" name="6-Point Star 717">
          <a:extLst>
            <a:ext uri="{FF2B5EF4-FFF2-40B4-BE49-F238E27FC236}">
              <a16:creationId xmlns:a16="http://schemas.microsoft.com/office/drawing/2014/main" id="{4E7862DB-CB19-4D80-82E2-8AB179EBC071}"/>
            </a:ext>
          </a:extLst>
        </xdr:cNvPr>
        <xdr:cNvSpPr/>
      </xdr:nvSpPr>
      <xdr:spPr>
        <a:xfrm>
          <a:off x="12887325" y="137255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104775</xdr:colOff>
      <xdr:row>68</xdr:row>
      <xdr:rowOff>180975</xdr:rowOff>
    </xdr:from>
    <xdr:to>
      <xdr:col>42</xdr:col>
      <xdr:colOff>246323</xdr:colOff>
      <xdr:row>69</xdr:row>
      <xdr:rowOff>160481</xdr:rowOff>
    </xdr:to>
    <xdr:sp macro="" textlink="">
      <xdr:nvSpPr>
        <xdr:cNvPr id="4085" name="6-Point Star 717">
          <a:extLst>
            <a:ext uri="{FF2B5EF4-FFF2-40B4-BE49-F238E27FC236}">
              <a16:creationId xmlns:a16="http://schemas.microsoft.com/office/drawing/2014/main" id="{173B4188-525A-480D-A61F-C969A08614A6}"/>
            </a:ext>
          </a:extLst>
        </xdr:cNvPr>
        <xdr:cNvSpPr/>
      </xdr:nvSpPr>
      <xdr:spPr>
        <a:xfrm>
          <a:off x="13496925" y="137350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123825</xdr:colOff>
      <xdr:row>68</xdr:row>
      <xdr:rowOff>152400</xdr:rowOff>
    </xdr:from>
    <xdr:to>
      <xdr:col>44</xdr:col>
      <xdr:colOff>265373</xdr:colOff>
      <xdr:row>69</xdr:row>
      <xdr:rowOff>131906</xdr:rowOff>
    </xdr:to>
    <xdr:sp macro="" textlink="">
      <xdr:nvSpPr>
        <xdr:cNvPr id="4086" name="6-Point Star 717">
          <a:extLst>
            <a:ext uri="{FF2B5EF4-FFF2-40B4-BE49-F238E27FC236}">
              <a16:creationId xmlns:a16="http://schemas.microsoft.com/office/drawing/2014/main" id="{1071243F-8F52-48F1-AA55-6D99DFE1EB9C}"/>
            </a:ext>
          </a:extLst>
        </xdr:cNvPr>
        <xdr:cNvSpPr/>
      </xdr:nvSpPr>
      <xdr:spPr>
        <a:xfrm>
          <a:off x="14192250" y="137064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123825</xdr:colOff>
      <xdr:row>76</xdr:row>
      <xdr:rowOff>180975</xdr:rowOff>
    </xdr:from>
    <xdr:to>
      <xdr:col>2</xdr:col>
      <xdr:colOff>265373</xdr:colOff>
      <xdr:row>77</xdr:row>
      <xdr:rowOff>160481</xdr:rowOff>
    </xdr:to>
    <xdr:sp macro="" textlink="">
      <xdr:nvSpPr>
        <xdr:cNvPr id="4087" name="6-Point Star 717">
          <a:extLst>
            <a:ext uri="{FF2B5EF4-FFF2-40B4-BE49-F238E27FC236}">
              <a16:creationId xmlns:a16="http://schemas.microsoft.com/office/drawing/2014/main" id="{05615836-266C-4E9D-896E-D7287F304A25}"/>
            </a:ext>
          </a:extLst>
        </xdr:cNvPr>
        <xdr:cNvSpPr/>
      </xdr:nvSpPr>
      <xdr:spPr>
        <a:xfrm>
          <a:off x="514350" y="15325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95250</xdr:colOff>
      <xdr:row>76</xdr:row>
      <xdr:rowOff>171450</xdr:rowOff>
    </xdr:from>
    <xdr:to>
      <xdr:col>4</xdr:col>
      <xdr:colOff>236798</xdr:colOff>
      <xdr:row>77</xdr:row>
      <xdr:rowOff>150956</xdr:rowOff>
    </xdr:to>
    <xdr:sp macro="" textlink="">
      <xdr:nvSpPr>
        <xdr:cNvPr id="4088" name="6-Point Star 717">
          <a:extLst>
            <a:ext uri="{FF2B5EF4-FFF2-40B4-BE49-F238E27FC236}">
              <a16:creationId xmlns:a16="http://schemas.microsoft.com/office/drawing/2014/main" id="{CED29E45-8A49-4D60-AF10-5F3285593D68}"/>
            </a:ext>
          </a:extLst>
        </xdr:cNvPr>
        <xdr:cNvSpPr/>
      </xdr:nvSpPr>
      <xdr:spPr>
        <a:xfrm>
          <a:off x="1190625" y="153162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104775</xdr:colOff>
      <xdr:row>76</xdr:row>
      <xdr:rowOff>171450</xdr:rowOff>
    </xdr:from>
    <xdr:to>
      <xdr:col>6</xdr:col>
      <xdr:colOff>246323</xdr:colOff>
      <xdr:row>77</xdr:row>
      <xdr:rowOff>150956</xdr:rowOff>
    </xdr:to>
    <xdr:sp macro="" textlink="">
      <xdr:nvSpPr>
        <xdr:cNvPr id="4089" name="6-Point Star 717">
          <a:extLst>
            <a:ext uri="{FF2B5EF4-FFF2-40B4-BE49-F238E27FC236}">
              <a16:creationId xmlns:a16="http://schemas.microsoft.com/office/drawing/2014/main" id="{2E39AEF6-30F1-4F99-8D9A-BD4F057E3A63}"/>
            </a:ext>
          </a:extLst>
        </xdr:cNvPr>
        <xdr:cNvSpPr/>
      </xdr:nvSpPr>
      <xdr:spPr>
        <a:xfrm>
          <a:off x="1828800" y="153162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114300</xdr:colOff>
      <xdr:row>77</xdr:row>
      <xdr:rowOff>9525</xdr:rowOff>
    </xdr:from>
    <xdr:to>
      <xdr:col>8</xdr:col>
      <xdr:colOff>255848</xdr:colOff>
      <xdr:row>77</xdr:row>
      <xdr:rowOff>179531</xdr:rowOff>
    </xdr:to>
    <xdr:sp macro="" textlink="">
      <xdr:nvSpPr>
        <xdr:cNvPr id="4090" name="6-Point Star 717">
          <a:extLst>
            <a:ext uri="{FF2B5EF4-FFF2-40B4-BE49-F238E27FC236}">
              <a16:creationId xmlns:a16="http://schemas.microsoft.com/office/drawing/2014/main" id="{1ACC29D7-32B7-4EDC-A7C8-991CADDBDAA9}"/>
            </a:ext>
          </a:extLst>
        </xdr:cNvPr>
        <xdr:cNvSpPr/>
      </xdr:nvSpPr>
      <xdr:spPr>
        <a:xfrm>
          <a:off x="2495550" y="15344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104775</xdr:colOff>
      <xdr:row>76</xdr:row>
      <xdr:rowOff>133350</xdr:rowOff>
    </xdr:from>
    <xdr:to>
      <xdr:col>10</xdr:col>
      <xdr:colOff>246323</xdr:colOff>
      <xdr:row>77</xdr:row>
      <xdr:rowOff>112856</xdr:rowOff>
    </xdr:to>
    <xdr:sp macro="" textlink="">
      <xdr:nvSpPr>
        <xdr:cNvPr id="4091" name="6-Point Star 717">
          <a:extLst>
            <a:ext uri="{FF2B5EF4-FFF2-40B4-BE49-F238E27FC236}">
              <a16:creationId xmlns:a16="http://schemas.microsoft.com/office/drawing/2014/main" id="{31327500-D028-4392-A5D7-F46D08097886}"/>
            </a:ext>
          </a:extLst>
        </xdr:cNvPr>
        <xdr:cNvSpPr/>
      </xdr:nvSpPr>
      <xdr:spPr>
        <a:xfrm>
          <a:off x="3209925" y="152781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123825</xdr:colOff>
      <xdr:row>76</xdr:row>
      <xdr:rowOff>171450</xdr:rowOff>
    </xdr:from>
    <xdr:to>
      <xdr:col>34</xdr:col>
      <xdr:colOff>265373</xdr:colOff>
      <xdr:row>77</xdr:row>
      <xdr:rowOff>150957</xdr:rowOff>
    </xdr:to>
    <xdr:sp macro="" textlink="">
      <xdr:nvSpPr>
        <xdr:cNvPr id="4092" name="6-Point Star 717">
          <a:extLst>
            <a:ext uri="{FF2B5EF4-FFF2-40B4-BE49-F238E27FC236}">
              <a16:creationId xmlns:a16="http://schemas.microsoft.com/office/drawing/2014/main" id="{87EF34C1-4DA7-4921-B749-D9EA95A6DC8E}"/>
            </a:ext>
          </a:extLst>
        </xdr:cNvPr>
        <xdr:cNvSpPr/>
      </xdr:nvSpPr>
      <xdr:spPr>
        <a:xfrm>
          <a:off x="10953750" y="15316200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133350</xdr:colOff>
      <xdr:row>76</xdr:row>
      <xdr:rowOff>142875</xdr:rowOff>
    </xdr:from>
    <xdr:to>
      <xdr:col>36</xdr:col>
      <xdr:colOff>274898</xdr:colOff>
      <xdr:row>77</xdr:row>
      <xdr:rowOff>122382</xdr:rowOff>
    </xdr:to>
    <xdr:sp macro="" textlink="">
      <xdr:nvSpPr>
        <xdr:cNvPr id="4093" name="6-Point Star 717">
          <a:extLst>
            <a:ext uri="{FF2B5EF4-FFF2-40B4-BE49-F238E27FC236}">
              <a16:creationId xmlns:a16="http://schemas.microsoft.com/office/drawing/2014/main" id="{A92CFA93-6B6E-4920-A61A-BD2C25BF3AB0}"/>
            </a:ext>
          </a:extLst>
        </xdr:cNvPr>
        <xdr:cNvSpPr/>
      </xdr:nvSpPr>
      <xdr:spPr>
        <a:xfrm>
          <a:off x="11601450" y="15287625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133350</xdr:colOff>
      <xdr:row>76</xdr:row>
      <xdr:rowOff>142875</xdr:rowOff>
    </xdr:from>
    <xdr:to>
      <xdr:col>38</xdr:col>
      <xdr:colOff>274898</xdr:colOff>
      <xdr:row>77</xdr:row>
      <xdr:rowOff>122382</xdr:rowOff>
    </xdr:to>
    <xdr:sp macro="" textlink="">
      <xdr:nvSpPr>
        <xdr:cNvPr id="4094" name="6-Point Star 717">
          <a:extLst>
            <a:ext uri="{FF2B5EF4-FFF2-40B4-BE49-F238E27FC236}">
              <a16:creationId xmlns:a16="http://schemas.microsoft.com/office/drawing/2014/main" id="{20638205-3608-49D1-8244-DA00D360BEDA}"/>
            </a:ext>
          </a:extLst>
        </xdr:cNvPr>
        <xdr:cNvSpPr/>
      </xdr:nvSpPr>
      <xdr:spPr>
        <a:xfrm>
          <a:off x="12268200" y="15287625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95250</xdr:colOff>
      <xdr:row>84</xdr:row>
      <xdr:rowOff>171450</xdr:rowOff>
    </xdr:from>
    <xdr:to>
      <xdr:col>8</xdr:col>
      <xdr:colOff>236798</xdr:colOff>
      <xdr:row>85</xdr:row>
      <xdr:rowOff>150956</xdr:rowOff>
    </xdr:to>
    <xdr:sp macro="" textlink="">
      <xdr:nvSpPr>
        <xdr:cNvPr id="4095" name="6-Point Star 717">
          <a:extLst>
            <a:ext uri="{FF2B5EF4-FFF2-40B4-BE49-F238E27FC236}">
              <a16:creationId xmlns:a16="http://schemas.microsoft.com/office/drawing/2014/main" id="{26BA2C28-F3C4-4913-A6F2-CE963529F180}"/>
            </a:ext>
          </a:extLst>
        </xdr:cNvPr>
        <xdr:cNvSpPr/>
      </xdr:nvSpPr>
      <xdr:spPr>
        <a:xfrm>
          <a:off x="2476500" y="169068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114300</xdr:colOff>
      <xdr:row>84</xdr:row>
      <xdr:rowOff>142875</xdr:rowOff>
    </xdr:from>
    <xdr:to>
      <xdr:col>10</xdr:col>
      <xdr:colOff>255848</xdr:colOff>
      <xdr:row>85</xdr:row>
      <xdr:rowOff>122381</xdr:rowOff>
    </xdr:to>
    <xdr:sp macro="" textlink="">
      <xdr:nvSpPr>
        <xdr:cNvPr id="4096" name="6-Point Star 717">
          <a:extLst>
            <a:ext uri="{FF2B5EF4-FFF2-40B4-BE49-F238E27FC236}">
              <a16:creationId xmlns:a16="http://schemas.microsoft.com/office/drawing/2014/main" id="{E2063E65-00AB-4912-9C89-7C2AD219E7F5}"/>
            </a:ext>
          </a:extLst>
        </xdr:cNvPr>
        <xdr:cNvSpPr/>
      </xdr:nvSpPr>
      <xdr:spPr>
        <a:xfrm>
          <a:off x="3219450" y="16878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95250</xdr:colOff>
      <xdr:row>84</xdr:row>
      <xdr:rowOff>171450</xdr:rowOff>
    </xdr:from>
    <xdr:to>
      <xdr:col>12</xdr:col>
      <xdr:colOff>236798</xdr:colOff>
      <xdr:row>85</xdr:row>
      <xdr:rowOff>150956</xdr:rowOff>
    </xdr:to>
    <xdr:sp macro="" textlink="">
      <xdr:nvSpPr>
        <xdr:cNvPr id="4097" name="6-Point Star 717">
          <a:extLst>
            <a:ext uri="{FF2B5EF4-FFF2-40B4-BE49-F238E27FC236}">
              <a16:creationId xmlns:a16="http://schemas.microsoft.com/office/drawing/2014/main" id="{EFDE0FD1-6658-421F-BF0C-DDD3DEB4E8AB}"/>
            </a:ext>
          </a:extLst>
        </xdr:cNvPr>
        <xdr:cNvSpPr/>
      </xdr:nvSpPr>
      <xdr:spPr>
        <a:xfrm>
          <a:off x="3848100" y="169068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85725</xdr:colOff>
      <xdr:row>84</xdr:row>
      <xdr:rowOff>180975</xdr:rowOff>
    </xdr:from>
    <xdr:to>
      <xdr:col>18</xdr:col>
      <xdr:colOff>227273</xdr:colOff>
      <xdr:row>85</xdr:row>
      <xdr:rowOff>160481</xdr:rowOff>
    </xdr:to>
    <xdr:sp macro="" textlink="">
      <xdr:nvSpPr>
        <xdr:cNvPr id="4098" name="6-Point Star 717">
          <a:extLst>
            <a:ext uri="{FF2B5EF4-FFF2-40B4-BE49-F238E27FC236}">
              <a16:creationId xmlns:a16="http://schemas.microsoft.com/office/drawing/2014/main" id="{23A8898E-097E-4892-8C5F-204F63947E95}"/>
            </a:ext>
          </a:extLst>
        </xdr:cNvPr>
        <xdr:cNvSpPr/>
      </xdr:nvSpPr>
      <xdr:spPr>
        <a:xfrm>
          <a:off x="5829300" y="169164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76200</xdr:colOff>
      <xdr:row>84</xdr:row>
      <xdr:rowOff>161925</xdr:rowOff>
    </xdr:from>
    <xdr:to>
      <xdr:col>28</xdr:col>
      <xdr:colOff>217748</xdr:colOff>
      <xdr:row>85</xdr:row>
      <xdr:rowOff>145811</xdr:rowOff>
    </xdr:to>
    <xdr:sp macro="" textlink="">
      <xdr:nvSpPr>
        <xdr:cNvPr id="4099" name="6-Point Star 717">
          <a:extLst>
            <a:ext uri="{FF2B5EF4-FFF2-40B4-BE49-F238E27FC236}">
              <a16:creationId xmlns:a16="http://schemas.microsoft.com/office/drawing/2014/main" id="{87092116-639E-4ACD-BCCD-B5DD2102BEED}"/>
            </a:ext>
          </a:extLst>
        </xdr:cNvPr>
        <xdr:cNvSpPr/>
      </xdr:nvSpPr>
      <xdr:spPr>
        <a:xfrm>
          <a:off x="8991600" y="16897350"/>
          <a:ext cx="141548" cy="17438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104775</xdr:colOff>
      <xdr:row>92</xdr:row>
      <xdr:rowOff>153195</xdr:rowOff>
    </xdr:from>
    <xdr:to>
      <xdr:col>20</xdr:col>
      <xdr:colOff>246323</xdr:colOff>
      <xdr:row>93</xdr:row>
      <xdr:rowOff>132701</xdr:rowOff>
    </xdr:to>
    <xdr:sp macro="" textlink="">
      <xdr:nvSpPr>
        <xdr:cNvPr id="4100" name="6-Point Star 717">
          <a:extLst>
            <a:ext uri="{FF2B5EF4-FFF2-40B4-BE49-F238E27FC236}">
              <a16:creationId xmlns:a16="http://schemas.microsoft.com/office/drawing/2014/main" id="{F49F2C6B-E69C-4951-AAAB-A9CB3BC993A6}"/>
            </a:ext>
          </a:extLst>
        </xdr:cNvPr>
        <xdr:cNvSpPr/>
      </xdr:nvSpPr>
      <xdr:spPr>
        <a:xfrm>
          <a:off x="6785504" y="18521893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104775</xdr:colOff>
      <xdr:row>92</xdr:row>
      <xdr:rowOff>152400</xdr:rowOff>
    </xdr:from>
    <xdr:to>
      <xdr:col>24</xdr:col>
      <xdr:colOff>246323</xdr:colOff>
      <xdr:row>93</xdr:row>
      <xdr:rowOff>131906</xdr:rowOff>
    </xdr:to>
    <xdr:sp macro="" textlink="">
      <xdr:nvSpPr>
        <xdr:cNvPr id="4101" name="6-Point Star 717">
          <a:extLst>
            <a:ext uri="{FF2B5EF4-FFF2-40B4-BE49-F238E27FC236}">
              <a16:creationId xmlns:a16="http://schemas.microsoft.com/office/drawing/2014/main" id="{221AB591-AB4A-46FC-BF5F-237239E49F2A}"/>
            </a:ext>
          </a:extLst>
        </xdr:cNvPr>
        <xdr:cNvSpPr/>
      </xdr:nvSpPr>
      <xdr:spPr>
        <a:xfrm>
          <a:off x="7734300" y="184785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104775</xdr:colOff>
      <xdr:row>92</xdr:row>
      <xdr:rowOff>142875</xdr:rowOff>
    </xdr:from>
    <xdr:to>
      <xdr:col>30</xdr:col>
      <xdr:colOff>246323</xdr:colOff>
      <xdr:row>93</xdr:row>
      <xdr:rowOff>122381</xdr:rowOff>
    </xdr:to>
    <xdr:sp macro="" textlink="">
      <xdr:nvSpPr>
        <xdr:cNvPr id="4102" name="6-Point Star 717">
          <a:extLst>
            <a:ext uri="{FF2B5EF4-FFF2-40B4-BE49-F238E27FC236}">
              <a16:creationId xmlns:a16="http://schemas.microsoft.com/office/drawing/2014/main" id="{C90CF261-B278-43E6-A713-8A7D75A55995}"/>
            </a:ext>
          </a:extLst>
        </xdr:cNvPr>
        <xdr:cNvSpPr/>
      </xdr:nvSpPr>
      <xdr:spPr>
        <a:xfrm>
          <a:off x="9648825" y="184689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108480</xdr:colOff>
      <xdr:row>92</xdr:row>
      <xdr:rowOff>133350</xdr:rowOff>
    </xdr:from>
    <xdr:to>
      <xdr:col>38</xdr:col>
      <xdr:colOff>250028</xdr:colOff>
      <xdr:row>93</xdr:row>
      <xdr:rowOff>112856</xdr:rowOff>
    </xdr:to>
    <xdr:sp macro="" textlink="">
      <xdr:nvSpPr>
        <xdr:cNvPr id="4103" name="6-Point Star 717">
          <a:extLst>
            <a:ext uri="{FF2B5EF4-FFF2-40B4-BE49-F238E27FC236}">
              <a16:creationId xmlns:a16="http://schemas.microsoft.com/office/drawing/2014/main" id="{F7EE8023-5A15-4098-93BE-522F83426B9E}"/>
            </a:ext>
          </a:extLst>
        </xdr:cNvPr>
        <xdr:cNvSpPr/>
      </xdr:nvSpPr>
      <xdr:spPr>
        <a:xfrm>
          <a:off x="12854782" y="18502048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95250</xdr:colOff>
      <xdr:row>92</xdr:row>
      <xdr:rowOff>123825</xdr:rowOff>
    </xdr:from>
    <xdr:to>
      <xdr:col>40</xdr:col>
      <xdr:colOff>236798</xdr:colOff>
      <xdr:row>93</xdr:row>
      <xdr:rowOff>103331</xdr:rowOff>
    </xdr:to>
    <xdr:sp macro="" textlink="">
      <xdr:nvSpPr>
        <xdr:cNvPr id="4104" name="6-Point Star 717">
          <a:extLst>
            <a:ext uri="{FF2B5EF4-FFF2-40B4-BE49-F238E27FC236}">
              <a16:creationId xmlns:a16="http://schemas.microsoft.com/office/drawing/2014/main" id="{824F41E9-6CD5-4365-9B61-903DC8135946}"/>
            </a:ext>
          </a:extLst>
        </xdr:cNvPr>
        <xdr:cNvSpPr/>
      </xdr:nvSpPr>
      <xdr:spPr>
        <a:xfrm>
          <a:off x="12887325" y="184499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120915</xdr:colOff>
      <xdr:row>100</xdr:row>
      <xdr:rowOff>146580</xdr:rowOff>
    </xdr:from>
    <xdr:to>
      <xdr:col>10</xdr:col>
      <xdr:colOff>262463</xdr:colOff>
      <xdr:row>101</xdr:row>
      <xdr:rowOff>126086</xdr:rowOff>
    </xdr:to>
    <xdr:sp macro="" textlink="">
      <xdr:nvSpPr>
        <xdr:cNvPr id="4105" name="6-Point Star 717">
          <a:extLst>
            <a:ext uri="{FF2B5EF4-FFF2-40B4-BE49-F238E27FC236}">
              <a16:creationId xmlns:a16="http://schemas.microsoft.com/office/drawing/2014/main" id="{E3F247A4-5BC5-47B8-85A1-361EEFABD333}"/>
            </a:ext>
          </a:extLst>
        </xdr:cNvPr>
        <xdr:cNvSpPr/>
      </xdr:nvSpPr>
      <xdr:spPr>
        <a:xfrm>
          <a:off x="3381905" y="20109393"/>
          <a:ext cx="141548" cy="17132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123825</xdr:colOff>
      <xdr:row>109</xdr:row>
      <xdr:rowOff>0</xdr:rowOff>
    </xdr:from>
    <xdr:to>
      <xdr:col>28</xdr:col>
      <xdr:colOff>265373</xdr:colOff>
      <xdr:row>109</xdr:row>
      <xdr:rowOff>165772</xdr:rowOff>
    </xdr:to>
    <xdr:sp macro="" textlink="">
      <xdr:nvSpPr>
        <xdr:cNvPr id="4106" name="6-Point Star 717">
          <a:extLst>
            <a:ext uri="{FF2B5EF4-FFF2-40B4-BE49-F238E27FC236}">
              <a16:creationId xmlns:a16="http://schemas.microsoft.com/office/drawing/2014/main" id="{13928AFF-5BCE-42CE-93D8-9514C269DBD0}"/>
            </a:ext>
          </a:extLst>
        </xdr:cNvPr>
        <xdr:cNvSpPr/>
      </xdr:nvSpPr>
      <xdr:spPr>
        <a:xfrm>
          <a:off x="9039225" y="21697950"/>
          <a:ext cx="141548" cy="16577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184150</xdr:colOff>
      <xdr:row>69</xdr:row>
      <xdr:rowOff>25400</xdr:rowOff>
    </xdr:from>
    <xdr:to>
      <xdr:col>22</xdr:col>
      <xdr:colOff>211483</xdr:colOff>
      <xdr:row>70</xdr:row>
      <xdr:rowOff>44450</xdr:rowOff>
    </xdr:to>
    <xdr:sp macro="" textlink="">
      <xdr:nvSpPr>
        <xdr:cNvPr id="4065" name="Freeform 10707">
          <a:extLst>
            <a:ext uri="{FF2B5EF4-FFF2-40B4-BE49-F238E27FC236}">
              <a16:creationId xmlns:a16="http://schemas.microsoft.com/office/drawing/2014/main" id="{C9CB2B2B-B02B-48BB-8655-6C5D93F9B939}"/>
            </a:ext>
          </a:extLst>
        </xdr:cNvPr>
        <xdr:cNvSpPr>
          <a:spLocks/>
        </xdr:cNvSpPr>
      </xdr:nvSpPr>
      <xdr:spPr bwMode="auto">
        <a:xfrm>
          <a:off x="6864350" y="13747750"/>
          <a:ext cx="687733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187325</xdr:colOff>
      <xdr:row>69</xdr:row>
      <xdr:rowOff>12700</xdr:rowOff>
    </xdr:from>
    <xdr:to>
      <xdr:col>24</xdr:col>
      <xdr:colOff>177800</xdr:colOff>
      <xdr:row>70</xdr:row>
      <xdr:rowOff>50800</xdr:rowOff>
    </xdr:to>
    <xdr:sp macro="" textlink="">
      <xdr:nvSpPr>
        <xdr:cNvPr id="4069" name="Freeform 10707">
          <a:extLst>
            <a:ext uri="{FF2B5EF4-FFF2-40B4-BE49-F238E27FC236}">
              <a16:creationId xmlns:a16="http://schemas.microsoft.com/office/drawing/2014/main" id="{9CFC0491-28B5-4CD5-901D-5D7895DB6E05}"/>
            </a:ext>
          </a:extLst>
        </xdr:cNvPr>
        <xdr:cNvSpPr>
          <a:spLocks/>
        </xdr:cNvSpPr>
      </xdr:nvSpPr>
      <xdr:spPr bwMode="auto">
        <a:xfrm>
          <a:off x="7527925" y="13735050"/>
          <a:ext cx="650875" cy="2286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209550</xdr:colOff>
      <xdr:row>69</xdr:row>
      <xdr:rowOff>57150</xdr:rowOff>
    </xdr:from>
    <xdr:to>
      <xdr:col>26</xdr:col>
      <xdr:colOff>236883</xdr:colOff>
      <xdr:row>70</xdr:row>
      <xdr:rowOff>76200</xdr:rowOff>
    </xdr:to>
    <xdr:sp macro="" textlink="">
      <xdr:nvSpPr>
        <xdr:cNvPr id="4080" name="Freeform 10707">
          <a:extLst>
            <a:ext uri="{FF2B5EF4-FFF2-40B4-BE49-F238E27FC236}">
              <a16:creationId xmlns:a16="http://schemas.microsoft.com/office/drawing/2014/main" id="{F195749E-6E75-46FE-90B4-1A4053E4B11C}"/>
            </a:ext>
          </a:extLst>
        </xdr:cNvPr>
        <xdr:cNvSpPr>
          <a:spLocks/>
        </xdr:cNvSpPr>
      </xdr:nvSpPr>
      <xdr:spPr bwMode="auto">
        <a:xfrm>
          <a:off x="7839075" y="13801725"/>
          <a:ext cx="655983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26</xdr:col>
      <xdr:colOff>228600</xdr:colOff>
      <xdr:row>69</xdr:row>
      <xdr:rowOff>38100</xdr:rowOff>
    </xdr:from>
    <xdr:to>
      <xdr:col>28</xdr:col>
      <xdr:colOff>227358</xdr:colOff>
      <xdr:row>70</xdr:row>
      <xdr:rowOff>57150</xdr:rowOff>
    </xdr:to>
    <xdr:sp macro="" textlink="">
      <xdr:nvSpPr>
        <xdr:cNvPr id="4108" name="Freeform 10707">
          <a:extLst>
            <a:ext uri="{FF2B5EF4-FFF2-40B4-BE49-F238E27FC236}">
              <a16:creationId xmlns:a16="http://schemas.microsoft.com/office/drawing/2014/main" id="{76351355-E418-493D-9511-0696BAE399BF}"/>
            </a:ext>
          </a:extLst>
        </xdr:cNvPr>
        <xdr:cNvSpPr>
          <a:spLocks/>
        </xdr:cNvSpPr>
      </xdr:nvSpPr>
      <xdr:spPr bwMode="auto">
        <a:xfrm>
          <a:off x="8486775" y="13782675"/>
          <a:ext cx="655983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219075</xdr:colOff>
      <xdr:row>69</xdr:row>
      <xdr:rowOff>57150</xdr:rowOff>
    </xdr:from>
    <xdr:to>
      <xdr:col>30</xdr:col>
      <xdr:colOff>246408</xdr:colOff>
      <xdr:row>70</xdr:row>
      <xdr:rowOff>76200</xdr:rowOff>
    </xdr:to>
    <xdr:sp macro="" textlink="">
      <xdr:nvSpPr>
        <xdr:cNvPr id="4109" name="Freeform 10707">
          <a:extLst>
            <a:ext uri="{FF2B5EF4-FFF2-40B4-BE49-F238E27FC236}">
              <a16:creationId xmlns:a16="http://schemas.microsoft.com/office/drawing/2014/main" id="{10D90DBF-359C-432F-AD57-91D44C92868E}"/>
            </a:ext>
          </a:extLst>
        </xdr:cNvPr>
        <xdr:cNvSpPr>
          <a:spLocks/>
        </xdr:cNvSpPr>
      </xdr:nvSpPr>
      <xdr:spPr bwMode="auto">
        <a:xfrm>
          <a:off x="9134475" y="13801725"/>
          <a:ext cx="655983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232423</xdr:colOff>
      <xdr:row>69</xdr:row>
      <xdr:rowOff>76199</xdr:rowOff>
    </xdr:from>
    <xdr:to>
      <xdr:col>32</xdr:col>
      <xdr:colOff>156223</xdr:colOff>
      <xdr:row>70</xdr:row>
      <xdr:rowOff>123824</xdr:rowOff>
    </xdr:to>
    <xdr:sp macro="" textlink="">
      <xdr:nvSpPr>
        <xdr:cNvPr id="4110" name="Freeform 10707">
          <a:extLst>
            <a:ext uri="{FF2B5EF4-FFF2-40B4-BE49-F238E27FC236}">
              <a16:creationId xmlns:a16="http://schemas.microsoft.com/office/drawing/2014/main" id="{3031BB65-AF4B-490C-BA85-0C0AE8E40A51}"/>
            </a:ext>
          </a:extLst>
        </xdr:cNvPr>
        <xdr:cNvSpPr>
          <a:spLocks/>
        </xdr:cNvSpPr>
      </xdr:nvSpPr>
      <xdr:spPr bwMode="auto">
        <a:xfrm>
          <a:off x="10262831" y="13631505"/>
          <a:ext cx="617116" cy="2355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219075</xdr:colOff>
      <xdr:row>69</xdr:row>
      <xdr:rowOff>47625</xdr:rowOff>
    </xdr:from>
    <xdr:to>
      <xdr:col>34</xdr:col>
      <xdr:colOff>190500</xdr:colOff>
      <xdr:row>70</xdr:row>
      <xdr:rowOff>123825</xdr:rowOff>
    </xdr:to>
    <xdr:sp macro="" textlink="">
      <xdr:nvSpPr>
        <xdr:cNvPr id="4111" name="Freeform 10707">
          <a:extLst>
            <a:ext uri="{FF2B5EF4-FFF2-40B4-BE49-F238E27FC236}">
              <a16:creationId xmlns:a16="http://schemas.microsoft.com/office/drawing/2014/main" id="{F8D75D1A-77D6-41CB-9418-5D413805C719}"/>
            </a:ext>
          </a:extLst>
        </xdr:cNvPr>
        <xdr:cNvSpPr>
          <a:spLocks/>
        </xdr:cNvSpPr>
      </xdr:nvSpPr>
      <xdr:spPr bwMode="auto">
        <a:xfrm>
          <a:off x="10420350" y="13792200"/>
          <a:ext cx="600075" cy="2667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104775</xdr:colOff>
      <xdr:row>44</xdr:row>
      <xdr:rowOff>171450</xdr:rowOff>
    </xdr:from>
    <xdr:to>
      <xdr:col>14</xdr:col>
      <xdr:colOff>246323</xdr:colOff>
      <xdr:row>45</xdr:row>
      <xdr:rowOff>150956</xdr:rowOff>
    </xdr:to>
    <xdr:sp macro="" textlink="">
      <xdr:nvSpPr>
        <xdr:cNvPr id="4116" name="6-Point Star 717">
          <a:extLst>
            <a:ext uri="{FF2B5EF4-FFF2-40B4-BE49-F238E27FC236}">
              <a16:creationId xmlns:a16="http://schemas.microsoft.com/office/drawing/2014/main" id="{59E9C113-1953-416B-B364-C309020D0204}"/>
            </a:ext>
          </a:extLst>
        </xdr:cNvPr>
        <xdr:cNvSpPr/>
      </xdr:nvSpPr>
      <xdr:spPr>
        <a:xfrm>
          <a:off x="4486275" y="8877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123825</xdr:colOff>
      <xdr:row>44</xdr:row>
      <xdr:rowOff>161925</xdr:rowOff>
    </xdr:from>
    <xdr:to>
      <xdr:col>16</xdr:col>
      <xdr:colOff>265373</xdr:colOff>
      <xdr:row>45</xdr:row>
      <xdr:rowOff>141431</xdr:rowOff>
    </xdr:to>
    <xdr:sp macro="" textlink="">
      <xdr:nvSpPr>
        <xdr:cNvPr id="4117" name="6-Point Star 717">
          <a:extLst>
            <a:ext uri="{FF2B5EF4-FFF2-40B4-BE49-F238E27FC236}">
              <a16:creationId xmlns:a16="http://schemas.microsoft.com/office/drawing/2014/main" id="{D38427EA-7796-4BBF-9BAB-4DA2FCDFDC43}"/>
            </a:ext>
          </a:extLst>
        </xdr:cNvPr>
        <xdr:cNvSpPr/>
      </xdr:nvSpPr>
      <xdr:spPr>
        <a:xfrm>
          <a:off x="517207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95250</xdr:colOff>
      <xdr:row>44</xdr:row>
      <xdr:rowOff>161925</xdr:rowOff>
    </xdr:from>
    <xdr:to>
      <xdr:col>18</xdr:col>
      <xdr:colOff>236798</xdr:colOff>
      <xdr:row>45</xdr:row>
      <xdr:rowOff>141431</xdr:rowOff>
    </xdr:to>
    <xdr:sp macro="" textlink="">
      <xdr:nvSpPr>
        <xdr:cNvPr id="4118" name="6-Point Star 717">
          <a:extLst>
            <a:ext uri="{FF2B5EF4-FFF2-40B4-BE49-F238E27FC236}">
              <a16:creationId xmlns:a16="http://schemas.microsoft.com/office/drawing/2014/main" id="{DE50EFC1-33D1-4B72-9C7C-0BA5DC05E4A2}"/>
            </a:ext>
          </a:extLst>
        </xdr:cNvPr>
        <xdr:cNvSpPr/>
      </xdr:nvSpPr>
      <xdr:spPr>
        <a:xfrm>
          <a:off x="583882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85725</xdr:colOff>
      <xdr:row>20</xdr:row>
      <xdr:rowOff>171450</xdr:rowOff>
    </xdr:from>
    <xdr:to>
      <xdr:col>42</xdr:col>
      <xdr:colOff>227273</xdr:colOff>
      <xdr:row>21</xdr:row>
      <xdr:rowOff>150956</xdr:rowOff>
    </xdr:to>
    <xdr:sp macro="" textlink="">
      <xdr:nvSpPr>
        <xdr:cNvPr id="4119" name="6-Point Star 717">
          <a:extLst>
            <a:ext uri="{FF2B5EF4-FFF2-40B4-BE49-F238E27FC236}">
              <a16:creationId xmlns:a16="http://schemas.microsoft.com/office/drawing/2014/main" id="{B802E66E-CE90-41DD-9CA7-AEFE1DF24E7E}"/>
            </a:ext>
          </a:extLst>
        </xdr:cNvPr>
        <xdr:cNvSpPr/>
      </xdr:nvSpPr>
      <xdr:spPr>
        <a:xfrm>
          <a:off x="13477875" y="41052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101600</xdr:colOff>
      <xdr:row>68</xdr:row>
      <xdr:rowOff>133350</xdr:rowOff>
    </xdr:from>
    <xdr:to>
      <xdr:col>28</xdr:col>
      <xdr:colOff>243148</xdr:colOff>
      <xdr:row>69</xdr:row>
      <xdr:rowOff>112856</xdr:rowOff>
    </xdr:to>
    <xdr:sp macro="" textlink="">
      <xdr:nvSpPr>
        <xdr:cNvPr id="4120" name="6-Point Star 717">
          <a:extLst>
            <a:ext uri="{FF2B5EF4-FFF2-40B4-BE49-F238E27FC236}">
              <a16:creationId xmlns:a16="http://schemas.microsoft.com/office/drawing/2014/main" id="{2236A839-9DBC-47A0-94C7-CF0A59971222}"/>
            </a:ext>
          </a:extLst>
        </xdr:cNvPr>
        <xdr:cNvSpPr/>
      </xdr:nvSpPr>
      <xdr:spPr>
        <a:xfrm>
          <a:off x="9455150" y="136652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95639</xdr:colOff>
      <xdr:row>68</xdr:row>
      <xdr:rowOff>165489</xdr:rowOff>
    </xdr:from>
    <xdr:to>
      <xdr:col>26</xdr:col>
      <xdr:colOff>237187</xdr:colOff>
      <xdr:row>69</xdr:row>
      <xdr:rowOff>144995</xdr:rowOff>
    </xdr:to>
    <xdr:sp macro="" textlink="">
      <xdr:nvSpPr>
        <xdr:cNvPr id="4121" name="6-Point Star 717">
          <a:extLst>
            <a:ext uri="{FF2B5EF4-FFF2-40B4-BE49-F238E27FC236}">
              <a16:creationId xmlns:a16="http://schemas.microsoft.com/office/drawing/2014/main" id="{1D08F70A-CFC3-43DC-B48E-7D713A20BB84}"/>
            </a:ext>
          </a:extLst>
        </xdr:cNvPr>
        <xdr:cNvSpPr/>
      </xdr:nvSpPr>
      <xdr:spPr>
        <a:xfrm>
          <a:off x="8771812" y="13532887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107561</xdr:colOff>
      <xdr:row>69</xdr:row>
      <xdr:rowOff>3370</xdr:rowOff>
    </xdr:from>
    <xdr:to>
      <xdr:col>30</xdr:col>
      <xdr:colOff>249109</xdr:colOff>
      <xdr:row>69</xdr:row>
      <xdr:rowOff>170784</xdr:rowOff>
    </xdr:to>
    <xdr:sp macro="" textlink="">
      <xdr:nvSpPr>
        <xdr:cNvPr id="4122" name="6-Point Star 717">
          <a:extLst>
            <a:ext uri="{FF2B5EF4-FFF2-40B4-BE49-F238E27FC236}">
              <a16:creationId xmlns:a16="http://schemas.microsoft.com/office/drawing/2014/main" id="{25633D0D-2C9B-414F-BFC7-7984D7080F1D}"/>
            </a:ext>
          </a:extLst>
        </xdr:cNvPr>
        <xdr:cNvSpPr/>
      </xdr:nvSpPr>
      <xdr:spPr>
        <a:xfrm>
          <a:off x="10137969" y="13558676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101600</xdr:colOff>
      <xdr:row>68</xdr:row>
      <xdr:rowOff>139700</xdr:rowOff>
    </xdr:from>
    <xdr:to>
      <xdr:col>20</xdr:col>
      <xdr:colOff>243148</xdr:colOff>
      <xdr:row>69</xdr:row>
      <xdr:rowOff>119206</xdr:rowOff>
    </xdr:to>
    <xdr:sp macro="" textlink="">
      <xdr:nvSpPr>
        <xdr:cNvPr id="4124" name="6-Point Star 717">
          <a:extLst>
            <a:ext uri="{FF2B5EF4-FFF2-40B4-BE49-F238E27FC236}">
              <a16:creationId xmlns:a16="http://schemas.microsoft.com/office/drawing/2014/main" id="{98BB48BC-C77F-467D-B251-CDE983456080}"/>
            </a:ext>
          </a:extLst>
        </xdr:cNvPr>
        <xdr:cNvSpPr/>
      </xdr:nvSpPr>
      <xdr:spPr>
        <a:xfrm>
          <a:off x="6781800" y="13671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215900</xdr:colOff>
      <xdr:row>45</xdr:row>
      <xdr:rowOff>50800</xdr:rowOff>
    </xdr:from>
    <xdr:to>
      <xdr:col>22</xdr:col>
      <xdr:colOff>190500</xdr:colOff>
      <xdr:row>46</xdr:row>
      <xdr:rowOff>99219</xdr:rowOff>
    </xdr:to>
    <xdr:sp macro="" textlink="">
      <xdr:nvSpPr>
        <xdr:cNvPr id="4123" name="Freeform 10707">
          <a:extLst>
            <a:ext uri="{FF2B5EF4-FFF2-40B4-BE49-F238E27FC236}">
              <a16:creationId xmlns:a16="http://schemas.microsoft.com/office/drawing/2014/main" id="{2EEAF4B6-A959-4B82-B3F1-14BF45372CF2}"/>
            </a:ext>
          </a:extLst>
        </xdr:cNvPr>
        <xdr:cNvSpPr>
          <a:spLocks/>
        </xdr:cNvSpPr>
      </xdr:nvSpPr>
      <xdr:spPr bwMode="auto">
        <a:xfrm>
          <a:off x="6896629" y="8973873"/>
          <a:ext cx="636059" cy="2402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177800</xdr:colOff>
      <xdr:row>45</xdr:row>
      <xdr:rowOff>25930</xdr:rowOff>
    </xdr:from>
    <xdr:to>
      <xdr:col>20</xdr:col>
      <xdr:colOff>149225</xdr:colOff>
      <xdr:row>46</xdr:row>
      <xdr:rowOff>119063</xdr:rowOff>
    </xdr:to>
    <xdr:sp macro="" textlink="">
      <xdr:nvSpPr>
        <xdr:cNvPr id="4125" name="Freeform 10707">
          <a:extLst>
            <a:ext uri="{FF2B5EF4-FFF2-40B4-BE49-F238E27FC236}">
              <a16:creationId xmlns:a16="http://schemas.microsoft.com/office/drawing/2014/main" id="{637A69B2-C225-40F9-B2C7-C47E9ED25E4B}"/>
            </a:ext>
          </a:extLst>
        </xdr:cNvPr>
        <xdr:cNvSpPr>
          <a:spLocks/>
        </xdr:cNvSpPr>
      </xdr:nvSpPr>
      <xdr:spPr bwMode="auto">
        <a:xfrm>
          <a:off x="6197071" y="8949003"/>
          <a:ext cx="632883" cy="28495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247650</xdr:colOff>
      <xdr:row>45</xdr:row>
      <xdr:rowOff>44970</xdr:rowOff>
    </xdr:from>
    <xdr:to>
      <xdr:col>18</xdr:col>
      <xdr:colOff>155575</xdr:colOff>
      <xdr:row>46</xdr:row>
      <xdr:rowOff>70370</xdr:rowOff>
    </xdr:to>
    <xdr:sp macro="" textlink="">
      <xdr:nvSpPr>
        <xdr:cNvPr id="4126" name="Freeform 10707">
          <a:extLst>
            <a:ext uri="{FF2B5EF4-FFF2-40B4-BE49-F238E27FC236}">
              <a16:creationId xmlns:a16="http://schemas.microsoft.com/office/drawing/2014/main" id="{A5C44CB9-4448-4877-BB64-466F54E86DF2}"/>
            </a:ext>
          </a:extLst>
        </xdr:cNvPr>
        <xdr:cNvSpPr>
          <a:spLocks/>
        </xdr:cNvSpPr>
      </xdr:nvSpPr>
      <xdr:spPr bwMode="auto">
        <a:xfrm>
          <a:off x="5554436" y="8818337"/>
          <a:ext cx="633639" cy="21330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215900</xdr:colOff>
      <xdr:row>45</xdr:row>
      <xdr:rowOff>38100</xdr:rowOff>
    </xdr:from>
    <xdr:to>
      <xdr:col>16</xdr:col>
      <xdr:colOff>149225</xdr:colOff>
      <xdr:row>46</xdr:row>
      <xdr:rowOff>63500</xdr:rowOff>
    </xdr:to>
    <xdr:sp macro="" textlink="">
      <xdr:nvSpPr>
        <xdr:cNvPr id="4127" name="Freeform 10707">
          <a:extLst>
            <a:ext uri="{FF2B5EF4-FFF2-40B4-BE49-F238E27FC236}">
              <a16:creationId xmlns:a16="http://schemas.microsoft.com/office/drawing/2014/main" id="{9151A6D4-C92D-451B-B133-94C1ED3BDB35}"/>
            </a:ext>
          </a:extLst>
        </xdr:cNvPr>
        <xdr:cNvSpPr>
          <a:spLocks/>
        </xdr:cNvSpPr>
      </xdr:nvSpPr>
      <xdr:spPr bwMode="auto">
        <a:xfrm>
          <a:off x="4813300" y="892175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222639</xdr:colOff>
      <xdr:row>45</xdr:row>
      <xdr:rowOff>45357</xdr:rowOff>
    </xdr:from>
    <xdr:to>
      <xdr:col>14</xdr:col>
      <xdr:colOff>161990</xdr:colOff>
      <xdr:row>46</xdr:row>
      <xdr:rowOff>57021</xdr:rowOff>
    </xdr:to>
    <xdr:sp macro="" textlink="">
      <xdr:nvSpPr>
        <xdr:cNvPr id="4128" name="Freeform 10707">
          <a:extLst>
            <a:ext uri="{FF2B5EF4-FFF2-40B4-BE49-F238E27FC236}">
              <a16:creationId xmlns:a16="http://schemas.microsoft.com/office/drawing/2014/main" id="{CE532488-F787-436C-8944-33BA8C6D04E3}"/>
            </a:ext>
          </a:extLst>
        </xdr:cNvPr>
        <xdr:cNvSpPr>
          <a:spLocks/>
        </xdr:cNvSpPr>
      </xdr:nvSpPr>
      <xdr:spPr bwMode="auto">
        <a:xfrm>
          <a:off x="4168710" y="8818724"/>
          <a:ext cx="600270" cy="19957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215900</xdr:colOff>
      <xdr:row>45</xdr:row>
      <xdr:rowOff>38100</xdr:rowOff>
    </xdr:from>
    <xdr:to>
      <xdr:col>12</xdr:col>
      <xdr:colOff>168275</xdr:colOff>
      <xdr:row>46</xdr:row>
      <xdr:rowOff>63500</xdr:rowOff>
    </xdr:to>
    <xdr:sp macro="" textlink="">
      <xdr:nvSpPr>
        <xdr:cNvPr id="4129" name="Freeform 10707">
          <a:extLst>
            <a:ext uri="{FF2B5EF4-FFF2-40B4-BE49-F238E27FC236}">
              <a16:creationId xmlns:a16="http://schemas.microsoft.com/office/drawing/2014/main" id="{329810F2-9962-4923-9E0A-67A4DA772826}"/>
            </a:ext>
          </a:extLst>
        </xdr:cNvPr>
        <xdr:cNvSpPr>
          <a:spLocks/>
        </xdr:cNvSpPr>
      </xdr:nvSpPr>
      <xdr:spPr bwMode="auto">
        <a:xfrm>
          <a:off x="3473450" y="892175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222251</xdr:colOff>
      <xdr:row>45</xdr:row>
      <xdr:rowOff>63500</xdr:rowOff>
    </xdr:from>
    <xdr:to>
      <xdr:col>10</xdr:col>
      <xdr:colOff>146051</xdr:colOff>
      <xdr:row>46</xdr:row>
      <xdr:rowOff>88900</xdr:rowOff>
    </xdr:to>
    <xdr:sp macro="" textlink="">
      <xdr:nvSpPr>
        <xdr:cNvPr id="4130" name="Freeform 10707">
          <a:extLst>
            <a:ext uri="{FF2B5EF4-FFF2-40B4-BE49-F238E27FC236}">
              <a16:creationId xmlns:a16="http://schemas.microsoft.com/office/drawing/2014/main" id="{557924E3-6E56-4409-B07F-EC079466B6ED}"/>
            </a:ext>
          </a:extLst>
        </xdr:cNvPr>
        <xdr:cNvSpPr>
          <a:spLocks/>
        </xdr:cNvSpPr>
      </xdr:nvSpPr>
      <xdr:spPr bwMode="auto">
        <a:xfrm>
          <a:off x="2717801" y="8947150"/>
          <a:ext cx="685800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209550</xdr:colOff>
      <xdr:row>45</xdr:row>
      <xdr:rowOff>57150</xdr:rowOff>
    </xdr:from>
    <xdr:to>
      <xdr:col>8</xdr:col>
      <xdr:colOff>149225</xdr:colOff>
      <xdr:row>46</xdr:row>
      <xdr:rowOff>82550</xdr:rowOff>
    </xdr:to>
    <xdr:sp macro="" textlink="">
      <xdr:nvSpPr>
        <xdr:cNvPr id="4131" name="Freeform 10707">
          <a:extLst>
            <a:ext uri="{FF2B5EF4-FFF2-40B4-BE49-F238E27FC236}">
              <a16:creationId xmlns:a16="http://schemas.microsoft.com/office/drawing/2014/main" id="{6F9535D5-DD1E-48AA-8EA3-96625508D2FF}"/>
            </a:ext>
          </a:extLst>
        </xdr:cNvPr>
        <xdr:cNvSpPr>
          <a:spLocks/>
        </xdr:cNvSpPr>
      </xdr:nvSpPr>
      <xdr:spPr bwMode="auto">
        <a:xfrm>
          <a:off x="2012950" y="894080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184150</xdr:colOff>
      <xdr:row>45</xdr:row>
      <xdr:rowOff>44450</xdr:rowOff>
    </xdr:from>
    <xdr:to>
      <xdr:col>6</xdr:col>
      <xdr:colOff>155575</xdr:colOff>
      <xdr:row>46</xdr:row>
      <xdr:rowOff>69850</xdr:rowOff>
    </xdr:to>
    <xdr:sp macro="" textlink="">
      <xdr:nvSpPr>
        <xdr:cNvPr id="4132" name="Freeform 10707">
          <a:extLst>
            <a:ext uri="{FF2B5EF4-FFF2-40B4-BE49-F238E27FC236}">
              <a16:creationId xmlns:a16="http://schemas.microsoft.com/office/drawing/2014/main" id="{FC861634-974B-412B-93BE-39CDAF2B5361}"/>
            </a:ext>
          </a:extLst>
        </xdr:cNvPr>
        <xdr:cNvSpPr>
          <a:spLocks/>
        </xdr:cNvSpPr>
      </xdr:nvSpPr>
      <xdr:spPr bwMode="auto">
        <a:xfrm>
          <a:off x="1327150" y="892810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228600</xdr:colOff>
      <xdr:row>45</xdr:row>
      <xdr:rowOff>6350</xdr:rowOff>
    </xdr:from>
    <xdr:to>
      <xdr:col>4</xdr:col>
      <xdr:colOff>123825</xdr:colOff>
      <xdr:row>46</xdr:row>
      <xdr:rowOff>31750</xdr:rowOff>
    </xdr:to>
    <xdr:sp macro="" textlink="">
      <xdr:nvSpPr>
        <xdr:cNvPr id="4133" name="Freeform 10707">
          <a:extLst>
            <a:ext uri="{FF2B5EF4-FFF2-40B4-BE49-F238E27FC236}">
              <a16:creationId xmlns:a16="http://schemas.microsoft.com/office/drawing/2014/main" id="{2B632BE1-FCBC-4ACB-862C-7AECDDC43F3F}"/>
            </a:ext>
          </a:extLst>
        </xdr:cNvPr>
        <xdr:cNvSpPr>
          <a:spLocks/>
        </xdr:cNvSpPr>
      </xdr:nvSpPr>
      <xdr:spPr bwMode="auto">
        <a:xfrm>
          <a:off x="635000" y="889000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77756</xdr:colOff>
      <xdr:row>45</xdr:row>
      <xdr:rowOff>31879</xdr:rowOff>
    </xdr:from>
    <xdr:to>
      <xdr:col>2</xdr:col>
      <xdr:colOff>164453</xdr:colOff>
      <xdr:row>46</xdr:row>
      <xdr:rowOff>38229</xdr:rowOff>
    </xdr:to>
    <xdr:sp macro="" textlink="">
      <xdr:nvSpPr>
        <xdr:cNvPr id="4134" name="Freeform 10707">
          <a:extLst>
            <a:ext uri="{FF2B5EF4-FFF2-40B4-BE49-F238E27FC236}">
              <a16:creationId xmlns:a16="http://schemas.microsoft.com/office/drawing/2014/main" id="{CE3CB69E-6E50-42B4-8F93-39CFC6C36FC4}"/>
            </a:ext>
          </a:extLst>
        </xdr:cNvPr>
        <xdr:cNvSpPr>
          <a:spLocks/>
        </xdr:cNvSpPr>
      </xdr:nvSpPr>
      <xdr:spPr bwMode="auto">
        <a:xfrm>
          <a:off x="77756" y="8805246"/>
          <a:ext cx="494911" cy="19425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191306</xdr:colOff>
      <xdr:row>37</xdr:row>
      <xdr:rowOff>31750</xdr:rowOff>
    </xdr:from>
    <xdr:to>
      <xdr:col>44</xdr:col>
      <xdr:colOff>215900</xdr:colOff>
      <xdr:row>38</xdr:row>
      <xdr:rowOff>45805</xdr:rowOff>
    </xdr:to>
    <xdr:sp macro="" textlink="">
      <xdr:nvSpPr>
        <xdr:cNvPr id="4135" name="Freeform 10707">
          <a:extLst>
            <a:ext uri="{FF2B5EF4-FFF2-40B4-BE49-F238E27FC236}">
              <a16:creationId xmlns:a16="http://schemas.microsoft.com/office/drawing/2014/main" id="{EBEBF5C8-F35B-4422-9993-6FD5E12163C8}"/>
            </a:ext>
          </a:extLst>
        </xdr:cNvPr>
        <xdr:cNvSpPr>
          <a:spLocks/>
        </xdr:cNvSpPr>
      </xdr:nvSpPr>
      <xdr:spPr bwMode="auto">
        <a:xfrm>
          <a:off x="14250206" y="7327900"/>
          <a:ext cx="735794" cy="20455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196850</xdr:colOff>
      <xdr:row>37</xdr:row>
      <xdr:rowOff>12700</xdr:rowOff>
    </xdr:from>
    <xdr:to>
      <xdr:col>46</xdr:col>
      <xdr:colOff>22225</xdr:colOff>
      <xdr:row>38</xdr:row>
      <xdr:rowOff>38100</xdr:rowOff>
    </xdr:to>
    <xdr:sp macro="" textlink="">
      <xdr:nvSpPr>
        <xdr:cNvPr id="4136" name="Freeform 10707">
          <a:extLst>
            <a:ext uri="{FF2B5EF4-FFF2-40B4-BE49-F238E27FC236}">
              <a16:creationId xmlns:a16="http://schemas.microsoft.com/office/drawing/2014/main" id="{601844F2-C943-48DA-8679-0AF2355BA55C}"/>
            </a:ext>
          </a:extLst>
        </xdr:cNvPr>
        <xdr:cNvSpPr>
          <a:spLocks/>
        </xdr:cNvSpPr>
      </xdr:nvSpPr>
      <xdr:spPr bwMode="auto">
        <a:xfrm>
          <a:off x="14966950" y="730885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107950</xdr:colOff>
      <xdr:row>60</xdr:row>
      <xdr:rowOff>139700</xdr:rowOff>
    </xdr:from>
    <xdr:to>
      <xdr:col>28</xdr:col>
      <xdr:colOff>249498</xdr:colOff>
      <xdr:row>61</xdr:row>
      <xdr:rowOff>119206</xdr:rowOff>
    </xdr:to>
    <xdr:sp macro="" textlink="">
      <xdr:nvSpPr>
        <xdr:cNvPr id="4027" name="6-Point Star 717">
          <a:extLst>
            <a:ext uri="{FF2B5EF4-FFF2-40B4-BE49-F238E27FC236}">
              <a16:creationId xmlns:a16="http://schemas.microsoft.com/office/drawing/2014/main" id="{30548621-7FD9-48AD-A637-B1E86C775FAA}"/>
            </a:ext>
          </a:extLst>
        </xdr:cNvPr>
        <xdr:cNvSpPr/>
      </xdr:nvSpPr>
      <xdr:spPr>
        <a:xfrm>
          <a:off x="9461500" y="120840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120650</xdr:colOff>
      <xdr:row>44</xdr:row>
      <xdr:rowOff>146050</xdr:rowOff>
    </xdr:from>
    <xdr:to>
      <xdr:col>24</xdr:col>
      <xdr:colOff>262198</xdr:colOff>
      <xdr:row>45</xdr:row>
      <xdr:rowOff>125556</xdr:rowOff>
    </xdr:to>
    <xdr:sp macro="" textlink="">
      <xdr:nvSpPr>
        <xdr:cNvPr id="4028" name="6-Point Star 717">
          <a:extLst>
            <a:ext uri="{FF2B5EF4-FFF2-40B4-BE49-F238E27FC236}">
              <a16:creationId xmlns:a16="http://schemas.microsoft.com/office/drawing/2014/main" id="{07BAA1BB-3FAE-4933-BB3E-1492D3C6224B}"/>
            </a:ext>
          </a:extLst>
        </xdr:cNvPr>
        <xdr:cNvSpPr/>
      </xdr:nvSpPr>
      <xdr:spPr>
        <a:xfrm>
          <a:off x="8121650" y="88392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120650</xdr:colOff>
      <xdr:row>44</xdr:row>
      <xdr:rowOff>152400</xdr:rowOff>
    </xdr:from>
    <xdr:to>
      <xdr:col>26</xdr:col>
      <xdr:colOff>262198</xdr:colOff>
      <xdr:row>45</xdr:row>
      <xdr:rowOff>131906</xdr:rowOff>
    </xdr:to>
    <xdr:sp macro="" textlink="">
      <xdr:nvSpPr>
        <xdr:cNvPr id="4029" name="6-Point Star 717">
          <a:extLst>
            <a:ext uri="{FF2B5EF4-FFF2-40B4-BE49-F238E27FC236}">
              <a16:creationId xmlns:a16="http://schemas.microsoft.com/office/drawing/2014/main" id="{8CF78CB9-D14A-4B41-B95B-067AA29C23C4}"/>
            </a:ext>
          </a:extLst>
        </xdr:cNvPr>
        <xdr:cNvSpPr/>
      </xdr:nvSpPr>
      <xdr:spPr>
        <a:xfrm>
          <a:off x="8782050" y="8845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107950</xdr:colOff>
      <xdr:row>68</xdr:row>
      <xdr:rowOff>171450</xdr:rowOff>
    </xdr:from>
    <xdr:to>
      <xdr:col>8</xdr:col>
      <xdr:colOff>249498</xdr:colOff>
      <xdr:row>69</xdr:row>
      <xdr:rowOff>150956</xdr:rowOff>
    </xdr:to>
    <xdr:sp macro="" textlink="">
      <xdr:nvSpPr>
        <xdr:cNvPr id="4030" name="6-Point Star 717">
          <a:extLst>
            <a:ext uri="{FF2B5EF4-FFF2-40B4-BE49-F238E27FC236}">
              <a16:creationId xmlns:a16="http://schemas.microsoft.com/office/drawing/2014/main" id="{47D34C1B-3105-4268-AC1D-CB5481CC9191}"/>
            </a:ext>
          </a:extLst>
        </xdr:cNvPr>
        <xdr:cNvSpPr/>
      </xdr:nvSpPr>
      <xdr:spPr>
        <a:xfrm>
          <a:off x="2603500" y="13703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95250</xdr:colOff>
      <xdr:row>68</xdr:row>
      <xdr:rowOff>127000</xdr:rowOff>
    </xdr:from>
    <xdr:to>
      <xdr:col>12</xdr:col>
      <xdr:colOff>236798</xdr:colOff>
      <xdr:row>69</xdr:row>
      <xdr:rowOff>106506</xdr:rowOff>
    </xdr:to>
    <xdr:sp macro="" textlink="">
      <xdr:nvSpPr>
        <xdr:cNvPr id="4031" name="6-Point Star 717">
          <a:extLst>
            <a:ext uri="{FF2B5EF4-FFF2-40B4-BE49-F238E27FC236}">
              <a16:creationId xmlns:a16="http://schemas.microsoft.com/office/drawing/2014/main" id="{2755A708-36C5-4936-8263-EFE3386DD24D}"/>
            </a:ext>
          </a:extLst>
        </xdr:cNvPr>
        <xdr:cNvSpPr/>
      </xdr:nvSpPr>
      <xdr:spPr>
        <a:xfrm>
          <a:off x="4032250" y="136588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107950</xdr:colOff>
      <xdr:row>60</xdr:row>
      <xdr:rowOff>146050</xdr:rowOff>
    </xdr:from>
    <xdr:to>
      <xdr:col>26</xdr:col>
      <xdr:colOff>249498</xdr:colOff>
      <xdr:row>61</xdr:row>
      <xdr:rowOff>125556</xdr:rowOff>
    </xdr:to>
    <xdr:sp macro="" textlink="">
      <xdr:nvSpPr>
        <xdr:cNvPr id="4032" name="6-Point Star 717">
          <a:extLst>
            <a:ext uri="{FF2B5EF4-FFF2-40B4-BE49-F238E27FC236}">
              <a16:creationId xmlns:a16="http://schemas.microsoft.com/office/drawing/2014/main" id="{02A257C2-4604-4491-8636-76089DE51BAE}"/>
            </a:ext>
          </a:extLst>
        </xdr:cNvPr>
        <xdr:cNvSpPr/>
      </xdr:nvSpPr>
      <xdr:spPr>
        <a:xfrm>
          <a:off x="8769350" y="120904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106330</xdr:colOff>
      <xdr:row>52</xdr:row>
      <xdr:rowOff>151427</xdr:rowOff>
    </xdr:from>
    <xdr:to>
      <xdr:col>8</xdr:col>
      <xdr:colOff>247878</xdr:colOff>
      <xdr:row>53</xdr:row>
      <xdr:rowOff>130934</xdr:rowOff>
    </xdr:to>
    <xdr:sp macro="" textlink="">
      <xdr:nvSpPr>
        <xdr:cNvPr id="4033" name="6-Point Star 717">
          <a:extLst>
            <a:ext uri="{FF2B5EF4-FFF2-40B4-BE49-F238E27FC236}">
              <a16:creationId xmlns:a16="http://schemas.microsoft.com/office/drawing/2014/main" id="{C5E36844-165A-4B61-A348-B5500181053A}"/>
            </a:ext>
          </a:extLst>
        </xdr:cNvPr>
        <xdr:cNvSpPr/>
      </xdr:nvSpPr>
      <xdr:spPr>
        <a:xfrm>
          <a:off x="2468141" y="1066780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100304</xdr:colOff>
      <xdr:row>52</xdr:row>
      <xdr:rowOff>170867</xdr:rowOff>
    </xdr:from>
    <xdr:to>
      <xdr:col>10</xdr:col>
      <xdr:colOff>241852</xdr:colOff>
      <xdr:row>53</xdr:row>
      <xdr:rowOff>150374</xdr:rowOff>
    </xdr:to>
    <xdr:sp macro="" textlink="">
      <xdr:nvSpPr>
        <xdr:cNvPr id="4034" name="6-Point Star 717">
          <a:extLst>
            <a:ext uri="{FF2B5EF4-FFF2-40B4-BE49-F238E27FC236}">
              <a16:creationId xmlns:a16="http://schemas.microsoft.com/office/drawing/2014/main" id="{9A1AEF31-C33D-425C-A87E-150301868A6F}"/>
            </a:ext>
          </a:extLst>
        </xdr:cNvPr>
        <xdr:cNvSpPr/>
      </xdr:nvSpPr>
      <xdr:spPr>
        <a:xfrm>
          <a:off x="3181350" y="1068724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108079</xdr:colOff>
      <xdr:row>52</xdr:row>
      <xdr:rowOff>161147</xdr:rowOff>
    </xdr:from>
    <xdr:to>
      <xdr:col>12</xdr:col>
      <xdr:colOff>249627</xdr:colOff>
      <xdr:row>53</xdr:row>
      <xdr:rowOff>140654</xdr:rowOff>
    </xdr:to>
    <xdr:sp macro="" textlink="">
      <xdr:nvSpPr>
        <xdr:cNvPr id="4035" name="6-Point Star 717">
          <a:extLst>
            <a:ext uri="{FF2B5EF4-FFF2-40B4-BE49-F238E27FC236}">
              <a16:creationId xmlns:a16="http://schemas.microsoft.com/office/drawing/2014/main" id="{1219CCD7-C1F6-4F4A-B478-9FB1BDDD3182}"/>
            </a:ext>
          </a:extLst>
        </xdr:cNvPr>
        <xdr:cNvSpPr/>
      </xdr:nvSpPr>
      <xdr:spPr>
        <a:xfrm>
          <a:off x="3830605" y="1067752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239745</xdr:colOff>
      <xdr:row>69</xdr:row>
      <xdr:rowOff>38876</xdr:rowOff>
    </xdr:from>
    <xdr:to>
      <xdr:col>10</xdr:col>
      <xdr:colOff>163405</xdr:colOff>
      <xdr:row>70</xdr:row>
      <xdr:rowOff>123113</xdr:rowOff>
    </xdr:to>
    <xdr:sp macro="" textlink="">
      <xdr:nvSpPr>
        <xdr:cNvPr id="4036" name="Freeform 10707">
          <a:extLst>
            <a:ext uri="{FF2B5EF4-FFF2-40B4-BE49-F238E27FC236}">
              <a16:creationId xmlns:a16="http://schemas.microsoft.com/office/drawing/2014/main" id="{E6EA4D7A-F254-4850-8C86-CA252AB2D80D}"/>
            </a:ext>
          </a:extLst>
        </xdr:cNvPr>
        <xdr:cNvSpPr>
          <a:spLocks/>
        </xdr:cNvSpPr>
      </xdr:nvSpPr>
      <xdr:spPr bwMode="auto">
        <a:xfrm>
          <a:off x="2740867" y="13594182"/>
          <a:ext cx="688252" cy="27214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200868</xdr:colOff>
      <xdr:row>69</xdr:row>
      <xdr:rowOff>32398</xdr:rowOff>
    </xdr:from>
    <xdr:to>
      <xdr:col>12</xdr:col>
      <xdr:colOff>187909</xdr:colOff>
      <xdr:row>70</xdr:row>
      <xdr:rowOff>97193</xdr:rowOff>
    </xdr:to>
    <xdr:sp macro="" textlink="">
      <xdr:nvSpPr>
        <xdr:cNvPr id="4037" name="Freeform 10707">
          <a:extLst>
            <a:ext uri="{FF2B5EF4-FFF2-40B4-BE49-F238E27FC236}">
              <a16:creationId xmlns:a16="http://schemas.microsoft.com/office/drawing/2014/main" id="{E8416541-B118-4B47-8879-AA123E45DBEB}"/>
            </a:ext>
          </a:extLst>
        </xdr:cNvPr>
        <xdr:cNvSpPr>
          <a:spLocks/>
        </xdr:cNvSpPr>
      </xdr:nvSpPr>
      <xdr:spPr bwMode="auto">
        <a:xfrm>
          <a:off x="3466582" y="13587704"/>
          <a:ext cx="667398" cy="25270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221116</xdr:colOff>
      <xdr:row>69</xdr:row>
      <xdr:rowOff>35908</xdr:rowOff>
    </xdr:from>
    <xdr:to>
      <xdr:col>14</xdr:col>
      <xdr:colOff>208156</xdr:colOff>
      <xdr:row>70</xdr:row>
      <xdr:rowOff>98138</xdr:rowOff>
    </xdr:to>
    <xdr:sp macro="" textlink="">
      <xdr:nvSpPr>
        <xdr:cNvPr id="4038" name="Freeform 10707">
          <a:extLst>
            <a:ext uri="{FF2B5EF4-FFF2-40B4-BE49-F238E27FC236}">
              <a16:creationId xmlns:a16="http://schemas.microsoft.com/office/drawing/2014/main" id="{0A94A976-D745-4469-A96A-CDF7F48A0A87}"/>
            </a:ext>
          </a:extLst>
        </xdr:cNvPr>
        <xdr:cNvSpPr>
          <a:spLocks/>
        </xdr:cNvSpPr>
      </xdr:nvSpPr>
      <xdr:spPr bwMode="auto">
        <a:xfrm>
          <a:off x="4163408" y="13814085"/>
          <a:ext cx="648498" cy="25405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252704</xdr:colOff>
      <xdr:row>69</xdr:row>
      <xdr:rowOff>25918</xdr:rowOff>
    </xdr:from>
    <xdr:to>
      <xdr:col>16</xdr:col>
      <xdr:colOff>194387</xdr:colOff>
      <xdr:row>70</xdr:row>
      <xdr:rowOff>71275</xdr:rowOff>
    </xdr:to>
    <xdr:sp macro="" textlink="">
      <xdr:nvSpPr>
        <xdr:cNvPr id="4112" name="Freeform 10707">
          <a:extLst>
            <a:ext uri="{FF2B5EF4-FFF2-40B4-BE49-F238E27FC236}">
              <a16:creationId xmlns:a16="http://schemas.microsoft.com/office/drawing/2014/main" id="{779F50D8-A71C-47C8-B27F-1FBF271EA796}"/>
            </a:ext>
          </a:extLst>
        </xdr:cNvPr>
        <xdr:cNvSpPr>
          <a:spLocks/>
        </xdr:cNvSpPr>
      </xdr:nvSpPr>
      <xdr:spPr bwMode="auto">
        <a:xfrm>
          <a:off x="4859694" y="13581224"/>
          <a:ext cx="641479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238125</xdr:colOff>
      <xdr:row>69</xdr:row>
      <xdr:rowOff>39687</xdr:rowOff>
    </xdr:from>
    <xdr:to>
      <xdr:col>18</xdr:col>
      <xdr:colOff>205052</xdr:colOff>
      <xdr:row>70</xdr:row>
      <xdr:rowOff>130267</xdr:rowOff>
    </xdr:to>
    <xdr:sp macro="" textlink="">
      <xdr:nvSpPr>
        <xdr:cNvPr id="4137" name="Freeform 10707">
          <a:extLst>
            <a:ext uri="{FF2B5EF4-FFF2-40B4-BE49-F238E27FC236}">
              <a16:creationId xmlns:a16="http://schemas.microsoft.com/office/drawing/2014/main" id="{81462A26-30A0-4C88-A606-ED709C459B1E}"/>
            </a:ext>
          </a:extLst>
        </xdr:cNvPr>
        <xdr:cNvSpPr>
          <a:spLocks/>
        </xdr:cNvSpPr>
      </xdr:nvSpPr>
      <xdr:spPr bwMode="auto">
        <a:xfrm>
          <a:off x="5536406" y="13817864"/>
          <a:ext cx="687917" cy="28240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178594</xdr:colOff>
      <xdr:row>69</xdr:row>
      <xdr:rowOff>26458</xdr:rowOff>
    </xdr:from>
    <xdr:to>
      <xdr:col>20</xdr:col>
      <xdr:colOff>155780</xdr:colOff>
      <xdr:row>70</xdr:row>
      <xdr:rowOff>97869</xdr:rowOff>
    </xdr:to>
    <xdr:sp macro="" textlink="">
      <xdr:nvSpPr>
        <xdr:cNvPr id="4138" name="Freeform 10707">
          <a:extLst>
            <a:ext uri="{FF2B5EF4-FFF2-40B4-BE49-F238E27FC236}">
              <a16:creationId xmlns:a16="http://schemas.microsoft.com/office/drawing/2014/main" id="{07936885-FD82-48D8-9E56-F07D45ADC69D}"/>
            </a:ext>
          </a:extLst>
        </xdr:cNvPr>
        <xdr:cNvSpPr>
          <a:spLocks/>
        </xdr:cNvSpPr>
      </xdr:nvSpPr>
      <xdr:spPr bwMode="auto">
        <a:xfrm>
          <a:off x="6197865" y="13804635"/>
          <a:ext cx="638644" cy="26323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136080</xdr:colOff>
      <xdr:row>52</xdr:row>
      <xdr:rowOff>155510</xdr:rowOff>
    </xdr:from>
    <xdr:to>
      <xdr:col>14</xdr:col>
      <xdr:colOff>277628</xdr:colOff>
      <xdr:row>53</xdr:row>
      <xdr:rowOff>135017</xdr:rowOff>
    </xdr:to>
    <xdr:sp macro="" textlink="">
      <xdr:nvSpPr>
        <xdr:cNvPr id="4139" name="6-Point Star 717">
          <a:extLst>
            <a:ext uri="{FF2B5EF4-FFF2-40B4-BE49-F238E27FC236}">
              <a16:creationId xmlns:a16="http://schemas.microsoft.com/office/drawing/2014/main" id="{394AAC8D-3215-405C-96DE-E16B1B91DCCB}"/>
            </a:ext>
          </a:extLst>
        </xdr:cNvPr>
        <xdr:cNvSpPr/>
      </xdr:nvSpPr>
      <xdr:spPr>
        <a:xfrm>
          <a:off x="4743070" y="10386786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116640</xdr:colOff>
      <xdr:row>52</xdr:row>
      <xdr:rowOff>161997</xdr:rowOff>
    </xdr:from>
    <xdr:to>
      <xdr:col>18</xdr:col>
      <xdr:colOff>258188</xdr:colOff>
      <xdr:row>53</xdr:row>
      <xdr:rowOff>141504</xdr:rowOff>
    </xdr:to>
    <xdr:sp macro="" textlink="">
      <xdr:nvSpPr>
        <xdr:cNvPr id="4140" name="6-Point Star 717">
          <a:extLst>
            <a:ext uri="{FF2B5EF4-FFF2-40B4-BE49-F238E27FC236}">
              <a16:creationId xmlns:a16="http://schemas.microsoft.com/office/drawing/2014/main" id="{094BA1D6-618A-41A1-97AE-5BBD24A24A73}"/>
            </a:ext>
          </a:extLst>
        </xdr:cNvPr>
        <xdr:cNvSpPr/>
      </xdr:nvSpPr>
      <xdr:spPr>
        <a:xfrm>
          <a:off x="6149140" y="10393273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129591</xdr:colOff>
      <xdr:row>52</xdr:row>
      <xdr:rowOff>136071</xdr:rowOff>
    </xdr:from>
    <xdr:to>
      <xdr:col>22</xdr:col>
      <xdr:colOff>271139</xdr:colOff>
      <xdr:row>53</xdr:row>
      <xdr:rowOff>115578</xdr:rowOff>
    </xdr:to>
    <xdr:sp macro="" textlink="">
      <xdr:nvSpPr>
        <xdr:cNvPr id="4141" name="6-Point Star 717">
          <a:extLst>
            <a:ext uri="{FF2B5EF4-FFF2-40B4-BE49-F238E27FC236}">
              <a16:creationId xmlns:a16="http://schemas.microsoft.com/office/drawing/2014/main" id="{0A22587D-A238-4575-B3C3-EEA7AB425A49}"/>
            </a:ext>
          </a:extLst>
        </xdr:cNvPr>
        <xdr:cNvSpPr/>
      </xdr:nvSpPr>
      <xdr:spPr>
        <a:xfrm>
          <a:off x="7483928" y="10367347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110153</xdr:colOff>
      <xdr:row>52</xdr:row>
      <xdr:rowOff>155510</xdr:rowOff>
    </xdr:from>
    <xdr:to>
      <xdr:col>24</xdr:col>
      <xdr:colOff>251701</xdr:colOff>
      <xdr:row>53</xdr:row>
      <xdr:rowOff>135017</xdr:rowOff>
    </xdr:to>
    <xdr:sp macro="" textlink="">
      <xdr:nvSpPr>
        <xdr:cNvPr id="4142" name="6-Point Star 717">
          <a:extLst>
            <a:ext uri="{FF2B5EF4-FFF2-40B4-BE49-F238E27FC236}">
              <a16:creationId xmlns:a16="http://schemas.microsoft.com/office/drawing/2014/main" id="{70AAD94E-2A66-41E0-8E2C-72066F1A7748}"/>
            </a:ext>
          </a:extLst>
        </xdr:cNvPr>
        <xdr:cNvSpPr/>
      </xdr:nvSpPr>
      <xdr:spPr>
        <a:xfrm>
          <a:off x="8125408" y="10386786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110153</xdr:colOff>
      <xdr:row>52</xdr:row>
      <xdr:rowOff>168469</xdr:rowOff>
    </xdr:from>
    <xdr:to>
      <xdr:col>26</xdr:col>
      <xdr:colOff>251701</xdr:colOff>
      <xdr:row>53</xdr:row>
      <xdr:rowOff>147976</xdr:rowOff>
    </xdr:to>
    <xdr:sp macro="" textlink="">
      <xdr:nvSpPr>
        <xdr:cNvPr id="4143" name="6-Point Star 717">
          <a:extLst>
            <a:ext uri="{FF2B5EF4-FFF2-40B4-BE49-F238E27FC236}">
              <a16:creationId xmlns:a16="http://schemas.microsoft.com/office/drawing/2014/main" id="{4188BB5E-59CB-42D7-81CE-EE3E2A790E94}"/>
            </a:ext>
          </a:extLst>
        </xdr:cNvPr>
        <xdr:cNvSpPr/>
      </xdr:nvSpPr>
      <xdr:spPr>
        <a:xfrm>
          <a:off x="8786326" y="10399745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110153</xdr:colOff>
      <xdr:row>52</xdr:row>
      <xdr:rowOff>155510</xdr:rowOff>
    </xdr:from>
    <xdr:to>
      <xdr:col>28</xdr:col>
      <xdr:colOff>251701</xdr:colOff>
      <xdr:row>53</xdr:row>
      <xdr:rowOff>135017</xdr:rowOff>
    </xdr:to>
    <xdr:sp macro="" textlink="">
      <xdr:nvSpPr>
        <xdr:cNvPr id="4144" name="6-Point Star 717">
          <a:extLst>
            <a:ext uri="{FF2B5EF4-FFF2-40B4-BE49-F238E27FC236}">
              <a16:creationId xmlns:a16="http://schemas.microsoft.com/office/drawing/2014/main" id="{380F803C-6B8C-4146-9536-E445E490BFC9}"/>
            </a:ext>
          </a:extLst>
        </xdr:cNvPr>
        <xdr:cNvSpPr/>
      </xdr:nvSpPr>
      <xdr:spPr>
        <a:xfrm>
          <a:off x="9479643" y="10386786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110155</xdr:colOff>
      <xdr:row>52</xdr:row>
      <xdr:rowOff>168475</xdr:rowOff>
    </xdr:from>
    <xdr:to>
      <xdr:col>30</xdr:col>
      <xdr:colOff>251703</xdr:colOff>
      <xdr:row>53</xdr:row>
      <xdr:rowOff>147982</xdr:rowOff>
    </xdr:to>
    <xdr:sp macro="" textlink="">
      <xdr:nvSpPr>
        <xdr:cNvPr id="4145" name="6-Point Star 717">
          <a:extLst>
            <a:ext uri="{FF2B5EF4-FFF2-40B4-BE49-F238E27FC236}">
              <a16:creationId xmlns:a16="http://schemas.microsoft.com/office/drawing/2014/main" id="{855A0FA5-0A9E-4982-A2F9-2030064812BD}"/>
            </a:ext>
          </a:extLst>
        </xdr:cNvPr>
        <xdr:cNvSpPr/>
      </xdr:nvSpPr>
      <xdr:spPr>
        <a:xfrm>
          <a:off x="10140563" y="10399751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116635</xdr:colOff>
      <xdr:row>53</xdr:row>
      <xdr:rowOff>6480</xdr:rowOff>
    </xdr:from>
    <xdr:to>
      <xdr:col>32</xdr:col>
      <xdr:colOff>258183</xdr:colOff>
      <xdr:row>53</xdr:row>
      <xdr:rowOff>173895</xdr:rowOff>
    </xdr:to>
    <xdr:sp macro="" textlink="">
      <xdr:nvSpPr>
        <xdr:cNvPr id="4146" name="6-Point Star 717">
          <a:extLst>
            <a:ext uri="{FF2B5EF4-FFF2-40B4-BE49-F238E27FC236}">
              <a16:creationId xmlns:a16="http://schemas.microsoft.com/office/drawing/2014/main" id="{EC12135B-E7FE-43D9-B2FB-2EA58EFD5530}"/>
            </a:ext>
          </a:extLst>
        </xdr:cNvPr>
        <xdr:cNvSpPr/>
      </xdr:nvSpPr>
      <xdr:spPr>
        <a:xfrm>
          <a:off x="10840359" y="10425664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123115</xdr:colOff>
      <xdr:row>52</xdr:row>
      <xdr:rowOff>155512</xdr:rowOff>
    </xdr:from>
    <xdr:to>
      <xdr:col>34</xdr:col>
      <xdr:colOff>264663</xdr:colOff>
      <xdr:row>53</xdr:row>
      <xdr:rowOff>135019</xdr:rowOff>
    </xdr:to>
    <xdr:sp macro="" textlink="">
      <xdr:nvSpPr>
        <xdr:cNvPr id="4147" name="6-Point Star 717">
          <a:extLst>
            <a:ext uri="{FF2B5EF4-FFF2-40B4-BE49-F238E27FC236}">
              <a16:creationId xmlns:a16="http://schemas.microsoft.com/office/drawing/2014/main" id="{4DFBC390-D8DC-40CA-9DB8-4F52D50CA98E}"/>
            </a:ext>
          </a:extLst>
        </xdr:cNvPr>
        <xdr:cNvSpPr/>
      </xdr:nvSpPr>
      <xdr:spPr>
        <a:xfrm>
          <a:off x="11507758" y="10386788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110152</xdr:colOff>
      <xdr:row>52</xdr:row>
      <xdr:rowOff>161990</xdr:rowOff>
    </xdr:from>
    <xdr:to>
      <xdr:col>38</xdr:col>
      <xdr:colOff>251700</xdr:colOff>
      <xdr:row>53</xdr:row>
      <xdr:rowOff>141497</xdr:rowOff>
    </xdr:to>
    <xdr:sp macro="" textlink="">
      <xdr:nvSpPr>
        <xdr:cNvPr id="4148" name="6-Point Star 717">
          <a:extLst>
            <a:ext uri="{FF2B5EF4-FFF2-40B4-BE49-F238E27FC236}">
              <a16:creationId xmlns:a16="http://schemas.microsoft.com/office/drawing/2014/main" id="{C71398D7-5146-4910-92F0-1E1E3F1BD929}"/>
            </a:ext>
          </a:extLst>
        </xdr:cNvPr>
        <xdr:cNvSpPr/>
      </xdr:nvSpPr>
      <xdr:spPr>
        <a:xfrm>
          <a:off x="12868468" y="10393266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110160</xdr:colOff>
      <xdr:row>52</xdr:row>
      <xdr:rowOff>155516</xdr:rowOff>
    </xdr:from>
    <xdr:to>
      <xdr:col>40</xdr:col>
      <xdr:colOff>251708</xdr:colOff>
      <xdr:row>53</xdr:row>
      <xdr:rowOff>135023</xdr:rowOff>
    </xdr:to>
    <xdr:sp macro="" textlink="">
      <xdr:nvSpPr>
        <xdr:cNvPr id="4149" name="6-Point Star 717">
          <a:extLst>
            <a:ext uri="{FF2B5EF4-FFF2-40B4-BE49-F238E27FC236}">
              <a16:creationId xmlns:a16="http://schemas.microsoft.com/office/drawing/2014/main" id="{E712F28A-5883-4255-A008-E23A85FEF766}"/>
            </a:ext>
          </a:extLst>
        </xdr:cNvPr>
        <xdr:cNvSpPr/>
      </xdr:nvSpPr>
      <xdr:spPr>
        <a:xfrm>
          <a:off x="13561793" y="10386792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116634</xdr:colOff>
      <xdr:row>68</xdr:row>
      <xdr:rowOff>168472</xdr:rowOff>
    </xdr:from>
    <xdr:to>
      <xdr:col>4</xdr:col>
      <xdr:colOff>258182</xdr:colOff>
      <xdr:row>69</xdr:row>
      <xdr:rowOff>147979</xdr:rowOff>
    </xdr:to>
    <xdr:sp macro="" textlink="">
      <xdr:nvSpPr>
        <xdr:cNvPr id="4150" name="6-Point Star 717">
          <a:extLst>
            <a:ext uri="{FF2B5EF4-FFF2-40B4-BE49-F238E27FC236}">
              <a16:creationId xmlns:a16="http://schemas.microsoft.com/office/drawing/2014/main" id="{F16702A6-E81A-4B9E-9952-229071BE2C4B}"/>
            </a:ext>
          </a:extLst>
        </xdr:cNvPr>
        <xdr:cNvSpPr/>
      </xdr:nvSpPr>
      <xdr:spPr>
        <a:xfrm>
          <a:off x="1263522" y="13535870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123116</xdr:colOff>
      <xdr:row>68</xdr:row>
      <xdr:rowOff>155514</xdr:rowOff>
    </xdr:from>
    <xdr:to>
      <xdr:col>2</xdr:col>
      <xdr:colOff>264664</xdr:colOff>
      <xdr:row>69</xdr:row>
      <xdr:rowOff>135021</xdr:rowOff>
    </xdr:to>
    <xdr:sp macro="" textlink="">
      <xdr:nvSpPr>
        <xdr:cNvPr id="4151" name="6-Point Star 717">
          <a:extLst>
            <a:ext uri="{FF2B5EF4-FFF2-40B4-BE49-F238E27FC236}">
              <a16:creationId xmlns:a16="http://schemas.microsoft.com/office/drawing/2014/main" id="{6F3C9910-2DAD-4C8C-8D00-E7B5A1615530}"/>
            </a:ext>
          </a:extLst>
        </xdr:cNvPr>
        <xdr:cNvSpPr/>
      </xdr:nvSpPr>
      <xdr:spPr>
        <a:xfrm>
          <a:off x="531330" y="13522912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116637</xdr:colOff>
      <xdr:row>61</xdr:row>
      <xdr:rowOff>3247</xdr:rowOff>
    </xdr:from>
    <xdr:to>
      <xdr:col>42</xdr:col>
      <xdr:colOff>258185</xdr:colOff>
      <xdr:row>61</xdr:row>
      <xdr:rowOff>174576</xdr:rowOff>
    </xdr:to>
    <xdr:sp macro="" textlink="">
      <xdr:nvSpPr>
        <xdr:cNvPr id="4152" name="6-Point Star 717">
          <a:extLst>
            <a:ext uri="{FF2B5EF4-FFF2-40B4-BE49-F238E27FC236}">
              <a16:creationId xmlns:a16="http://schemas.microsoft.com/office/drawing/2014/main" id="{6C623144-9D54-4B66-AEC6-4EA46FD063BD}"/>
            </a:ext>
          </a:extLst>
        </xdr:cNvPr>
        <xdr:cNvSpPr/>
      </xdr:nvSpPr>
      <xdr:spPr>
        <a:xfrm>
          <a:off x="14185856" y="1218731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110155</xdr:colOff>
      <xdr:row>60</xdr:row>
      <xdr:rowOff>181432</xdr:rowOff>
    </xdr:from>
    <xdr:to>
      <xdr:col>38</xdr:col>
      <xdr:colOff>251703</xdr:colOff>
      <xdr:row>61</xdr:row>
      <xdr:rowOff>160938</xdr:rowOff>
    </xdr:to>
    <xdr:sp macro="" textlink="">
      <xdr:nvSpPr>
        <xdr:cNvPr id="4153" name="6-Point Star 717">
          <a:extLst>
            <a:ext uri="{FF2B5EF4-FFF2-40B4-BE49-F238E27FC236}">
              <a16:creationId xmlns:a16="http://schemas.microsoft.com/office/drawing/2014/main" id="{F61FB78F-BCCA-4754-BFFD-111F6AF4ADBC}"/>
            </a:ext>
          </a:extLst>
        </xdr:cNvPr>
        <xdr:cNvSpPr/>
      </xdr:nvSpPr>
      <xdr:spPr>
        <a:xfrm>
          <a:off x="12868471" y="11980769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110158</xdr:colOff>
      <xdr:row>61</xdr:row>
      <xdr:rowOff>19444</xdr:rowOff>
    </xdr:from>
    <xdr:to>
      <xdr:col>40</xdr:col>
      <xdr:colOff>251706</xdr:colOff>
      <xdr:row>61</xdr:row>
      <xdr:rowOff>186858</xdr:rowOff>
    </xdr:to>
    <xdr:sp macro="" textlink="">
      <xdr:nvSpPr>
        <xdr:cNvPr id="4154" name="6-Point Star 717">
          <a:extLst>
            <a:ext uri="{FF2B5EF4-FFF2-40B4-BE49-F238E27FC236}">
              <a16:creationId xmlns:a16="http://schemas.microsoft.com/office/drawing/2014/main" id="{79EAF98C-D110-4CF9-8FC3-F91EE7FCA6CB}"/>
            </a:ext>
          </a:extLst>
        </xdr:cNvPr>
        <xdr:cNvSpPr/>
      </xdr:nvSpPr>
      <xdr:spPr>
        <a:xfrm>
          <a:off x="13561791" y="12006689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136612</xdr:colOff>
      <xdr:row>60</xdr:row>
      <xdr:rowOff>176029</xdr:rowOff>
    </xdr:from>
    <xdr:to>
      <xdr:col>44</xdr:col>
      <xdr:colOff>278160</xdr:colOff>
      <xdr:row>61</xdr:row>
      <xdr:rowOff>155535</xdr:rowOff>
    </xdr:to>
    <xdr:sp macro="" textlink="">
      <xdr:nvSpPr>
        <xdr:cNvPr id="4155" name="6-Point Star 717">
          <a:extLst>
            <a:ext uri="{FF2B5EF4-FFF2-40B4-BE49-F238E27FC236}">
              <a16:creationId xmlns:a16="http://schemas.microsoft.com/office/drawing/2014/main" id="{AF9A087F-B3F8-431D-96CC-7A71EE358421}"/>
            </a:ext>
          </a:extLst>
        </xdr:cNvPr>
        <xdr:cNvSpPr/>
      </xdr:nvSpPr>
      <xdr:spPr>
        <a:xfrm>
          <a:off x="14920206" y="12168269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116624</xdr:colOff>
      <xdr:row>60</xdr:row>
      <xdr:rowOff>142548</xdr:rowOff>
    </xdr:from>
    <xdr:to>
      <xdr:col>30</xdr:col>
      <xdr:colOff>258172</xdr:colOff>
      <xdr:row>61</xdr:row>
      <xdr:rowOff>122054</xdr:rowOff>
    </xdr:to>
    <xdr:sp macro="" textlink="">
      <xdr:nvSpPr>
        <xdr:cNvPr id="4156" name="6-Point Star 717">
          <a:extLst>
            <a:ext uri="{FF2B5EF4-FFF2-40B4-BE49-F238E27FC236}">
              <a16:creationId xmlns:a16="http://schemas.microsoft.com/office/drawing/2014/main" id="{EADE6712-4A37-4766-951F-3A83E34937AD}"/>
            </a:ext>
          </a:extLst>
        </xdr:cNvPr>
        <xdr:cNvSpPr/>
      </xdr:nvSpPr>
      <xdr:spPr>
        <a:xfrm>
          <a:off x="10147032" y="11941885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116631</xdr:colOff>
      <xdr:row>52</xdr:row>
      <xdr:rowOff>168475</xdr:rowOff>
    </xdr:from>
    <xdr:to>
      <xdr:col>42</xdr:col>
      <xdr:colOff>258179</xdr:colOff>
      <xdr:row>53</xdr:row>
      <xdr:rowOff>147982</xdr:rowOff>
    </xdr:to>
    <xdr:sp macro="" textlink="">
      <xdr:nvSpPr>
        <xdr:cNvPr id="4157" name="6-Point Star 717">
          <a:extLst>
            <a:ext uri="{FF2B5EF4-FFF2-40B4-BE49-F238E27FC236}">
              <a16:creationId xmlns:a16="http://schemas.microsoft.com/office/drawing/2014/main" id="{F12DF4EB-93C9-4AA4-865C-1E752F22408F}"/>
            </a:ext>
          </a:extLst>
        </xdr:cNvPr>
        <xdr:cNvSpPr/>
      </xdr:nvSpPr>
      <xdr:spPr>
        <a:xfrm>
          <a:off x="14196784" y="10399751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136074</xdr:colOff>
      <xdr:row>52</xdr:row>
      <xdr:rowOff>168475</xdr:rowOff>
    </xdr:from>
    <xdr:to>
      <xdr:col>36</xdr:col>
      <xdr:colOff>277622</xdr:colOff>
      <xdr:row>53</xdr:row>
      <xdr:rowOff>147982</xdr:rowOff>
    </xdr:to>
    <xdr:sp macro="" textlink="">
      <xdr:nvSpPr>
        <xdr:cNvPr id="4158" name="6-Point Star 717">
          <a:extLst>
            <a:ext uri="{FF2B5EF4-FFF2-40B4-BE49-F238E27FC236}">
              <a16:creationId xmlns:a16="http://schemas.microsoft.com/office/drawing/2014/main" id="{73B70CFB-B7BD-4076-9D32-C0EAAC19240C}"/>
            </a:ext>
          </a:extLst>
        </xdr:cNvPr>
        <xdr:cNvSpPr/>
      </xdr:nvSpPr>
      <xdr:spPr>
        <a:xfrm>
          <a:off x="12194594" y="10399751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103679</xdr:colOff>
      <xdr:row>44</xdr:row>
      <xdr:rowOff>161994</xdr:rowOff>
    </xdr:from>
    <xdr:to>
      <xdr:col>38</xdr:col>
      <xdr:colOff>245227</xdr:colOff>
      <xdr:row>45</xdr:row>
      <xdr:rowOff>141500</xdr:rowOff>
    </xdr:to>
    <xdr:sp macro="" textlink="">
      <xdr:nvSpPr>
        <xdr:cNvPr id="4159" name="6-Point Star 717">
          <a:extLst>
            <a:ext uri="{FF2B5EF4-FFF2-40B4-BE49-F238E27FC236}">
              <a16:creationId xmlns:a16="http://schemas.microsoft.com/office/drawing/2014/main" id="{6F501B8B-E75F-43F2-A40E-78DD4F8F94D5}"/>
            </a:ext>
          </a:extLst>
        </xdr:cNvPr>
        <xdr:cNvSpPr/>
      </xdr:nvSpPr>
      <xdr:spPr>
        <a:xfrm>
          <a:off x="12861995" y="8747453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244741</xdr:colOff>
      <xdr:row>61</xdr:row>
      <xdr:rowOff>79375</xdr:rowOff>
    </xdr:from>
    <xdr:to>
      <xdr:col>38</xdr:col>
      <xdr:colOff>138906</xdr:colOff>
      <xdr:row>62</xdr:row>
      <xdr:rowOff>92604</xdr:rowOff>
    </xdr:to>
    <xdr:sp macro="" textlink="">
      <xdr:nvSpPr>
        <xdr:cNvPr id="4160" name="Freeform 10707">
          <a:extLst>
            <a:ext uri="{FF2B5EF4-FFF2-40B4-BE49-F238E27FC236}">
              <a16:creationId xmlns:a16="http://schemas.microsoft.com/office/drawing/2014/main" id="{5259A710-3A21-4F65-8848-DB8E706F0B1A}"/>
            </a:ext>
          </a:extLst>
        </xdr:cNvPr>
        <xdr:cNvSpPr>
          <a:spLocks/>
        </xdr:cNvSpPr>
      </xdr:nvSpPr>
      <xdr:spPr bwMode="auto">
        <a:xfrm>
          <a:off x="12296512" y="12263438"/>
          <a:ext cx="588696" cy="20505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226650</xdr:colOff>
      <xdr:row>61</xdr:row>
      <xdr:rowOff>66145</xdr:rowOff>
    </xdr:from>
    <xdr:to>
      <xdr:col>40</xdr:col>
      <xdr:colOff>148894</xdr:colOff>
      <xdr:row>62</xdr:row>
      <xdr:rowOff>92605</xdr:rowOff>
    </xdr:to>
    <xdr:sp macro="" textlink="">
      <xdr:nvSpPr>
        <xdr:cNvPr id="4161" name="Freeform 10707">
          <a:extLst>
            <a:ext uri="{FF2B5EF4-FFF2-40B4-BE49-F238E27FC236}">
              <a16:creationId xmlns:a16="http://schemas.microsoft.com/office/drawing/2014/main" id="{47B20C4E-6456-4136-8094-F71D01FF028F}"/>
            </a:ext>
          </a:extLst>
        </xdr:cNvPr>
        <xdr:cNvSpPr>
          <a:spLocks/>
        </xdr:cNvSpPr>
      </xdr:nvSpPr>
      <xdr:spPr bwMode="auto">
        <a:xfrm>
          <a:off x="12972952" y="12250208"/>
          <a:ext cx="616775" cy="21828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257968</xdr:colOff>
      <xdr:row>61</xdr:row>
      <xdr:rowOff>99218</xdr:rowOff>
    </xdr:from>
    <xdr:to>
      <xdr:col>42</xdr:col>
      <xdr:colOff>247639</xdr:colOff>
      <xdr:row>62</xdr:row>
      <xdr:rowOff>90714</xdr:rowOff>
    </xdr:to>
    <xdr:sp macro="" textlink="">
      <xdr:nvSpPr>
        <xdr:cNvPr id="4162" name="Freeform 10707">
          <a:extLst>
            <a:ext uri="{FF2B5EF4-FFF2-40B4-BE49-F238E27FC236}">
              <a16:creationId xmlns:a16="http://schemas.microsoft.com/office/drawing/2014/main" id="{7BBB630D-683A-4225-B03F-6A913A63C084}"/>
            </a:ext>
          </a:extLst>
        </xdr:cNvPr>
        <xdr:cNvSpPr>
          <a:spLocks/>
        </xdr:cNvSpPr>
      </xdr:nvSpPr>
      <xdr:spPr bwMode="auto">
        <a:xfrm>
          <a:off x="13698801" y="12283281"/>
          <a:ext cx="618057" cy="1833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200463</xdr:colOff>
      <xdr:row>61</xdr:row>
      <xdr:rowOff>92603</xdr:rowOff>
    </xdr:from>
    <xdr:to>
      <xdr:col>44</xdr:col>
      <xdr:colOff>158750</xdr:colOff>
      <xdr:row>62</xdr:row>
      <xdr:rowOff>99218</xdr:rowOff>
    </xdr:to>
    <xdr:sp macro="" textlink="">
      <xdr:nvSpPr>
        <xdr:cNvPr id="4163" name="Freeform 10707">
          <a:extLst>
            <a:ext uri="{FF2B5EF4-FFF2-40B4-BE49-F238E27FC236}">
              <a16:creationId xmlns:a16="http://schemas.microsoft.com/office/drawing/2014/main" id="{3E16E401-1D60-4AEB-A8FB-694EF5E24C14}"/>
            </a:ext>
          </a:extLst>
        </xdr:cNvPr>
        <xdr:cNvSpPr>
          <a:spLocks/>
        </xdr:cNvSpPr>
      </xdr:nvSpPr>
      <xdr:spPr bwMode="auto">
        <a:xfrm>
          <a:off x="14269682" y="12276666"/>
          <a:ext cx="672662" cy="19843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226921</xdr:colOff>
      <xdr:row>61</xdr:row>
      <xdr:rowOff>66146</xdr:rowOff>
    </xdr:from>
    <xdr:to>
      <xdr:col>46</xdr:col>
      <xdr:colOff>79375</xdr:colOff>
      <xdr:row>62</xdr:row>
      <xdr:rowOff>77488</xdr:rowOff>
    </xdr:to>
    <xdr:sp macro="" textlink="">
      <xdr:nvSpPr>
        <xdr:cNvPr id="4164" name="Freeform 10707">
          <a:extLst>
            <a:ext uri="{FF2B5EF4-FFF2-40B4-BE49-F238E27FC236}">
              <a16:creationId xmlns:a16="http://schemas.microsoft.com/office/drawing/2014/main" id="{301C9D93-467E-456A-A781-3C1410FA2381}"/>
            </a:ext>
          </a:extLst>
        </xdr:cNvPr>
        <xdr:cNvSpPr>
          <a:spLocks/>
        </xdr:cNvSpPr>
      </xdr:nvSpPr>
      <xdr:spPr bwMode="auto">
        <a:xfrm>
          <a:off x="15010515" y="12250209"/>
          <a:ext cx="659433" cy="2031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257968</xdr:colOff>
      <xdr:row>69</xdr:row>
      <xdr:rowOff>39688</xdr:rowOff>
    </xdr:from>
    <xdr:to>
      <xdr:col>4</xdr:col>
      <xdr:colOff>178594</xdr:colOff>
      <xdr:row>70</xdr:row>
      <xdr:rowOff>119063</xdr:rowOff>
    </xdr:to>
    <xdr:sp macro="" textlink="">
      <xdr:nvSpPr>
        <xdr:cNvPr id="4165" name="Freeform 10707">
          <a:extLst>
            <a:ext uri="{FF2B5EF4-FFF2-40B4-BE49-F238E27FC236}">
              <a16:creationId xmlns:a16="http://schemas.microsoft.com/office/drawing/2014/main" id="{0EF4E476-EB62-422D-B3D8-BEE8376FC9B1}"/>
            </a:ext>
          </a:extLst>
        </xdr:cNvPr>
        <xdr:cNvSpPr>
          <a:spLocks/>
        </xdr:cNvSpPr>
      </xdr:nvSpPr>
      <xdr:spPr bwMode="auto">
        <a:xfrm>
          <a:off x="661458" y="13817865"/>
          <a:ext cx="654844" cy="27119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213827</xdr:colOff>
      <xdr:row>69</xdr:row>
      <xdr:rowOff>26458</xdr:rowOff>
    </xdr:from>
    <xdr:to>
      <xdr:col>6</xdr:col>
      <xdr:colOff>198437</xdr:colOff>
      <xdr:row>70</xdr:row>
      <xdr:rowOff>79375</xdr:rowOff>
    </xdr:to>
    <xdr:sp macro="" textlink="">
      <xdr:nvSpPr>
        <xdr:cNvPr id="4166" name="Freeform 10707">
          <a:extLst>
            <a:ext uri="{FF2B5EF4-FFF2-40B4-BE49-F238E27FC236}">
              <a16:creationId xmlns:a16="http://schemas.microsoft.com/office/drawing/2014/main" id="{11CB519F-3452-42AC-A503-8C26236C4829}"/>
            </a:ext>
          </a:extLst>
        </xdr:cNvPr>
        <xdr:cNvSpPr>
          <a:spLocks/>
        </xdr:cNvSpPr>
      </xdr:nvSpPr>
      <xdr:spPr bwMode="auto">
        <a:xfrm>
          <a:off x="1351535" y="13804635"/>
          <a:ext cx="646069" cy="24474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110018</xdr:colOff>
      <xdr:row>44</xdr:row>
      <xdr:rowOff>142958</xdr:rowOff>
    </xdr:from>
    <xdr:to>
      <xdr:col>40</xdr:col>
      <xdr:colOff>251566</xdr:colOff>
      <xdr:row>45</xdr:row>
      <xdr:rowOff>122464</xdr:rowOff>
    </xdr:to>
    <xdr:sp macro="" textlink="">
      <xdr:nvSpPr>
        <xdr:cNvPr id="4171" name="6-Point Star 717">
          <a:extLst>
            <a:ext uri="{FF2B5EF4-FFF2-40B4-BE49-F238E27FC236}">
              <a16:creationId xmlns:a16="http://schemas.microsoft.com/office/drawing/2014/main" id="{3F26AC0A-9A5E-44B0-AD78-33F9CDF4440D}"/>
            </a:ext>
          </a:extLst>
        </xdr:cNvPr>
        <xdr:cNvSpPr/>
      </xdr:nvSpPr>
      <xdr:spPr>
        <a:xfrm>
          <a:off x="13550851" y="8874208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239745</xdr:colOff>
      <xdr:row>13</xdr:row>
      <xdr:rowOff>76589</xdr:rowOff>
    </xdr:from>
    <xdr:to>
      <xdr:col>40</xdr:col>
      <xdr:colOff>233265</xdr:colOff>
      <xdr:row>13</xdr:row>
      <xdr:rowOff>104081</xdr:rowOff>
    </xdr:to>
    <xdr:cxnSp macro="">
      <xdr:nvCxnSpPr>
        <xdr:cNvPr id="4174" name="Straight Connector 4173">
          <a:extLst>
            <a:ext uri="{FF2B5EF4-FFF2-40B4-BE49-F238E27FC236}">
              <a16:creationId xmlns:a16="http://schemas.microsoft.com/office/drawing/2014/main" id="{B9F1D4B3-781D-9B53-33DE-6E9CAFCD3478}"/>
            </a:ext>
          </a:extLst>
        </xdr:cNvPr>
        <xdr:cNvCxnSpPr>
          <a:endCxn id="4051" idx="1"/>
        </xdr:cNvCxnSpPr>
      </xdr:nvCxnSpPr>
      <xdr:spPr>
        <a:xfrm>
          <a:off x="4846735" y="2564752"/>
          <a:ext cx="8838163" cy="27492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246224</xdr:colOff>
      <xdr:row>13</xdr:row>
      <xdr:rowOff>38878</xdr:rowOff>
    </xdr:from>
    <xdr:to>
      <xdr:col>45</xdr:col>
      <xdr:colOff>362857</xdr:colOff>
      <xdr:row>13</xdr:row>
      <xdr:rowOff>58317</xdr:rowOff>
    </xdr:to>
    <xdr:cxnSp macro="">
      <xdr:nvCxnSpPr>
        <xdr:cNvPr id="4182" name="Straight Connector 4181">
          <a:extLst>
            <a:ext uri="{FF2B5EF4-FFF2-40B4-BE49-F238E27FC236}">
              <a16:creationId xmlns:a16="http://schemas.microsoft.com/office/drawing/2014/main" id="{2F323BB3-96B0-49B3-A11E-82D27268B0F1}"/>
            </a:ext>
          </a:extLst>
        </xdr:cNvPr>
        <xdr:cNvCxnSpPr/>
      </xdr:nvCxnSpPr>
      <xdr:spPr>
        <a:xfrm flipV="1">
          <a:off x="13697857" y="2527041"/>
          <a:ext cx="1846684" cy="19439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136071</xdr:colOff>
      <xdr:row>21</xdr:row>
      <xdr:rowOff>25918</xdr:rowOff>
    </xdr:from>
    <xdr:to>
      <xdr:col>20</xdr:col>
      <xdr:colOff>97191</xdr:colOff>
      <xdr:row>21</xdr:row>
      <xdr:rowOff>28892</xdr:rowOff>
    </xdr:to>
    <xdr:cxnSp macro="">
      <xdr:nvCxnSpPr>
        <xdr:cNvPr id="4184" name="Straight Connector 4183">
          <a:extLst>
            <a:ext uri="{FF2B5EF4-FFF2-40B4-BE49-F238E27FC236}">
              <a16:creationId xmlns:a16="http://schemas.microsoft.com/office/drawing/2014/main" id="{5376062E-861F-4A8F-AB32-937AB5B95398}"/>
            </a:ext>
          </a:extLst>
        </xdr:cNvPr>
        <xdr:cNvCxnSpPr>
          <a:endCxn id="3951" idx="4"/>
        </xdr:cNvCxnSpPr>
      </xdr:nvCxnSpPr>
      <xdr:spPr>
        <a:xfrm>
          <a:off x="246224" y="4095102"/>
          <a:ext cx="6544385" cy="2974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238739</xdr:colOff>
      <xdr:row>21</xdr:row>
      <xdr:rowOff>28892</xdr:rowOff>
    </xdr:from>
    <xdr:to>
      <xdr:col>45</xdr:col>
      <xdr:colOff>356377</xdr:colOff>
      <xdr:row>21</xdr:row>
      <xdr:rowOff>51836</xdr:rowOff>
    </xdr:to>
    <xdr:cxnSp macro="">
      <xdr:nvCxnSpPr>
        <xdr:cNvPr id="4189" name="Straight Connector 4188">
          <a:extLst>
            <a:ext uri="{FF2B5EF4-FFF2-40B4-BE49-F238E27FC236}">
              <a16:creationId xmlns:a16="http://schemas.microsoft.com/office/drawing/2014/main" id="{1247DF7E-2BF9-4411-AA73-1E587410E747}"/>
            </a:ext>
          </a:extLst>
        </xdr:cNvPr>
        <xdr:cNvCxnSpPr>
          <a:stCxn id="3951" idx="0"/>
        </xdr:cNvCxnSpPr>
      </xdr:nvCxnSpPr>
      <xdr:spPr>
        <a:xfrm>
          <a:off x="6932157" y="4098076"/>
          <a:ext cx="8605904" cy="22944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6480</xdr:colOff>
      <xdr:row>29</xdr:row>
      <xdr:rowOff>6479</xdr:rowOff>
    </xdr:from>
    <xdr:to>
      <xdr:col>24</xdr:col>
      <xdr:colOff>343418</xdr:colOff>
      <xdr:row>29</xdr:row>
      <xdr:rowOff>58316</xdr:rowOff>
    </xdr:to>
    <xdr:cxnSp macro="">
      <xdr:nvCxnSpPr>
        <xdr:cNvPr id="4194" name="Straight Connector 4193">
          <a:extLst>
            <a:ext uri="{FF2B5EF4-FFF2-40B4-BE49-F238E27FC236}">
              <a16:creationId xmlns:a16="http://schemas.microsoft.com/office/drawing/2014/main" id="{3DDE9363-E08F-429E-BEBC-32A196052770}"/>
            </a:ext>
          </a:extLst>
        </xdr:cNvPr>
        <xdr:cNvCxnSpPr/>
      </xdr:nvCxnSpPr>
      <xdr:spPr>
        <a:xfrm>
          <a:off x="116633" y="5643724"/>
          <a:ext cx="8242040" cy="51837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356377</xdr:colOff>
      <xdr:row>29</xdr:row>
      <xdr:rowOff>51837</xdr:rowOff>
    </xdr:from>
    <xdr:to>
      <xdr:col>45</xdr:col>
      <xdr:colOff>414694</xdr:colOff>
      <xdr:row>29</xdr:row>
      <xdr:rowOff>64796</xdr:rowOff>
    </xdr:to>
    <xdr:cxnSp macro="">
      <xdr:nvCxnSpPr>
        <xdr:cNvPr id="4197" name="Straight Connector 4196">
          <a:extLst>
            <a:ext uri="{FF2B5EF4-FFF2-40B4-BE49-F238E27FC236}">
              <a16:creationId xmlns:a16="http://schemas.microsoft.com/office/drawing/2014/main" id="{B65A5C9C-FA60-4351-A681-3383D5093B6B}"/>
            </a:ext>
          </a:extLst>
        </xdr:cNvPr>
        <xdr:cNvCxnSpPr/>
      </xdr:nvCxnSpPr>
      <xdr:spPr>
        <a:xfrm>
          <a:off x="8371632" y="5689082"/>
          <a:ext cx="7224746" cy="12959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4319</xdr:colOff>
      <xdr:row>37</xdr:row>
      <xdr:rowOff>58317</xdr:rowOff>
    </xdr:from>
    <xdr:to>
      <xdr:col>4</xdr:col>
      <xdr:colOff>278622</xdr:colOff>
      <xdr:row>37</xdr:row>
      <xdr:rowOff>71276</xdr:rowOff>
    </xdr:to>
    <xdr:cxnSp macro="">
      <xdr:nvCxnSpPr>
        <xdr:cNvPr id="4200" name="Straight Connector 4199">
          <a:extLst>
            <a:ext uri="{FF2B5EF4-FFF2-40B4-BE49-F238E27FC236}">
              <a16:creationId xmlns:a16="http://schemas.microsoft.com/office/drawing/2014/main" id="{EFFB6F26-FD4F-4BC1-A5C7-86504AF094A0}"/>
            </a:ext>
          </a:extLst>
        </xdr:cNvPr>
        <xdr:cNvCxnSpPr/>
      </xdr:nvCxnSpPr>
      <xdr:spPr>
        <a:xfrm>
          <a:off x="110152" y="7387275"/>
          <a:ext cx="1306178" cy="12959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239880</xdr:colOff>
      <xdr:row>37</xdr:row>
      <xdr:rowOff>38878</xdr:rowOff>
    </xdr:from>
    <xdr:to>
      <xdr:col>46</xdr:col>
      <xdr:colOff>6479</xdr:colOff>
      <xdr:row>37</xdr:row>
      <xdr:rowOff>91119</xdr:rowOff>
    </xdr:to>
    <xdr:cxnSp macro="">
      <xdr:nvCxnSpPr>
        <xdr:cNvPr id="4204" name="Straight Connector 4203">
          <a:extLst>
            <a:ext uri="{FF2B5EF4-FFF2-40B4-BE49-F238E27FC236}">
              <a16:creationId xmlns:a16="http://schemas.microsoft.com/office/drawing/2014/main" id="{1D21CB83-B3BD-4135-9770-1FF9006924BE}"/>
            </a:ext>
          </a:extLst>
        </xdr:cNvPr>
        <xdr:cNvCxnSpPr/>
      </xdr:nvCxnSpPr>
      <xdr:spPr>
        <a:xfrm flipV="1">
          <a:off x="1386768" y="7244184"/>
          <a:ext cx="14293844" cy="52241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207348</xdr:colOff>
      <xdr:row>69</xdr:row>
      <xdr:rowOff>19440</xdr:rowOff>
    </xdr:from>
    <xdr:to>
      <xdr:col>46</xdr:col>
      <xdr:colOff>19440</xdr:colOff>
      <xdr:row>69</xdr:row>
      <xdr:rowOff>51837</xdr:rowOff>
    </xdr:to>
    <xdr:cxnSp macro="">
      <xdr:nvCxnSpPr>
        <xdr:cNvPr id="4209" name="Straight Connector 4208">
          <a:extLst>
            <a:ext uri="{FF2B5EF4-FFF2-40B4-BE49-F238E27FC236}">
              <a16:creationId xmlns:a16="http://schemas.microsoft.com/office/drawing/2014/main" id="{1703F6AD-09AA-4A2A-92D2-D8816DAD861D}"/>
            </a:ext>
          </a:extLst>
        </xdr:cNvPr>
        <xdr:cNvCxnSpPr/>
      </xdr:nvCxnSpPr>
      <xdr:spPr>
        <a:xfrm flipV="1">
          <a:off x="8883521" y="13574746"/>
          <a:ext cx="6738776" cy="32397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0</xdr:col>
      <xdr:colOff>51836</xdr:colOff>
      <xdr:row>77</xdr:row>
      <xdr:rowOff>12959</xdr:rowOff>
    </xdr:from>
    <xdr:to>
      <xdr:col>6</xdr:col>
      <xdr:colOff>188006</xdr:colOff>
      <xdr:row>77</xdr:row>
      <xdr:rowOff>38355</xdr:rowOff>
    </xdr:to>
    <xdr:cxnSp macro="">
      <xdr:nvCxnSpPr>
        <xdr:cNvPr id="4211" name="Straight Connector 4210">
          <a:extLst>
            <a:ext uri="{FF2B5EF4-FFF2-40B4-BE49-F238E27FC236}">
              <a16:creationId xmlns:a16="http://schemas.microsoft.com/office/drawing/2014/main" id="{A1B4C93E-CB9C-4EA2-ACE4-5AC69CD36BC3}"/>
            </a:ext>
          </a:extLst>
        </xdr:cNvPr>
        <xdr:cNvCxnSpPr/>
      </xdr:nvCxnSpPr>
      <xdr:spPr>
        <a:xfrm>
          <a:off x="51836" y="15136326"/>
          <a:ext cx="1943976" cy="25396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6</xdr:col>
      <xdr:colOff>226786</xdr:colOff>
      <xdr:row>77</xdr:row>
      <xdr:rowOff>32398</xdr:rowOff>
    </xdr:from>
    <xdr:to>
      <xdr:col>30</xdr:col>
      <xdr:colOff>84235</xdr:colOff>
      <xdr:row>77</xdr:row>
      <xdr:rowOff>64796</xdr:rowOff>
    </xdr:to>
    <xdr:cxnSp macro="">
      <xdr:nvCxnSpPr>
        <xdr:cNvPr id="4213" name="Straight Connector 4212">
          <a:extLst>
            <a:ext uri="{FF2B5EF4-FFF2-40B4-BE49-F238E27FC236}">
              <a16:creationId xmlns:a16="http://schemas.microsoft.com/office/drawing/2014/main" id="{E46FBB51-AF45-44D1-94CC-F122FF6E9841}"/>
            </a:ext>
          </a:extLst>
        </xdr:cNvPr>
        <xdr:cNvCxnSpPr/>
      </xdr:nvCxnSpPr>
      <xdr:spPr>
        <a:xfrm>
          <a:off x="2034592" y="15155765"/>
          <a:ext cx="8080051" cy="32398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239745</xdr:colOff>
      <xdr:row>77</xdr:row>
      <xdr:rowOff>51837</xdr:rowOff>
    </xdr:from>
    <xdr:to>
      <xdr:col>45</xdr:col>
      <xdr:colOff>388775</xdr:colOff>
      <xdr:row>77</xdr:row>
      <xdr:rowOff>77755</xdr:rowOff>
    </xdr:to>
    <xdr:cxnSp macro="">
      <xdr:nvCxnSpPr>
        <xdr:cNvPr id="4218" name="Straight Connector 4217">
          <a:extLst>
            <a:ext uri="{FF2B5EF4-FFF2-40B4-BE49-F238E27FC236}">
              <a16:creationId xmlns:a16="http://schemas.microsoft.com/office/drawing/2014/main" id="{A1D63DDC-AA7B-4F1A-B6F6-123841648935}"/>
            </a:ext>
          </a:extLst>
        </xdr:cNvPr>
        <xdr:cNvCxnSpPr/>
      </xdr:nvCxnSpPr>
      <xdr:spPr>
        <a:xfrm flipV="1">
          <a:off x="10270153" y="15175204"/>
          <a:ext cx="5300306" cy="25918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85</xdr:row>
      <xdr:rowOff>58316</xdr:rowOff>
    </xdr:from>
    <xdr:to>
      <xdr:col>8</xdr:col>
      <xdr:colOff>236798</xdr:colOff>
      <xdr:row>85</xdr:row>
      <xdr:rowOff>83711</xdr:rowOff>
    </xdr:to>
    <xdr:cxnSp macro="">
      <xdr:nvCxnSpPr>
        <xdr:cNvPr id="4220" name="Straight Connector 4219">
          <a:extLst>
            <a:ext uri="{FF2B5EF4-FFF2-40B4-BE49-F238E27FC236}">
              <a16:creationId xmlns:a16="http://schemas.microsoft.com/office/drawing/2014/main" id="{7BEC7EEF-3D3D-43E3-B6A2-DD27A0394BE9}"/>
            </a:ext>
          </a:extLst>
        </xdr:cNvPr>
        <xdr:cNvCxnSpPr/>
      </xdr:nvCxnSpPr>
      <xdr:spPr>
        <a:xfrm>
          <a:off x="110153" y="16749745"/>
          <a:ext cx="2627767" cy="25395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8</xdr:col>
      <xdr:colOff>362857</xdr:colOff>
      <xdr:row>85</xdr:row>
      <xdr:rowOff>84234</xdr:rowOff>
    </xdr:from>
    <xdr:to>
      <xdr:col>30</xdr:col>
      <xdr:colOff>356378</xdr:colOff>
      <xdr:row>85</xdr:row>
      <xdr:rowOff>97192</xdr:rowOff>
    </xdr:to>
    <xdr:cxnSp macro="">
      <xdr:nvCxnSpPr>
        <xdr:cNvPr id="4222" name="Straight Connector 4221">
          <a:extLst>
            <a:ext uri="{FF2B5EF4-FFF2-40B4-BE49-F238E27FC236}">
              <a16:creationId xmlns:a16="http://schemas.microsoft.com/office/drawing/2014/main" id="{BC506910-592B-437D-B98D-0E7E440C35B8}"/>
            </a:ext>
          </a:extLst>
        </xdr:cNvPr>
        <xdr:cNvCxnSpPr/>
      </xdr:nvCxnSpPr>
      <xdr:spPr>
        <a:xfrm>
          <a:off x="2863979" y="16775663"/>
          <a:ext cx="7522807" cy="12958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244739</xdr:colOff>
      <xdr:row>85</xdr:row>
      <xdr:rowOff>99219</xdr:rowOff>
    </xdr:from>
    <xdr:to>
      <xdr:col>46</xdr:col>
      <xdr:colOff>26458</xdr:colOff>
      <xdr:row>85</xdr:row>
      <xdr:rowOff>138907</xdr:rowOff>
    </xdr:to>
    <xdr:cxnSp macro="">
      <xdr:nvCxnSpPr>
        <xdr:cNvPr id="4224" name="Straight Connector 4223">
          <a:extLst>
            <a:ext uri="{FF2B5EF4-FFF2-40B4-BE49-F238E27FC236}">
              <a16:creationId xmlns:a16="http://schemas.microsoft.com/office/drawing/2014/main" id="{18F1A0E1-A0AC-4EA5-968F-35FF2D5EE0EF}"/>
            </a:ext>
          </a:extLst>
        </xdr:cNvPr>
        <xdr:cNvCxnSpPr/>
      </xdr:nvCxnSpPr>
      <xdr:spPr>
        <a:xfrm>
          <a:off x="10265833" y="17065625"/>
          <a:ext cx="5351198" cy="39688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0</xdr:col>
      <xdr:colOff>72760</xdr:colOff>
      <xdr:row>93</xdr:row>
      <xdr:rowOff>13229</xdr:rowOff>
    </xdr:from>
    <xdr:to>
      <xdr:col>34</xdr:col>
      <xdr:colOff>323979</xdr:colOff>
      <xdr:row>93</xdr:row>
      <xdr:rowOff>58316</xdr:rowOff>
    </xdr:to>
    <xdr:cxnSp macro="">
      <xdr:nvCxnSpPr>
        <xdr:cNvPr id="4227" name="Straight Connector 4226">
          <a:extLst>
            <a:ext uri="{FF2B5EF4-FFF2-40B4-BE49-F238E27FC236}">
              <a16:creationId xmlns:a16="http://schemas.microsoft.com/office/drawing/2014/main" id="{6C9E4E52-2822-45BE-8014-79E2FEA9EB7D}"/>
            </a:ext>
          </a:extLst>
        </xdr:cNvPr>
        <xdr:cNvCxnSpPr/>
      </xdr:nvCxnSpPr>
      <xdr:spPr>
        <a:xfrm>
          <a:off x="72760" y="18272719"/>
          <a:ext cx="11635862" cy="45087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165760</xdr:colOff>
      <xdr:row>101</xdr:row>
      <xdr:rowOff>41906</xdr:rowOff>
    </xdr:from>
    <xdr:to>
      <xdr:col>45</xdr:col>
      <xdr:colOff>311020</xdr:colOff>
      <xdr:row>101</xdr:row>
      <xdr:rowOff>99085</xdr:rowOff>
    </xdr:to>
    <xdr:cxnSp macro="">
      <xdr:nvCxnSpPr>
        <xdr:cNvPr id="4232" name="Straight Connector 4231">
          <a:extLst>
            <a:ext uri="{FF2B5EF4-FFF2-40B4-BE49-F238E27FC236}">
              <a16:creationId xmlns:a16="http://schemas.microsoft.com/office/drawing/2014/main" id="{A4CB1BD9-CCA7-4624-A657-9EE1AF2F5FEA}"/>
            </a:ext>
          </a:extLst>
        </xdr:cNvPr>
        <xdr:cNvCxnSpPr/>
      </xdr:nvCxnSpPr>
      <xdr:spPr>
        <a:xfrm>
          <a:off x="4111831" y="19869457"/>
          <a:ext cx="11452148" cy="57179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0</xdr:col>
      <xdr:colOff>13229</xdr:colOff>
      <xdr:row>109</xdr:row>
      <xdr:rowOff>57545</xdr:rowOff>
    </xdr:from>
    <xdr:to>
      <xdr:col>16</xdr:col>
      <xdr:colOff>265595</xdr:colOff>
      <xdr:row>109</xdr:row>
      <xdr:rowOff>59532</xdr:rowOff>
    </xdr:to>
    <xdr:cxnSp macro="">
      <xdr:nvCxnSpPr>
        <xdr:cNvPr id="4237" name="Straight Connector 4236">
          <a:extLst>
            <a:ext uri="{FF2B5EF4-FFF2-40B4-BE49-F238E27FC236}">
              <a16:creationId xmlns:a16="http://schemas.microsoft.com/office/drawing/2014/main" id="{34B4B20D-EA55-4A97-8840-447FAF024519}"/>
            </a:ext>
          </a:extLst>
        </xdr:cNvPr>
        <xdr:cNvCxnSpPr>
          <a:endCxn id="3822" idx="1"/>
        </xdr:cNvCxnSpPr>
      </xdr:nvCxnSpPr>
      <xdr:spPr>
        <a:xfrm flipV="1">
          <a:off x="13229" y="21806295"/>
          <a:ext cx="5550647" cy="1987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125678</xdr:colOff>
      <xdr:row>60</xdr:row>
      <xdr:rowOff>158757</xdr:rowOff>
    </xdr:from>
    <xdr:to>
      <xdr:col>2</xdr:col>
      <xdr:colOff>267226</xdr:colOff>
      <xdr:row>61</xdr:row>
      <xdr:rowOff>138263</xdr:rowOff>
    </xdr:to>
    <xdr:sp macro="" textlink="">
      <xdr:nvSpPr>
        <xdr:cNvPr id="4172" name="6-Point Star 717">
          <a:extLst>
            <a:ext uri="{FF2B5EF4-FFF2-40B4-BE49-F238E27FC236}">
              <a16:creationId xmlns:a16="http://schemas.microsoft.com/office/drawing/2014/main" id="{900A045C-0707-43E4-A0AA-E3DEE7DF36FE}"/>
            </a:ext>
          </a:extLst>
        </xdr:cNvPr>
        <xdr:cNvSpPr/>
      </xdr:nvSpPr>
      <xdr:spPr>
        <a:xfrm>
          <a:off x="529168" y="12150997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112450</xdr:colOff>
      <xdr:row>60</xdr:row>
      <xdr:rowOff>178599</xdr:rowOff>
    </xdr:from>
    <xdr:to>
      <xdr:col>4</xdr:col>
      <xdr:colOff>253998</xdr:colOff>
      <xdr:row>61</xdr:row>
      <xdr:rowOff>158105</xdr:rowOff>
    </xdr:to>
    <xdr:sp macro="" textlink="">
      <xdr:nvSpPr>
        <xdr:cNvPr id="4173" name="6-Point Star 717">
          <a:extLst>
            <a:ext uri="{FF2B5EF4-FFF2-40B4-BE49-F238E27FC236}">
              <a16:creationId xmlns:a16="http://schemas.microsoft.com/office/drawing/2014/main" id="{DD36485F-82F0-410D-B2CC-622EBBB7D6A6}"/>
            </a:ext>
          </a:extLst>
        </xdr:cNvPr>
        <xdr:cNvSpPr/>
      </xdr:nvSpPr>
      <xdr:spPr>
        <a:xfrm>
          <a:off x="1250158" y="12170839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125677</xdr:colOff>
      <xdr:row>100</xdr:row>
      <xdr:rowOff>125677</xdr:rowOff>
    </xdr:from>
    <xdr:to>
      <xdr:col>40</xdr:col>
      <xdr:colOff>267225</xdr:colOff>
      <xdr:row>101</xdr:row>
      <xdr:rowOff>105184</xdr:rowOff>
    </xdr:to>
    <xdr:sp macro="" textlink="">
      <xdr:nvSpPr>
        <xdr:cNvPr id="4167" name="6-Point Star 717">
          <a:extLst>
            <a:ext uri="{FF2B5EF4-FFF2-40B4-BE49-F238E27FC236}">
              <a16:creationId xmlns:a16="http://schemas.microsoft.com/office/drawing/2014/main" id="{D9958A7E-8D20-4CEC-8821-3D354143CF88}"/>
            </a:ext>
          </a:extLst>
        </xdr:cNvPr>
        <xdr:cNvSpPr/>
      </xdr:nvSpPr>
      <xdr:spPr>
        <a:xfrm>
          <a:off x="13566510" y="2008849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132291</xdr:colOff>
      <xdr:row>52</xdr:row>
      <xdr:rowOff>178597</xdr:rowOff>
    </xdr:from>
    <xdr:to>
      <xdr:col>16</xdr:col>
      <xdr:colOff>273839</xdr:colOff>
      <xdr:row>53</xdr:row>
      <xdr:rowOff>158104</xdr:rowOff>
    </xdr:to>
    <xdr:sp macro="" textlink="">
      <xdr:nvSpPr>
        <xdr:cNvPr id="4175" name="6-Point Star 717">
          <a:extLst>
            <a:ext uri="{FF2B5EF4-FFF2-40B4-BE49-F238E27FC236}">
              <a16:creationId xmlns:a16="http://schemas.microsoft.com/office/drawing/2014/main" id="{6569EC15-3A6E-4539-A784-A38F13359C65}"/>
            </a:ext>
          </a:extLst>
        </xdr:cNvPr>
        <xdr:cNvSpPr/>
      </xdr:nvSpPr>
      <xdr:spPr>
        <a:xfrm>
          <a:off x="5430572" y="10576722"/>
          <a:ext cx="141548" cy="17133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132294</xdr:colOff>
      <xdr:row>61</xdr:row>
      <xdr:rowOff>26460</xdr:rowOff>
    </xdr:from>
    <xdr:to>
      <xdr:col>14</xdr:col>
      <xdr:colOff>273842</xdr:colOff>
      <xdr:row>62</xdr:row>
      <xdr:rowOff>5967</xdr:rowOff>
    </xdr:to>
    <xdr:sp macro="" textlink="">
      <xdr:nvSpPr>
        <xdr:cNvPr id="4176" name="6-Point Star 717">
          <a:extLst>
            <a:ext uri="{FF2B5EF4-FFF2-40B4-BE49-F238E27FC236}">
              <a16:creationId xmlns:a16="http://schemas.microsoft.com/office/drawing/2014/main" id="{12B23321-FE65-4490-A206-B20E245BFC75}"/>
            </a:ext>
          </a:extLst>
        </xdr:cNvPr>
        <xdr:cNvSpPr/>
      </xdr:nvSpPr>
      <xdr:spPr>
        <a:xfrm>
          <a:off x="4736044" y="12210523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138910</xdr:colOff>
      <xdr:row>61</xdr:row>
      <xdr:rowOff>13230</xdr:rowOff>
    </xdr:from>
    <xdr:to>
      <xdr:col>16</xdr:col>
      <xdr:colOff>280458</xdr:colOff>
      <xdr:row>61</xdr:row>
      <xdr:rowOff>184559</xdr:rowOff>
    </xdr:to>
    <xdr:sp macro="" textlink="">
      <xdr:nvSpPr>
        <xdr:cNvPr id="4177" name="6-Point Star 717">
          <a:extLst>
            <a:ext uri="{FF2B5EF4-FFF2-40B4-BE49-F238E27FC236}">
              <a16:creationId xmlns:a16="http://schemas.microsoft.com/office/drawing/2014/main" id="{13AB508C-D631-4B8A-AD86-5EFB7A81270B}"/>
            </a:ext>
          </a:extLst>
        </xdr:cNvPr>
        <xdr:cNvSpPr/>
      </xdr:nvSpPr>
      <xdr:spPr>
        <a:xfrm>
          <a:off x="5437191" y="12197293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105836</xdr:colOff>
      <xdr:row>60</xdr:row>
      <xdr:rowOff>171986</xdr:rowOff>
    </xdr:from>
    <xdr:to>
      <xdr:col>18</xdr:col>
      <xdr:colOff>247384</xdr:colOff>
      <xdr:row>61</xdr:row>
      <xdr:rowOff>151492</xdr:rowOff>
    </xdr:to>
    <xdr:sp macro="" textlink="">
      <xdr:nvSpPr>
        <xdr:cNvPr id="4178" name="6-Point Star 717">
          <a:extLst>
            <a:ext uri="{FF2B5EF4-FFF2-40B4-BE49-F238E27FC236}">
              <a16:creationId xmlns:a16="http://schemas.microsoft.com/office/drawing/2014/main" id="{93410913-63CA-41C1-96C2-971962AAD3BC}"/>
            </a:ext>
          </a:extLst>
        </xdr:cNvPr>
        <xdr:cNvSpPr/>
      </xdr:nvSpPr>
      <xdr:spPr>
        <a:xfrm>
          <a:off x="6125107" y="12164226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112450</xdr:colOff>
      <xdr:row>61</xdr:row>
      <xdr:rowOff>6619</xdr:rowOff>
    </xdr:from>
    <xdr:to>
      <xdr:col>20</xdr:col>
      <xdr:colOff>253998</xdr:colOff>
      <xdr:row>61</xdr:row>
      <xdr:rowOff>177948</xdr:rowOff>
    </xdr:to>
    <xdr:sp macro="" textlink="">
      <xdr:nvSpPr>
        <xdr:cNvPr id="4179" name="6-Point Star 717">
          <a:extLst>
            <a:ext uri="{FF2B5EF4-FFF2-40B4-BE49-F238E27FC236}">
              <a16:creationId xmlns:a16="http://schemas.microsoft.com/office/drawing/2014/main" id="{BA078FC8-CE9E-4ECE-B729-8131FF6BD25B}"/>
            </a:ext>
          </a:extLst>
        </xdr:cNvPr>
        <xdr:cNvSpPr/>
      </xdr:nvSpPr>
      <xdr:spPr>
        <a:xfrm>
          <a:off x="6793179" y="12190682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112451</xdr:colOff>
      <xdr:row>60</xdr:row>
      <xdr:rowOff>165369</xdr:rowOff>
    </xdr:from>
    <xdr:to>
      <xdr:col>22</xdr:col>
      <xdr:colOff>253999</xdr:colOff>
      <xdr:row>61</xdr:row>
      <xdr:rowOff>144875</xdr:rowOff>
    </xdr:to>
    <xdr:sp macro="" textlink="">
      <xdr:nvSpPr>
        <xdr:cNvPr id="4180" name="6-Point Star 717">
          <a:extLst>
            <a:ext uri="{FF2B5EF4-FFF2-40B4-BE49-F238E27FC236}">
              <a16:creationId xmlns:a16="http://schemas.microsoft.com/office/drawing/2014/main" id="{F358AD99-E597-44F9-98F8-2F567ACE82A8}"/>
            </a:ext>
          </a:extLst>
        </xdr:cNvPr>
        <xdr:cNvSpPr/>
      </xdr:nvSpPr>
      <xdr:spPr>
        <a:xfrm>
          <a:off x="7454639" y="12157609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218281</xdr:colOff>
      <xdr:row>45</xdr:row>
      <xdr:rowOff>39687</xdr:rowOff>
    </xdr:from>
    <xdr:to>
      <xdr:col>24</xdr:col>
      <xdr:colOff>192882</xdr:colOff>
      <xdr:row>46</xdr:row>
      <xdr:rowOff>92604</xdr:rowOff>
    </xdr:to>
    <xdr:sp macro="" textlink="">
      <xdr:nvSpPr>
        <xdr:cNvPr id="4181" name="Freeform 10707">
          <a:extLst>
            <a:ext uri="{FF2B5EF4-FFF2-40B4-BE49-F238E27FC236}">
              <a16:creationId xmlns:a16="http://schemas.microsoft.com/office/drawing/2014/main" id="{D12C45E4-5E69-462B-8923-1A476B71CA07}"/>
            </a:ext>
          </a:extLst>
        </xdr:cNvPr>
        <xdr:cNvSpPr>
          <a:spLocks/>
        </xdr:cNvSpPr>
      </xdr:nvSpPr>
      <xdr:spPr bwMode="auto">
        <a:xfrm>
          <a:off x="7560469" y="8962760"/>
          <a:ext cx="636059" cy="24474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224888</xdr:colOff>
      <xdr:row>45</xdr:row>
      <xdr:rowOff>39680</xdr:rowOff>
    </xdr:from>
    <xdr:to>
      <xdr:col>26</xdr:col>
      <xdr:colOff>199489</xdr:colOff>
      <xdr:row>46</xdr:row>
      <xdr:rowOff>79368</xdr:rowOff>
    </xdr:to>
    <xdr:sp macro="" textlink="">
      <xdr:nvSpPr>
        <xdr:cNvPr id="4183" name="Freeform 10707">
          <a:extLst>
            <a:ext uri="{FF2B5EF4-FFF2-40B4-BE49-F238E27FC236}">
              <a16:creationId xmlns:a16="http://schemas.microsoft.com/office/drawing/2014/main" id="{DA8CAD7B-F8EF-4226-AE12-FAC18F605EAC}"/>
            </a:ext>
          </a:extLst>
        </xdr:cNvPr>
        <xdr:cNvSpPr>
          <a:spLocks/>
        </xdr:cNvSpPr>
      </xdr:nvSpPr>
      <xdr:spPr bwMode="auto">
        <a:xfrm>
          <a:off x="8228534" y="8962753"/>
          <a:ext cx="636059" cy="23151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231510</xdr:colOff>
      <xdr:row>45</xdr:row>
      <xdr:rowOff>46302</xdr:rowOff>
    </xdr:from>
    <xdr:to>
      <xdr:col>28</xdr:col>
      <xdr:colOff>173038</xdr:colOff>
      <xdr:row>46</xdr:row>
      <xdr:rowOff>85990</xdr:rowOff>
    </xdr:to>
    <xdr:sp macro="" textlink="">
      <xdr:nvSpPr>
        <xdr:cNvPr id="4185" name="Freeform 10707">
          <a:extLst>
            <a:ext uri="{FF2B5EF4-FFF2-40B4-BE49-F238E27FC236}">
              <a16:creationId xmlns:a16="http://schemas.microsoft.com/office/drawing/2014/main" id="{DB322753-0A2E-489F-8806-B2ED8D6C0FA3}"/>
            </a:ext>
          </a:extLst>
        </xdr:cNvPr>
        <xdr:cNvSpPr>
          <a:spLocks/>
        </xdr:cNvSpPr>
      </xdr:nvSpPr>
      <xdr:spPr bwMode="auto">
        <a:xfrm>
          <a:off x="8896614" y="8969375"/>
          <a:ext cx="636059" cy="23151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168471</xdr:colOff>
      <xdr:row>93</xdr:row>
      <xdr:rowOff>64796</xdr:rowOff>
    </xdr:from>
    <xdr:to>
      <xdr:col>14</xdr:col>
      <xdr:colOff>181428</xdr:colOff>
      <xdr:row>94</xdr:row>
      <xdr:rowOff>71275</xdr:rowOff>
    </xdr:to>
    <xdr:sp macro="" textlink="">
      <xdr:nvSpPr>
        <xdr:cNvPr id="4114" name="Freeform 10707">
          <a:extLst>
            <a:ext uri="{FF2B5EF4-FFF2-40B4-BE49-F238E27FC236}">
              <a16:creationId xmlns:a16="http://schemas.microsoft.com/office/drawing/2014/main" id="{9607D756-8412-4D70-A28D-E285D9DBCCD2}"/>
            </a:ext>
          </a:extLst>
        </xdr:cNvPr>
        <xdr:cNvSpPr>
          <a:spLocks/>
        </xdr:cNvSpPr>
      </xdr:nvSpPr>
      <xdr:spPr bwMode="auto">
        <a:xfrm>
          <a:off x="4114542" y="18324286"/>
          <a:ext cx="673876" cy="19438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218281</xdr:colOff>
      <xdr:row>93</xdr:row>
      <xdr:rowOff>66145</xdr:rowOff>
    </xdr:from>
    <xdr:to>
      <xdr:col>16</xdr:col>
      <xdr:colOff>224896</xdr:colOff>
      <xdr:row>94</xdr:row>
      <xdr:rowOff>112447</xdr:rowOff>
    </xdr:to>
    <xdr:sp macro="" textlink="">
      <xdr:nvSpPr>
        <xdr:cNvPr id="4115" name="Freeform 10707">
          <a:extLst>
            <a:ext uri="{FF2B5EF4-FFF2-40B4-BE49-F238E27FC236}">
              <a16:creationId xmlns:a16="http://schemas.microsoft.com/office/drawing/2014/main" id="{C2ADCC1F-A485-4957-9031-D83367BCEB53}"/>
            </a:ext>
          </a:extLst>
        </xdr:cNvPr>
        <xdr:cNvSpPr>
          <a:spLocks/>
        </xdr:cNvSpPr>
      </xdr:nvSpPr>
      <xdr:spPr bwMode="auto">
        <a:xfrm>
          <a:off x="4822031" y="18626666"/>
          <a:ext cx="701146" cy="2381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231510</xdr:colOff>
      <xdr:row>93</xdr:row>
      <xdr:rowOff>59531</xdr:rowOff>
    </xdr:from>
    <xdr:to>
      <xdr:col>18</xdr:col>
      <xdr:colOff>211666</xdr:colOff>
      <xdr:row>94</xdr:row>
      <xdr:rowOff>112448</xdr:rowOff>
    </xdr:to>
    <xdr:sp macro="" textlink="">
      <xdr:nvSpPr>
        <xdr:cNvPr id="4186" name="Freeform 10707">
          <a:extLst>
            <a:ext uri="{FF2B5EF4-FFF2-40B4-BE49-F238E27FC236}">
              <a16:creationId xmlns:a16="http://schemas.microsoft.com/office/drawing/2014/main" id="{99BC6A5A-0790-4BBC-92B9-C383BC7012C9}"/>
            </a:ext>
          </a:extLst>
        </xdr:cNvPr>
        <xdr:cNvSpPr>
          <a:spLocks/>
        </xdr:cNvSpPr>
      </xdr:nvSpPr>
      <xdr:spPr bwMode="auto">
        <a:xfrm>
          <a:off x="5529791" y="18620052"/>
          <a:ext cx="701146" cy="24474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165363</xdr:colOff>
      <xdr:row>93</xdr:row>
      <xdr:rowOff>64795</xdr:rowOff>
    </xdr:from>
    <xdr:to>
      <xdr:col>20</xdr:col>
      <xdr:colOff>207346</xdr:colOff>
      <xdr:row>94</xdr:row>
      <xdr:rowOff>99218</xdr:rowOff>
    </xdr:to>
    <xdr:sp macro="" textlink="">
      <xdr:nvSpPr>
        <xdr:cNvPr id="4187" name="Freeform 10707">
          <a:extLst>
            <a:ext uri="{FF2B5EF4-FFF2-40B4-BE49-F238E27FC236}">
              <a16:creationId xmlns:a16="http://schemas.microsoft.com/office/drawing/2014/main" id="{CBDC0155-11A0-4EB3-8261-D6CD5E7607CD}"/>
            </a:ext>
          </a:extLst>
        </xdr:cNvPr>
        <xdr:cNvSpPr>
          <a:spLocks/>
        </xdr:cNvSpPr>
      </xdr:nvSpPr>
      <xdr:spPr bwMode="auto">
        <a:xfrm>
          <a:off x="6197863" y="18324285"/>
          <a:ext cx="702901" cy="22233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178593</xdr:colOff>
      <xdr:row>93</xdr:row>
      <xdr:rowOff>72761</xdr:rowOff>
    </xdr:from>
    <xdr:to>
      <xdr:col>22</xdr:col>
      <xdr:colOff>211666</xdr:colOff>
      <xdr:row>94</xdr:row>
      <xdr:rowOff>99220</xdr:rowOff>
    </xdr:to>
    <xdr:sp macro="" textlink="">
      <xdr:nvSpPr>
        <xdr:cNvPr id="4188" name="Freeform 10707">
          <a:extLst>
            <a:ext uri="{FF2B5EF4-FFF2-40B4-BE49-F238E27FC236}">
              <a16:creationId xmlns:a16="http://schemas.microsoft.com/office/drawing/2014/main" id="{A85D10D8-3AA4-4260-827D-E97DEB0666EE}"/>
            </a:ext>
          </a:extLst>
        </xdr:cNvPr>
        <xdr:cNvSpPr>
          <a:spLocks/>
        </xdr:cNvSpPr>
      </xdr:nvSpPr>
      <xdr:spPr bwMode="auto">
        <a:xfrm>
          <a:off x="6859322" y="18633282"/>
          <a:ext cx="694532" cy="21828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178458</xdr:colOff>
      <xdr:row>93</xdr:row>
      <xdr:rowOff>53322</xdr:rowOff>
    </xdr:from>
    <xdr:to>
      <xdr:col>24</xdr:col>
      <xdr:colOff>158614</xdr:colOff>
      <xdr:row>94</xdr:row>
      <xdr:rowOff>79781</xdr:rowOff>
    </xdr:to>
    <xdr:sp macro="" textlink="">
      <xdr:nvSpPr>
        <xdr:cNvPr id="4190" name="Freeform 10707">
          <a:extLst>
            <a:ext uri="{FF2B5EF4-FFF2-40B4-BE49-F238E27FC236}">
              <a16:creationId xmlns:a16="http://schemas.microsoft.com/office/drawing/2014/main" id="{EC755194-65CB-4435-A6A0-1BB9CE9FC1C0}"/>
            </a:ext>
          </a:extLst>
        </xdr:cNvPr>
        <xdr:cNvSpPr>
          <a:spLocks/>
        </xdr:cNvSpPr>
      </xdr:nvSpPr>
      <xdr:spPr bwMode="auto">
        <a:xfrm>
          <a:off x="7532795" y="18312812"/>
          <a:ext cx="641074" cy="2143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159022</xdr:colOff>
      <xdr:row>93</xdr:row>
      <xdr:rowOff>64795</xdr:rowOff>
    </xdr:from>
    <xdr:to>
      <xdr:col>26</xdr:col>
      <xdr:colOff>181430</xdr:colOff>
      <xdr:row>94</xdr:row>
      <xdr:rowOff>106372</xdr:rowOff>
    </xdr:to>
    <xdr:sp macro="" textlink="">
      <xdr:nvSpPr>
        <xdr:cNvPr id="4191" name="Freeform 10707">
          <a:extLst>
            <a:ext uri="{FF2B5EF4-FFF2-40B4-BE49-F238E27FC236}">
              <a16:creationId xmlns:a16="http://schemas.microsoft.com/office/drawing/2014/main" id="{FDD44F68-F881-4810-9FD0-894093BD8A82}"/>
            </a:ext>
          </a:extLst>
        </xdr:cNvPr>
        <xdr:cNvSpPr>
          <a:spLocks/>
        </xdr:cNvSpPr>
      </xdr:nvSpPr>
      <xdr:spPr bwMode="auto">
        <a:xfrm>
          <a:off x="8174277" y="18324285"/>
          <a:ext cx="683326" cy="2294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191823</xdr:colOff>
      <xdr:row>93</xdr:row>
      <xdr:rowOff>71275</xdr:rowOff>
    </xdr:from>
    <xdr:to>
      <xdr:col>28</xdr:col>
      <xdr:colOff>187908</xdr:colOff>
      <xdr:row>94</xdr:row>
      <xdr:rowOff>125677</xdr:rowOff>
    </xdr:to>
    <xdr:sp macro="" textlink="">
      <xdr:nvSpPr>
        <xdr:cNvPr id="4192" name="Freeform 10707">
          <a:extLst>
            <a:ext uri="{FF2B5EF4-FFF2-40B4-BE49-F238E27FC236}">
              <a16:creationId xmlns:a16="http://schemas.microsoft.com/office/drawing/2014/main" id="{4E54CE7F-2FF7-4B04-AA3A-334E096973DD}"/>
            </a:ext>
          </a:extLst>
        </xdr:cNvPr>
        <xdr:cNvSpPr>
          <a:spLocks/>
        </xdr:cNvSpPr>
      </xdr:nvSpPr>
      <xdr:spPr bwMode="auto">
        <a:xfrm>
          <a:off x="8867996" y="18330765"/>
          <a:ext cx="689402" cy="24231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192229</xdr:colOff>
      <xdr:row>93</xdr:row>
      <xdr:rowOff>40903</xdr:rowOff>
    </xdr:from>
    <xdr:to>
      <xdr:col>30</xdr:col>
      <xdr:colOff>172384</xdr:colOff>
      <xdr:row>94</xdr:row>
      <xdr:rowOff>93818</xdr:rowOff>
    </xdr:to>
    <xdr:sp macro="" textlink="">
      <xdr:nvSpPr>
        <xdr:cNvPr id="4193" name="Freeform 10707">
          <a:extLst>
            <a:ext uri="{FF2B5EF4-FFF2-40B4-BE49-F238E27FC236}">
              <a16:creationId xmlns:a16="http://schemas.microsoft.com/office/drawing/2014/main" id="{650E26DD-64FE-4BEC-A4C5-746A45E0A1F0}"/>
            </a:ext>
          </a:extLst>
        </xdr:cNvPr>
        <xdr:cNvSpPr>
          <a:spLocks/>
        </xdr:cNvSpPr>
      </xdr:nvSpPr>
      <xdr:spPr bwMode="auto">
        <a:xfrm>
          <a:off x="9561719" y="18300393"/>
          <a:ext cx="641073" cy="2408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192092</xdr:colOff>
      <xdr:row>93</xdr:row>
      <xdr:rowOff>66281</xdr:rowOff>
    </xdr:from>
    <xdr:to>
      <xdr:col>32</xdr:col>
      <xdr:colOff>152405</xdr:colOff>
      <xdr:row>94</xdr:row>
      <xdr:rowOff>92738</xdr:rowOff>
    </xdr:to>
    <xdr:sp macro="" textlink="">
      <xdr:nvSpPr>
        <xdr:cNvPr id="4195" name="Freeform 10707">
          <a:extLst>
            <a:ext uri="{FF2B5EF4-FFF2-40B4-BE49-F238E27FC236}">
              <a16:creationId xmlns:a16="http://schemas.microsoft.com/office/drawing/2014/main" id="{49AAA1D5-8757-44A8-9B0F-7A1081ED9D7C}"/>
            </a:ext>
          </a:extLst>
        </xdr:cNvPr>
        <xdr:cNvSpPr>
          <a:spLocks/>
        </xdr:cNvSpPr>
      </xdr:nvSpPr>
      <xdr:spPr bwMode="auto">
        <a:xfrm>
          <a:off x="10222500" y="18325771"/>
          <a:ext cx="653629" cy="2143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204510</xdr:colOff>
      <xdr:row>93</xdr:row>
      <xdr:rowOff>26864</xdr:rowOff>
    </xdr:from>
    <xdr:to>
      <xdr:col>34</xdr:col>
      <xdr:colOff>250813</xdr:colOff>
      <xdr:row>94</xdr:row>
      <xdr:rowOff>110154</xdr:rowOff>
    </xdr:to>
    <xdr:sp macro="" textlink="">
      <xdr:nvSpPr>
        <xdr:cNvPr id="4196" name="Freeform 10707">
          <a:extLst>
            <a:ext uri="{FF2B5EF4-FFF2-40B4-BE49-F238E27FC236}">
              <a16:creationId xmlns:a16="http://schemas.microsoft.com/office/drawing/2014/main" id="{E672CE2D-19DF-4783-8BAF-4F7533D19F32}"/>
            </a:ext>
          </a:extLst>
        </xdr:cNvPr>
        <xdr:cNvSpPr>
          <a:spLocks/>
        </xdr:cNvSpPr>
      </xdr:nvSpPr>
      <xdr:spPr bwMode="auto">
        <a:xfrm>
          <a:off x="10928234" y="18286354"/>
          <a:ext cx="707222" cy="27119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198438</xdr:colOff>
      <xdr:row>93</xdr:row>
      <xdr:rowOff>39688</xdr:rowOff>
    </xdr:from>
    <xdr:to>
      <xdr:col>36</xdr:col>
      <xdr:colOff>224896</xdr:colOff>
      <xdr:row>94</xdr:row>
      <xdr:rowOff>79375</xdr:rowOff>
    </xdr:to>
    <xdr:sp macro="" textlink="">
      <xdr:nvSpPr>
        <xdr:cNvPr id="4198" name="Freeform 10707">
          <a:extLst>
            <a:ext uri="{FF2B5EF4-FFF2-40B4-BE49-F238E27FC236}">
              <a16:creationId xmlns:a16="http://schemas.microsoft.com/office/drawing/2014/main" id="{60B77C2A-764F-4933-8508-7A3FF14EBFAD}"/>
            </a:ext>
          </a:extLst>
        </xdr:cNvPr>
        <xdr:cNvSpPr>
          <a:spLocks/>
        </xdr:cNvSpPr>
      </xdr:nvSpPr>
      <xdr:spPr bwMode="auto">
        <a:xfrm>
          <a:off x="11575521" y="18600209"/>
          <a:ext cx="701146" cy="23151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105837</xdr:colOff>
      <xdr:row>68</xdr:row>
      <xdr:rowOff>145525</xdr:rowOff>
    </xdr:from>
    <xdr:to>
      <xdr:col>6</xdr:col>
      <xdr:colOff>247385</xdr:colOff>
      <xdr:row>69</xdr:row>
      <xdr:rowOff>125031</xdr:rowOff>
    </xdr:to>
    <xdr:sp macro="" textlink="">
      <xdr:nvSpPr>
        <xdr:cNvPr id="4168" name="6-Point Star 717">
          <a:extLst>
            <a:ext uri="{FF2B5EF4-FFF2-40B4-BE49-F238E27FC236}">
              <a16:creationId xmlns:a16="http://schemas.microsoft.com/office/drawing/2014/main" id="{C89DC371-DA0A-432E-9315-E11BE7D4A9FF}"/>
            </a:ext>
          </a:extLst>
        </xdr:cNvPr>
        <xdr:cNvSpPr/>
      </xdr:nvSpPr>
      <xdr:spPr>
        <a:xfrm>
          <a:off x="1905004" y="13731879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125680</xdr:colOff>
      <xdr:row>92</xdr:row>
      <xdr:rowOff>178600</xdr:rowOff>
    </xdr:from>
    <xdr:to>
      <xdr:col>16</xdr:col>
      <xdr:colOff>267228</xdr:colOff>
      <xdr:row>93</xdr:row>
      <xdr:rowOff>158106</xdr:rowOff>
    </xdr:to>
    <xdr:sp macro="" textlink="">
      <xdr:nvSpPr>
        <xdr:cNvPr id="4199" name="6-Point Star 717">
          <a:extLst>
            <a:ext uri="{FF2B5EF4-FFF2-40B4-BE49-F238E27FC236}">
              <a16:creationId xmlns:a16="http://schemas.microsoft.com/office/drawing/2014/main" id="{AEE694C1-80F0-4445-9961-FCD69BBF0B87}"/>
            </a:ext>
          </a:extLst>
        </xdr:cNvPr>
        <xdr:cNvSpPr/>
      </xdr:nvSpPr>
      <xdr:spPr>
        <a:xfrm>
          <a:off x="5423961" y="18547298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211667</xdr:colOff>
      <xdr:row>45</xdr:row>
      <xdr:rowOff>39686</xdr:rowOff>
    </xdr:from>
    <xdr:to>
      <xdr:col>30</xdr:col>
      <xdr:colOff>198437</xdr:colOff>
      <xdr:row>46</xdr:row>
      <xdr:rowOff>59530</xdr:rowOff>
    </xdr:to>
    <xdr:sp macro="" textlink="">
      <xdr:nvSpPr>
        <xdr:cNvPr id="4201" name="Freeform 10707">
          <a:extLst>
            <a:ext uri="{FF2B5EF4-FFF2-40B4-BE49-F238E27FC236}">
              <a16:creationId xmlns:a16="http://schemas.microsoft.com/office/drawing/2014/main" id="{03AB5B98-9DC2-41EB-8275-1E14A0ADC94F}"/>
            </a:ext>
          </a:extLst>
        </xdr:cNvPr>
        <xdr:cNvSpPr>
          <a:spLocks/>
        </xdr:cNvSpPr>
      </xdr:nvSpPr>
      <xdr:spPr bwMode="auto">
        <a:xfrm>
          <a:off x="9571302" y="8962759"/>
          <a:ext cx="648229" cy="2116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99221</xdr:colOff>
      <xdr:row>92</xdr:row>
      <xdr:rowOff>171982</xdr:rowOff>
    </xdr:from>
    <xdr:to>
      <xdr:col>18</xdr:col>
      <xdr:colOff>240769</xdr:colOff>
      <xdr:row>93</xdr:row>
      <xdr:rowOff>151488</xdr:rowOff>
    </xdr:to>
    <xdr:sp macro="" textlink="">
      <xdr:nvSpPr>
        <xdr:cNvPr id="4169" name="6-Point Star 717">
          <a:extLst>
            <a:ext uri="{FF2B5EF4-FFF2-40B4-BE49-F238E27FC236}">
              <a16:creationId xmlns:a16="http://schemas.microsoft.com/office/drawing/2014/main" id="{5346C8C5-D09B-43CB-8353-3E7B197DB845}"/>
            </a:ext>
          </a:extLst>
        </xdr:cNvPr>
        <xdr:cNvSpPr/>
      </xdr:nvSpPr>
      <xdr:spPr>
        <a:xfrm>
          <a:off x="6118492" y="1854068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125679</xdr:colOff>
      <xdr:row>93</xdr:row>
      <xdr:rowOff>39686</xdr:rowOff>
    </xdr:from>
    <xdr:to>
      <xdr:col>32</xdr:col>
      <xdr:colOff>267227</xdr:colOff>
      <xdr:row>94</xdr:row>
      <xdr:rowOff>19192</xdr:rowOff>
    </xdr:to>
    <xdr:sp macro="" textlink="">
      <xdr:nvSpPr>
        <xdr:cNvPr id="4202" name="6-Point Star 717">
          <a:extLst>
            <a:ext uri="{FF2B5EF4-FFF2-40B4-BE49-F238E27FC236}">
              <a16:creationId xmlns:a16="http://schemas.microsoft.com/office/drawing/2014/main" id="{655A1464-97F3-41AB-9EE4-A1A91EDA16D1}"/>
            </a:ext>
          </a:extLst>
        </xdr:cNvPr>
        <xdr:cNvSpPr/>
      </xdr:nvSpPr>
      <xdr:spPr>
        <a:xfrm>
          <a:off x="10841304" y="18600207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105838</xdr:colOff>
      <xdr:row>93</xdr:row>
      <xdr:rowOff>4</xdr:rowOff>
    </xdr:from>
    <xdr:to>
      <xdr:col>34</xdr:col>
      <xdr:colOff>247386</xdr:colOff>
      <xdr:row>93</xdr:row>
      <xdr:rowOff>171333</xdr:rowOff>
    </xdr:to>
    <xdr:sp macro="" textlink="">
      <xdr:nvSpPr>
        <xdr:cNvPr id="4203" name="6-Point Star 717">
          <a:extLst>
            <a:ext uri="{FF2B5EF4-FFF2-40B4-BE49-F238E27FC236}">
              <a16:creationId xmlns:a16="http://schemas.microsoft.com/office/drawing/2014/main" id="{1EA823E5-2867-4566-86B6-38433C844B9B}"/>
            </a:ext>
          </a:extLst>
        </xdr:cNvPr>
        <xdr:cNvSpPr/>
      </xdr:nvSpPr>
      <xdr:spPr>
        <a:xfrm>
          <a:off x="11482921" y="18560525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246223</xdr:colOff>
      <xdr:row>45</xdr:row>
      <xdr:rowOff>12960</xdr:rowOff>
    </xdr:from>
    <xdr:to>
      <xdr:col>38</xdr:col>
      <xdr:colOff>168468</xdr:colOff>
      <xdr:row>46</xdr:row>
      <xdr:rowOff>97195</xdr:rowOff>
    </xdr:to>
    <xdr:sp macro="" textlink="">
      <xdr:nvSpPr>
        <xdr:cNvPr id="4206" name="Freeform 10707">
          <a:extLst>
            <a:ext uri="{FF2B5EF4-FFF2-40B4-BE49-F238E27FC236}">
              <a16:creationId xmlns:a16="http://schemas.microsoft.com/office/drawing/2014/main" id="{43EC1523-4912-42E6-8B20-C47E27F48D00}"/>
            </a:ext>
          </a:extLst>
        </xdr:cNvPr>
        <xdr:cNvSpPr>
          <a:spLocks/>
        </xdr:cNvSpPr>
      </xdr:nvSpPr>
      <xdr:spPr bwMode="auto">
        <a:xfrm>
          <a:off x="12304743" y="8786327"/>
          <a:ext cx="622041" cy="2721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181430</xdr:colOff>
      <xdr:row>45</xdr:row>
      <xdr:rowOff>1</xdr:rowOff>
    </xdr:from>
    <xdr:to>
      <xdr:col>34</xdr:col>
      <xdr:colOff>161989</xdr:colOff>
      <xdr:row>46</xdr:row>
      <xdr:rowOff>51836</xdr:rowOff>
    </xdr:to>
    <xdr:sp macro="" textlink="">
      <xdr:nvSpPr>
        <xdr:cNvPr id="4207" name="Freeform 10707">
          <a:extLst>
            <a:ext uri="{FF2B5EF4-FFF2-40B4-BE49-F238E27FC236}">
              <a16:creationId xmlns:a16="http://schemas.microsoft.com/office/drawing/2014/main" id="{E1BCB0DB-009C-43EC-90F6-87E626450BB6}"/>
            </a:ext>
          </a:extLst>
        </xdr:cNvPr>
        <xdr:cNvSpPr>
          <a:spLocks/>
        </xdr:cNvSpPr>
      </xdr:nvSpPr>
      <xdr:spPr bwMode="auto">
        <a:xfrm>
          <a:off x="10905154" y="8773368"/>
          <a:ext cx="641478" cy="2397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105839</xdr:colOff>
      <xdr:row>100</xdr:row>
      <xdr:rowOff>165368</xdr:rowOff>
    </xdr:from>
    <xdr:to>
      <xdr:col>6</xdr:col>
      <xdr:colOff>247387</xdr:colOff>
      <xdr:row>101</xdr:row>
      <xdr:rowOff>144874</xdr:rowOff>
    </xdr:to>
    <xdr:sp macro="" textlink="">
      <xdr:nvSpPr>
        <xdr:cNvPr id="4107" name="6-Point Star 717">
          <a:extLst>
            <a:ext uri="{FF2B5EF4-FFF2-40B4-BE49-F238E27FC236}">
              <a16:creationId xmlns:a16="http://schemas.microsoft.com/office/drawing/2014/main" id="{4E362F6A-8874-47F4-A9C3-A2BB9298AD43}"/>
            </a:ext>
          </a:extLst>
        </xdr:cNvPr>
        <xdr:cNvSpPr/>
      </xdr:nvSpPr>
      <xdr:spPr>
        <a:xfrm>
          <a:off x="1905006" y="20128181"/>
          <a:ext cx="141548" cy="17132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125681</xdr:colOff>
      <xdr:row>100</xdr:row>
      <xdr:rowOff>152139</xdr:rowOff>
    </xdr:from>
    <xdr:to>
      <xdr:col>8</xdr:col>
      <xdr:colOff>267229</xdr:colOff>
      <xdr:row>101</xdr:row>
      <xdr:rowOff>131645</xdr:rowOff>
    </xdr:to>
    <xdr:sp macro="" textlink="">
      <xdr:nvSpPr>
        <xdr:cNvPr id="4113" name="6-Point Star 717">
          <a:extLst>
            <a:ext uri="{FF2B5EF4-FFF2-40B4-BE49-F238E27FC236}">
              <a16:creationId xmlns:a16="http://schemas.microsoft.com/office/drawing/2014/main" id="{AF09E5B7-96FB-4D35-8B48-5902DC2E348D}"/>
            </a:ext>
          </a:extLst>
        </xdr:cNvPr>
        <xdr:cNvSpPr/>
      </xdr:nvSpPr>
      <xdr:spPr>
        <a:xfrm>
          <a:off x="2619379" y="20114952"/>
          <a:ext cx="141548" cy="17132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125682</xdr:colOff>
      <xdr:row>116</xdr:row>
      <xdr:rowOff>158748</xdr:rowOff>
    </xdr:from>
    <xdr:to>
      <xdr:col>44</xdr:col>
      <xdr:colOff>267230</xdr:colOff>
      <xdr:row>117</xdr:row>
      <xdr:rowOff>138254</xdr:rowOff>
    </xdr:to>
    <xdr:sp macro="" textlink="">
      <xdr:nvSpPr>
        <xdr:cNvPr id="4205" name="6-Point Star 717">
          <a:extLst>
            <a:ext uri="{FF2B5EF4-FFF2-40B4-BE49-F238E27FC236}">
              <a16:creationId xmlns:a16="http://schemas.microsoft.com/office/drawing/2014/main" id="{9CDA6AB2-7DFD-4417-8321-B05F027CA39E}"/>
            </a:ext>
          </a:extLst>
        </xdr:cNvPr>
        <xdr:cNvSpPr/>
      </xdr:nvSpPr>
      <xdr:spPr>
        <a:xfrm>
          <a:off x="14975422" y="2330979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99222</xdr:colOff>
      <xdr:row>60</xdr:row>
      <xdr:rowOff>171984</xdr:rowOff>
    </xdr:from>
    <xdr:to>
      <xdr:col>34</xdr:col>
      <xdr:colOff>240770</xdr:colOff>
      <xdr:row>61</xdr:row>
      <xdr:rowOff>151490</xdr:rowOff>
    </xdr:to>
    <xdr:sp macro="" textlink="">
      <xdr:nvSpPr>
        <xdr:cNvPr id="4208" name="6-Point Star 717">
          <a:extLst>
            <a:ext uri="{FF2B5EF4-FFF2-40B4-BE49-F238E27FC236}">
              <a16:creationId xmlns:a16="http://schemas.microsoft.com/office/drawing/2014/main" id="{46482946-BA91-46FA-A91D-992022B41E74}"/>
            </a:ext>
          </a:extLst>
        </xdr:cNvPr>
        <xdr:cNvSpPr/>
      </xdr:nvSpPr>
      <xdr:spPr>
        <a:xfrm>
          <a:off x="11476305" y="12164224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112453</xdr:colOff>
      <xdr:row>61</xdr:row>
      <xdr:rowOff>19847</xdr:rowOff>
    </xdr:from>
    <xdr:to>
      <xdr:col>24</xdr:col>
      <xdr:colOff>254001</xdr:colOff>
      <xdr:row>61</xdr:row>
      <xdr:rowOff>191176</xdr:rowOff>
    </xdr:to>
    <xdr:sp macro="" textlink="">
      <xdr:nvSpPr>
        <xdr:cNvPr id="4210" name="6-Point Star 717">
          <a:extLst>
            <a:ext uri="{FF2B5EF4-FFF2-40B4-BE49-F238E27FC236}">
              <a16:creationId xmlns:a16="http://schemas.microsoft.com/office/drawing/2014/main" id="{D06D3F3D-BF69-4FD2-8A26-7D22339FC637}"/>
            </a:ext>
          </a:extLst>
        </xdr:cNvPr>
        <xdr:cNvSpPr/>
      </xdr:nvSpPr>
      <xdr:spPr>
        <a:xfrm>
          <a:off x="8116099" y="1220391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105830</xdr:colOff>
      <xdr:row>60</xdr:row>
      <xdr:rowOff>185214</xdr:rowOff>
    </xdr:from>
    <xdr:to>
      <xdr:col>12</xdr:col>
      <xdr:colOff>247378</xdr:colOff>
      <xdr:row>61</xdr:row>
      <xdr:rowOff>164720</xdr:rowOff>
    </xdr:to>
    <xdr:sp macro="" textlink="">
      <xdr:nvSpPr>
        <xdr:cNvPr id="4212" name="6-Point Star 717">
          <a:extLst>
            <a:ext uri="{FF2B5EF4-FFF2-40B4-BE49-F238E27FC236}">
              <a16:creationId xmlns:a16="http://schemas.microsoft.com/office/drawing/2014/main" id="{C4318CFC-F036-42D9-94D4-E9D8CB86BB22}"/>
            </a:ext>
          </a:extLst>
        </xdr:cNvPr>
        <xdr:cNvSpPr/>
      </xdr:nvSpPr>
      <xdr:spPr>
        <a:xfrm>
          <a:off x="4048122" y="12177454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141547</xdr:colOff>
      <xdr:row>92</xdr:row>
      <xdr:rowOff>171329</xdr:rowOff>
    </xdr:from>
    <xdr:to>
      <xdr:col>36</xdr:col>
      <xdr:colOff>264582</xdr:colOff>
      <xdr:row>93</xdr:row>
      <xdr:rowOff>132292</xdr:rowOff>
    </xdr:to>
    <xdr:sp macro="" textlink="">
      <xdr:nvSpPr>
        <xdr:cNvPr id="4214" name="6-Point Star 717">
          <a:extLst>
            <a:ext uri="{FF2B5EF4-FFF2-40B4-BE49-F238E27FC236}">
              <a16:creationId xmlns:a16="http://schemas.microsoft.com/office/drawing/2014/main" id="{B6EA1832-F186-436F-A490-57595D70583B}"/>
            </a:ext>
          </a:extLst>
        </xdr:cNvPr>
        <xdr:cNvSpPr/>
      </xdr:nvSpPr>
      <xdr:spPr>
        <a:xfrm flipH="1" flipV="1">
          <a:off x="12193318" y="18540027"/>
          <a:ext cx="123035" cy="15278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138907</xdr:colOff>
      <xdr:row>52</xdr:row>
      <xdr:rowOff>125677</xdr:rowOff>
    </xdr:from>
    <xdr:to>
      <xdr:col>44</xdr:col>
      <xdr:colOff>280455</xdr:colOff>
      <xdr:row>53</xdr:row>
      <xdr:rowOff>105184</xdr:rowOff>
    </xdr:to>
    <xdr:sp macro="" textlink="">
      <xdr:nvSpPr>
        <xdr:cNvPr id="4215" name="6-Point Star 717">
          <a:extLst>
            <a:ext uri="{FF2B5EF4-FFF2-40B4-BE49-F238E27FC236}">
              <a16:creationId xmlns:a16="http://schemas.microsoft.com/office/drawing/2014/main" id="{7791BD61-FFB7-4A39-B1DB-D33F09AADFE7}"/>
            </a:ext>
          </a:extLst>
        </xdr:cNvPr>
        <xdr:cNvSpPr/>
      </xdr:nvSpPr>
      <xdr:spPr>
        <a:xfrm>
          <a:off x="14988647" y="10523802"/>
          <a:ext cx="141548" cy="17133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207349</xdr:colOff>
      <xdr:row>44</xdr:row>
      <xdr:rowOff>181429</xdr:rowOff>
    </xdr:from>
    <xdr:to>
      <xdr:col>36</xdr:col>
      <xdr:colOff>174952</xdr:colOff>
      <xdr:row>46</xdr:row>
      <xdr:rowOff>84235</xdr:rowOff>
    </xdr:to>
    <xdr:sp macro="" textlink="">
      <xdr:nvSpPr>
        <xdr:cNvPr id="4216" name="Freeform 10707">
          <a:extLst>
            <a:ext uri="{FF2B5EF4-FFF2-40B4-BE49-F238E27FC236}">
              <a16:creationId xmlns:a16="http://schemas.microsoft.com/office/drawing/2014/main" id="{C476D96F-4180-408F-8DB8-465B70C31884}"/>
            </a:ext>
          </a:extLst>
        </xdr:cNvPr>
        <xdr:cNvSpPr>
          <a:spLocks/>
        </xdr:cNvSpPr>
      </xdr:nvSpPr>
      <xdr:spPr bwMode="auto">
        <a:xfrm>
          <a:off x="11591992" y="8766888"/>
          <a:ext cx="641480" cy="2786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224896</xdr:colOff>
      <xdr:row>61</xdr:row>
      <xdr:rowOff>52916</xdr:rowOff>
    </xdr:from>
    <xdr:to>
      <xdr:col>32</xdr:col>
      <xdr:colOff>231511</xdr:colOff>
      <xdr:row>62</xdr:row>
      <xdr:rowOff>66147</xdr:rowOff>
    </xdr:to>
    <xdr:sp macro="" textlink="">
      <xdr:nvSpPr>
        <xdr:cNvPr id="4217" name="Freeform 10707">
          <a:extLst>
            <a:ext uri="{FF2B5EF4-FFF2-40B4-BE49-F238E27FC236}">
              <a16:creationId xmlns:a16="http://schemas.microsoft.com/office/drawing/2014/main" id="{1D02D28B-B251-42EC-B587-D056F362FBDA}"/>
            </a:ext>
          </a:extLst>
        </xdr:cNvPr>
        <xdr:cNvSpPr>
          <a:spLocks/>
        </xdr:cNvSpPr>
      </xdr:nvSpPr>
      <xdr:spPr bwMode="auto">
        <a:xfrm>
          <a:off x="10245990" y="12236979"/>
          <a:ext cx="701146" cy="20505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194388</xdr:colOff>
      <xdr:row>61</xdr:row>
      <xdr:rowOff>64796</xdr:rowOff>
    </xdr:from>
    <xdr:to>
      <xdr:col>30</xdr:col>
      <xdr:colOff>233401</xdr:colOff>
      <xdr:row>62</xdr:row>
      <xdr:rowOff>78027</xdr:rowOff>
    </xdr:to>
    <xdr:sp macro="" textlink="">
      <xdr:nvSpPr>
        <xdr:cNvPr id="4170" name="Freeform 10707">
          <a:extLst>
            <a:ext uri="{FF2B5EF4-FFF2-40B4-BE49-F238E27FC236}">
              <a16:creationId xmlns:a16="http://schemas.microsoft.com/office/drawing/2014/main" id="{867AE1D2-63C9-48DE-8726-31BD97C5F322}"/>
            </a:ext>
          </a:extLst>
        </xdr:cNvPr>
        <xdr:cNvSpPr>
          <a:spLocks/>
        </xdr:cNvSpPr>
      </xdr:nvSpPr>
      <xdr:spPr bwMode="auto">
        <a:xfrm>
          <a:off x="9563878" y="12052041"/>
          <a:ext cx="699931" cy="20113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123116</xdr:colOff>
      <xdr:row>84</xdr:row>
      <xdr:rowOff>168475</xdr:rowOff>
    </xdr:from>
    <xdr:to>
      <xdr:col>20</xdr:col>
      <xdr:colOff>264664</xdr:colOff>
      <xdr:row>85</xdr:row>
      <xdr:rowOff>147981</xdr:rowOff>
    </xdr:to>
    <xdr:sp macro="" textlink="">
      <xdr:nvSpPr>
        <xdr:cNvPr id="4221" name="6-Point Star 717">
          <a:extLst>
            <a:ext uri="{FF2B5EF4-FFF2-40B4-BE49-F238E27FC236}">
              <a16:creationId xmlns:a16="http://schemas.microsoft.com/office/drawing/2014/main" id="{8DBDAE07-72C5-45AA-8AF0-C1DFA93553E3}"/>
            </a:ext>
          </a:extLst>
        </xdr:cNvPr>
        <xdr:cNvSpPr/>
      </xdr:nvSpPr>
      <xdr:spPr>
        <a:xfrm>
          <a:off x="6816534" y="16671995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97196</xdr:colOff>
      <xdr:row>61</xdr:row>
      <xdr:rowOff>2</xdr:rowOff>
    </xdr:from>
    <xdr:to>
      <xdr:col>32</xdr:col>
      <xdr:colOff>238744</xdr:colOff>
      <xdr:row>61</xdr:row>
      <xdr:rowOff>167416</xdr:rowOff>
    </xdr:to>
    <xdr:sp macro="" textlink="">
      <xdr:nvSpPr>
        <xdr:cNvPr id="3803" name="6-Point Star 717">
          <a:extLst>
            <a:ext uri="{FF2B5EF4-FFF2-40B4-BE49-F238E27FC236}">
              <a16:creationId xmlns:a16="http://schemas.microsoft.com/office/drawing/2014/main" id="{DF4FA8D6-6840-4346-92B1-3FF9198C3574}"/>
            </a:ext>
          </a:extLst>
        </xdr:cNvPr>
        <xdr:cNvSpPr/>
      </xdr:nvSpPr>
      <xdr:spPr>
        <a:xfrm>
          <a:off x="10820920" y="11987247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129596</xdr:colOff>
      <xdr:row>52</xdr:row>
      <xdr:rowOff>161993</xdr:rowOff>
    </xdr:from>
    <xdr:to>
      <xdr:col>2</xdr:col>
      <xdr:colOff>271144</xdr:colOff>
      <xdr:row>53</xdr:row>
      <xdr:rowOff>141500</xdr:rowOff>
    </xdr:to>
    <xdr:sp macro="" textlink="">
      <xdr:nvSpPr>
        <xdr:cNvPr id="4219" name="6-Point Star 717">
          <a:extLst>
            <a:ext uri="{FF2B5EF4-FFF2-40B4-BE49-F238E27FC236}">
              <a16:creationId xmlns:a16="http://schemas.microsoft.com/office/drawing/2014/main" id="{479FACEE-7932-45A6-92AE-80B7D4556A0D}"/>
            </a:ext>
          </a:extLst>
        </xdr:cNvPr>
        <xdr:cNvSpPr/>
      </xdr:nvSpPr>
      <xdr:spPr>
        <a:xfrm>
          <a:off x="537810" y="10393269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110156</xdr:colOff>
      <xdr:row>53</xdr:row>
      <xdr:rowOff>2</xdr:rowOff>
    </xdr:from>
    <xdr:to>
      <xdr:col>4</xdr:col>
      <xdr:colOff>251704</xdr:colOff>
      <xdr:row>53</xdr:row>
      <xdr:rowOff>167417</xdr:rowOff>
    </xdr:to>
    <xdr:sp macro="" textlink="">
      <xdr:nvSpPr>
        <xdr:cNvPr id="4223" name="6-Point Star 717">
          <a:extLst>
            <a:ext uri="{FF2B5EF4-FFF2-40B4-BE49-F238E27FC236}">
              <a16:creationId xmlns:a16="http://schemas.microsoft.com/office/drawing/2014/main" id="{CB899D6C-022D-4BE4-A0D3-9AC2CADA4DE4}"/>
            </a:ext>
          </a:extLst>
        </xdr:cNvPr>
        <xdr:cNvSpPr/>
      </xdr:nvSpPr>
      <xdr:spPr>
        <a:xfrm>
          <a:off x="1257044" y="10419186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213823</xdr:colOff>
      <xdr:row>53</xdr:row>
      <xdr:rowOff>38878</xdr:rowOff>
    </xdr:from>
    <xdr:to>
      <xdr:col>26</xdr:col>
      <xdr:colOff>161991</xdr:colOff>
      <xdr:row>54</xdr:row>
      <xdr:rowOff>116632</xdr:rowOff>
    </xdr:to>
    <xdr:sp macro="" textlink="">
      <xdr:nvSpPr>
        <xdr:cNvPr id="4225" name="Freeform 10707">
          <a:extLst>
            <a:ext uri="{FF2B5EF4-FFF2-40B4-BE49-F238E27FC236}">
              <a16:creationId xmlns:a16="http://schemas.microsoft.com/office/drawing/2014/main" id="{6FD94293-66DA-47EE-A354-D6F87A34B4EF}"/>
            </a:ext>
          </a:extLst>
        </xdr:cNvPr>
        <xdr:cNvSpPr>
          <a:spLocks/>
        </xdr:cNvSpPr>
      </xdr:nvSpPr>
      <xdr:spPr bwMode="auto">
        <a:xfrm>
          <a:off x="8229078" y="10458062"/>
          <a:ext cx="609086" cy="2656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226785</xdr:colOff>
      <xdr:row>53</xdr:row>
      <xdr:rowOff>77754</xdr:rowOff>
    </xdr:from>
    <xdr:to>
      <xdr:col>28</xdr:col>
      <xdr:colOff>181428</xdr:colOff>
      <xdr:row>54</xdr:row>
      <xdr:rowOff>97193</xdr:rowOff>
    </xdr:to>
    <xdr:sp macro="" textlink="">
      <xdr:nvSpPr>
        <xdr:cNvPr id="4226" name="Freeform 10707">
          <a:extLst>
            <a:ext uri="{FF2B5EF4-FFF2-40B4-BE49-F238E27FC236}">
              <a16:creationId xmlns:a16="http://schemas.microsoft.com/office/drawing/2014/main" id="{21F28D4B-080D-4320-863E-CD354AC78913}"/>
            </a:ext>
          </a:extLst>
        </xdr:cNvPr>
        <xdr:cNvSpPr>
          <a:spLocks/>
        </xdr:cNvSpPr>
      </xdr:nvSpPr>
      <xdr:spPr bwMode="auto">
        <a:xfrm>
          <a:off x="8902958" y="10496938"/>
          <a:ext cx="647960" cy="2073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233263</xdr:colOff>
      <xdr:row>53</xdr:row>
      <xdr:rowOff>58316</xdr:rowOff>
    </xdr:from>
    <xdr:to>
      <xdr:col>30</xdr:col>
      <xdr:colOff>155511</xdr:colOff>
      <xdr:row>54</xdr:row>
      <xdr:rowOff>129592</xdr:rowOff>
    </xdr:to>
    <xdr:sp macro="" textlink="">
      <xdr:nvSpPr>
        <xdr:cNvPr id="4228" name="Freeform 10707">
          <a:extLst>
            <a:ext uri="{FF2B5EF4-FFF2-40B4-BE49-F238E27FC236}">
              <a16:creationId xmlns:a16="http://schemas.microsoft.com/office/drawing/2014/main" id="{49F9147A-370C-48BB-9F11-D09E46841B70}"/>
            </a:ext>
          </a:extLst>
        </xdr:cNvPr>
        <xdr:cNvSpPr>
          <a:spLocks/>
        </xdr:cNvSpPr>
      </xdr:nvSpPr>
      <xdr:spPr bwMode="auto">
        <a:xfrm>
          <a:off x="9602753" y="10477500"/>
          <a:ext cx="583166" cy="2591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246220</xdr:colOff>
      <xdr:row>53</xdr:row>
      <xdr:rowOff>64800</xdr:rowOff>
    </xdr:from>
    <xdr:to>
      <xdr:col>32</xdr:col>
      <xdr:colOff>194386</xdr:colOff>
      <xdr:row>54</xdr:row>
      <xdr:rowOff>136076</xdr:rowOff>
    </xdr:to>
    <xdr:sp macro="" textlink="">
      <xdr:nvSpPr>
        <xdr:cNvPr id="4229" name="Freeform 10707">
          <a:extLst>
            <a:ext uri="{FF2B5EF4-FFF2-40B4-BE49-F238E27FC236}">
              <a16:creationId xmlns:a16="http://schemas.microsoft.com/office/drawing/2014/main" id="{2BFCC033-9057-4CA0-A237-85ED08334A2D}"/>
            </a:ext>
          </a:extLst>
        </xdr:cNvPr>
        <xdr:cNvSpPr>
          <a:spLocks/>
        </xdr:cNvSpPr>
      </xdr:nvSpPr>
      <xdr:spPr bwMode="auto">
        <a:xfrm>
          <a:off x="10276628" y="10483984"/>
          <a:ext cx="641482" cy="2591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213827</xdr:colOff>
      <xdr:row>53</xdr:row>
      <xdr:rowOff>38878</xdr:rowOff>
    </xdr:from>
    <xdr:to>
      <xdr:col>34</xdr:col>
      <xdr:colOff>194390</xdr:colOff>
      <xdr:row>54</xdr:row>
      <xdr:rowOff>110154</xdr:rowOff>
    </xdr:to>
    <xdr:sp macro="" textlink="">
      <xdr:nvSpPr>
        <xdr:cNvPr id="4230" name="Freeform 10707">
          <a:extLst>
            <a:ext uri="{FF2B5EF4-FFF2-40B4-BE49-F238E27FC236}">
              <a16:creationId xmlns:a16="http://schemas.microsoft.com/office/drawing/2014/main" id="{4D12833F-0786-459A-9334-4F8EB18F21D3}"/>
            </a:ext>
          </a:extLst>
        </xdr:cNvPr>
        <xdr:cNvSpPr>
          <a:spLocks/>
        </xdr:cNvSpPr>
      </xdr:nvSpPr>
      <xdr:spPr bwMode="auto">
        <a:xfrm>
          <a:off x="10937551" y="10458062"/>
          <a:ext cx="641482" cy="2591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239738</xdr:colOff>
      <xdr:row>53</xdr:row>
      <xdr:rowOff>38880</xdr:rowOff>
    </xdr:from>
    <xdr:to>
      <xdr:col>36</xdr:col>
      <xdr:colOff>207343</xdr:colOff>
      <xdr:row>54</xdr:row>
      <xdr:rowOff>110156</xdr:rowOff>
    </xdr:to>
    <xdr:sp macro="" textlink="">
      <xdr:nvSpPr>
        <xdr:cNvPr id="4231" name="Freeform 10707">
          <a:extLst>
            <a:ext uri="{FF2B5EF4-FFF2-40B4-BE49-F238E27FC236}">
              <a16:creationId xmlns:a16="http://schemas.microsoft.com/office/drawing/2014/main" id="{93B4878B-8BC0-4D92-A218-42FE3F95AFBE}"/>
            </a:ext>
          </a:extLst>
        </xdr:cNvPr>
        <xdr:cNvSpPr>
          <a:spLocks/>
        </xdr:cNvSpPr>
      </xdr:nvSpPr>
      <xdr:spPr bwMode="auto">
        <a:xfrm>
          <a:off x="11624381" y="10458064"/>
          <a:ext cx="641482" cy="2591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252703</xdr:colOff>
      <xdr:row>53</xdr:row>
      <xdr:rowOff>38880</xdr:rowOff>
    </xdr:from>
    <xdr:to>
      <xdr:col>38</xdr:col>
      <xdr:colOff>194389</xdr:colOff>
      <xdr:row>54</xdr:row>
      <xdr:rowOff>110156</xdr:rowOff>
    </xdr:to>
    <xdr:sp macro="" textlink="">
      <xdr:nvSpPr>
        <xdr:cNvPr id="4233" name="Freeform 10707">
          <a:extLst>
            <a:ext uri="{FF2B5EF4-FFF2-40B4-BE49-F238E27FC236}">
              <a16:creationId xmlns:a16="http://schemas.microsoft.com/office/drawing/2014/main" id="{B945860C-2F7B-4BA6-8AC6-E0CBF89946C0}"/>
            </a:ext>
          </a:extLst>
        </xdr:cNvPr>
        <xdr:cNvSpPr>
          <a:spLocks/>
        </xdr:cNvSpPr>
      </xdr:nvSpPr>
      <xdr:spPr bwMode="auto">
        <a:xfrm>
          <a:off x="12311223" y="10458064"/>
          <a:ext cx="641482" cy="2591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233258</xdr:colOff>
      <xdr:row>53</xdr:row>
      <xdr:rowOff>19440</xdr:rowOff>
    </xdr:from>
    <xdr:to>
      <xdr:col>40</xdr:col>
      <xdr:colOff>181423</xdr:colOff>
      <xdr:row>54</xdr:row>
      <xdr:rowOff>90716</xdr:rowOff>
    </xdr:to>
    <xdr:sp macro="" textlink="">
      <xdr:nvSpPr>
        <xdr:cNvPr id="4234" name="Freeform 10707">
          <a:extLst>
            <a:ext uri="{FF2B5EF4-FFF2-40B4-BE49-F238E27FC236}">
              <a16:creationId xmlns:a16="http://schemas.microsoft.com/office/drawing/2014/main" id="{964DA397-0155-4AF9-9EF3-0399291130AC}"/>
            </a:ext>
          </a:extLst>
        </xdr:cNvPr>
        <xdr:cNvSpPr>
          <a:spLocks/>
        </xdr:cNvSpPr>
      </xdr:nvSpPr>
      <xdr:spPr bwMode="auto">
        <a:xfrm>
          <a:off x="12991574" y="10438624"/>
          <a:ext cx="641482" cy="2591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77758</xdr:colOff>
      <xdr:row>36</xdr:row>
      <xdr:rowOff>155512</xdr:rowOff>
    </xdr:from>
    <xdr:to>
      <xdr:col>42</xdr:col>
      <xdr:colOff>219306</xdr:colOff>
      <xdr:row>37</xdr:row>
      <xdr:rowOff>135018</xdr:rowOff>
    </xdr:to>
    <xdr:sp macro="" textlink="">
      <xdr:nvSpPr>
        <xdr:cNvPr id="4236" name="6-Point Star 717">
          <a:extLst>
            <a:ext uri="{FF2B5EF4-FFF2-40B4-BE49-F238E27FC236}">
              <a16:creationId xmlns:a16="http://schemas.microsoft.com/office/drawing/2014/main" id="{02DE04A8-C1A1-40A6-888C-FA8D61482A6C}"/>
            </a:ext>
          </a:extLst>
        </xdr:cNvPr>
        <xdr:cNvSpPr/>
      </xdr:nvSpPr>
      <xdr:spPr>
        <a:xfrm>
          <a:off x="14157911" y="7172910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</xdr:col>
      <xdr:colOff>0</xdr:colOff>
      <xdr:row>45</xdr:row>
      <xdr:rowOff>51837</xdr:rowOff>
    </xdr:from>
    <xdr:to>
      <xdr:col>30</xdr:col>
      <xdr:colOff>304541</xdr:colOff>
      <xdr:row>45</xdr:row>
      <xdr:rowOff>58726</xdr:rowOff>
    </xdr:to>
    <xdr:cxnSp macro="">
      <xdr:nvCxnSpPr>
        <xdr:cNvPr id="4241" name="Straight Connector 4240">
          <a:extLst>
            <a:ext uri="{FF2B5EF4-FFF2-40B4-BE49-F238E27FC236}">
              <a16:creationId xmlns:a16="http://schemas.microsoft.com/office/drawing/2014/main" id="{92747CCD-B534-45A8-803E-FD2D868D08C4}"/>
            </a:ext>
          </a:extLst>
        </xdr:cNvPr>
        <xdr:cNvCxnSpPr/>
      </xdr:nvCxnSpPr>
      <xdr:spPr>
        <a:xfrm flipV="1">
          <a:off x="110153" y="8825204"/>
          <a:ext cx="10224796" cy="6889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220306</xdr:colOff>
      <xdr:row>45</xdr:row>
      <xdr:rowOff>6480</xdr:rowOff>
    </xdr:from>
    <xdr:to>
      <xdr:col>40</xdr:col>
      <xdr:colOff>149030</xdr:colOff>
      <xdr:row>46</xdr:row>
      <xdr:rowOff>90715</xdr:rowOff>
    </xdr:to>
    <xdr:sp macro="" textlink="">
      <xdr:nvSpPr>
        <xdr:cNvPr id="4243" name="Freeform 10707">
          <a:extLst>
            <a:ext uri="{FF2B5EF4-FFF2-40B4-BE49-F238E27FC236}">
              <a16:creationId xmlns:a16="http://schemas.microsoft.com/office/drawing/2014/main" id="{11807E23-71CD-4103-A2CD-5B96D4D3E343}"/>
            </a:ext>
          </a:extLst>
        </xdr:cNvPr>
        <xdr:cNvSpPr>
          <a:spLocks/>
        </xdr:cNvSpPr>
      </xdr:nvSpPr>
      <xdr:spPr bwMode="auto">
        <a:xfrm>
          <a:off x="12978622" y="8779847"/>
          <a:ext cx="622041" cy="2721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207345</xdr:colOff>
      <xdr:row>45</xdr:row>
      <xdr:rowOff>12960</xdr:rowOff>
    </xdr:from>
    <xdr:to>
      <xdr:col>42</xdr:col>
      <xdr:colOff>200866</xdr:colOff>
      <xdr:row>46</xdr:row>
      <xdr:rowOff>97195</xdr:rowOff>
    </xdr:to>
    <xdr:sp macro="" textlink="">
      <xdr:nvSpPr>
        <xdr:cNvPr id="4244" name="Freeform 10707">
          <a:extLst>
            <a:ext uri="{FF2B5EF4-FFF2-40B4-BE49-F238E27FC236}">
              <a16:creationId xmlns:a16="http://schemas.microsoft.com/office/drawing/2014/main" id="{91E33106-278C-4EB3-A540-F16DB0B5DF13}"/>
            </a:ext>
          </a:extLst>
        </xdr:cNvPr>
        <xdr:cNvSpPr>
          <a:spLocks/>
        </xdr:cNvSpPr>
      </xdr:nvSpPr>
      <xdr:spPr bwMode="auto">
        <a:xfrm>
          <a:off x="13658978" y="8786327"/>
          <a:ext cx="622041" cy="2721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239739</xdr:colOff>
      <xdr:row>45</xdr:row>
      <xdr:rowOff>12960</xdr:rowOff>
    </xdr:from>
    <xdr:to>
      <xdr:col>44</xdr:col>
      <xdr:colOff>174949</xdr:colOff>
      <xdr:row>46</xdr:row>
      <xdr:rowOff>84235</xdr:rowOff>
    </xdr:to>
    <xdr:sp macro="" textlink="">
      <xdr:nvSpPr>
        <xdr:cNvPr id="4245" name="Freeform 10707">
          <a:extLst>
            <a:ext uri="{FF2B5EF4-FFF2-40B4-BE49-F238E27FC236}">
              <a16:creationId xmlns:a16="http://schemas.microsoft.com/office/drawing/2014/main" id="{B01B17F5-6DD0-48C8-BC0A-62966A388A58}"/>
            </a:ext>
          </a:extLst>
        </xdr:cNvPr>
        <xdr:cNvSpPr>
          <a:spLocks/>
        </xdr:cNvSpPr>
      </xdr:nvSpPr>
      <xdr:spPr bwMode="auto">
        <a:xfrm>
          <a:off x="14319892" y="8786327"/>
          <a:ext cx="719241" cy="2591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252703</xdr:colOff>
      <xdr:row>45</xdr:row>
      <xdr:rowOff>12960</xdr:rowOff>
    </xdr:from>
    <xdr:to>
      <xdr:col>46</xdr:col>
      <xdr:colOff>64795</xdr:colOff>
      <xdr:row>46</xdr:row>
      <xdr:rowOff>97195</xdr:rowOff>
    </xdr:to>
    <xdr:sp macro="" textlink="">
      <xdr:nvSpPr>
        <xdr:cNvPr id="4246" name="Freeform 10707">
          <a:extLst>
            <a:ext uri="{FF2B5EF4-FFF2-40B4-BE49-F238E27FC236}">
              <a16:creationId xmlns:a16="http://schemas.microsoft.com/office/drawing/2014/main" id="{6C2071AE-12BE-4FC4-97DC-BEB045614898}"/>
            </a:ext>
          </a:extLst>
        </xdr:cNvPr>
        <xdr:cNvSpPr>
          <a:spLocks/>
        </xdr:cNvSpPr>
      </xdr:nvSpPr>
      <xdr:spPr bwMode="auto">
        <a:xfrm>
          <a:off x="15116887" y="8786327"/>
          <a:ext cx="622041" cy="2721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1</xdr:colOff>
      <xdr:row>53</xdr:row>
      <xdr:rowOff>71275</xdr:rowOff>
    </xdr:from>
    <xdr:to>
      <xdr:col>2</xdr:col>
      <xdr:colOff>168471</xdr:colOff>
      <xdr:row>54</xdr:row>
      <xdr:rowOff>110155</xdr:rowOff>
    </xdr:to>
    <xdr:sp macro="" textlink="">
      <xdr:nvSpPr>
        <xdr:cNvPr id="4247" name="Freeform 10707">
          <a:extLst>
            <a:ext uri="{FF2B5EF4-FFF2-40B4-BE49-F238E27FC236}">
              <a16:creationId xmlns:a16="http://schemas.microsoft.com/office/drawing/2014/main" id="{EC106652-B0D3-416B-989E-6063AD593725}"/>
            </a:ext>
          </a:extLst>
        </xdr:cNvPr>
        <xdr:cNvSpPr>
          <a:spLocks/>
        </xdr:cNvSpPr>
      </xdr:nvSpPr>
      <xdr:spPr bwMode="auto">
        <a:xfrm>
          <a:off x="1" y="10490459"/>
          <a:ext cx="576684" cy="2267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252705</xdr:colOff>
      <xdr:row>53</xdr:row>
      <xdr:rowOff>58316</xdr:rowOff>
    </xdr:from>
    <xdr:to>
      <xdr:col>4</xdr:col>
      <xdr:colOff>226785</xdr:colOff>
      <xdr:row>54</xdr:row>
      <xdr:rowOff>84235</xdr:rowOff>
    </xdr:to>
    <xdr:sp macro="" textlink="">
      <xdr:nvSpPr>
        <xdr:cNvPr id="4248" name="Freeform 10707">
          <a:extLst>
            <a:ext uri="{FF2B5EF4-FFF2-40B4-BE49-F238E27FC236}">
              <a16:creationId xmlns:a16="http://schemas.microsoft.com/office/drawing/2014/main" id="{712FE145-302C-4BFD-B118-7AF85DFE6C3C}"/>
            </a:ext>
          </a:extLst>
        </xdr:cNvPr>
        <xdr:cNvSpPr>
          <a:spLocks/>
        </xdr:cNvSpPr>
      </xdr:nvSpPr>
      <xdr:spPr bwMode="auto">
        <a:xfrm>
          <a:off x="660919" y="10477500"/>
          <a:ext cx="712754" cy="2138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213827</xdr:colOff>
      <xdr:row>53</xdr:row>
      <xdr:rowOff>32398</xdr:rowOff>
    </xdr:from>
    <xdr:to>
      <xdr:col>6</xdr:col>
      <xdr:colOff>220306</xdr:colOff>
      <xdr:row>54</xdr:row>
      <xdr:rowOff>84236</xdr:rowOff>
    </xdr:to>
    <xdr:sp macro="" textlink="">
      <xdr:nvSpPr>
        <xdr:cNvPr id="4249" name="Freeform 10707">
          <a:extLst>
            <a:ext uri="{FF2B5EF4-FFF2-40B4-BE49-F238E27FC236}">
              <a16:creationId xmlns:a16="http://schemas.microsoft.com/office/drawing/2014/main" id="{36AFEDE4-4CAE-4294-83FE-11AA4A66FE0D}"/>
            </a:ext>
          </a:extLst>
        </xdr:cNvPr>
        <xdr:cNvSpPr>
          <a:spLocks/>
        </xdr:cNvSpPr>
      </xdr:nvSpPr>
      <xdr:spPr bwMode="auto">
        <a:xfrm>
          <a:off x="1360715" y="10451582"/>
          <a:ext cx="667397" cy="23974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233265</xdr:colOff>
      <xdr:row>53</xdr:row>
      <xdr:rowOff>45356</xdr:rowOff>
    </xdr:from>
    <xdr:to>
      <xdr:col>8</xdr:col>
      <xdr:colOff>200868</xdr:colOff>
      <xdr:row>54</xdr:row>
      <xdr:rowOff>84235</xdr:rowOff>
    </xdr:to>
    <xdr:sp macro="" textlink="">
      <xdr:nvSpPr>
        <xdr:cNvPr id="4250" name="Freeform 10707">
          <a:extLst>
            <a:ext uri="{FF2B5EF4-FFF2-40B4-BE49-F238E27FC236}">
              <a16:creationId xmlns:a16="http://schemas.microsoft.com/office/drawing/2014/main" id="{8A1ACB34-7A53-460D-A015-9CD18FCDC75E}"/>
            </a:ext>
          </a:extLst>
        </xdr:cNvPr>
        <xdr:cNvSpPr>
          <a:spLocks/>
        </xdr:cNvSpPr>
      </xdr:nvSpPr>
      <xdr:spPr bwMode="auto">
        <a:xfrm>
          <a:off x="2041071" y="10464540"/>
          <a:ext cx="660919" cy="22678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200869</xdr:colOff>
      <xdr:row>53</xdr:row>
      <xdr:rowOff>45356</xdr:rowOff>
    </xdr:from>
    <xdr:to>
      <xdr:col>10</xdr:col>
      <xdr:colOff>168471</xdr:colOff>
      <xdr:row>54</xdr:row>
      <xdr:rowOff>84235</xdr:rowOff>
    </xdr:to>
    <xdr:sp macro="" textlink="">
      <xdr:nvSpPr>
        <xdr:cNvPr id="4251" name="Freeform 10707">
          <a:extLst>
            <a:ext uri="{FF2B5EF4-FFF2-40B4-BE49-F238E27FC236}">
              <a16:creationId xmlns:a16="http://schemas.microsoft.com/office/drawing/2014/main" id="{9B99411D-2F39-4F2C-8A21-C9DEC2BA2C6A}"/>
            </a:ext>
          </a:extLst>
        </xdr:cNvPr>
        <xdr:cNvSpPr>
          <a:spLocks/>
        </xdr:cNvSpPr>
      </xdr:nvSpPr>
      <xdr:spPr bwMode="auto">
        <a:xfrm>
          <a:off x="2701991" y="10464540"/>
          <a:ext cx="732194" cy="22678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220306</xdr:colOff>
      <xdr:row>53</xdr:row>
      <xdr:rowOff>64796</xdr:rowOff>
    </xdr:from>
    <xdr:to>
      <xdr:col>12</xdr:col>
      <xdr:colOff>200868</xdr:colOff>
      <xdr:row>54</xdr:row>
      <xdr:rowOff>84235</xdr:rowOff>
    </xdr:to>
    <xdr:sp macro="" textlink="">
      <xdr:nvSpPr>
        <xdr:cNvPr id="4252" name="Freeform 10707">
          <a:extLst>
            <a:ext uri="{FF2B5EF4-FFF2-40B4-BE49-F238E27FC236}">
              <a16:creationId xmlns:a16="http://schemas.microsoft.com/office/drawing/2014/main" id="{8E970409-25F6-4CF1-B2B3-ED4E26A7F1F8}"/>
            </a:ext>
          </a:extLst>
        </xdr:cNvPr>
        <xdr:cNvSpPr>
          <a:spLocks/>
        </xdr:cNvSpPr>
      </xdr:nvSpPr>
      <xdr:spPr bwMode="auto">
        <a:xfrm>
          <a:off x="3486020" y="10483980"/>
          <a:ext cx="660919" cy="2073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220303</xdr:colOff>
      <xdr:row>53</xdr:row>
      <xdr:rowOff>38880</xdr:rowOff>
    </xdr:from>
    <xdr:to>
      <xdr:col>20</xdr:col>
      <xdr:colOff>181426</xdr:colOff>
      <xdr:row>54</xdr:row>
      <xdr:rowOff>123116</xdr:rowOff>
    </xdr:to>
    <xdr:sp macro="" textlink="">
      <xdr:nvSpPr>
        <xdr:cNvPr id="4253" name="Freeform 10707">
          <a:extLst>
            <a:ext uri="{FF2B5EF4-FFF2-40B4-BE49-F238E27FC236}">
              <a16:creationId xmlns:a16="http://schemas.microsoft.com/office/drawing/2014/main" id="{A86141E5-9E8F-4D33-884F-DAB42EAC5D09}"/>
            </a:ext>
          </a:extLst>
        </xdr:cNvPr>
        <xdr:cNvSpPr>
          <a:spLocks/>
        </xdr:cNvSpPr>
      </xdr:nvSpPr>
      <xdr:spPr bwMode="auto">
        <a:xfrm>
          <a:off x="6252803" y="10458064"/>
          <a:ext cx="622041" cy="2721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129594</xdr:colOff>
      <xdr:row>52</xdr:row>
      <xdr:rowOff>129595</xdr:rowOff>
    </xdr:from>
    <xdr:to>
      <xdr:col>20</xdr:col>
      <xdr:colOff>271142</xdr:colOff>
      <xdr:row>53</xdr:row>
      <xdr:rowOff>109102</xdr:rowOff>
    </xdr:to>
    <xdr:sp macro="" textlink="">
      <xdr:nvSpPr>
        <xdr:cNvPr id="4254" name="6-Point Star 717">
          <a:extLst>
            <a:ext uri="{FF2B5EF4-FFF2-40B4-BE49-F238E27FC236}">
              <a16:creationId xmlns:a16="http://schemas.microsoft.com/office/drawing/2014/main" id="{E473FAC5-730C-4D0A-9D4E-524C8E4D884C}"/>
            </a:ext>
          </a:extLst>
        </xdr:cNvPr>
        <xdr:cNvSpPr/>
      </xdr:nvSpPr>
      <xdr:spPr>
        <a:xfrm>
          <a:off x="6823012" y="10360871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252704</xdr:colOff>
      <xdr:row>53</xdr:row>
      <xdr:rowOff>71274</xdr:rowOff>
    </xdr:from>
    <xdr:to>
      <xdr:col>18</xdr:col>
      <xdr:colOff>168469</xdr:colOff>
      <xdr:row>54</xdr:row>
      <xdr:rowOff>149030</xdr:rowOff>
    </xdr:to>
    <xdr:sp macro="" textlink="">
      <xdr:nvSpPr>
        <xdr:cNvPr id="4256" name="Freeform 10707">
          <a:extLst>
            <a:ext uri="{FF2B5EF4-FFF2-40B4-BE49-F238E27FC236}">
              <a16:creationId xmlns:a16="http://schemas.microsoft.com/office/drawing/2014/main" id="{1FBF9DA2-7A26-47D9-85B8-0C189DE24D0B}"/>
            </a:ext>
          </a:extLst>
        </xdr:cNvPr>
        <xdr:cNvSpPr>
          <a:spLocks/>
        </xdr:cNvSpPr>
      </xdr:nvSpPr>
      <xdr:spPr bwMode="auto">
        <a:xfrm>
          <a:off x="5559490" y="10490458"/>
          <a:ext cx="641479" cy="2656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239746</xdr:colOff>
      <xdr:row>53</xdr:row>
      <xdr:rowOff>71274</xdr:rowOff>
    </xdr:from>
    <xdr:to>
      <xdr:col>16</xdr:col>
      <xdr:colOff>200867</xdr:colOff>
      <xdr:row>54</xdr:row>
      <xdr:rowOff>142551</xdr:rowOff>
    </xdr:to>
    <xdr:sp macro="" textlink="">
      <xdr:nvSpPr>
        <xdr:cNvPr id="4257" name="Freeform 10707">
          <a:extLst>
            <a:ext uri="{FF2B5EF4-FFF2-40B4-BE49-F238E27FC236}">
              <a16:creationId xmlns:a16="http://schemas.microsoft.com/office/drawing/2014/main" id="{52108622-81A9-4EA5-A8F2-331D07DC52F4}"/>
            </a:ext>
          </a:extLst>
        </xdr:cNvPr>
        <xdr:cNvSpPr>
          <a:spLocks/>
        </xdr:cNvSpPr>
      </xdr:nvSpPr>
      <xdr:spPr bwMode="auto">
        <a:xfrm>
          <a:off x="4846736" y="10490458"/>
          <a:ext cx="660917" cy="2591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239746</xdr:colOff>
      <xdr:row>53</xdr:row>
      <xdr:rowOff>58316</xdr:rowOff>
    </xdr:from>
    <xdr:to>
      <xdr:col>14</xdr:col>
      <xdr:colOff>207347</xdr:colOff>
      <xdr:row>54</xdr:row>
      <xdr:rowOff>77755</xdr:rowOff>
    </xdr:to>
    <xdr:sp macro="" textlink="">
      <xdr:nvSpPr>
        <xdr:cNvPr id="4258" name="Freeform 10707">
          <a:extLst>
            <a:ext uri="{FF2B5EF4-FFF2-40B4-BE49-F238E27FC236}">
              <a16:creationId xmlns:a16="http://schemas.microsoft.com/office/drawing/2014/main" id="{2D047BF6-65D9-4B95-9301-5470B4D23B06}"/>
            </a:ext>
          </a:extLst>
        </xdr:cNvPr>
        <xdr:cNvSpPr>
          <a:spLocks/>
        </xdr:cNvSpPr>
      </xdr:nvSpPr>
      <xdr:spPr bwMode="auto">
        <a:xfrm>
          <a:off x="4185817" y="10477500"/>
          <a:ext cx="628520" cy="2073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220307</xdr:colOff>
      <xdr:row>109</xdr:row>
      <xdr:rowOff>71276</xdr:rowOff>
    </xdr:from>
    <xdr:to>
      <xdr:col>30</xdr:col>
      <xdr:colOff>194389</xdr:colOff>
      <xdr:row>110</xdr:row>
      <xdr:rowOff>90715</xdr:rowOff>
    </xdr:to>
    <xdr:sp macro="" textlink="">
      <xdr:nvSpPr>
        <xdr:cNvPr id="4235" name="Freeform 10707">
          <a:extLst>
            <a:ext uri="{FF2B5EF4-FFF2-40B4-BE49-F238E27FC236}">
              <a16:creationId xmlns:a16="http://schemas.microsoft.com/office/drawing/2014/main" id="{2EB11A6C-1C09-40BC-9884-9294FE31DABE}"/>
            </a:ext>
          </a:extLst>
        </xdr:cNvPr>
        <xdr:cNvSpPr>
          <a:spLocks/>
        </xdr:cNvSpPr>
      </xdr:nvSpPr>
      <xdr:spPr bwMode="auto">
        <a:xfrm>
          <a:off x="9589797" y="21466888"/>
          <a:ext cx="635000" cy="2073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174945</xdr:colOff>
      <xdr:row>109</xdr:row>
      <xdr:rowOff>38878</xdr:rowOff>
    </xdr:from>
    <xdr:to>
      <xdr:col>32</xdr:col>
      <xdr:colOff>174949</xdr:colOff>
      <xdr:row>110</xdr:row>
      <xdr:rowOff>97195</xdr:rowOff>
    </xdr:to>
    <xdr:sp macro="" textlink="">
      <xdr:nvSpPr>
        <xdr:cNvPr id="4238" name="Freeform 10707">
          <a:extLst>
            <a:ext uri="{FF2B5EF4-FFF2-40B4-BE49-F238E27FC236}">
              <a16:creationId xmlns:a16="http://schemas.microsoft.com/office/drawing/2014/main" id="{0E0D8749-5F71-4543-8E0C-A43D07BC4B28}"/>
            </a:ext>
          </a:extLst>
        </xdr:cNvPr>
        <xdr:cNvSpPr>
          <a:spLocks/>
        </xdr:cNvSpPr>
      </xdr:nvSpPr>
      <xdr:spPr bwMode="auto">
        <a:xfrm>
          <a:off x="10205353" y="21434490"/>
          <a:ext cx="693320" cy="2462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200864</xdr:colOff>
      <xdr:row>109</xdr:row>
      <xdr:rowOff>32398</xdr:rowOff>
    </xdr:from>
    <xdr:to>
      <xdr:col>34</xdr:col>
      <xdr:colOff>142551</xdr:colOff>
      <xdr:row>110</xdr:row>
      <xdr:rowOff>97194</xdr:rowOff>
    </xdr:to>
    <xdr:sp macro="" textlink="">
      <xdr:nvSpPr>
        <xdr:cNvPr id="4239" name="Freeform 10707">
          <a:extLst>
            <a:ext uri="{FF2B5EF4-FFF2-40B4-BE49-F238E27FC236}">
              <a16:creationId xmlns:a16="http://schemas.microsoft.com/office/drawing/2014/main" id="{CB040F5B-CB62-495B-8D7E-C2B96DC798B7}"/>
            </a:ext>
          </a:extLst>
        </xdr:cNvPr>
        <xdr:cNvSpPr>
          <a:spLocks/>
        </xdr:cNvSpPr>
      </xdr:nvSpPr>
      <xdr:spPr bwMode="auto">
        <a:xfrm>
          <a:off x="10924588" y="21428010"/>
          <a:ext cx="602606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200862</xdr:colOff>
      <xdr:row>109</xdr:row>
      <xdr:rowOff>32400</xdr:rowOff>
    </xdr:from>
    <xdr:to>
      <xdr:col>36</xdr:col>
      <xdr:colOff>187903</xdr:colOff>
      <xdr:row>110</xdr:row>
      <xdr:rowOff>58317</xdr:rowOff>
    </xdr:to>
    <xdr:sp macro="" textlink="">
      <xdr:nvSpPr>
        <xdr:cNvPr id="4240" name="Freeform 10707">
          <a:extLst>
            <a:ext uri="{FF2B5EF4-FFF2-40B4-BE49-F238E27FC236}">
              <a16:creationId xmlns:a16="http://schemas.microsoft.com/office/drawing/2014/main" id="{4BC1A1AE-D3D6-47F3-84C5-393F215C5C6E}"/>
            </a:ext>
          </a:extLst>
        </xdr:cNvPr>
        <xdr:cNvSpPr>
          <a:spLocks/>
        </xdr:cNvSpPr>
      </xdr:nvSpPr>
      <xdr:spPr bwMode="auto">
        <a:xfrm>
          <a:off x="11585505" y="21428012"/>
          <a:ext cx="660918" cy="2138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259178</xdr:colOff>
      <xdr:row>109</xdr:row>
      <xdr:rowOff>38878</xdr:rowOff>
    </xdr:from>
    <xdr:to>
      <xdr:col>38</xdr:col>
      <xdr:colOff>220305</xdr:colOff>
      <xdr:row>110</xdr:row>
      <xdr:rowOff>110153</xdr:rowOff>
    </xdr:to>
    <xdr:sp macro="" textlink="">
      <xdr:nvSpPr>
        <xdr:cNvPr id="4242" name="Freeform 10707">
          <a:extLst>
            <a:ext uri="{FF2B5EF4-FFF2-40B4-BE49-F238E27FC236}">
              <a16:creationId xmlns:a16="http://schemas.microsoft.com/office/drawing/2014/main" id="{45B16629-4E2A-4270-B39F-662B7DD3473D}"/>
            </a:ext>
          </a:extLst>
        </xdr:cNvPr>
        <xdr:cNvSpPr>
          <a:spLocks/>
        </xdr:cNvSpPr>
      </xdr:nvSpPr>
      <xdr:spPr bwMode="auto">
        <a:xfrm>
          <a:off x="12317698" y="21434490"/>
          <a:ext cx="660923" cy="25918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187907</xdr:colOff>
      <xdr:row>109</xdr:row>
      <xdr:rowOff>19440</xdr:rowOff>
    </xdr:from>
    <xdr:to>
      <xdr:col>40</xdr:col>
      <xdr:colOff>155508</xdr:colOff>
      <xdr:row>110</xdr:row>
      <xdr:rowOff>64796</xdr:rowOff>
    </xdr:to>
    <xdr:sp macro="" textlink="">
      <xdr:nvSpPr>
        <xdr:cNvPr id="4255" name="Freeform 10707">
          <a:extLst>
            <a:ext uri="{FF2B5EF4-FFF2-40B4-BE49-F238E27FC236}">
              <a16:creationId xmlns:a16="http://schemas.microsoft.com/office/drawing/2014/main" id="{D3AAB55C-445B-40F3-8A0B-B54832CC8996}"/>
            </a:ext>
          </a:extLst>
        </xdr:cNvPr>
        <xdr:cNvSpPr>
          <a:spLocks/>
        </xdr:cNvSpPr>
      </xdr:nvSpPr>
      <xdr:spPr bwMode="auto">
        <a:xfrm>
          <a:off x="12946223" y="21415052"/>
          <a:ext cx="660918" cy="2332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213826</xdr:colOff>
      <xdr:row>109</xdr:row>
      <xdr:rowOff>64795</xdr:rowOff>
    </xdr:from>
    <xdr:to>
      <xdr:col>42</xdr:col>
      <xdr:colOff>187908</xdr:colOff>
      <xdr:row>110</xdr:row>
      <xdr:rowOff>110152</xdr:rowOff>
    </xdr:to>
    <xdr:sp macro="" textlink="">
      <xdr:nvSpPr>
        <xdr:cNvPr id="4261" name="Freeform 10707">
          <a:extLst>
            <a:ext uri="{FF2B5EF4-FFF2-40B4-BE49-F238E27FC236}">
              <a16:creationId xmlns:a16="http://schemas.microsoft.com/office/drawing/2014/main" id="{CDEAC623-F171-4445-A7F4-A4137E4E10AA}"/>
            </a:ext>
          </a:extLst>
        </xdr:cNvPr>
        <xdr:cNvSpPr>
          <a:spLocks/>
        </xdr:cNvSpPr>
      </xdr:nvSpPr>
      <xdr:spPr bwMode="auto">
        <a:xfrm>
          <a:off x="13665459" y="21460407"/>
          <a:ext cx="602602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42</xdr:col>
      <xdr:colOff>181427</xdr:colOff>
      <xdr:row>109</xdr:row>
      <xdr:rowOff>45357</xdr:rowOff>
    </xdr:from>
    <xdr:to>
      <xdr:col>44</xdr:col>
      <xdr:colOff>246224</xdr:colOff>
      <xdr:row>110</xdr:row>
      <xdr:rowOff>136073</xdr:rowOff>
    </xdr:to>
    <xdr:sp macro="" textlink="">
      <xdr:nvSpPr>
        <xdr:cNvPr id="4262" name="Freeform 10707">
          <a:extLst>
            <a:ext uri="{FF2B5EF4-FFF2-40B4-BE49-F238E27FC236}">
              <a16:creationId xmlns:a16="http://schemas.microsoft.com/office/drawing/2014/main" id="{3ADE1EF8-B3A5-4E62-A491-77E2404503FD}"/>
            </a:ext>
          </a:extLst>
        </xdr:cNvPr>
        <xdr:cNvSpPr>
          <a:spLocks/>
        </xdr:cNvSpPr>
      </xdr:nvSpPr>
      <xdr:spPr bwMode="auto">
        <a:xfrm>
          <a:off x="14261580" y="21440969"/>
          <a:ext cx="848828" cy="27862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213826</xdr:colOff>
      <xdr:row>109</xdr:row>
      <xdr:rowOff>19439</xdr:rowOff>
    </xdr:from>
    <xdr:to>
      <xdr:col>46</xdr:col>
      <xdr:colOff>64795</xdr:colOff>
      <xdr:row>110</xdr:row>
      <xdr:rowOff>90715</xdr:rowOff>
    </xdr:to>
    <xdr:sp macro="" textlink="">
      <xdr:nvSpPr>
        <xdr:cNvPr id="4263" name="Freeform 10707">
          <a:extLst>
            <a:ext uri="{FF2B5EF4-FFF2-40B4-BE49-F238E27FC236}">
              <a16:creationId xmlns:a16="http://schemas.microsoft.com/office/drawing/2014/main" id="{F0485F47-AAA3-4F70-8275-E327A5036BB7}"/>
            </a:ext>
          </a:extLst>
        </xdr:cNvPr>
        <xdr:cNvSpPr>
          <a:spLocks/>
        </xdr:cNvSpPr>
      </xdr:nvSpPr>
      <xdr:spPr bwMode="auto">
        <a:xfrm>
          <a:off x="15078010" y="21415051"/>
          <a:ext cx="660918" cy="2591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117</xdr:row>
      <xdr:rowOff>51837</xdr:rowOff>
    </xdr:from>
    <xdr:to>
      <xdr:col>2</xdr:col>
      <xdr:colOff>252704</xdr:colOff>
      <xdr:row>118</xdr:row>
      <xdr:rowOff>45356</xdr:rowOff>
    </xdr:to>
    <xdr:sp macro="" textlink="">
      <xdr:nvSpPr>
        <xdr:cNvPr id="4265" name="Freeform 10707">
          <a:extLst>
            <a:ext uri="{FF2B5EF4-FFF2-40B4-BE49-F238E27FC236}">
              <a16:creationId xmlns:a16="http://schemas.microsoft.com/office/drawing/2014/main" id="{E4F003EB-1DA3-4FEB-B55F-35AB794D2646}"/>
            </a:ext>
          </a:extLst>
        </xdr:cNvPr>
        <xdr:cNvSpPr>
          <a:spLocks/>
        </xdr:cNvSpPr>
      </xdr:nvSpPr>
      <xdr:spPr bwMode="auto">
        <a:xfrm>
          <a:off x="110153" y="23015510"/>
          <a:ext cx="550765" cy="18142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226786</xdr:colOff>
      <xdr:row>117</xdr:row>
      <xdr:rowOff>45357</xdr:rowOff>
    </xdr:from>
    <xdr:to>
      <xdr:col>4</xdr:col>
      <xdr:colOff>248188</xdr:colOff>
      <xdr:row>118</xdr:row>
      <xdr:rowOff>51836</xdr:rowOff>
    </xdr:to>
    <xdr:sp macro="" textlink="">
      <xdr:nvSpPr>
        <xdr:cNvPr id="4266" name="Freeform 10707">
          <a:extLst>
            <a:ext uri="{FF2B5EF4-FFF2-40B4-BE49-F238E27FC236}">
              <a16:creationId xmlns:a16="http://schemas.microsoft.com/office/drawing/2014/main" id="{3015B5D1-7027-4C7E-AE2E-4216B407C0BB}"/>
            </a:ext>
          </a:extLst>
        </xdr:cNvPr>
        <xdr:cNvSpPr>
          <a:spLocks/>
        </xdr:cNvSpPr>
      </xdr:nvSpPr>
      <xdr:spPr bwMode="auto">
        <a:xfrm>
          <a:off x="635000" y="23009030"/>
          <a:ext cx="760076" cy="1943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194387</xdr:colOff>
      <xdr:row>117</xdr:row>
      <xdr:rowOff>32398</xdr:rowOff>
    </xdr:from>
    <xdr:to>
      <xdr:col>6</xdr:col>
      <xdr:colOff>293545</xdr:colOff>
      <xdr:row>118</xdr:row>
      <xdr:rowOff>34288</xdr:rowOff>
    </xdr:to>
    <xdr:sp macro="" textlink="">
      <xdr:nvSpPr>
        <xdr:cNvPr id="4267" name="Freeform 10707">
          <a:extLst>
            <a:ext uri="{FF2B5EF4-FFF2-40B4-BE49-F238E27FC236}">
              <a16:creationId xmlns:a16="http://schemas.microsoft.com/office/drawing/2014/main" id="{FE881831-E902-4756-B128-04686E22353C}"/>
            </a:ext>
          </a:extLst>
        </xdr:cNvPr>
        <xdr:cNvSpPr>
          <a:spLocks/>
        </xdr:cNvSpPr>
      </xdr:nvSpPr>
      <xdr:spPr bwMode="auto">
        <a:xfrm>
          <a:off x="1341275" y="22996071"/>
          <a:ext cx="760076" cy="18979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207347</xdr:colOff>
      <xdr:row>117</xdr:row>
      <xdr:rowOff>38878</xdr:rowOff>
    </xdr:from>
    <xdr:to>
      <xdr:col>8</xdr:col>
      <xdr:colOff>274107</xdr:colOff>
      <xdr:row>118</xdr:row>
      <xdr:rowOff>40768</xdr:rowOff>
    </xdr:to>
    <xdr:sp macro="" textlink="">
      <xdr:nvSpPr>
        <xdr:cNvPr id="4268" name="Freeform 10707">
          <a:extLst>
            <a:ext uri="{FF2B5EF4-FFF2-40B4-BE49-F238E27FC236}">
              <a16:creationId xmlns:a16="http://schemas.microsoft.com/office/drawing/2014/main" id="{1E9EF10F-81B7-4DD8-BBBF-72FF76AFCB20}"/>
            </a:ext>
          </a:extLst>
        </xdr:cNvPr>
        <xdr:cNvSpPr>
          <a:spLocks/>
        </xdr:cNvSpPr>
      </xdr:nvSpPr>
      <xdr:spPr bwMode="auto">
        <a:xfrm>
          <a:off x="2015153" y="23002551"/>
          <a:ext cx="760076" cy="18979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116635</xdr:colOff>
      <xdr:row>108</xdr:row>
      <xdr:rowOff>181432</xdr:rowOff>
    </xdr:from>
    <xdr:to>
      <xdr:col>30</xdr:col>
      <xdr:colOff>258183</xdr:colOff>
      <xdr:row>109</xdr:row>
      <xdr:rowOff>156704</xdr:rowOff>
    </xdr:to>
    <xdr:sp macro="" textlink="">
      <xdr:nvSpPr>
        <xdr:cNvPr id="3028" name="6-Point Star 717">
          <a:extLst>
            <a:ext uri="{FF2B5EF4-FFF2-40B4-BE49-F238E27FC236}">
              <a16:creationId xmlns:a16="http://schemas.microsoft.com/office/drawing/2014/main" id="{F717648F-B4C7-49DE-8FC3-E45BF5996C48}"/>
            </a:ext>
          </a:extLst>
        </xdr:cNvPr>
        <xdr:cNvSpPr/>
      </xdr:nvSpPr>
      <xdr:spPr>
        <a:xfrm>
          <a:off x="10147043" y="21389136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103677</xdr:colOff>
      <xdr:row>108</xdr:row>
      <xdr:rowOff>129595</xdr:rowOff>
    </xdr:from>
    <xdr:to>
      <xdr:col>42</xdr:col>
      <xdr:colOff>245225</xdr:colOff>
      <xdr:row>109</xdr:row>
      <xdr:rowOff>104867</xdr:rowOff>
    </xdr:to>
    <xdr:sp macro="" textlink="">
      <xdr:nvSpPr>
        <xdr:cNvPr id="4269" name="6-Point Star 717">
          <a:extLst>
            <a:ext uri="{FF2B5EF4-FFF2-40B4-BE49-F238E27FC236}">
              <a16:creationId xmlns:a16="http://schemas.microsoft.com/office/drawing/2014/main" id="{3AF1D29F-4382-4650-8D1B-1E1D71402221}"/>
            </a:ext>
          </a:extLst>
        </xdr:cNvPr>
        <xdr:cNvSpPr/>
      </xdr:nvSpPr>
      <xdr:spPr>
        <a:xfrm>
          <a:off x="14183830" y="21337299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136077</xdr:colOff>
      <xdr:row>116</xdr:row>
      <xdr:rowOff>149035</xdr:rowOff>
    </xdr:from>
    <xdr:to>
      <xdr:col>2</xdr:col>
      <xdr:colOff>277625</xdr:colOff>
      <xdr:row>117</xdr:row>
      <xdr:rowOff>124307</xdr:rowOff>
    </xdr:to>
    <xdr:sp macro="" textlink="">
      <xdr:nvSpPr>
        <xdr:cNvPr id="4272" name="6-Point Star 717">
          <a:extLst>
            <a:ext uri="{FF2B5EF4-FFF2-40B4-BE49-F238E27FC236}">
              <a16:creationId xmlns:a16="http://schemas.microsoft.com/office/drawing/2014/main" id="{043C76A1-32FC-4586-BFEF-9B75D54EE237}"/>
            </a:ext>
          </a:extLst>
        </xdr:cNvPr>
        <xdr:cNvSpPr/>
      </xdr:nvSpPr>
      <xdr:spPr>
        <a:xfrm>
          <a:off x="544291" y="22924800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116634</xdr:colOff>
      <xdr:row>116</xdr:row>
      <xdr:rowOff>155514</xdr:rowOff>
    </xdr:from>
    <xdr:to>
      <xdr:col>4</xdr:col>
      <xdr:colOff>258182</xdr:colOff>
      <xdr:row>117</xdr:row>
      <xdr:rowOff>130786</xdr:rowOff>
    </xdr:to>
    <xdr:sp macro="" textlink="">
      <xdr:nvSpPr>
        <xdr:cNvPr id="4273" name="6-Point Star 717">
          <a:extLst>
            <a:ext uri="{FF2B5EF4-FFF2-40B4-BE49-F238E27FC236}">
              <a16:creationId xmlns:a16="http://schemas.microsoft.com/office/drawing/2014/main" id="{5CAC4763-9D59-4735-89CD-57B84CA31B7F}"/>
            </a:ext>
          </a:extLst>
        </xdr:cNvPr>
        <xdr:cNvSpPr/>
      </xdr:nvSpPr>
      <xdr:spPr>
        <a:xfrm>
          <a:off x="1263522" y="22931279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213826</xdr:colOff>
      <xdr:row>69</xdr:row>
      <xdr:rowOff>38878</xdr:rowOff>
    </xdr:from>
    <xdr:to>
      <xdr:col>8</xdr:col>
      <xdr:colOff>166038</xdr:colOff>
      <xdr:row>70</xdr:row>
      <xdr:rowOff>91795</xdr:rowOff>
    </xdr:to>
    <xdr:sp macro="" textlink="">
      <xdr:nvSpPr>
        <xdr:cNvPr id="4274" name="Freeform 10707">
          <a:extLst>
            <a:ext uri="{FF2B5EF4-FFF2-40B4-BE49-F238E27FC236}">
              <a16:creationId xmlns:a16="http://schemas.microsoft.com/office/drawing/2014/main" id="{50573C01-BF12-4C27-84E0-CCDCD0F8D4E4}"/>
            </a:ext>
          </a:extLst>
        </xdr:cNvPr>
        <xdr:cNvSpPr>
          <a:spLocks/>
        </xdr:cNvSpPr>
      </xdr:nvSpPr>
      <xdr:spPr bwMode="auto">
        <a:xfrm>
          <a:off x="2021632" y="13594184"/>
          <a:ext cx="645528" cy="2408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181430</xdr:colOff>
      <xdr:row>61</xdr:row>
      <xdr:rowOff>71275</xdr:rowOff>
    </xdr:from>
    <xdr:to>
      <xdr:col>28</xdr:col>
      <xdr:colOff>188044</xdr:colOff>
      <xdr:row>62</xdr:row>
      <xdr:rowOff>84506</xdr:rowOff>
    </xdr:to>
    <xdr:sp macro="" textlink="">
      <xdr:nvSpPr>
        <xdr:cNvPr id="4275" name="Freeform 10707">
          <a:extLst>
            <a:ext uri="{FF2B5EF4-FFF2-40B4-BE49-F238E27FC236}">
              <a16:creationId xmlns:a16="http://schemas.microsoft.com/office/drawing/2014/main" id="{02077D97-ABBF-46C3-A43F-229CD69B6DBF}"/>
            </a:ext>
          </a:extLst>
        </xdr:cNvPr>
        <xdr:cNvSpPr>
          <a:spLocks/>
        </xdr:cNvSpPr>
      </xdr:nvSpPr>
      <xdr:spPr bwMode="auto">
        <a:xfrm>
          <a:off x="8857603" y="12058520"/>
          <a:ext cx="699931" cy="20113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246225</xdr:colOff>
      <xdr:row>93</xdr:row>
      <xdr:rowOff>25919</xdr:rowOff>
    </xdr:from>
    <xdr:to>
      <xdr:col>38</xdr:col>
      <xdr:colOff>246764</xdr:colOff>
      <xdr:row>94</xdr:row>
      <xdr:rowOff>65606</xdr:rowOff>
    </xdr:to>
    <xdr:sp macro="" textlink="">
      <xdr:nvSpPr>
        <xdr:cNvPr id="4278" name="Freeform 10707">
          <a:extLst>
            <a:ext uri="{FF2B5EF4-FFF2-40B4-BE49-F238E27FC236}">
              <a16:creationId xmlns:a16="http://schemas.microsoft.com/office/drawing/2014/main" id="{EA6CC1A9-AFC5-47D1-9729-8460D30F5CA8}"/>
            </a:ext>
          </a:extLst>
        </xdr:cNvPr>
        <xdr:cNvSpPr>
          <a:spLocks/>
        </xdr:cNvSpPr>
      </xdr:nvSpPr>
      <xdr:spPr bwMode="auto">
        <a:xfrm>
          <a:off x="12304745" y="18285409"/>
          <a:ext cx="700335" cy="22759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174950</xdr:colOff>
      <xdr:row>61</xdr:row>
      <xdr:rowOff>71275</xdr:rowOff>
    </xdr:from>
    <xdr:to>
      <xdr:col>34</xdr:col>
      <xdr:colOff>213962</xdr:colOff>
      <xdr:row>62</xdr:row>
      <xdr:rowOff>84506</xdr:rowOff>
    </xdr:to>
    <xdr:sp macro="" textlink="">
      <xdr:nvSpPr>
        <xdr:cNvPr id="4260" name="Freeform 10707">
          <a:extLst>
            <a:ext uri="{FF2B5EF4-FFF2-40B4-BE49-F238E27FC236}">
              <a16:creationId xmlns:a16="http://schemas.microsoft.com/office/drawing/2014/main" id="{0350FFCE-B3D7-4A61-9EE6-6C8EF41432F3}"/>
            </a:ext>
          </a:extLst>
        </xdr:cNvPr>
        <xdr:cNvSpPr>
          <a:spLocks/>
        </xdr:cNvSpPr>
      </xdr:nvSpPr>
      <xdr:spPr bwMode="auto">
        <a:xfrm>
          <a:off x="10898674" y="12058520"/>
          <a:ext cx="699931" cy="20113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228600</xdr:colOff>
      <xdr:row>9</xdr:row>
      <xdr:rowOff>174623</xdr:rowOff>
    </xdr:from>
    <xdr:to>
      <xdr:col>17</xdr:col>
      <xdr:colOff>330200</xdr:colOff>
      <xdr:row>9</xdr:row>
      <xdr:rowOff>210623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44320ED9-DC40-42E7-B6B5-50382F45AB03}"/>
            </a:ext>
          </a:extLst>
        </xdr:cNvPr>
        <xdr:cNvSpPr/>
      </xdr:nvSpPr>
      <xdr:spPr>
        <a:xfrm>
          <a:off x="6781800" y="2060573"/>
          <a:ext cx="3502025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361950</xdr:colOff>
      <xdr:row>12</xdr:row>
      <xdr:rowOff>171448</xdr:rowOff>
    </xdr:from>
    <xdr:to>
      <xdr:col>20</xdr:col>
      <xdr:colOff>355600</xdr:colOff>
      <xdr:row>12</xdr:row>
      <xdr:rowOff>207448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F5F0EA3A-AE69-4B91-96BA-E38375DE4B50}"/>
            </a:ext>
          </a:extLst>
        </xdr:cNvPr>
        <xdr:cNvSpPr/>
      </xdr:nvSpPr>
      <xdr:spPr>
        <a:xfrm>
          <a:off x="7727950" y="2800348"/>
          <a:ext cx="45783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6350</xdr:colOff>
      <xdr:row>8</xdr:row>
      <xdr:rowOff>171450</xdr:rowOff>
    </xdr:from>
    <xdr:to>
      <xdr:col>10</xdr:col>
      <xdr:colOff>402350</xdr:colOff>
      <xdr:row>8</xdr:row>
      <xdr:rowOff>207450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47918E29-5BE3-4F63-8E15-C94287035110}"/>
            </a:ext>
          </a:extLst>
        </xdr:cNvPr>
        <xdr:cNvSpPr/>
      </xdr:nvSpPr>
      <xdr:spPr>
        <a:xfrm>
          <a:off x="6870700" y="1784350"/>
          <a:ext cx="3960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63500</xdr:colOff>
      <xdr:row>16</xdr:row>
      <xdr:rowOff>177798</xdr:rowOff>
    </xdr:from>
    <xdr:to>
      <xdr:col>18</xdr:col>
      <xdr:colOff>330200</xdr:colOff>
      <xdr:row>16</xdr:row>
      <xdr:rowOff>213798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B79A930C-4AED-4ADA-B149-FFF145D1D839}"/>
            </a:ext>
          </a:extLst>
        </xdr:cNvPr>
        <xdr:cNvSpPr/>
      </xdr:nvSpPr>
      <xdr:spPr>
        <a:xfrm>
          <a:off x="8502650" y="3822698"/>
          <a:ext cx="27749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63500</xdr:colOff>
      <xdr:row>18</xdr:row>
      <xdr:rowOff>171448</xdr:rowOff>
    </xdr:from>
    <xdr:to>
      <xdr:col>18</xdr:col>
      <xdr:colOff>330200</xdr:colOff>
      <xdr:row>18</xdr:row>
      <xdr:rowOff>207448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57A43EBC-71A0-49F7-B44A-CA44B1CECA6C}"/>
            </a:ext>
          </a:extLst>
        </xdr:cNvPr>
        <xdr:cNvSpPr/>
      </xdr:nvSpPr>
      <xdr:spPr>
        <a:xfrm>
          <a:off x="8502650" y="4324348"/>
          <a:ext cx="27749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139700</xdr:colOff>
      <xdr:row>20</xdr:row>
      <xdr:rowOff>177798</xdr:rowOff>
    </xdr:from>
    <xdr:to>
      <xdr:col>21</xdr:col>
      <xdr:colOff>381000</xdr:colOff>
      <xdr:row>20</xdr:row>
      <xdr:rowOff>213798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D3799C7F-7258-4C54-8274-4EA67257F674}"/>
            </a:ext>
          </a:extLst>
        </xdr:cNvPr>
        <xdr:cNvSpPr/>
      </xdr:nvSpPr>
      <xdr:spPr>
        <a:xfrm>
          <a:off x="7505700" y="4965698"/>
          <a:ext cx="53276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82550</xdr:colOff>
      <xdr:row>22</xdr:row>
      <xdr:rowOff>171448</xdr:rowOff>
    </xdr:from>
    <xdr:to>
      <xdr:col>18</xdr:col>
      <xdr:colOff>400050</xdr:colOff>
      <xdr:row>22</xdr:row>
      <xdr:rowOff>207448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4B2D9EA8-A0FB-475E-BF12-06716BE44D0D}"/>
            </a:ext>
          </a:extLst>
        </xdr:cNvPr>
        <xdr:cNvSpPr/>
      </xdr:nvSpPr>
      <xdr:spPr>
        <a:xfrm>
          <a:off x="8521700" y="5467348"/>
          <a:ext cx="28257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317500</xdr:colOff>
      <xdr:row>24</xdr:row>
      <xdr:rowOff>234948</xdr:rowOff>
    </xdr:from>
    <xdr:to>
      <xdr:col>18</xdr:col>
      <xdr:colOff>400050</xdr:colOff>
      <xdr:row>24</xdr:row>
      <xdr:rowOff>270948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A149B56F-A5AA-4E17-8F0A-703E11C86C14}"/>
            </a:ext>
          </a:extLst>
        </xdr:cNvPr>
        <xdr:cNvSpPr/>
      </xdr:nvSpPr>
      <xdr:spPr>
        <a:xfrm>
          <a:off x="8255000" y="6038848"/>
          <a:ext cx="30924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69850</xdr:colOff>
      <xdr:row>26</xdr:row>
      <xdr:rowOff>177798</xdr:rowOff>
    </xdr:from>
    <xdr:to>
      <xdr:col>18</xdr:col>
      <xdr:colOff>342900</xdr:colOff>
      <xdr:row>26</xdr:row>
      <xdr:rowOff>213798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47A14E03-25F1-481F-8A66-79F50521EDDC}"/>
            </a:ext>
          </a:extLst>
        </xdr:cNvPr>
        <xdr:cNvSpPr/>
      </xdr:nvSpPr>
      <xdr:spPr>
        <a:xfrm>
          <a:off x="9512300" y="6616698"/>
          <a:ext cx="17780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28</xdr:row>
      <xdr:rowOff>171450</xdr:rowOff>
    </xdr:from>
    <xdr:to>
      <xdr:col>20</xdr:col>
      <xdr:colOff>200</xdr:colOff>
      <xdr:row>28</xdr:row>
      <xdr:rowOff>207450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51E60587-5AC8-4180-A421-C6A5D7868A42}"/>
            </a:ext>
          </a:extLst>
        </xdr:cNvPr>
        <xdr:cNvSpPr/>
      </xdr:nvSpPr>
      <xdr:spPr>
        <a:xfrm>
          <a:off x="11449050" y="7118350"/>
          <a:ext cx="5018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279400</xdr:colOff>
      <xdr:row>7</xdr:row>
      <xdr:rowOff>152400</xdr:rowOff>
    </xdr:from>
    <xdr:to>
      <xdr:col>10</xdr:col>
      <xdr:colOff>192800</xdr:colOff>
      <xdr:row>7</xdr:row>
      <xdr:rowOff>188400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6B6C6C07-7103-4CD4-849F-0A5DF6CC2724}"/>
            </a:ext>
          </a:extLst>
        </xdr:cNvPr>
        <xdr:cNvSpPr/>
      </xdr:nvSpPr>
      <xdr:spPr>
        <a:xfrm>
          <a:off x="6642100" y="1511300"/>
          <a:ext cx="4150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279399</xdr:colOff>
      <xdr:row>6</xdr:row>
      <xdr:rowOff>116011</xdr:rowOff>
    </xdr:from>
    <xdr:to>
      <xdr:col>21</xdr:col>
      <xdr:colOff>371474</xdr:colOff>
      <xdr:row>6</xdr:row>
      <xdr:rowOff>161730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3EBD5597-D72B-479D-8283-FC41D4AA1E52}"/>
            </a:ext>
          </a:extLst>
        </xdr:cNvPr>
        <xdr:cNvSpPr/>
      </xdr:nvSpPr>
      <xdr:spPr>
        <a:xfrm flipV="1">
          <a:off x="6642099" y="1220911"/>
          <a:ext cx="6181725" cy="45719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25400</xdr:colOff>
      <xdr:row>32</xdr:row>
      <xdr:rowOff>228600</xdr:rowOff>
    </xdr:from>
    <xdr:to>
      <xdr:col>10</xdr:col>
      <xdr:colOff>355600</xdr:colOff>
      <xdr:row>32</xdr:row>
      <xdr:rowOff>264600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A5FDFE5-5F2A-40CB-BB12-BD5018CDAD67}"/>
            </a:ext>
          </a:extLst>
        </xdr:cNvPr>
        <xdr:cNvSpPr/>
      </xdr:nvSpPr>
      <xdr:spPr>
        <a:xfrm>
          <a:off x="6889750" y="8255000"/>
          <a:ext cx="3302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298450</xdr:colOff>
      <xdr:row>31</xdr:row>
      <xdr:rowOff>222250</xdr:rowOff>
    </xdr:from>
    <xdr:to>
      <xdr:col>10</xdr:col>
      <xdr:colOff>381000</xdr:colOff>
      <xdr:row>31</xdr:row>
      <xdr:rowOff>258250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F5ABCB8E-33ED-4CDF-8FFA-8BF6309D33B3}"/>
            </a:ext>
          </a:extLst>
        </xdr:cNvPr>
        <xdr:cNvSpPr/>
      </xdr:nvSpPr>
      <xdr:spPr>
        <a:xfrm>
          <a:off x="6661150" y="7861300"/>
          <a:ext cx="5842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285750</xdr:colOff>
      <xdr:row>34</xdr:row>
      <xdr:rowOff>234950</xdr:rowOff>
    </xdr:from>
    <xdr:to>
      <xdr:col>14</xdr:col>
      <xdr:colOff>406400</xdr:colOff>
      <xdr:row>34</xdr:row>
      <xdr:rowOff>270950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88AF44B1-C4DF-4587-B0E1-1C156AA3ADD3}"/>
            </a:ext>
          </a:extLst>
        </xdr:cNvPr>
        <xdr:cNvSpPr/>
      </xdr:nvSpPr>
      <xdr:spPr>
        <a:xfrm>
          <a:off x="7150100" y="8832850"/>
          <a:ext cx="21971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381000</xdr:colOff>
      <xdr:row>36</xdr:row>
      <xdr:rowOff>234950</xdr:rowOff>
    </xdr:from>
    <xdr:to>
      <xdr:col>16</xdr:col>
      <xdr:colOff>400050</xdr:colOff>
      <xdr:row>36</xdr:row>
      <xdr:rowOff>270950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4E07C26-EC6C-4D70-A8C5-96F59A20420C}"/>
            </a:ext>
          </a:extLst>
        </xdr:cNvPr>
        <xdr:cNvSpPr/>
      </xdr:nvSpPr>
      <xdr:spPr>
        <a:xfrm>
          <a:off x="7245350" y="9404350"/>
          <a:ext cx="30988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285750</xdr:colOff>
      <xdr:row>40</xdr:row>
      <xdr:rowOff>222250</xdr:rowOff>
    </xdr:from>
    <xdr:to>
      <xdr:col>25</xdr:col>
      <xdr:colOff>298450</xdr:colOff>
      <xdr:row>40</xdr:row>
      <xdr:rowOff>258250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9EB28C2B-4334-42BA-BBC3-C70DCEB6ABCF}"/>
            </a:ext>
          </a:extLst>
        </xdr:cNvPr>
        <xdr:cNvSpPr/>
      </xdr:nvSpPr>
      <xdr:spPr>
        <a:xfrm>
          <a:off x="7651750" y="10534650"/>
          <a:ext cx="71056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209550</xdr:colOff>
      <xdr:row>42</xdr:row>
      <xdr:rowOff>222250</xdr:rowOff>
    </xdr:from>
    <xdr:to>
      <xdr:col>27</xdr:col>
      <xdr:colOff>330200</xdr:colOff>
      <xdr:row>42</xdr:row>
      <xdr:rowOff>258250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EE0D0880-D0FC-4E9D-9A57-237994081F74}"/>
            </a:ext>
          </a:extLst>
        </xdr:cNvPr>
        <xdr:cNvSpPr/>
      </xdr:nvSpPr>
      <xdr:spPr>
        <a:xfrm>
          <a:off x="8147050" y="11106150"/>
          <a:ext cx="76454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209550</xdr:colOff>
      <xdr:row>44</xdr:row>
      <xdr:rowOff>231140</xdr:rowOff>
    </xdr:from>
    <xdr:to>
      <xdr:col>28</xdr:col>
      <xdr:colOff>361950</xdr:colOff>
      <xdr:row>44</xdr:row>
      <xdr:rowOff>267140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1EC62CBB-995C-434E-88F0-D5F95D1B724D}"/>
            </a:ext>
          </a:extLst>
        </xdr:cNvPr>
        <xdr:cNvSpPr/>
      </xdr:nvSpPr>
      <xdr:spPr>
        <a:xfrm>
          <a:off x="10267950" y="11615420"/>
          <a:ext cx="713994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57150</xdr:colOff>
      <xdr:row>46</xdr:row>
      <xdr:rowOff>209550</xdr:rowOff>
    </xdr:from>
    <xdr:to>
      <xdr:col>29</xdr:col>
      <xdr:colOff>450850</xdr:colOff>
      <xdr:row>46</xdr:row>
      <xdr:rowOff>245550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C29950F5-0042-495A-B981-47D7268059B3}"/>
            </a:ext>
          </a:extLst>
        </xdr:cNvPr>
        <xdr:cNvSpPr/>
      </xdr:nvSpPr>
      <xdr:spPr>
        <a:xfrm>
          <a:off x="13011150" y="12236450"/>
          <a:ext cx="39052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0</xdr:colOff>
      <xdr:row>38</xdr:row>
      <xdr:rowOff>222250</xdr:rowOff>
    </xdr:from>
    <xdr:to>
      <xdr:col>12</xdr:col>
      <xdr:colOff>432000</xdr:colOff>
      <xdr:row>38</xdr:row>
      <xdr:rowOff>258250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1E848B27-E1ED-4A15-9AFA-CEF351011290}"/>
            </a:ext>
          </a:extLst>
        </xdr:cNvPr>
        <xdr:cNvSpPr/>
      </xdr:nvSpPr>
      <xdr:spPr>
        <a:xfrm>
          <a:off x="7937500" y="9963150"/>
          <a:ext cx="4320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6350</xdr:colOff>
      <xdr:row>48</xdr:row>
      <xdr:rowOff>228599</xdr:rowOff>
    </xdr:from>
    <xdr:to>
      <xdr:col>30</xdr:col>
      <xdr:colOff>171450</xdr:colOff>
      <xdr:row>48</xdr:row>
      <xdr:rowOff>264599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CDCAEE89-C29C-4011-ACE6-6A14DD75FEF8}"/>
            </a:ext>
          </a:extLst>
        </xdr:cNvPr>
        <xdr:cNvSpPr/>
      </xdr:nvSpPr>
      <xdr:spPr>
        <a:xfrm>
          <a:off x="15970250" y="12826999"/>
          <a:ext cx="11684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257175</xdr:colOff>
      <xdr:row>0</xdr:row>
      <xdr:rowOff>47624</xdr:rowOff>
    </xdr:from>
    <xdr:to>
      <xdr:col>1</xdr:col>
      <xdr:colOff>352425</xdr:colOff>
      <xdr:row>1</xdr:row>
      <xdr:rowOff>200024</xdr:rowOff>
    </xdr:to>
    <xdr:sp macro="" textlink="">
      <xdr:nvSpPr>
        <xdr:cNvPr id="3" name="Arrow: Left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5846C53-4D96-4A73-9AF0-BB7228781F20}"/>
            </a:ext>
          </a:extLst>
        </xdr:cNvPr>
        <xdr:cNvSpPr/>
      </xdr:nvSpPr>
      <xdr:spPr>
        <a:xfrm>
          <a:off x="257175" y="47624"/>
          <a:ext cx="600075" cy="35242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kern="12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942975</xdr:colOff>
      <xdr:row>4</xdr:row>
      <xdr:rowOff>0</xdr:rowOff>
    </xdr:from>
    <xdr:to>
      <xdr:col>13</xdr:col>
      <xdr:colOff>952500</xdr:colOff>
      <xdr:row>4</xdr:row>
      <xdr:rowOff>0</xdr:rowOff>
    </xdr:to>
    <xdr:pic>
      <xdr:nvPicPr>
        <xdr:cNvPr id="6131465" name="Ink 11">
          <a:extLst>
            <a:ext uri="{FF2B5EF4-FFF2-40B4-BE49-F238E27FC236}">
              <a16:creationId xmlns:a16="http://schemas.microsoft.com/office/drawing/2014/main" id="{DBA9336B-C648-FD73-23CC-D8D6574EAA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37242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942975</xdr:colOff>
      <xdr:row>0</xdr:row>
      <xdr:rowOff>0</xdr:rowOff>
    </xdr:from>
    <xdr:to>
      <xdr:col>13</xdr:col>
      <xdr:colOff>952500</xdr:colOff>
      <xdr:row>0</xdr:row>
      <xdr:rowOff>7620</xdr:rowOff>
    </xdr:to>
    <xdr:pic>
      <xdr:nvPicPr>
        <xdr:cNvPr id="6131466" name="Ink 11">
          <a:extLst>
            <a:ext uri="{FF2B5EF4-FFF2-40B4-BE49-F238E27FC236}">
              <a16:creationId xmlns:a16="http://schemas.microsoft.com/office/drawing/2014/main" id="{E91400C4-8911-C3EB-FE4C-791C28FD29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2" name="Ink 11">
          <a:extLst>
            <a:ext uri="{FF2B5EF4-FFF2-40B4-BE49-F238E27FC236}">
              <a16:creationId xmlns:a16="http://schemas.microsoft.com/office/drawing/2014/main" id="{F31CF6D9-80B0-4617-AA45-46D8881F3D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75057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3" name="Ink 11">
          <a:extLst>
            <a:ext uri="{FF2B5EF4-FFF2-40B4-BE49-F238E27FC236}">
              <a16:creationId xmlns:a16="http://schemas.microsoft.com/office/drawing/2014/main" id="{58AB1E2A-A1CF-4799-9F00-9B511F667B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4" name="Ink 11">
          <a:extLst>
            <a:ext uri="{FF2B5EF4-FFF2-40B4-BE49-F238E27FC236}">
              <a16:creationId xmlns:a16="http://schemas.microsoft.com/office/drawing/2014/main" id="{7EC1197D-14C7-44DD-A690-7FFA42CF21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37</xdr:row>
      <xdr:rowOff>0</xdr:rowOff>
    </xdr:from>
    <xdr:ext cx="9525" cy="9525"/>
    <xdr:pic>
      <xdr:nvPicPr>
        <xdr:cNvPr id="5" name="Ink 11">
          <a:extLst>
            <a:ext uri="{FF2B5EF4-FFF2-40B4-BE49-F238E27FC236}">
              <a16:creationId xmlns:a16="http://schemas.microsoft.com/office/drawing/2014/main" id="{ED4A5F6F-3813-456C-887B-A0257379B4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6" name="Ink 11">
          <a:extLst>
            <a:ext uri="{FF2B5EF4-FFF2-40B4-BE49-F238E27FC236}">
              <a16:creationId xmlns:a16="http://schemas.microsoft.com/office/drawing/2014/main" id="{89BC9010-4225-4A75-B3CC-0B3F9645E5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39</xdr:row>
      <xdr:rowOff>0</xdr:rowOff>
    </xdr:from>
    <xdr:ext cx="9525" cy="9525"/>
    <xdr:pic>
      <xdr:nvPicPr>
        <xdr:cNvPr id="7" name="Ink 11">
          <a:extLst>
            <a:ext uri="{FF2B5EF4-FFF2-40B4-BE49-F238E27FC236}">
              <a16:creationId xmlns:a16="http://schemas.microsoft.com/office/drawing/2014/main" id="{9D8C836A-A810-4AA2-B7FD-42A714335A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40</xdr:row>
      <xdr:rowOff>0</xdr:rowOff>
    </xdr:from>
    <xdr:ext cx="9525" cy="9525"/>
    <xdr:pic>
      <xdr:nvPicPr>
        <xdr:cNvPr id="8" name="Ink 11">
          <a:extLst>
            <a:ext uri="{FF2B5EF4-FFF2-40B4-BE49-F238E27FC236}">
              <a16:creationId xmlns:a16="http://schemas.microsoft.com/office/drawing/2014/main" id="{FED84810-E7FC-47CA-B134-CAA0525991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9" name="Ink 11">
          <a:extLst>
            <a:ext uri="{FF2B5EF4-FFF2-40B4-BE49-F238E27FC236}">
              <a16:creationId xmlns:a16="http://schemas.microsoft.com/office/drawing/2014/main" id="{28056D8A-7FFB-4F0D-92E2-BE63EA8E79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10" name="Ink 11">
          <a:extLst>
            <a:ext uri="{FF2B5EF4-FFF2-40B4-BE49-F238E27FC236}">
              <a16:creationId xmlns:a16="http://schemas.microsoft.com/office/drawing/2014/main" id="{B563EFE6-5A54-4473-B28B-FD5F5C7155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37</xdr:row>
      <xdr:rowOff>0</xdr:rowOff>
    </xdr:from>
    <xdr:ext cx="9525" cy="9525"/>
    <xdr:pic>
      <xdr:nvPicPr>
        <xdr:cNvPr id="11" name="Ink 11">
          <a:extLst>
            <a:ext uri="{FF2B5EF4-FFF2-40B4-BE49-F238E27FC236}">
              <a16:creationId xmlns:a16="http://schemas.microsoft.com/office/drawing/2014/main" id="{44C1FBAC-1F82-4141-A28B-4336F77A7D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12" name="Ink 11">
          <a:extLst>
            <a:ext uri="{FF2B5EF4-FFF2-40B4-BE49-F238E27FC236}">
              <a16:creationId xmlns:a16="http://schemas.microsoft.com/office/drawing/2014/main" id="{0D711A94-8E59-4F69-B609-F109600985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39</xdr:row>
      <xdr:rowOff>0</xdr:rowOff>
    </xdr:from>
    <xdr:ext cx="9525" cy="9525"/>
    <xdr:pic>
      <xdr:nvPicPr>
        <xdr:cNvPr id="13" name="Ink 11">
          <a:extLst>
            <a:ext uri="{FF2B5EF4-FFF2-40B4-BE49-F238E27FC236}">
              <a16:creationId xmlns:a16="http://schemas.microsoft.com/office/drawing/2014/main" id="{8B250916-F071-4C82-88FF-BB40D3A174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40</xdr:row>
      <xdr:rowOff>0</xdr:rowOff>
    </xdr:from>
    <xdr:ext cx="9525" cy="9525"/>
    <xdr:pic>
      <xdr:nvPicPr>
        <xdr:cNvPr id="14" name="Ink 11">
          <a:extLst>
            <a:ext uri="{FF2B5EF4-FFF2-40B4-BE49-F238E27FC236}">
              <a16:creationId xmlns:a16="http://schemas.microsoft.com/office/drawing/2014/main" id="{FC2C971F-D401-4CAB-8EBD-8EE0F1892E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42</xdr:row>
      <xdr:rowOff>0</xdr:rowOff>
    </xdr:from>
    <xdr:ext cx="9525" cy="9525"/>
    <xdr:pic>
      <xdr:nvPicPr>
        <xdr:cNvPr id="15" name="Ink 11">
          <a:extLst>
            <a:ext uri="{FF2B5EF4-FFF2-40B4-BE49-F238E27FC236}">
              <a16:creationId xmlns:a16="http://schemas.microsoft.com/office/drawing/2014/main" id="{AEF9406C-E624-40F1-AF24-F97561C6C4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43</xdr:row>
      <xdr:rowOff>0</xdr:rowOff>
    </xdr:from>
    <xdr:ext cx="9525" cy="9525"/>
    <xdr:pic>
      <xdr:nvPicPr>
        <xdr:cNvPr id="16" name="Ink 11">
          <a:extLst>
            <a:ext uri="{FF2B5EF4-FFF2-40B4-BE49-F238E27FC236}">
              <a16:creationId xmlns:a16="http://schemas.microsoft.com/office/drawing/2014/main" id="{33BCE19D-6AC4-495D-9AA8-20C7B04195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17" name="Ink 11">
          <a:extLst>
            <a:ext uri="{FF2B5EF4-FFF2-40B4-BE49-F238E27FC236}">
              <a16:creationId xmlns:a16="http://schemas.microsoft.com/office/drawing/2014/main" id="{1F248FAD-DBDF-4B72-B4A0-00C7245EDE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37</xdr:row>
      <xdr:rowOff>0</xdr:rowOff>
    </xdr:from>
    <xdr:ext cx="9525" cy="9525"/>
    <xdr:pic>
      <xdr:nvPicPr>
        <xdr:cNvPr id="18" name="Ink 11">
          <a:extLst>
            <a:ext uri="{FF2B5EF4-FFF2-40B4-BE49-F238E27FC236}">
              <a16:creationId xmlns:a16="http://schemas.microsoft.com/office/drawing/2014/main" id="{F968E4E1-DC76-41CE-AFDB-35559BCFFA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09061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37</xdr:row>
      <xdr:rowOff>0</xdr:rowOff>
    </xdr:from>
    <xdr:ext cx="9525" cy="9525"/>
    <xdr:pic>
      <xdr:nvPicPr>
        <xdr:cNvPr id="19" name="Ink 11">
          <a:extLst>
            <a:ext uri="{FF2B5EF4-FFF2-40B4-BE49-F238E27FC236}">
              <a16:creationId xmlns:a16="http://schemas.microsoft.com/office/drawing/2014/main" id="{6356A896-80F2-482A-9A5A-D4C6278A57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09061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20" name="Ink 11">
          <a:extLst>
            <a:ext uri="{FF2B5EF4-FFF2-40B4-BE49-F238E27FC236}">
              <a16:creationId xmlns:a16="http://schemas.microsoft.com/office/drawing/2014/main" id="{9E97B685-91B6-48D0-AC8B-0B7EAF7D4B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21" name="Ink 11">
          <a:extLst>
            <a:ext uri="{FF2B5EF4-FFF2-40B4-BE49-F238E27FC236}">
              <a16:creationId xmlns:a16="http://schemas.microsoft.com/office/drawing/2014/main" id="{1077ABCF-CEF4-409A-99D0-6A7A655AD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22" name="Ink 11">
          <a:extLst>
            <a:ext uri="{FF2B5EF4-FFF2-40B4-BE49-F238E27FC236}">
              <a16:creationId xmlns:a16="http://schemas.microsoft.com/office/drawing/2014/main" id="{9561612B-0267-420D-802B-86B70F8E11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23" name="Ink 11">
          <a:extLst>
            <a:ext uri="{FF2B5EF4-FFF2-40B4-BE49-F238E27FC236}">
              <a16:creationId xmlns:a16="http://schemas.microsoft.com/office/drawing/2014/main" id="{C99A2FB2-F007-4963-B796-1C418941D9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4" name="Ink 11">
          <a:extLst>
            <a:ext uri="{FF2B5EF4-FFF2-40B4-BE49-F238E27FC236}">
              <a16:creationId xmlns:a16="http://schemas.microsoft.com/office/drawing/2014/main" id="{B5B32B6E-E966-4E58-97DB-9BEB157157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5" name="Ink 11">
          <a:extLst>
            <a:ext uri="{FF2B5EF4-FFF2-40B4-BE49-F238E27FC236}">
              <a16:creationId xmlns:a16="http://schemas.microsoft.com/office/drawing/2014/main" id="{EE8293DB-5E6E-4E84-817B-0EAFEC3F26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6" name="Ink 11">
          <a:extLst>
            <a:ext uri="{FF2B5EF4-FFF2-40B4-BE49-F238E27FC236}">
              <a16:creationId xmlns:a16="http://schemas.microsoft.com/office/drawing/2014/main" id="{2A714B65-1397-4B02-861B-05F56A6D02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7" name="Ink 11">
          <a:extLst>
            <a:ext uri="{FF2B5EF4-FFF2-40B4-BE49-F238E27FC236}">
              <a16:creationId xmlns:a16="http://schemas.microsoft.com/office/drawing/2014/main" id="{94858928-4416-4137-BB5F-838460E6FC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8" name="Ink 11">
          <a:extLst>
            <a:ext uri="{FF2B5EF4-FFF2-40B4-BE49-F238E27FC236}">
              <a16:creationId xmlns:a16="http://schemas.microsoft.com/office/drawing/2014/main" id="{773F9163-735A-47FB-AB17-C0C562D3DD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9" name="Ink 11">
          <a:extLst>
            <a:ext uri="{FF2B5EF4-FFF2-40B4-BE49-F238E27FC236}">
              <a16:creationId xmlns:a16="http://schemas.microsoft.com/office/drawing/2014/main" id="{1043F4B9-2AE8-4284-B208-032F8A6067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30" name="Ink 11">
          <a:extLst>
            <a:ext uri="{FF2B5EF4-FFF2-40B4-BE49-F238E27FC236}">
              <a16:creationId xmlns:a16="http://schemas.microsoft.com/office/drawing/2014/main" id="{2568EEDB-252A-46D8-9452-E01F961B0C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31" name="Ink 11">
          <a:extLst>
            <a:ext uri="{FF2B5EF4-FFF2-40B4-BE49-F238E27FC236}">
              <a16:creationId xmlns:a16="http://schemas.microsoft.com/office/drawing/2014/main" id="{1EF10BF3-C0D5-4FBE-ADF7-89E6679883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6131456" name="Ink 11">
          <a:extLst>
            <a:ext uri="{FF2B5EF4-FFF2-40B4-BE49-F238E27FC236}">
              <a16:creationId xmlns:a16="http://schemas.microsoft.com/office/drawing/2014/main" id="{40537150-11E4-425A-97F0-F8369A3EBA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6131457" name="Ink 11">
          <a:extLst>
            <a:ext uri="{FF2B5EF4-FFF2-40B4-BE49-F238E27FC236}">
              <a16:creationId xmlns:a16="http://schemas.microsoft.com/office/drawing/2014/main" id="{93867C4D-73B7-43C7-81EA-B2A8FA45ED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6131458" name="Ink 11">
          <a:extLst>
            <a:ext uri="{FF2B5EF4-FFF2-40B4-BE49-F238E27FC236}">
              <a16:creationId xmlns:a16="http://schemas.microsoft.com/office/drawing/2014/main" id="{43EB12FA-1685-4EF0-9936-8AE97FE58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59" name="Ink 11">
          <a:extLst>
            <a:ext uri="{FF2B5EF4-FFF2-40B4-BE49-F238E27FC236}">
              <a16:creationId xmlns:a16="http://schemas.microsoft.com/office/drawing/2014/main" id="{CDE5D119-69D2-45BA-9623-B129E1F7EE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0" name="Ink 11">
          <a:extLst>
            <a:ext uri="{FF2B5EF4-FFF2-40B4-BE49-F238E27FC236}">
              <a16:creationId xmlns:a16="http://schemas.microsoft.com/office/drawing/2014/main" id="{FAC5C7D1-55A5-4507-BF82-03BC3A2F66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1" name="Ink 11">
          <a:extLst>
            <a:ext uri="{FF2B5EF4-FFF2-40B4-BE49-F238E27FC236}">
              <a16:creationId xmlns:a16="http://schemas.microsoft.com/office/drawing/2014/main" id="{AAEEDB1C-A31D-49B0-B6A3-8A77A9795D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2" name="Ink 11">
          <a:extLst>
            <a:ext uri="{FF2B5EF4-FFF2-40B4-BE49-F238E27FC236}">
              <a16:creationId xmlns:a16="http://schemas.microsoft.com/office/drawing/2014/main" id="{46F7A324-BFE0-44B1-A120-3D5F7BF37F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3" name="Ink 11">
          <a:extLst>
            <a:ext uri="{FF2B5EF4-FFF2-40B4-BE49-F238E27FC236}">
              <a16:creationId xmlns:a16="http://schemas.microsoft.com/office/drawing/2014/main" id="{A4CF8D88-A34D-4CCC-9DB5-86CFDED025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4" name="Ink 11">
          <a:extLst>
            <a:ext uri="{FF2B5EF4-FFF2-40B4-BE49-F238E27FC236}">
              <a16:creationId xmlns:a16="http://schemas.microsoft.com/office/drawing/2014/main" id="{855201BC-4D90-494F-BC09-A12AB536F2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7" name="Ink 11">
          <a:extLst>
            <a:ext uri="{FF2B5EF4-FFF2-40B4-BE49-F238E27FC236}">
              <a16:creationId xmlns:a16="http://schemas.microsoft.com/office/drawing/2014/main" id="{74164222-A0A2-40F8-A046-02F165C59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68" name="Ink 11">
          <a:extLst>
            <a:ext uri="{FF2B5EF4-FFF2-40B4-BE49-F238E27FC236}">
              <a16:creationId xmlns:a16="http://schemas.microsoft.com/office/drawing/2014/main" id="{CD6711BC-F8F6-4C91-8940-7DFD54A10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69" name="Ink 11">
          <a:extLst>
            <a:ext uri="{FF2B5EF4-FFF2-40B4-BE49-F238E27FC236}">
              <a16:creationId xmlns:a16="http://schemas.microsoft.com/office/drawing/2014/main" id="{515F16EF-3D93-43A0-8392-4C199069E6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0" name="Ink 11">
          <a:extLst>
            <a:ext uri="{FF2B5EF4-FFF2-40B4-BE49-F238E27FC236}">
              <a16:creationId xmlns:a16="http://schemas.microsoft.com/office/drawing/2014/main" id="{5BE2D5FD-CFCC-40EB-8D38-FD6F17851C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1" name="Ink 11">
          <a:extLst>
            <a:ext uri="{FF2B5EF4-FFF2-40B4-BE49-F238E27FC236}">
              <a16:creationId xmlns:a16="http://schemas.microsoft.com/office/drawing/2014/main" id="{6DD24684-311F-42F4-AD48-53D9E9A390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2" name="Ink 11">
          <a:extLst>
            <a:ext uri="{FF2B5EF4-FFF2-40B4-BE49-F238E27FC236}">
              <a16:creationId xmlns:a16="http://schemas.microsoft.com/office/drawing/2014/main" id="{C964F9D9-66CC-4C3D-865B-B6DE55F528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3" name="Ink 11">
          <a:extLst>
            <a:ext uri="{FF2B5EF4-FFF2-40B4-BE49-F238E27FC236}">
              <a16:creationId xmlns:a16="http://schemas.microsoft.com/office/drawing/2014/main" id="{225EDB73-3035-4074-B4EB-20E808835D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4" name="Ink 11">
          <a:extLst>
            <a:ext uri="{FF2B5EF4-FFF2-40B4-BE49-F238E27FC236}">
              <a16:creationId xmlns:a16="http://schemas.microsoft.com/office/drawing/2014/main" id="{614B9150-2270-4236-AF42-53DC42FAA5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5" name="Ink 11">
          <a:extLst>
            <a:ext uri="{FF2B5EF4-FFF2-40B4-BE49-F238E27FC236}">
              <a16:creationId xmlns:a16="http://schemas.microsoft.com/office/drawing/2014/main" id="{F04963B6-730B-4A38-AC00-6A8CC2066A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76" name="Ink 11">
          <a:extLst>
            <a:ext uri="{FF2B5EF4-FFF2-40B4-BE49-F238E27FC236}">
              <a16:creationId xmlns:a16="http://schemas.microsoft.com/office/drawing/2014/main" id="{AE8E7296-D444-4503-A476-1DEA44FDF6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77" name="Ink 11">
          <a:extLst>
            <a:ext uri="{FF2B5EF4-FFF2-40B4-BE49-F238E27FC236}">
              <a16:creationId xmlns:a16="http://schemas.microsoft.com/office/drawing/2014/main" id="{11C906BA-4E31-41A6-90FD-DD313CAFBF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78" name="Ink 11">
          <a:extLst>
            <a:ext uri="{FF2B5EF4-FFF2-40B4-BE49-F238E27FC236}">
              <a16:creationId xmlns:a16="http://schemas.microsoft.com/office/drawing/2014/main" id="{5F0A746A-6D6E-41F4-8672-F56EC9C3DC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79" name="Ink 11">
          <a:extLst>
            <a:ext uri="{FF2B5EF4-FFF2-40B4-BE49-F238E27FC236}">
              <a16:creationId xmlns:a16="http://schemas.microsoft.com/office/drawing/2014/main" id="{A0CC7C4F-E8E7-4388-8FEB-3F249BB290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80" name="Ink 11">
          <a:extLst>
            <a:ext uri="{FF2B5EF4-FFF2-40B4-BE49-F238E27FC236}">
              <a16:creationId xmlns:a16="http://schemas.microsoft.com/office/drawing/2014/main" id="{08DF4ADD-9EF6-4F9F-8A02-70EE768E73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81" name="Ink 11">
          <a:extLst>
            <a:ext uri="{FF2B5EF4-FFF2-40B4-BE49-F238E27FC236}">
              <a16:creationId xmlns:a16="http://schemas.microsoft.com/office/drawing/2014/main" id="{3DB27388-12D8-4F32-8692-2E897A3ABC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82" name="Ink 11">
          <a:extLst>
            <a:ext uri="{FF2B5EF4-FFF2-40B4-BE49-F238E27FC236}">
              <a16:creationId xmlns:a16="http://schemas.microsoft.com/office/drawing/2014/main" id="{8C8A68DA-B1A4-4C38-8C83-A3C3FACF21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83" name="Ink 11">
          <a:extLst>
            <a:ext uri="{FF2B5EF4-FFF2-40B4-BE49-F238E27FC236}">
              <a16:creationId xmlns:a16="http://schemas.microsoft.com/office/drawing/2014/main" id="{7678BD5C-59D0-4F9B-A70B-D333FCFE0A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4" name="Ink 11">
          <a:extLst>
            <a:ext uri="{FF2B5EF4-FFF2-40B4-BE49-F238E27FC236}">
              <a16:creationId xmlns:a16="http://schemas.microsoft.com/office/drawing/2014/main" id="{E2399625-73D8-47F2-A1C8-314EF00E54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5" name="Ink 11">
          <a:extLst>
            <a:ext uri="{FF2B5EF4-FFF2-40B4-BE49-F238E27FC236}">
              <a16:creationId xmlns:a16="http://schemas.microsoft.com/office/drawing/2014/main" id="{B18AA991-5C1D-4EC4-ABA6-A2AA0F3B28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6" name="Ink 11">
          <a:extLst>
            <a:ext uri="{FF2B5EF4-FFF2-40B4-BE49-F238E27FC236}">
              <a16:creationId xmlns:a16="http://schemas.microsoft.com/office/drawing/2014/main" id="{0FE8610E-0634-443F-BB12-C327002AD0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7" name="Ink 11">
          <a:extLst>
            <a:ext uri="{FF2B5EF4-FFF2-40B4-BE49-F238E27FC236}">
              <a16:creationId xmlns:a16="http://schemas.microsoft.com/office/drawing/2014/main" id="{3197A10A-3809-45C4-AD65-35EABA51DF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8" name="Ink 11">
          <a:extLst>
            <a:ext uri="{FF2B5EF4-FFF2-40B4-BE49-F238E27FC236}">
              <a16:creationId xmlns:a16="http://schemas.microsoft.com/office/drawing/2014/main" id="{3202406E-CCF4-467B-9E62-D0C175F38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9" name="Ink 11">
          <a:extLst>
            <a:ext uri="{FF2B5EF4-FFF2-40B4-BE49-F238E27FC236}">
              <a16:creationId xmlns:a16="http://schemas.microsoft.com/office/drawing/2014/main" id="{E128F772-8F9F-4D7C-A713-564FB9B7E4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90" name="Ink 11">
          <a:extLst>
            <a:ext uri="{FF2B5EF4-FFF2-40B4-BE49-F238E27FC236}">
              <a16:creationId xmlns:a16="http://schemas.microsoft.com/office/drawing/2014/main" id="{6AFB9BE5-7AB9-49A3-9680-781C42A068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91" name="Ink 11">
          <a:extLst>
            <a:ext uri="{FF2B5EF4-FFF2-40B4-BE49-F238E27FC236}">
              <a16:creationId xmlns:a16="http://schemas.microsoft.com/office/drawing/2014/main" id="{8984E511-9393-40FD-A484-1FE5244FAE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42</xdr:row>
      <xdr:rowOff>0</xdr:rowOff>
    </xdr:from>
    <xdr:ext cx="9525" cy="9525"/>
    <xdr:pic>
      <xdr:nvPicPr>
        <xdr:cNvPr id="6131492" name="Ink 11">
          <a:extLst>
            <a:ext uri="{FF2B5EF4-FFF2-40B4-BE49-F238E27FC236}">
              <a16:creationId xmlns:a16="http://schemas.microsoft.com/office/drawing/2014/main" id="{7BAFD747-5FBF-468D-810D-21C3DD03BC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09061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42</xdr:row>
      <xdr:rowOff>0</xdr:rowOff>
    </xdr:from>
    <xdr:ext cx="9525" cy="9525"/>
    <xdr:pic>
      <xdr:nvPicPr>
        <xdr:cNvPr id="6131493" name="Ink 11">
          <a:extLst>
            <a:ext uri="{FF2B5EF4-FFF2-40B4-BE49-F238E27FC236}">
              <a16:creationId xmlns:a16="http://schemas.microsoft.com/office/drawing/2014/main" id="{2D3CCCE7-FD4E-4472-9DF0-094A98F0F9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09061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43</xdr:row>
      <xdr:rowOff>0</xdr:rowOff>
    </xdr:from>
    <xdr:ext cx="9525" cy="9525"/>
    <xdr:pic>
      <xdr:nvPicPr>
        <xdr:cNvPr id="6131494" name="Ink 11">
          <a:extLst>
            <a:ext uri="{FF2B5EF4-FFF2-40B4-BE49-F238E27FC236}">
              <a16:creationId xmlns:a16="http://schemas.microsoft.com/office/drawing/2014/main" id="{F805ECA0-CE6D-4A85-B00D-EE719C34F0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2204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43</xdr:row>
      <xdr:rowOff>0</xdr:rowOff>
    </xdr:from>
    <xdr:ext cx="9525" cy="9525"/>
    <xdr:pic>
      <xdr:nvPicPr>
        <xdr:cNvPr id="6131495" name="Ink 11">
          <a:extLst>
            <a:ext uri="{FF2B5EF4-FFF2-40B4-BE49-F238E27FC236}">
              <a16:creationId xmlns:a16="http://schemas.microsoft.com/office/drawing/2014/main" id="{2B71BC98-6A96-491E-B5AE-1E1790C6B9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2204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43</xdr:row>
      <xdr:rowOff>0</xdr:rowOff>
    </xdr:from>
    <xdr:ext cx="9525" cy="9525"/>
    <xdr:pic>
      <xdr:nvPicPr>
        <xdr:cNvPr id="6131496" name="Ink 11">
          <a:extLst>
            <a:ext uri="{FF2B5EF4-FFF2-40B4-BE49-F238E27FC236}">
              <a16:creationId xmlns:a16="http://schemas.microsoft.com/office/drawing/2014/main" id="{7EE3A730-E064-4A71-A0FE-36A187778A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2204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44</xdr:row>
      <xdr:rowOff>0</xdr:rowOff>
    </xdr:from>
    <xdr:ext cx="9525" cy="9525"/>
    <xdr:pic>
      <xdr:nvPicPr>
        <xdr:cNvPr id="6131497" name="Ink 11">
          <a:extLst>
            <a:ext uri="{FF2B5EF4-FFF2-40B4-BE49-F238E27FC236}">
              <a16:creationId xmlns:a16="http://schemas.microsoft.com/office/drawing/2014/main" id="{D5D703BF-C6A5-4C1A-8CD5-E75CCC1F3A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44</xdr:row>
      <xdr:rowOff>0</xdr:rowOff>
    </xdr:from>
    <xdr:ext cx="9525" cy="9525"/>
    <xdr:pic>
      <xdr:nvPicPr>
        <xdr:cNvPr id="6131498" name="Ink 11">
          <a:extLst>
            <a:ext uri="{FF2B5EF4-FFF2-40B4-BE49-F238E27FC236}">
              <a16:creationId xmlns:a16="http://schemas.microsoft.com/office/drawing/2014/main" id="{54436678-C75D-4F6B-BBC4-C0945A5782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44</xdr:row>
      <xdr:rowOff>0</xdr:rowOff>
    </xdr:from>
    <xdr:ext cx="9525" cy="9525"/>
    <xdr:pic>
      <xdr:nvPicPr>
        <xdr:cNvPr id="6131499" name="Ink 11">
          <a:extLst>
            <a:ext uri="{FF2B5EF4-FFF2-40B4-BE49-F238E27FC236}">
              <a16:creationId xmlns:a16="http://schemas.microsoft.com/office/drawing/2014/main" id="{AC9810E1-EFA4-4EBC-AFE9-CC45B8E7D6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44</xdr:row>
      <xdr:rowOff>0</xdr:rowOff>
    </xdr:from>
    <xdr:ext cx="9525" cy="9525"/>
    <xdr:pic>
      <xdr:nvPicPr>
        <xdr:cNvPr id="6131500" name="Ink 11">
          <a:extLst>
            <a:ext uri="{FF2B5EF4-FFF2-40B4-BE49-F238E27FC236}">
              <a16:creationId xmlns:a16="http://schemas.microsoft.com/office/drawing/2014/main" id="{2E71F3B4-7B57-4BF4-A4C4-9F5FC570C9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6131501" name="Ink 11">
          <a:extLst>
            <a:ext uri="{FF2B5EF4-FFF2-40B4-BE49-F238E27FC236}">
              <a16:creationId xmlns:a16="http://schemas.microsoft.com/office/drawing/2014/main" id="{4AF36E25-08F2-44A3-BE96-25DE504E8A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6131502" name="Ink 11">
          <a:extLst>
            <a:ext uri="{FF2B5EF4-FFF2-40B4-BE49-F238E27FC236}">
              <a16:creationId xmlns:a16="http://schemas.microsoft.com/office/drawing/2014/main" id="{4D8DCC4F-B6C5-4BEE-891C-EC42C117D2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6131503" name="Ink 11">
          <a:extLst>
            <a:ext uri="{FF2B5EF4-FFF2-40B4-BE49-F238E27FC236}">
              <a16:creationId xmlns:a16="http://schemas.microsoft.com/office/drawing/2014/main" id="{37C56CD6-B139-4ACB-A9A2-D8E93637AE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6131504" name="Ink 11">
          <a:extLst>
            <a:ext uri="{FF2B5EF4-FFF2-40B4-BE49-F238E27FC236}">
              <a16:creationId xmlns:a16="http://schemas.microsoft.com/office/drawing/2014/main" id="{E4B942B2-C11E-4F2F-BED2-8B03CE95D9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5" name="Ink 11">
          <a:extLst>
            <a:ext uri="{FF2B5EF4-FFF2-40B4-BE49-F238E27FC236}">
              <a16:creationId xmlns:a16="http://schemas.microsoft.com/office/drawing/2014/main" id="{32E7B7FB-831B-4E68-8180-8BA80F98C3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6" name="Ink 11">
          <a:extLst>
            <a:ext uri="{FF2B5EF4-FFF2-40B4-BE49-F238E27FC236}">
              <a16:creationId xmlns:a16="http://schemas.microsoft.com/office/drawing/2014/main" id="{178B4DAD-E78B-45E9-BAAD-BA6F5FB744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7" name="Ink 11">
          <a:extLst>
            <a:ext uri="{FF2B5EF4-FFF2-40B4-BE49-F238E27FC236}">
              <a16:creationId xmlns:a16="http://schemas.microsoft.com/office/drawing/2014/main" id="{3DE2E44C-6F27-484F-8D32-3B99EF17F3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8" name="Ink 11">
          <a:extLst>
            <a:ext uri="{FF2B5EF4-FFF2-40B4-BE49-F238E27FC236}">
              <a16:creationId xmlns:a16="http://schemas.microsoft.com/office/drawing/2014/main" id="{D730A507-C8BF-49C7-99AD-53594CB52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9" name="Ink 11">
          <a:extLst>
            <a:ext uri="{FF2B5EF4-FFF2-40B4-BE49-F238E27FC236}">
              <a16:creationId xmlns:a16="http://schemas.microsoft.com/office/drawing/2014/main" id="{BD95E081-727E-4E3E-ACD0-1B2A08E05A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0" name="Ink 11">
          <a:extLst>
            <a:ext uri="{FF2B5EF4-FFF2-40B4-BE49-F238E27FC236}">
              <a16:creationId xmlns:a16="http://schemas.microsoft.com/office/drawing/2014/main" id="{1180FEC5-7AD5-4DEA-AF0D-C0C1CEAD65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1" name="Ink 11">
          <a:extLst>
            <a:ext uri="{FF2B5EF4-FFF2-40B4-BE49-F238E27FC236}">
              <a16:creationId xmlns:a16="http://schemas.microsoft.com/office/drawing/2014/main" id="{529ECA24-88F6-4401-8053-3D40D31BCD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2" name="Ink 11">
          <a:extLst>
            <a:ext uri="{FF2B5EF4-FFF2-40B4-BE49-F238E27FC236}">
              <a16:creationId xmlns:a16="http://schemas.microsoft.com/office/drawing/2014/main" id="{745A3709-1C90-4EB1-B7E8-6063FCF6E8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3" name="Ink 11">
          <a:extLst>
            <a:ext uri="{FF2B5EF4-FFF2-40B4-BE49-F238E27FC236}">
              <a16:creationId xmlns:a16="http://schemas.microsoft.com/office/drawing/2014/main" id="{EAF29F5D-D6CF-4F74-980F-00F12FDF59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4" name="Ink 11">
          <a:extLst>
            <a:ext uri="{FF2B5EF4-FFF2-40B4-BE49-F238E27FC236}">
              <a16:creationId xmlns:a16="http://schemas.microsoft.com/office/drawing/2014/main" id="{881994F5-AF16-42E1-ACD1-81F86210B5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5" name="Ink 11">
          <a:extLst>
            <a:ext uri="{FF2B5EF4-FFF2-40B4-BE49-F238E27FC236}">
              <a16:creationId xmlns:a16="http://schemas.microsoft.com/office/drawing/2014/main" id="{1DAC5CF1-3C8F-4637-A087-2DCFCCA4DA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6" name="Ink 11">
          <a:extLst>
            <a:ext uri="{FF2B5EF4-FFF2-40B4-BE49-F238E27FC236}">
              <a16:creationId xmlns:a16="http://schemas.microsoft.com/office/drawing/2014/main" id="{F291269B-F14D-4C28-A3B8-E0ED19B933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7" name="Ink 11">
          <a:extLst>
            <a:ext uri="{FF2B5EF4-FFF2-40B4-BE49-F238E27FC236}">
              <a16:creationId xmlns:a16="http://schemas.microsoft.com/office/drawing/2014/main" id="{B7667433-487A-4343-8A3E-9F69685FB2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8" name="Ink 11">
          <a:extLst>
            <a:ext uri="{FF2B5EF4-FFF2-40B4-BE49-F238E27FC236}">
              <a16:creationId xmlns:a16="http://schemas.microsoft.com/office/drawing/2014/main" id="{7A596BF5-22D2-455D-8FD3-AC8BB19218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9" name="Ink 11">
          <a:extLst>
            <a:ext uri="{FF2B5EF4-FFF2-40B4-BE49-F238E27FC236}">
              <a16:creationId xmlns:a16="http://schemas.microsoft.com/office/drawing/2014/main" id="{F6D1DD56-3AB1-4AF6-BBFB-280496793D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2" name="Ink 11">
          <a:extLst>
            <a:ext uri="{FF2B5EF4-FFF2-40B4-BE49-F238E27FC236}">
              <a16:creationId xmlns:a16="http://schemas.microsoft.com/office/drawing/2014/main" id="{40C95238-A04D-45B4-B765-F0732CFB95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3" name="Ink 11">
          <a:extLst>
            <a:ext uri="{FF2B5EF4-FFF2-40B4-BE49-F238E27FC236}">
              <a16:creationId xmlns:a16="http://schemas.microsoft.com/office/drawing/2014/main" id="{9A70E519-254A-47EB-A8D7-2F0FD4D191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4" name="Ink 11">
          <a:extLst>
            <a:ext uri="{FF2B5EF4-FFF2-40B4-BE49-F238E27FC236}">
              <a16:creationId xmlns:a16="http://schemas.microsoft.com/office/drawing/2014/main" id="{08550F63-1CD0-467D-B7A4-D5B6AAF3FD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5" name="Ink 11">
          <a:extLst>
            <a:ext uri="{FF2B5EF4-FFF2-40B4-BE49-F238E27FC236}">
              <a16:creationId xmlns:a16="http://schemas.microsoft.com/office/drawing/2014/main" id="{EDB26EE6-BE9D-4419-8149-643D0E72EB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6" name="Ink 11">
          <a:extLst>
            <a:ext uri="{FF2B5EF4-FFF2-40B4-BE49-F238E27FC236}">
              <a16:creationId xmlns:a16="http://schemas.microsoft.com/office/drawing/2014/main" id="{C64B4B39-E179-4573-9D01-5A8957F403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37" name="Ink 11">
          <a:extLst>
            <a:ext uri="{FF2B5EF4-FFF2-40B4-BE49-F238E27FC236}">
              <a16:creationId xmlns:a16="http://schemas.microsoft.com/office/drawing/2014/main" id="{E6933251-5988-45B0-8831-725B119D48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38" name="Ink 11">
          <a:extLst>
            <a:ext uri="{FF2B5EF4-FFF2-40B4-BE49-F238E27FC236}">
              <a16:creationId xmlns:a16="http://schemas.microsoft.com/office/drawing/2014/main" id="{425C5E27-0A0D-4236-89C0-5067B359E8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39" name="Ink 11">
          <a:extLst>
            <a:ext uri="{FF2B5EF4-FFF2-40B4-BE49-F238E27FC236}">
              <a16:creationId xmlns:a16="http://schemas.microsoft.com/office/drawing/2014/main" id="{F7AF7B2E-AC5F-4CC7-BC1C-218411C9C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40" name="Ink 11">
          <a:extLst>
            <a:ext uri="{FF2B5EF4-FFF2-40B4-BE49-F238E27FC236}">
              <a16:creationId xmlns:a16="http://schemas.microsoft.com/office/drawing/2014/main" id="{64B05160-12D4-4B93-89B4-1E8F11EFB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41" name="Ink 11">
          <a:extLst>
            <a:ext uri="{FF2B5EF4-FFF2-40B4-BE49-F238E27FC236}">
              <a16:creationId xmlns:a16="http://schemas.microsoft.com/office/drawing/2014/main" id="{C7523694-9480-43B6-951E-004180C858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2" name="Ink 11">
          <a:extLst>
            <a:ext uri="{FF2B5EF4-FFF2-40B4-BE49-F238E27FC236}">
              <a16:creationId xmlns:a16="http://schemas.microsoft.com/office/drawing/2014/main" id="{24765B40-8F47-4739-929C-1A4C3BA99A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3" name="Ink 11">
          <a:extLst>
            <a:ext uri="{FF2B5EF4-FFF2-40B4-BE49-F238E27FC236}">
              <a16:creationId xmlns:a16="http://schemas.microsoft.com/office/drawing/2014/main" id="{D3AD9977-FFAD-437C-AB44-3897E07CD1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4" name="Ink 11">
          <a:extLst>
            <a:ext uri="{FF2B5EF4-FFF2-40B4-BE49-F238E27FC236}">
              <a16:creationId xmlns:a16="http://schemas.microsoft.com/office/drawing/2014/main" id="{FE20DBC7-F33B-4BA7-9A85-ED4B04F68A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5" name="Ink 11">
          <a:extLst>
            <a:ext uri="{FF2B5EF4-FFF2-40B4-BE49-F238E27FC236}">
              <a16:creationId xmlns:a16="http://schemas.microsoft.com/office/drawing/2014/main" id="{217277DA-6B9B-468A-86A6-6429641AF6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6" name="Ink 11">
          <a:extLst>
            <a:ext uri="{FF2B5EF4-FFF2-40B4-BE49-F238E27FC236}">
              <a16:creationId xmlns:a16="http://schemas.microsoft.com/office/drawing/2014/main" id="{CB34AD67-2F99-4A62-8D87-D5FBA927CD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208</xdr:row>
      <xdr:rowOff>0</xdr:rowOff>
    </xdr:from>
    <xdr:ext cx="9525" cy="9525"/>
    <xdr:pic>
      <xdr:nvPicPr>
        <xdr:cNvPr id="47" name="Ink 11">
          <a:extLst>
            <a:ext uri="{FF2B5EF4-FFF2-40B4-BE49-F238E27FC236}">
              <a16:creationId xmlns:a16="http://schemas.microsoft.com/office/drawing/2014/main" id="{8AC92751-D366-469A-AE1D-429628B169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208</xdr:row>
      <xdr:rowOff>0</xdr:rowOff>
    </xdr:from>
    <xdr:ext cx="9525" cy="9525"/>
    <xdr:pic>
      <xdr:nvPicPr>
        <xdr:cNvPr id="48" name="Ink 11">
          <a:extLst>
            <a:ext uri="{FF2B5EF4-FFF2-40B4-BE49-F238E27FC236}">
              <a16:creationId xmlns:a16="http://schemas.microsoft.com/office/drawing/2014/main" id="{C04909C0-3BBC-43BB-87CF-E0884548BD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208</xdr:row>
      <xdr:rowOff>0</xdr:rowOff>
    </xdr:from>
    <xdr:ext cx="9525" cy="9525"/>
    <xdr:pic>
      <xdr:nvPicPr>
        <xdr:cNvPr id="49" name="Ink 11">
          <a:extLst>
            <a:ext uri="{FF2B5EF4-FFF2-40B4-BE49-F238E27FC236}">
              <a16:creationId xmlns:a16="http://schemas.microsoft.com/office/drawing/2014/main" id="{8DE3C22D-581E-44E6-9B63-21295A3F6F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208</xdr:row>
      <xdr:rowOff>0</xdr:rowOff>
    </xdr:from>
    <xdr:ext cx="9525" cy="9525"/>
    <xdr:pic>
      <xdr:nvPicPr>
        <xdr:cNvPr id="50" name="Ink 11">
          <a:extLst>
            <a:ext uri="{FF2B5EF4-FFF2-40B4-BE49-F238E27FC236}">
              <a16:creationId xmlns:a16="http://schemas.microsoft.com/office/drawing/2014/main" id="{9DA160DF-7A72-4606-9C45-4EAFC0D146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208</xdr:row>
      <xdr:rowOff>0</xdr:rowOff>
    </xdr:from>
    <xdr:ext cx="9525" cy="9525"/>
    <xdr:pic>
      <xdr:nvPicPr>
        <xdr:cNvPr id="51" name="Ink 11">
          <a:extLst>
            <a:ext uri="{FF2B5EF4-FFF2-40B4-BE49-F238E27FC236}">
              <a16:creationId xmlns:a16="http://schemas.microsoft.com/office/drawing/2014/main" id="{2F61BBD0-A18D-4D14-96BC-D72031C6DD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209</xdr:row>
      <xdr:rowOff>0</xdr:rowOff>
    </xdr:from>
    <xdr:ext cx="9525" cy="9525"/>
    <xdr:pic>
      <xdr:nvPicPr>
        <xdr:cNvPr id="52" name="Ink 11">
          <a:extLst>
            <a:ext uri="{FF2B5EF4-FFF2-40B4-BE49-F238E27FC236}">
              <a16:creationId xmlns:a16="http://schemas.microsoft.com/office/drawing/2014/main" id="{E231DEA7-71C4-41F8-9FF3-8A87408CF5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209</xdr:row>
      <xdr:rowOff>0</xdr:rowOff>
    </xdr:from>
    <xdr:ext cx="9525" cy="9525"/>
    <xdr:pic>
      <xdr:nvPicPr>
        <xdr:cNvPr id="53" name="Ink 11">
          <a:extLst>
            <a:ext uri="{FF2B5EF4-FFF2-40B4-BE49-F238E27FC236}">
              <a16:creationId xmlns:a16="http://schemas.microsoft.com/office/drawing/2014/main" id="{3ED91727-6572-4006-8745-3B4B7342E4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209</xdr:row>
      <xdr:rowOff>0</xdr:rowOff>
    </xdr:from>
    <xdr:ext cx="9525" cy="9525"/>
    <xdr:pic>
      <xdr:nvPicPr>
        <xdr:cNvPr id="54" name="Ink 11">
          <a:extLst>
            <a:ext uri="{FF2B5EF4-FFF2-40B4-BE49-F238E27FC236}">
              <a16:creationId xmlns:a16="http://schemas.microsoft.com/office/drawing/2014/main" id="{46D6DC19-5283-4E83-B3FA-A419EDAE84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209</xdr:row>
      <xdr:rowOff>0</xdr:rowOff>
    </xdr:from>
    <xdr:ext cx="9525" cy="9525"/>
    <xdr:pic>
      <xdr:nvPicPr>
        <xdr:cNvPr id="55" name="Ink 11">
          <a:extLst>
            <a:ext uri="{FF2B5EF4-FFF2-40B4-BE49-F238E27FC236}">
              <a16:creationId xmlns:a16="http://schemas.microsoft.com/office/drawing/2014/main" id="{8876D020-3EC3-4ADB-8499-685C91BBDD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209</xdr:row>
      <xdr:rowOff>0</xdr:rowOff>
    </xdr:from>
    <xdr:ext cx="9525" cy="9525"/>
    <xdr:pic>
      <xdr:nvPicPr>
        <xdr:cNvPr id="56" name="Ink 11">
          <a:extLst>
            <a:ext uri="{FF2B5EF4-FFF2-40B4-BE49-F238E27FC236}">
              <a16:creationId xmlns:a16="http://schemas.microsoft.com/office/drawing/2014/main" id="{5A852216-04CA-49B1-A59A-A51C4E0254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9525</xdr:rowOff>
    </xdr:from>
    <xdr:to>
      <xdr:col>20</xdr:col>
      <xdr:colOff>0</xdr:colOff>
      <xdr:row>17</xdr:row>
      <xdr:rowOff>14287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E8BBD6A-0DFB-DFA3-B26A-48CB5E5E2A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1</xdr:row>
      <xdr:rowOff>0</xdr:rowOff>
    </xdr:from>
    <xdr:to>
      <xdr:col>20</xdr:col>
      <xdr:colOff>19049</xdr:colOff>
      <xdr:row>21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9CF0BB7-E7CB-24AB-3CEF-2870637B50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9524</xdr:colOff>
      <xdr:row>1</xdr:row>
      <xdr:rowOff>9526</xdr:rowOff>
    </xdr:from>
    <xdr:to>
      <xdr:col>20</xdr:col>
      <xdr:colOff>9525</xdr:colOff>
      <xdr:row>20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546BB15-F109-8E21-F8A5-5E90973C3C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Santosh Kumar" id="{CAF7D74A-C73E-4065-9F12-D783A4FCD883}" userId="S::kumarsan50@KECRPG.COM::90f66c38-2d86-4faa-a4af-2ff1c3a18a65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N11" dT="2024-09-09T04:29:48.85" personId="{CAF7D74A-C73E-4065-9F12-D783A4FCD883}" id="{85D392B0-C9AD-4F93-9DA0-0337AC92884A}">
    <text>B type Stub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105" dT="2024-11-29T10:56:27.86" personId="{CAF7D74A-C73E-4065-9F12-D783A4FCD883}" id="{A36AC8A6-62A1-4F98-9095-028737F9E00A}">
    <text>DD60+25 to DD60+18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M23" dT="2025-05-05T04:58:15.93" personId="{CAF7D74A-C73E-4065-9F12-D783A4FCD883}" id="{084CA4A6-D9E5-42F1-91EE-F88DCD0293CA}">
    <text>1 Nos DCT tower</text>
  </threadedComment>
  <threadedComment ref="M31" dT="2024-11-29T10:56:27.86" personId="{CAF7D74A-C73E-4065-9F12-D783A4FCD883}" id="{214A1E32-B72E-4532-9E69-0277C0E5D7AA}">
    <text>DD60+25 to DD60+18</text>
  </threadedComment>
  <threadedComment ref="K103" dT="2024-11-29T10:56:27.86" personId="{CAF7D74A-C73E-4065-9F12-D783A4FCD883}" id="{2017CB69-12F8-42C6-B7B2-2967FB3960AA}">
    <text>DD60+25 to DD60+18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F103" dT="2024-10-03T05:33:09.75" personId="{CAF7D74A-C73E-4065-9F12-D783A4FCD883}" id="{B1F6E308-BAC4-4314-A289-CA8BAA38F716}">
    <text>DD60+25 to DD60+18</text>
  </threadedComment>
  <threadedComment ref="E154" dT="2024-10-03T05:29:30.98" personId="{CAF7D74A-C73E-4065-9F12-D783A4FCD883}" id="{3CF839FD-E83F-433A-955E-CB835824DED6}">
    <text xml:space="preserve">DC2+0 to DC-3 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D4" dT="2024-11-28T05:37:21.59" personId="{CAF7D74A-C73E-4065-9F12-D783A4FCD883}" id="{FA6838EE-E5B0-4100-914A-5985954484C3}">
    <text xml:space="preserve">DD60+0 to gantry </text>
  </threadedComment>
  <threadedComment ref="D6" dT="2024-11-28T05:38:13.47" personId="{CAF7D74A-C73E-4065-9F12-D783A4FCD883}" id="{C73C1DA1-4A36-4150-9FBE-A4108742B5DA}">
    <text>DC2+0 to DD60+0</text>
  </threadedComment>
  <threadedComment ref="C46" dT="2026-06-02T12:03:37.76" personId="{CAF7D74A-C73E-4065-9F12-D783A4FCD883}" id="{3D0034DC-27BC-42EB-A8D9-ECF95FB056CF}">
    <text>4-5 TO 4/1</text>
  </threadedComment>
  <threadedComment ref="D202" dT="2024-11-29T10:56:27.86" personId="{CAF7D74A-C73E-4065-9F12-D783A4FCD883}" id="{FB002323-643E-4DB4-8B29-196939105587}">
    <text>DD60+25 to DD60+18</text>
  </threadedComment>
  <threadedComment ref="C582" dT="2026-06-02T11:57:12.80" personId="{CAF7D74A-C73E-4065-9F12-D783A4FCD883}" id="{F13B9B16-C78E-4A54-97BC-2D0411F13C45}">
    <text>42/3-42A/0</text>
  </threadedComment>
  <threadedComment ref="C594" dT="2026-06-02T11:57:48.36" personId="{CAF7D74A-C73E-4065-9F12-D783A4FCD883}" id="{C54D20B9-E361-4C52-AC70-244FA8E07921}">
    <text>43/5- 43A/0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K1312" dT="2025-07-11T04:54:36.81" personId="{CAF7D74A-C73E-4065-9F12-D783A4FCD883}" id="{B9BD2319-F344-4ED3-9D55-955AF28E8FF5}">
    <text xml:space="preserve">STEPBOX
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F26" dT="2025-03-14T16:34:32.35" personId="{CAF7D74A-C73E-4065-9F12-D783A4FCD883}" id="{945B1D98-359B-4A12-B81D-AF5CCAF0DBB3}">
    <text xml:space="preserve">1nos Incl DCT tower </text>
  </threadedComment>
</ThreadedComments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1">
    <wetp:webextensionref xmlns:r="http://schemas.openxmlformats.org/officeDocument/2006/relationships" r:id="rId1"/>
  </wetp:taskpane>
  <wetp:taskpane dockstate="right" visibility="0" width="438" row="1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5AE3D14-9F84-4C67-BFD8-5F65D10EF6B1}">
  <we:reference id="wa200005271" version="2.2.0.0" store="en-US" storeType="OMEX"/>
  <we:alternateReferences>
    <we:reference id="WA200005271" version="2.2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3FBD8487-2FD9-476B-B242-F97854B25597}">
  <we:reference id="wa200005502" version="1.0.0.11" store="en-US" storeType="OMEX"/>
  <we:alternateReferences>
    <we:reference id="wa200005502" version="1.0.0.11" store="wa200005502" storeType="OMEX"/>
  </we:alternateReferences>
  <we:properties>
    <we:property name="docId" value="&quot;hGLf3NE9-YkJmFn6kGKXC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3.bin"/><Relationship Id="rId4" Type="http://schemas.microsoft.com/office/2017/10/relationships/threadedComment" Target="../threadedComments/threadedComment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4.bin"/><Relationship Id="rId4" Type="http://schemas.microsoft.com/office/2017/10/relationships/threadedComment" Target="../threadedComments/threadedComment3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26.bin"/><Relationship Id="rId4" Type="http://schemas.microsoft.com/office/2017/10/relationships/threadedComment" Target="../threadedComments/threadedComment4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27.bin"/><Relationship Id="rId4" Type="http://schemas.microsoft.com/office/2017/10/relationships/threadedComment" Target="../threadedComments/threadedComment5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28.bin"/><Relationship Id="rId4" Type="http://schemas.microsoft.com/office/2017/10/relationships/threadedComment" Target="../threadedComments/threadedComment6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29.bin"/><Relationship Id="rId4" Type="http://schemas.microsoft.com/office/2017/10/relationships/threadedComment" Target="../threadedComments/threadedComment7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rgb="FFFFFF00"/>
    <pageSetUpPr fitToPage="1"/>
  </sheetPr>
  <dimension ref="A1:IV262"/>
  <sheetViews>
    <sheetView showGridLines="0" view="pageBreakPreview" zoomScale="99" zoomScaleNormal="100" zoomScaleSheetLayoutView="99" workbookViewId="0">
      <selection activeCell="H11" sqref="H11"/>
    </sheetView>
  </sheetViews>
  <sheetFormatPr defaultColWidth="9.1796875" defaultRowHeight="12.5"/>
  <cols>
    <col min="1" max="1" width="7.7265625" style="147" customWidth="1"/>
    <col min="2" max="2" width="28.7265625" style="145" customWidth="1"/>
    <col min="3" max="3" width="9.7265625" style="147" customWidth="1"/>
    <col min="4" max="4" width="10.54296875" style="147" customWidth="1"/>
    <col min="5" max="5" width="12.54296875" style="147" customWidth="1"/>
    <col min="6" max="6" width="13" style="148" customWidth="1"/>
    <col min="7" max="7" width="9.7265625" style="148" customWidth="1"/>
    <col min="8" max="8" width="10.453125" style="145" customWidth="1"/>
    <col min="9" max="9" width="10.26953125" style="147" customWidth="1"/>
    <col min="10" max="10" width="12.54296875" style="148" customWidth="1"/>
    <col min="11" max="11" width="11.1796875" style="147" customWidth="1"/>
    <col min="12" max="12" width="9.26953125" style="147" customWidth="1"/>
    <col min="13" max="13" width="37.81640625" style="145" customWidth="1"/>
    <col min="14" max="14" width="29" style="145" customWidth="1"/>
    <col min="15" max="16384" width="9.1796875" style="145"/>
  </cols>
  <sheetData>
    <row r="1" spans="1:256" ht="25" customHeight="1">
      <c r="A1" s="1408" t="s">
        <v>1012</v>
      </c>
      <c r="B1" s="1408"/>
      <c r="C1" s="1408"/>
      <c r="D1" s="1408"/>
      <c r="E1" s="1408"/>
      <c r="F1" s="1408"/>
      <c r="G1" s="1408"/>
      <c r="H1" s="1408"/>
      <c r="I1" s="1408"/>
      <c r="J1" s="1408"/>
      <c r="K1" s="1408"/>
      <c r="L1" s="1408"/>
      <c r="M1" s="83" t="s">
        <v>1865</v>
      </c>
    </row>
    <row r="2" spans="1:256" s="1" customFormat="1" ht="20.149999999999999" customHeight="1">
      <c r="A2" s="1203" t="s">
        <v>1745</v>
      </c>
      <c r="B2" s="1205"/>
      <c r="C2" s="1205"/>
      <c r="D2" s="1205"/>
      <c r="E2" s="1205"/>
      <c r="F2" s="1205"/>
      <c r="G2" s="1205"/>
      <c r="H2" s="1205"/>
      <c r="I2" s="1205"/>
      <c r="J2" s="1205"/>
      <c r="K2" s="1409" t="s">
        <v>1847</v>
      </c>
      <c r="L2" s="1409"/>
      <c r="M2" s="1409"/>
    </row>
    <row r="3" spans="1:256" s="1" customFormat="1" ht="20.149999999999999" customHeight="1">
      <c r="A3" s="1206" t="s">
        <v>1820</v>
      </c>
      <c r="B3" s="1206"/>
      <c r="C3" s="1206"/>
      <c r="D3" s="1206"/>
      <c r="E3" s="1206"/>
      <c r="F3" s="1206"/>
      <c r="G3" s="1206"/>
      <c r="H3" s="1206"/>
      <c r="I3" s="1206"/>
      <c r="J3" s="1206"/>
      <c r="K3" s="1206"/>
      <c r="L3" s="1236"/>
      <c r="M3" s="1237"/>
      <c r="N3" s="552"/>
      <c r="O3" s="552"/>
      <c r="P3" s="552"/>
      <c r="Q3" s="552"/>
      <c r="R3" s="552"/>
      <c r="S3" s="552"/>
      <c r="T3" s="552"/>
      <c r="U3" s="552"/>
      <c r="V3" s="552"/>
      <c r="W3" s="552"/>
      <c r="X3" s="552"/>
      <c r="Y3" s="1404"/>
      <c r="Z3" s="1404"/>
      <c r="AA3" s="1404"/>
      <c r="AB3" s="1404"/>
      <c r="AC3" s="1404"/>
      <c r="AD3" s="1404"/>
      <c r="AE3" s="1404"/>
      <c r="AF3" s="1404"/>
      <c r="AG3" s="1404"/>
      <c r="AH3" s="1404"/>
      <c r="AI3" s="1404"/>
      <c r="AJ3" s="1404"/>
      <c r="AK3" s="1404"/>
      <c r="AL3" s="1404"/>
      <c r="AM3" s="1404"/>
      <c r="AN3" s="1404"/>
      <c r="AO3" s="1404"/>
      <c r="AP3" s="1404"/>
      <c r="AQ3" s="1404"/>
      <c r="AR3" s="1404"/>
      <c r="AS3" s="1404"/>
      <c r="AT3" s="1404"/>
      <c r="AU3" s="1404"/>
      <c r="AV3" s="1404"/>
      <c r="AW3" s="1404"/>
      <c r="AX3" s="1404"/>
      <c r="AY3" s="1404"/>
      <c r="AZ3" s="1404"/>
      <c r="BA3" s="1404"/>
      <c r="BB3" s="1404"/>
      <c r="BC3" s="1404"/>
      <c r="BD3" s="1404"/>
      <c r="BE3" s="1404"/>
      <c r="BF3" s="1404"/>
      <c r="BG3" s="1404"/>
      <c r="BH3" s="1404"/>
      <c r="BI3" s="1404"/>
      <c r="BJ3" s="1404"/>
      <c r="BK3" s="1404"/>
      <c r="BL3" s="1404"/>
      <c r="BM3" s="1404"/>
      <c r="BN3" s="1404"/>
      <c r="BO3" s="1404"/>
      <c r="BP3" s="1404"/>
      <c r="BQ3" s="1404"/>
      <c r="BR3" s="1404"/>
      <c r="BS3" s="1404"/>
      <c r="BT3" s="1404"/>
      <c r="BU3" s="1404"/>
      <c r="BV3" s="1404"/>
      <c r="BW3" s="1404"/>
      <c r="BX3" s="1404"/>
      <c r="BY3" s="1404"/>
      <c r="BZ3" s="1404"/>
      <c r="CA3" s="1404"/>
      <c r="CB3" s="1404"/>
      <c r="CC3" s="1404"/>
      <c r="CD3" s="1404"/>
      <c r="CE3" s="1404"/>
      <c r="CF3" s="1404"/>
      <c r="CG3" s="1404"/>
      <c r="CH3" s="1404"/>
      <c r="CI3" s="1404"/>
      <c r="CJ3" s="1404"/>
      <c r="CK3" s="1404"/>
      <c r="CL3" s="1404"/>
      <c r="CM3" s="1404"/>
      <c r="CN3" s="1404"/>
      <c r="CO3" s="1404"/>
      <c r="CP3" s="1404"/>
      <c r="CQ3" s="1404"/>
      <c r="CR3" s="1404"/>
      <c r="CS3" s="1404"/>
      <c r="CT3" s="1404"/>
      <c r="CU3" s="1404"/>
      <c r="CV3" s="1404"/>
      <c r="CW3" s="1404"/>
      <c r="CX3" s="1404"/>
      <c r="CY3" s="1404"/>
      <c r="CZ3" s="1404"/>
      <c r="DA3" s="1404"/>
      <c r="DB3" s="1404"/>
      <c r="DC3" s="1404"/>
      <c r="DD3" s="1404"/>
      <c r="DE3" s="1404"/>
      <c r="DF3" s="1404"/>
      <c r="DG3" s="1404"/>
      <c r="DH3" s="1404"/>
      <c r="DI3" s="1404"/>
      <c r="DJ3" s="1404"/>
      <c r="DK3" s="1404"/>
      <c r="DL3" s="1404"/>
      <c r="DM3" s="1404"/>
      <c r="DN3" s="1404"/>
      <c r="DO3" s="1404"/>
      <c r="DP3" s="1404"/>
      <c r="DQ3" s="1404"/>
      <c r="DR3" s="1404"/>
      <c r="DS3" s="1404"/>
      <c r="DT3" s="1404"/>
      <c r="DU3" s="1404"/>
      <c r="DV3" s="1404"/>
      <c r="DW3" s="1404"/>
      <c r="DX3" s="1404"/>
      <c r="DY3" s="1404"/>
      <c r="DZ3" s="1404"/>
      <c r="EA3" s="1404"/>
      <c r="EB3" s="1404"/>
      <c r="EC3" s="1404"/>
      <c r="ED3" s="1404"/>
      <c r="EE3" s="1404"/>
      <c r="EF3" s="1404"/>
      <c r="EG3" s="1404"/>
      <c r="EH3" s="1404"/>
      <c r="EI3" s="1404"/>
      <c r="EJ3" s="1404"/>
      <c r="EK3" s="1404"/>
      <c r="EL3" s="1404"/>
      <c r="EM3" s="1404"/>
      <c r="EN3" s="1404"/>
      <c r="EO3" s="1404"/>
      <c r="EP3" s="1404"/>
      <c r="EQ3" s="1404"/>
      <c r="ER3" s="1404"/>
      <c r="ES3" s="1404"/>
      <c r="ET3" s="1404"/>
      <c r="EU3" s="1404"/>
      <c r="EV3" s="1404"/>
      <c r="EW3" s="1404"/>
      <c r="EX3" s="1404"/>
      <c r="EY3" s="1404"/>
      <c r="EZ3" s="1404"/>
      <c r="FA3" s="1404"/>
      <c r="FB3" s="1404"/>
      <c r="FC3" s="1404"/>
      <c r="FD3" s="1404"/>
      <c r="FE3" s="1404"/>
      <c r="FF3" s="1404"/>
      <c r="FG3" s="1404"/>
      <c r="FH3" s="1404"/>
      <c r="FI3" s="1404"/>
      <c r="FJ3" s="1404"/>
      <c r="FK3" s="1404"/>
      <c r="FL3" s="1404"/>
      <c r="FM3" s="1404"/>
      <c r="FN3" s="1404"/>
      <c r="FO3" s="1404"/>
      <c r="FP3" s="1404"/>
      <c r="FQ3" s="1404"/>
      <c r="FR3" s="1404"/>
      <c r="FS3" s="1404"/>
      <c r="FT3" s="1404"/>
      <c r="FU3" s="1404"/>
      <c r="FV3" s="1404"/>
      <c r="FW3" s="1404"/>
      <c r="FX3" s="1404"/>
      <c r="FY3" s="1404"/>
      <c r="FZ3" s="1404"/>
      <c r="GA3" s="1404"/>
      <c r="GB3" s="1404"/>
      <c r="GC3" s="1404"/>
      <c r="GD3" s="1404"/>
      <c r="GE3" s="1404"/>
      <c r="GF3" s="1404"/>
      <c r="GG3" s="1404"/>
      <c r="GH3" s="1404"/>
      <c r="GI3" s="1404"/>
      <c r="GJ3" s="1404"/>
      <c r="GK3" s="1404"/>
      <c r="GL3" s="1404"/>
      <c r="GM3" s="1404"/>
      <c r="GN3" s="1404"/>
      <c r="GO3" s="1404"/>
      <c r="GP3" s="1404"/>
      <c r="GQ3" s="1404"/>
      <c r="GR3" s="1404"/>
      <c r="GS3" s="1404"/>
      <c r="GT3" s="1404"/>
      <c r="GU3" s="1404"/>
      <c r="GV3" s="1404"/>
      <c r="GW3" s="1404"/>
      <c r="GX3" s="1404"/>
      <c r="GY3" s="1404"/>
      <c r="GZ3" s="1404"/>
      <c r="HA3" s="1404"/>
      <c r="HB3" s="1404"/>
      <c r="HC3" s="1404"/>
      <c r="HD3" s="1404"/>
      <c r="HE3" s="1404"/>
      <c r="HF3" s="1404"/>
      <c r="HG3" s="1404"/>
      <c r="HH3" s="1404"/>
      <c r="HI3" s="1404"/>
      <c r="HJ3" s="1404"/>
      <c r="HK3" s="1404"/>
      <c r="HL3" s="1404"/>
      <c r="HM3" s="1404"/>
      <c r="HN3" s="1404"/>
      <c r="HO3" s="1404"/>
      <c r="HP3" s="1404"/>
      <c r="HQ3" s="1404"/>
      <c r="HR3" s="1404"/>
      <c r="HS3" s="1404"/>
      <c r="HT3" s="1404"/>
      <c r="HU3" s="1404"/>
      <c r="HV3" s="1404"/>
      <c r="HW3" s="1404"/>
      <c r="HX3" s="1404"/>
      <c r="HY3" s="1404"/>
      <c r="HZ3" s="1404"/>
      <c r="IA3" s="1404"/>
      <c r="IB3" s="1404"/>
      <c r="IC3" s="1404"/>
      <c r="ID3" s="1404"/>
      <c r="IE3" s="1404"/>
      <c r="IF3" s="1404"/>
      <c r="IG3" s="1404"/>
      <c r="IH3" s="1404"/>
      <c r="II3" s="1404"/>
      <c r="IJ3" s="1404"/>
      <c r="IK3" s="1404"/>
      <c r="IL3" s="1404"/>
      <c r="IM3" s="1404"/>
      <c r="IN3" s="1404"/>
      <c r="IO3" s="1404"/>
      <c r="IP3" s="1404"/>
      <c r="IQ3" s="1404"/>
      <c r="IR3" s="1404"/>
      <c r="IS3" s="1404"/>
      <c r="IT3" s="1404"/>
      <c r="IU3" s="1404"/>
      <c r="IV3" s="1404"/>
    </row>
    <row r="4" spans="1:256" s="1" customFormat="1" ht="20.149999999999999" customHeight="1">
      <c r="A4" s="1207" t="s">
        <v>1819</v>
      </c>
      <c r="B4" s="1207"/>
      <c r="C4" s="1207"/>
      <c r="D4" s="1207"/>
      <c r="E4" s="1207"/>
      <c r="F4" s="1207"/>
      <c r="G4" s="1207"/>
      <c r="H4" s="1207"/>
      <c r="I4" s="1207"/>
      <c r="J4" s="1207"/>
      <c r="K4" s="1207"/>
      <c r="L4" s="1207"/>
      <c r="M4" s="1208"/>
      <c r="N4" s="552"/>
      <c r="O4" s="552"/>
      <c r="P4" s="552"/>
      <c r="Q4" s="552"/>
      <c r="R4" s="552"/>
      <c r="S4" s="552"/>
      <c r="T4" s="552"/>
      <c r="U4" s="552"/>
      <c r="V4" s="552"/>
      <c r="W4" s="552"/>
      <c r="X4" s="552"/>
      <c r="Y4" s="1404"/>
      <c r="Z4" s="1404"/>
      <c r="AA4" s="1404"/>
      <c r="AB4" s="1404"/>
      <c r="AC4" s="1404"/>
      <c r="AD4" s="1404"/>
      <c r="AE4" s="1404"/>
      <c r="AF4" s="1404"/>
      <c r="AG4" s="1404"/>
      <c r="AH4" s="1404"/>
      <c r="AI4" s="1404"/>
      <c r="AJ4" s="1404"/>
      <c r="AK4" s="1404"/>
      <c r="AL4" s="1404"/>
      <c r="AM4" s="1404"/>
      <c r="AN4" s="1404"/>
      <c r="AO4" s="1404"/>
      <c r="AP4" s="1404"/>
      <c r="AQ4" s="1404"/>
      <c r="AR4" s="1404"/>
      <c r="AS4" s="1404"/>
      <c r="AT4" s="1404"/>
      <c r="AU4" s="1404"/>
      <c r="AV4" s="1404"/>
      <c r="AW4" s="1404"/>
      <c r="AX4" s="1404"/>
      <c r="AY4" s="1404"/>
      <c r="AZ4" s="1404"/>
      <c r="BA4" s="1404"/>
      <c r="BB4" s="1404"/>
      <c r="BC4" s="1404"/>
      <c r="BD4" s="1404"/>
      <c r="BE4" s="1404"/>
      <c r="BF4" s="1404"/>
      <c r="BG4" s="1404"/>
      <c r="BH4" s="1404"/>
      <c r="BI4" s="1404"/>
      <c r="BJ4" s="1404"/>
      <c r="BK4" s="1404"/>
      <c r="BL4" s="1404"/>
      <c r="BM4" s="1404"/>
      <c r="BN4" s="1404"/>
      <c r="BO4" s="1404"/>
      <c r="BP4" s="1404"/>
      <c r="BQ4" s="1404"/>
      <c r="BR4" s="1404"/>
      <c r="BS4" s="1404"/>
      <c r="BT4" s="1404"/>
      <c r="BU4" s="1404"/>
      <c r="BV4" s="1404"/>
      <c r="BW4" s="1404"/>
      <c r="BX4" s="1404"/>
      <c r="BY4" s="1404"/>
      <c r="BZ4" s="1404"/>
      <c r="CA4" s="1404"/>
      <c r="CB4" s="1404"/>
      <c r="CC4" s="1404"/>
      <c r="CD4" s="1404"/>
      <c r="CE4" s="1404"/>
      <c r="CF4" s="1404"/>
      <c r="CG4" s="1404"/>
      <c r="CH4" s="1404"/>
      <c r="CI4" s="1404"/>
      <c r="CJ4" s="1404"/>
      <c r="CK4" s="1404"/>
      <c r="CL4" s="1404"/>
      <c r="CM4" s="1404"/>
      <c r="CN4" s="1404"/>
      <c r="CO4" s="1404"/>
      <c r="CP4" s="1404"/>
      <c r="CQ4" s="1404"/>
      <c r="CR4" s="1404"/>
      <c r="CS4" s="1404"/>
      <c r="CT4" s="1404"/>
      <c r="CU4" s="1404"/>
      <c r="CV4" s="1404"/>
      <c r="CW4" s="1404"/>
      <c r="CX4" s="1404"/>
      <c r="CY4" s="1404"/>
      <c r="CZ4" s="1404"/>
      <c r="DA4" s="1404"/>
      <c r="DB4" s="1404"/>
      <c r="DC4" s="1404"/>
      <c r="DD4" s="1404"/>
      <c r="DE4" s="1404"/>
      <c r="DF4" s="1404"/>
      <c r="DG4" s="1404"/>
      <c r="DH4" s="1404"/>
      <c r="DI4" s="1404"/>
      <c r="DJ4" s="1404"/>
      <c r="DK4" s="1404"/>
      <c r="DL4" s="1404"/>
      <c r="DM4" s="1404"/>
      <c r="DN4" s="1404"/>
      <c r="DO4" s="1404"/>
      <c r="DP4" s="1404"/>
      <c r="DQ4" s="1404"/>
      <c r="DR4" s="1404"/>
      <c r="DS4" s="1404"/>
      <c r="DT4" s="1404"/>
      <c r="DU4" s="1404"/>
      <c r="DV4" s="1404"/>
      <c r="DW4" s="1404"/>
      <c r="DX4" s="1404"/>
      <c r="DY4" s="1404"/>
      <c r="DZ4" s="1404"/>
      <c r="EA4" s="1404"/>
      <c r="EB4" s="1404"/>
      <c r="EC4" s="1404"/>
      <c r="ED4" s="1404"/>
      <c r="EE4" s="1404"/>
      <c r="EF4" s="1404"/>
      <c r="EG4" s="1404"/>
      <c r="EH4" s="1404"/>
      <c r="EI4" s="1404"/>
      <c r="EJ4" s="1404"/>
      <c r="EK4" s="1404"/>
      <c r="EL4" s="1404"/>
      <c r="EM4" s="1404"/>
      <c r="EN4" s="1404"/>
      <c r="EO4" s="1404"/>
      <c r="EP4" s="1404"/>
      <c r="EQ4" s="1404"/>
      <c r="ER4" s="1404"/>
      <c r="ES4" s="1404"/>
      <c r="ET4" s="1404"/>
      <c r="EU4" s="1404"/>
      <c r="EV4" s="1404"/>
      <c r="EW4" s="1404"/>
      <c r="EX4" s="1404"/>
      <c r="EY4" s="1404"/>
      <c r="EZ4" s="1404"/>
      <c r="FA4" s="1404"/>
      <c r="FB4" s="1404"/>
      <c r="FC4" s="1404"/>
      <c r="FD4" s="1404"/>
      <c r="FE4" s="1404"/>
      <c r="FF4" s="1404"/>
      <c r="FG4" s="1404"/>
      <c r="FH4" s="1404"/>
      <c r="FI4" s="1404"/>
      <c r="FJ4" s="1404"/>
      <c r="FK4" s="1404"/>
      <c r="FL4" s="1404"/>
      <c r="FM4" s="1404"/>
      <c r="FN4" s="1404"/>
      <c r="FO4" s="1404"/>
      <c r="FP4" s="1404"/>
      <c r="FQ4" s="1404"/>
      <c r="FR4" s="1404"/>
      <c r="FS4" s="1404"/>
      <c r="FT4" s="1404"/>
      <c r="FU4" s="1404"/>
      <c r="FV4" s="1404"/>
      <c r="FW4" s="1404"/>
      <c r="FX4" s="1404"/>
      <c r="FY4" s="1404"/>
      <c r="FZ4" s="1404"/>
      <c r="GA4" s="1404"/>
      <c r="GB4" s="1404"/>
      <c r="GC4" s="1404"/>
      <c r="GD4" s="1404"/>
      <c r="GE4" s="1404"/>
      <c r="GF4" s="1404"/>
      <c r="GG4" s="1404"/>
      <c r="GH4" s="1404"/>
      <c r="GI4" s="1404"/>
      <c r="GJ4" s="1404"/>
      <c r="GK4" s="1404"/>
      <c r="GL4" s="1404"/>
      <c r="GM4" s="1404"/>
      <c r="GN4" s="1404"/>
      <c r="GO4" s="1404"/>
      <c r="GP4" s="1404"/>
      <c r="GQ4" s="1404"/>
      <c r="GR4" s="1404"/>
      <c r="GS4" s="1404"/>
      <c r="GT4" s="1404"/>
      <c r="GU4" s="1404"/>
      <c r="GV4" s="1404"/>
      <c r="GW4" s="1404"/>
      <c r="GX4" s="1404"/>
      <c r="GY4" s="1404"/>
      <c r="GZ4" s="1404"/>
      <c r="HA4" s="1404"/>
      <c r="HB4" s="1404"/>
      <c r="HC4" s="1404"/>
      <c r="HD4" s="1404"/>
      <c r="HE4" s="1404"/>
      <c r="HF4" s="1404"/>
      <c r="HG4" s="1404"/>
      <c r="HH4" s="1404"/>
      <c r="HI4" s="1404"/>
      <c r="HJ4" s="1404"/>
      <c r="HK4" s="1404"/>
      <c r="HL4" s="1404"/>
      <c r="HM4" s="1404"/>
      <c r="HN4" s="1404"/>
      <c r="HO4" s="1404"/>
      <c r="HP4" s="1404"/>
      <c r="HQ4" s="1404"/>
      <c r="HR4" s="1404"/>
      <c r="HS4" s="1404"/>
      <c r="HT4" s="1404"/>
      <c r="HU4" s="1404"/>
      <c r="HV4" s="1404"/>
      <c r="HW4" s="1404"/>
      <c r="HX4" s="1404"/>
      <c r="HY4" s="1404"/>
      <c r="HZ4" s="1404"/>
      <c r="IA4" s="1404"/>
      <c r="IB4" s="1404"/>
      <c r="IC4" s="1404"/>
      <c r="ID4" s="1404"/>
      <c r="IE4" s="1404"/>
      <c r="IF4" s="1404"/>
      <c r="IG4" s="1404"/>
      <c r="IH4" s="1404"/>
      <c r="II4" s="1404"/>
      <c r="IJ4" s="1404"/>
      <c r="IK4" s="1404"/>
      <c r="IL4" s="1404"/>
      <c r="IM4" s="1404"/>
      <c r="IN4" s="1404"/>
      <c r="IO4" s="1404"/>
      <c r="IP4" s="1404"/>
      <c r="IQ4" s="1404"/>
      <c r="IR4" s="1404"/>
      <c r="IS4" s="1404"/>
      <c r="IT4" s="1404"/>
      <c r="IU4" s="1404"/>
      <c r="IV4" s="1404"/>
    </row>
    <row r="5" spans="1:256" s="1" customFormat="1" ht="20.149999999999999" customHeight="1">
      <c r="A5" s="1209" t="s">
        <v>661</v>
      </c>
      <c r="B5" s="1277"/>
      <c r="C5" s="1210"/>
      <c r="D5" s="1210"/>
      <c r="E5" s="1210"/>
      <c r="F5" s="1210"/>
      <c r="G5" s="1210"/>
      <c r="H5" s="1210"/>
      <c r="I5" s="1210"/>
      <c r="J5" s="1210"/>
      <c r="K5" s="1210"/>
      <c r="L5" s="1210"/>
      <c r="M5" s="1211"/>
      <c r="N5" s="552"/>
      <c r="O5" s="552"/>
      <c r="P5" s="552"/>
      <c r="Q5" s="552"/>
      <c r="R5" s="552"/>
      <c r="S5" s="552"/>
      <c r="T5" s="552"/>
      <c r="U5" s="552"/>
      <c r="V5" s="552"/>
      <c r="W5" s="552"/>
      <c r="X5" s="552"/>
      <c r="Y5" s="552"/>
      <c r="Z5" s="552"/>
      <c r="AA5" s="552"/>
      <c r="AB5" s="552"/>
      <c r="AC5" s="552"/>
      <c r="AD5" s="552"/>
      <c r="AE5" s="552"/>
      <c r="AF5" s="552"/>
      <c r="AG5" s="552"/>
      <c r="AH5" s="552"/>
      <c r="AI5" s="552"/>
      <c r="AJ5" s="552"/>
      <c r="AK5" s="1410"/>
      <c r="AL5" s="1410"/>
      <c r="AM5" s="1410"/>
      <c r="AN5" s="1410"/>
      <c r="AO5" s="1410"/>
      <c r="AP5" s="1410"/>
      <c r="AQ5" s="1410"/>
      <c r="AR5" s="1410"/>
      <c r="AS5" s="1410"/>
      <c r="AT5" s="1410"/>
      <c r="AU5" s="1410"/>
      <c r="AV5" s="1410"/>
      <c r="AW5" s="1410"/>
      <c r="AX5" s="1410"/>
      <c r="AY5" s="1410"/>
      <c r="AZ5" s="1410"/>
      <c r="BA5" s="1410"/>
      <c r="BB5" s="1410"/>
      <c r="BC5" s="1410"/>
      <c r="BD5" s="1410"/>
      <c r="BE5" s="1410"/>
      <c r="BF5" s="1410"/>
      <c r="BG5" s="1410"/>
      <c r="BH5" s="1410"/>
      <c r="BI5" s="1410"/>
      <c r="BJ5" s="1410"/>
      <c r="BK5" s="1410"/>
      <c r="BL5" s="1410"/>
      <c r="BM5" s="1410"/>
      <c r="BN5" s="1410"/>
      <c r="BO5" s="1410"/>
      <c r="BP5" s="1410"/>
      <c r="BQ5" s="1410"/>
      <c r="BR5" s="1410"/>
      <c r="BS5" s="1410"/>
      <c r="BT5" s="1410"/>
      <c r="BU5" s="1410"/>
      <c r="BV5" s="1410"/>
      <c r="BW5" s="1410"/>
      <c r="BX5" s="1410"/>
      <c r="BY5" s="1410"/>
      <c r="BZ5" s="1410"/>
      <c r="CA5" s="1410"/>
      <c r="CB5" s="1410"/>
      <c r="CC5" s="1410"/>
      <c r="CD5" s="1410"/>
      <c r="CE5" s="1410"/>
      <c r="CF5" s="1410"/>
      <c r="CG5" s="1410"/>
      <c r="CH5" s="1410"/>
      <c r="CI5" s="1410"/>
      <c r="CJ5" s="1410"/>
      <c r="CK5" s="1410"/>
      <c r="CL5" s="1410"/>
      <c r="CM5" s="1410"/>
      <c r="CN5" s="1410"/>
      <c r="CO5" s="1410"/>
      <c r="CP5" s="1410"/>
      <c r="CQ5" s="1410"/>
      <c r="CR5" s="1410"/>
      <c r="CS5" s="1410"/>
      <c r="CT5" s="1410"/>
      <c r="CU5" s="1410"/>
      <c r="CV5" s="1410"/>
      <c r="CW5" s="1410"/>
      <c r="CX5" s="1410"/>
      <c r="CY5" s="1410"/>
      <c r="CZ5" s="1410"/>
      <c r="DA5" s="1410"/>
      <c r="DB5" s="1410"/>
      <c r="DC5" s="1410"/>
      <c r="DD5" s="1410"/>
      <c r="DE5" s="1410"/>
      <c r="DF5" s="1410"/>
      <c r="DG5" s="1410"/>
      <c r="DH5" s="1410"/>
      <c r="DI5" s="1410"/>
      <c r="DJ5" s="1410"/>
      <c r="DK5" s="1410"/>
      <c r="DL5" s="1410"/>
      <c r="DM5" s="1410"/>
      <c r="DN5" s="1410"/>
      <c r="DO5" s="1410"/>
      <c r="DP5" s="1410"/>
      <c r="DQ5" s="641"/>
      <c r="DR5" s="552"/>
      <c r="DS5" s="552"/>
      <c r="DT5" s="552"/>
      <c r="DU5" s="552"/>
      <c r="DV5" s="552"/>
      <c r="DW5" s="552"/>
      <c r="DX5" s="552"/>
      <c r="DY5" s="552"/>
      <c r="DZ5" s="552"/>
      <c r="EA5" s="552"/>
      <c r="EB5" s="642"/>
      <c r="EC5" s="1410"/>
      <c r="ED5" s="1410"/>
      <c r="EE5" s="1410"/>
      <c r="EF5" s="1410"/>
      <c r="EG5" s="1410"/>
      <c r="EH5" s="1410"/>
      <c r="EI5" s="1410"/>
      <c r="EJ5" s="1410"/>
      <c r="EK5" s="1410"/>
      <c r="EL5" s="1410"/>
      <c r="EM5" s="1410"/>
      <c r="EN5" s="1410"/>
      <c r="EO5" s="1410"/>
      <c r="EP5" s="1410"/>
      <c r="EQ5" s="1410"/>
      <c r="ER5" s="1410"/>
      <c r="ES5" s="1410"/>
      <c r="ET5" s="1410"/>
      <c r="EU5" s="1410"/>
      <c r="EV5" s="1410"/>
      <c r="EW5" s="1410"/>
      <c r="EX5" s="1410"/>
      <c r="EY5" s="1410"/>
      <c r="EZ5" s="1410"/>
      <c r="FA5" s="1410"/>
      <c r="FB5" s="1410"/>
      <c r="FC5" s="1410"/>
      <c r="FD5" s="1410"/>
      <c r="FE5" s="1410"/>
      <c r="FF5" s="1410"/>
      <c r="FG5" s="1410"/>
      <c r="FH5" s="1410"/>
      <c r="FI5" s="1410"/>
      <c r="FJ5" s="1410"/>
      <c r="FK5" s="1410"/>
      <c r="FL5" s="1410"/>
      <c r="FM5" s="1410"/>
      <c r="FN5" s="1410"/>
      <c r="FO5" s="1410"/>
      <c r="FP5" s="1410"/>
      <c r="FQ5" s="1410"/>
      <c r="FR5" s="1410"/>
      <c r="FS5" s="1410"/>
      <c r="FT5" s="1410"/>
      <c r="FU5" s="1410"/>
      <c r="FV5" s="1410"/>
      <c r="FW5" s="1410"/>
      <c r="FX5" s="1410"/>
      <c r="FY5" s="1410"/>
      <c r="FZ5" s="1410"/>
      <c r="GA5" s="1410"/>
      <c r="GB5" s="1410"/>
      <c r="GC5" s="1410"/>
      <c r="GD5" s="1410"/>
      <c r="GE5" s="1410"/>
      <c r="GF5" s="1410"/>
      <c r="GG5" s="1410"/>
      <c r="GH5" s="1410"/>
      <c r="GI5" s="1410"/>
      <c r="GJ5" s="1410"/>
      <c r="GK5" s="1410"/>
      <c r="GL5" s="1410"/>
      <c r="GM5" s="1410"/>
      <c r="GN5" s="1410"/>
      <c r="GO5" s="1410"/>
      <c r="GP5" s="1410"/>
      <c r="GQ5" s="1410"/>
      <c r="GR5" s="1410"/>
      <c r="GS5" s="1410"/>
      <c r="GT5" s="1410"/>
      <c r="GU5" s="1410"/>
      <c r="GV5" s="1410"/>
      <c r="GW5" s="1410"/>
      <c r="GX5" s="1410"/>
      <c r="GY5" s="1410"/>
      <c r="GZ5" s="1410"/>
      <c r="HA5" s="1410"/>
      <c r="HB5" s="1410"/>
      <c r="HC5" s="1410"/>
      <c r="HD5" s="1410"/>
      <c r="HE5" s="1410"/>
      <c r="HF5" s="1410"/>
      <c r="HG5" s="1410"/>
      <c r="HH5" s="1410"/>
      <c r="HI5" s="1410"/>
      <c r="HJ5" s="1410"/>
      <c r="HK5" s="1410"/>
      <c r="HL5" s="1410"/>
      <c r="HM5" s="1410"/>
      <c r="HN5" s="1410"/>
      <c r="HO5" s="1410"/>
      <c r="HP5" s="1410"/>
      <c r="HQ5" s="1410"/>
      <c r="HR5" s="1410"/>
      <c r="HS5" s="1410"/>
      <c r="HT5" s="1410"/>
      <c r="HU5" s="1410"/>
      <c r="HV5" s="1410"/>
      <c r="HW5" s="1410"/>
      <c r="HX5" s="1410"/>
      <c r="HY5" s="1410"/>
      <c r="HZ5" s="1410"/>
      <c r="IA5" s="1410"/>
      <c r="IB5" s="1410"/>
      <c r="IC5" s="1410"/>
      <c r="ID5" s="1410"/>
      <c r="IE5" s="1410"/>
      <c r="IF5" s="1410"/>
      <c r="IG5" s="1410"/>
      <c r="IH5" s="1410"/>
      <c r="II5" s="1410"/>
      <c r="IJ5" s="1410"/>
      <c r="IK5" s="1410"/>
      <c r="IL5" s="1410"/>
      <c r="IM5" s="1410"/>
      <c r="IN5" s="1410"/>
      <c r="IO5" s="1410"/>
      <c r="IP5" s="1410"/>
      <c r="IQ5" s="1410"/>
      <c r="IR5" s="1410"/>
      <c r="IS5" s="1410"/>
      <c r="IT5" s="1410"/>
      <c r="IU5" s="1410"/>
      <c r="IV5" s="1410"/>
    </row>
    <row r="6" spans="1:256" s="1" customFormat="1" ht="57.5">
      <c r="A6" s="93" t="s">
        <v>665</v>
      </c>
      <c r="B6" s="94" t="s">
        <v>14</v>
      </c>
      <c r="C6" s="94" t="s">
        <v>121</v>
      </c>
      <c r="D6" s="94" t="s">
        <v>247</v>
      </c>
      <c r="E6" s="94" t="s">
        <v>31</v>
      </c>
      <c r="F6" s="94" t="s">
        <v>1845</v>
      </c>
      <c r="G6" s="94" t="s">
        <v>1362</v>
      </c>
      <c r="H6" s="1021" t="s">
        <v>755</v>
      </c>
      <c r="I6" s="94" t="s">
        <v>15</v>
      </c>
      <c r="J6" s="94" t="s">
        <v>239</v>
      </c>
      <c r="K6" s="94" t="s">
        <v>0</v>
      </c>
      <c r="L6" s="94" t="s">
        <v>16</v>
      </c>
      <c r="M6" s="95" t="s">
        <v>1</v>
      </c>
      <c r="N6" s="552"/>
      <c r="O6" s="552"/>
      <c r="P6" s="552"/>
      <c r="Q6" s="552"/>
      <c r="R6" s="552"/>
      <c r="S6" s="552"/>
      <c r="T6" s="552"/>
      <c r="U6" s="552"/>
      <c r="V6" s="552"/>
      <c r="W6" s="552"/>
      <c r="X6" s="552"/>
    </row>
    <row r="7" spans="1:256" s="629" customFormat="1" ht="20.149999999999999" customHeight="1">
      <c r="A7" s="627">
        <v>1</v>
      </c>
      <c r="B7" s="628" t="s">
        <v>1769</v>
      </c>
      <c r="C7" s="1020">
        <v>112.611</v>
      </c>
      <c r="D7" s="1020">
        <v>117.85085099999999</v>
      </c>
      <c r="E7" s="1020">
        <v>117.85085099999999</v>
      </c>
      <c r="F7" s="1020">
        <v>112.611</v>
      </c>
      <c r="G7" s="650"/>
      <c r="H7" s="650">
        <f t="shared" ref="H7" si="0">D7-E7</f>
        <v>0</v>
      </c>
      <c r="I7" s="648">
        <v>0</v>
      </c>
      <c r="J7" s="1020">
        <f t="shared" ref="J7:J9" si="1">E7+H7</f>
        <v>117.85085099999999</v>
      </c>
      <c r="K7" s="650">
        <f t="shared" ref="K7" si="2">D7-J7</f>
        <v>0</v>
      </c>
      <c r="L7" s="649"/>
      <c r="M7" s="588" t="s">
        <v>962</v>
      </c>
    </row>
    <row r="8" spans="1:256" s="629" customFormat="1" ht="20.149999999999999" customHeight="1">
      <c r="A8" s="627">
        <v>2</v>
      </c>
      <c r="B8" s="628" t="s">
        <v>30</v>
      </c>
      <c r="C8" s="1020">
        <v>29</v>
      </c>
      <c r="D8" s="1020">
        <v>29</v>
      </c>
      <c r="E8" s="1020">
        <v>26</v>
      </c>
      <c r="F8" s="1020">
        <v>0</v>
      </c>
      <c r="G8" s="650"/>
      <c r="H8" s="650">
        <v>0</v>
      </c>
      <c r="I8" s="648">
        <v>0</v>
      </c>
      <c r="J8" s="1020">
        <f t="shared" si="1"/>
        <v>26</v>
      </c>
      <c r="K8" s="650">
        <v>0</v>
      </c>
      <c r="L8" s="649"/>
      <c r="M8" s="588" t="s">
        <v>962</v>
      </c>
    </row>
    <row r="9" spans="1:256" s="632" customFormat="1" ht="19.5" customHeight="1">
      <c r="A9" s="630">
        <v>3</v>
      </c>
      <c r="B9" s="631" t="s">
        <v>677</v>
      </c>
      <c r="C9" s="652">
        <v>112.611</v>
      </c>
      <c r="D9" s="652">
        <v>117.85085099999999</v>
      </c>
      <c r="E9" s="652">
        <v>117.85085099999999</v>
      </c>
      <c r="F9" s="652">
        <v>112.611</v>
      </c>
      <c r="G9" s="651"/>
      <c r="H9" s="650">
        <v>0</v>
      </c>
      <c r="I9" s="648">
        <v>0</v>
      </c>
      <c r="J9" s="652">
        <f t="shared" si="1"/>
        <v>117.85085099999999</v>
      </c>
      <c r="K9" s="651">
        <f t="shared" ref="K9:K19" si="3">D9-J9</f>
        <v>0</v>
      </c>
      <c r="L9" s="729"/>
      <c r="M9" s="588" t="s">
        <v>962</v>
      </c>
      <c r="N9" s="633"/>
      <c r="O9" s="655"/>
      <c r="Q9" s="655"/>
    </row>
    <row r="10" spans="1:256" s="629" customFormat="1" ht="20.149999999999999" customHeight="1">
      <c r="A10" s="627">
        <v>4</v>
      </c>
      <c r="B10" s="628" t="s">
        <v>29</v>
      </c>
      <c r="C10" s="1020">
        <v>287</v>
      </c>
      <c r="D10" s="1020">
        <v>316</v>
      </c>
      <c r="E10" s="1020">
        <f>17+21+18+41+36+24+32+35+31+19+23+10+4+2+1+1+1</f>
        <v>316</v>
      </c>
      <c r="F10" s="1020">
        <v>287</v>
      </c>
      <c r="G10" s="652">
        <v>0</v>
      </c>
      <c r="H10" s="1020">
        <v>0</v>
      </c>
      <c r="I10" s="648">
        <v>0</v>
      </c>
      <c r="J10" s="1020">
        <f t="shared" ref="J10:J16" si="4">E10+H10</f>
        <v>316</v>
      </c>
      <c r="K10" s="1020">
        <f t="shared" si="3"/>
        <v>0</v>
      </c>
      <c r="L10" s="628"/>
      <c r="M10" s="588" t="s">
        <v>962</v>
      </c>
    </row>
    <row r="11" spans="1:256" s="629" customFormat="1" ht="20" customHeight="1">
      <c r="A11" s="630">
        <v>5</v>
      </c>
      <c r="B11" s="628" t="s">
        <v>28</v>
      </c>
      <c r="C11" s="1020">
        <f>C10</f>
        <v>287</v>
      </c>
      <c r="D11" s="1020">
        <v>316</v>
      </c>
      <c r="E11" s="1020">
        <f>17+21+18+41+36+24+32+35+31+19+23+10+4+2+1+1+1</f>
        <v>316</v>
      </c>
      <c r="F11" s="1020">
        <v>287</v>
      </c>
      <c r="G11" s="652">
        <v>0</v>
      </c>
      <c r="H11" s="1020">
        <v>0</v>
      </c>
      <c r="I11" s="648">
        <v>0</v>
      </c>
      <c r="J11" s="1020">
        <f>E11+H11</f>
        <v>316</v>
      </c>
      <c r="K11" s="1020">
        <f>D11-J11</f>
        <v>0</v>
      </c>
      <c r="L11" s="628"/>
      <c r="M11" s="588" t="s">
        <v>962</v>
      </c>
    </row>
    <row r="12" spans="1:256" s="629" customFormat="1" ht="20.149999999999999" customHeight="1">
      <c r="A12" s="627">
        <v>6</v>
      </c>
      <c r="B12" s="628" t="s">
        <v>19</v>
      </c>
      <c r="C12" s="1020">
        <f>C11</f>
        <v>287</v>
      </c>
      <c r="D12" s="1020">
        <v>309</v>
      </c>
      <c r="E12" s="1020">
        <f>26+70+28+16+29+8+75+25+15+6+6+3+1</f>
        <v>308</v>
      </c>
      <c r="F12" s="648">
        <f>F11</f>
        <v>287</v>
      </c>
      <c r="G12" s="652">
        <v>1</v>
      </c>
      <c r="H12" s="1020">
        <v>0</v>
      </c>
      <c r="I12" s="648">
        <v>0</v>
      </c>
      <c r="J12" s="1020">
        <f>E12+H12</f>
        <v>308</v>
      </c>
      <c r="K12" s="1020">
        <f t="shared" si="3"/>
        <v>1</v>
      </c>
      <c r="L12" s="21"/>
      <c r="M12" s="1033"/>
      <c r="N12" s="1006"/>
    </row>
    <row r="13" spans="1:256" s="629" customFormat="1" ht="20.5" customHeight="1">
      <c r="A13" s="630">
        <v>7</v>
      </c>
      <c r="B13" s="628" t="s">
        <v>27</v>
      </c>
      <c r="C13" s="1020">
        <v>287</v>
      </c>
      <c r="D13" s="1020">
        <v>306</v>
      </c>
      <c r="E13" s="1020">
        <v>303</v>
      </c>
      <c r="F13" s="648">
        <v>287</v>
      </c>
      <c r="G13" s="652">
        <v>3</v>
      </c>
      <c r="H13" s="1020">
        <v>0</v>
      </c>
      <c r="I13" s="648">
        <v>0</v>
      </c>
      <c r="J13" s="1020">
        <f>E13+H13</f>
        <v>303</v>
      </c>
      <c r="K13" s="1020">
        <f>D13-J13</f>
        <v>3</v>
      </c>
      <c r="L13" s="21">
        <v>1</v>
      </c>
      <c r="M13" s="1033" t="s">
        <v>1852</v>
      </c>
      <c r="N13" s="1006"/>
    </row>
    <row r="14" spans="1:256" s="629" customFormat="1" ht="20.5" customHeight="1">
      <c r="A14" s="627">
        <v>8</v>
      </c>
      <c r="B14" s="628" t="s">
        <v>35</v>
      </c>
      <c r="C14" s="1020">
        <f>C13</f>
        <v>287</v>
      </c>
      <c r="D14" s="1020">
        <v>306</v>
      </c>
      <c r="E14" s="1020">
        <f>126+15+30+40+13+31+17</f>
        <v>272</v>
      </c>
      <c r="F14" s="1020">
        <v>287</v>
      </c>
      <c r="G14" s="652">
        <v>33</v>
      </c>
      <c r="H14" s="1020">
        <v>2</v>
      </c>
      <c r="I14" s="648">
        <v>0</v>
      </c>
      <c r="J14" s="1020">
        <f t="shared" si="4"/>
        <v>274</v>
      </c>
      <c r="K14" s="1020">
        <f>D14-J14</f>
        <v>32</v>
      </c>
      <c r="L14" s="1043">
        <v>1</v>
      </c>
      <c r="M14" s="1033" t="s">
        <v>1825</v>
      </c>
    </row>
    <row r="15" spans="1:256" s="629" customFormat="1" ht="20.5" customHeight="1">
      <c r="A15" s="627">
        <v>9</v>
      </c>
      <c r="B15" s="628" t="s">
        <v>1764</v>
      </c>
      <c r="C15" s="648">
        <v>241</v>
      </c>
      <c r="D15" s="648">
        <v>244</v>
      </c>
      <c r="E15" s="1020">
        <f>120+13</f>
        <v>133</v>
      </c>
      <c r="F15" s="1020">
        <v>244</v>
      </c>
      <c r="G15" s="652">
        <v>4</v>
      </c>
      <c r="H15" s="1020">
        <v>4</v>
      </c>
      <c r="I15" s="648">
        <v>0</v>
      </c>
      <c r="J15" s="1020">
        <f t="shared" si="4"/>
        <v>137</v>
      </c>
      <c r="K15" s="1020">
        <f>D15-J15</f>
        <v>107</v>
      </c>
      <c r="L15" s="1244"/>
      <c r="M15" s="1033"/>
      <c r="O15" s="1149"/>
    </row>
    <row r="16" spans="1:256" s="629" customFormat="1" ht="20.5" customHeight="1">
      <c r="A16" s="630">
        <v>10</v>
      </c>
      <c r="B16" s="628" t="s">
        <v>1194</v>
      </c>
      <c r="C16" s="1020">
        <v>112.611</v>
      </c>
      <c r="D16" s="650">
        <f>D7</f>
        <v>117.85085099999999</v>
      </c>
      <c r="E16" s="650">
        <f>21.496+4.922+4.901+8.229+9.801+14.275+4.965+8.6+10.051</f>
        <v>87.24</v>
      </c>
      <c r="F16" s="648">
        <v>112</v>
      </c>
      <c r="G16" s="652">
        <v>20</v>
      </c>
      <c r="H16" s="650">
        <f>0.21121+0.44046+0.454+0.237</f>
        <v>1.34267</v>
      </c>
      <c r="I16" s="648">
        <v>0</v>
      </c>
      <c r="J16" s="650">
        <f t="shared" si="4"/>
        <v>88.582669999999993</v>
      </c>
      <c r="K16" s="1020">
        <f t="shared" si="3"/>
        <v>29.268180999999998</v>
      </c>
      <c r="L16" s="1405">
        <v>3</v>
      </c>
      <c r="M16" s="1033" t="s">
        <v>1842</v>
      </c>
      <c r="N16" s="1006"/>
    </row>
    <row r="17" spans="1:14" s="629" customFormat="1" ht="20.5" customHeight="1">
      <c r="A17" s="630" t="s">
        <v>36</v>
      </c>
      <c r="B17" s="628" t="s">
        <v>17</v>
      </c>
      <c r="C17" s="1020">
        <f>C16</f>
        <v>112.611</v>
      </c>
      <c r="D17" s="650">
        <f>D7</f>
        <v>117.85085099999999</v>
      </c>
      <c r="E17" s="650">
        <f>21.496+4.922+4.901+8.229+9.801+10.151+4.124+8.638+4.927+10.051</f>
        <v>87.24</v>
      </c>
      <c r="F17" s="648">
        <v>112</v>
      </c>
      <c r="G17" s="652">
        <f>G16</f>
        <v>20</v>
      </c>
      <c r="H17" s="650">
        <f>H16+5.019</f>
        <v>6.3616700000000002</v>
      </c>
      <c r="I17" s="1402">
        <f>Stringing!E45</f>
        <v>5.0193400000000006</v>
      </c>
      <c r="J17" s="650">
        <f>E17+H17</f>
        <v>93.601669999999999</v>
      </c>
      <c r="K17" s="1020">
        <f t="shared" si="3"/>
        <v>24.249180999999993</v>
      </c>
      <c r="L17" s="1406"/>
      <c r="M17" s="1033" t="s">
        <v>1843</v>
      </c>
      <c r="N17" s="1006"/>
    </row>
    <row r="18" spans="1:14" s="629" customFormat="1" ht="20.5" customHeight="1">
      <c r="A18" s="630" t="s">
        <v>37</v>
      </c>
      <c r="B18" s="628" t="s">
        <v>18</v>
      </c>
      <c r="C18" s="1020">
        <f>C17</f>
        <v>112.611</v>
      </c>
      <c r="D18" s="650">
        <f>D7</f>
        <v>117.85085099999999</v>
      </c>
      <c r="E18" s="650">
        <f>21.496+4.922+4.901+8.229+9.801+10.151+4.124+4.965+8.6+10.051</f>
        <v>87.24</v>
      </c>
      <c r="F18" s="648">
        <v>112</v>
      </c>
      <c r="G18" s="652">
        <f>G17</f>
        <v>20</v>
      </c>
      <c r="H18" s="650">
        <f>H16</f>
        <v>1.34267</v>
      </c>
      <c r="I18" s="648">
        <v>0</v>
      </c>
      <c r="J18" s="650">
        <f>E18+H18</f>
        <v>88.582669999999993</v>
      </c>
      <c r="K18" s="1020">
        <f t="shared" si="3"/>
        <v>29.268180999999998</v>
      </c>
      <c r="L18" s="1407"/>
      <c r="M18" s="1033" t="s">
        <v>1844</v>
      </c>
      <c r="N18" s="1006"/>
    </row>
    <row r="19" spans="1:14" s="629" customFormat="1" ht="20.5" customHeight="1">
      <c r="A19" s="630">
        <v>11</v>
      </c>
      <c r="B19" s="628" t="s">
        <v>104</v>
      </c>
      <c r="C19" s="1020">
        <f>C18</f>
        <v>112.611</v>
      </c>
      <c r="D19" s="1020">
        <f>D7</f>
        <v>117.85085099999999</v>
      </c>
      <c r="E19" s="1020">
        <f>13.612+4.6+18.591+22.959+9.298</f>
        <v>69.06</v>
      </c>
      <c r="F19" s="648">
        <v>112</v>
      </c>
      <c r="G19" s="652">
        <v>38.08</v>
      </c>
      <c r="H19" s="1020">
        <f>OPGW!F22</f>
        <v>4.7750000000000004</v>
      </c>
      <c r="I19" s="648">
        <v>0</v>
      </c>
      <c r="J19" s="1020">
        <f>+E19+H19</f>
        <v>73.835000000000008</v>
      </c>
      <c r="K19" s="1020">
        <f t="shared" si="3"/>
        <v>44.015850999999984</v>
      </c>
      <c r="L19" s="21">
        <v>1</v>
      </c>
      <c r="M19" s="1033" t="s">
        <v>1837</v>
      </c>
      <c r="N19" s="1006"/>
    </row>
    <row r="20" spans="1:14" s="1" customFormat="1" ht="14.5">
      <c r="F20" s="146"/>
      <c r="G20" s="146"/>
      <c r="H20" s="71"/>
      <c r="J20" s="1403"/>
      <c r="K20" s="1403"/>
      <c r="L20" s="71"/>
      <c r="M20" s="1007"/>
    </row>
    <row r="21" spans="1:14">
      <c r="M21" s="71"/>
    </row>
    <row r="22" spans="1:14">
      <c r="M22" s="71"/>
    </row>
    <row r="23" spans="1:14">
      <c r="M23" s="71"/>
    </row>
    <row r="24" spans="1:14">
      <c r="A24" s="147" t="s">
        <v>305</v>
      </c>
    </row>
    <row r="260" spans="5:5">
      <c r="E260" s="853" t="s">
        <v>1355</v>
      </c>
    </row>
    <row r="261" spans="5:5">
      <c r="E261" s="853" t="s">
        <v>1355</v>
      </c>
    </row>
    <row r="262" spans="5:5">
      <c r="E262" s="853" t="s">
        <v>1355</v>
      </c>
    </row>
  </sheetData>
  <mergeCells count="62">
    <mergeCell ref="FA5:FL5"/>
    <mergeCell ref="HU4:IF4"/>
    <mergeCell ref="FY4:GJ4"/>
    <mergeCell ref="GK4:GV4"/>
    <mergeCell ref="GW4:HH4"/>
    <mergeCell ref="HI4:HT4"/>
    <mergeCell ref="EO5:EZ5"/>
    <mergeCell ref="AK5:AV5"/>
    <mergeCell ref="AW5:BH5"/>
    <mergeCell ref="BI5:BT5"/>
    <mergeCell ref="BU5:CF5"/>
    <mergeCell ref="CG5:CR5"/>
    <mergeCell ref="CS5:DD5"/>
    <mergeCell ref="DE5:DP5"/>
    <mergeCell ref="EC5:EN5"/>
    <mergeCell ref="IS4:IV4"/>
    <mergeCell ref="FM4:FX4"/>
    <mergeCell ref="IG5:IR5"/>
    <mergeCell ref="IS5:IV5"/>
    <mergeCell ref="FM5:FX5"/>
    <mergeCell ref="FY5:GJ5"/>
    <mergeCell ref="GK5:GV5"/>
    <mergeCell ref="GW5:HH5"/>
    <mergeCell ref="HI5:HT5"/>
    <mergeCell ref="HU5:IF5"/>
    <mergeCell ref="HU3:IF3"/>
    <mergeCell ref="IG3:IR3"/>
    <mergeCell ref="IS3:IV3"/>
    <mergeCell ref="Y4:AJ4"/>
    <mergeCell ref="AK4:AV4"/>
    <mergeCell ref="AW4:BH4"/>
    <mergeCell ref="BI4:BT4"/>
    <mergeCell ref="BU4:CF4"/>
    <mergeCell ref="CG4:CR4"/>
    <mergeCell ref="CS4:DD4"/>
    <mergeCell ref="DE4:DP4"/>
    <mergeCell ref="DQ4:EB4"/>
    <mergeCell ref="EC4:EN4"/>
    <mergeCell ref="EO4:EZ4"/>
    <mergeCell ref="FA4:FL4"/>
    <mergeCell ref="IG4:IR4"/>
    <mergeCell ref="FM3:FX3"/>
    <mergeCell ref="FY3:GJ3"/>
    <mergeCell ref="GK3:GV3"/>
    <mergeCell ref="GW3:HH3"/>
    <mergeCell ref="HI3:HT3"/>
    <mergeCell ref="DE3:DP3"/>
    <mergeCell ref="DQ3:EB3"/>
    <mergeCell ref="EC3:EN3"/>
    <mergeCell ref="EO3:EZ3"/>
    <mergeCell ref="FA3:FL3"/>
    <mergeCell ref="BI3:BT3"/>
    <mergeCell ref="A1:L1"/>
    <mergeCell ref="BU3:CF3"/>
    <mergeCell ref="CG3:CR3"/>
    <mergeCell ref="CS3:DD3"/>
    <mergeCell ref="K2:M2"/>
    <mergeCell ref="J20:K20"/>
    <mergeCell ref="Y3:AJ3"/>
    <mergeCell ref="AK3:AV3"/>
    <mergeCell ref="AW3:BH3"/>
    <mergeCell ref="L16:L18"/>
  </mergeCells>
  <hyperlinks>
    <hyperlink ref="B11" location="Foundation!Print_Area" display="Foundation (Nos.) " xr:uid="{4F3D564F-B8BB-4B34-8ABB-3FF46005420B}"/>
  </hyperlinks>
  <printOptions horizontalCentered="1"/>
  <pageMargins left="0.2" right="0.12" top="0.43" bottom="0.47" header="0.19" footer="0.5"/>
  <pageSetup paperSize="9" scale="78" orientation="landscape" r:id="rId1"/>
  <headerFooter alignWithMargins="0"/>
  <ignoredErrors>
    <ignoredError sqref="D18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65D81-C0EB-49B4-BE22-566BA0CC3523}">
  <dimension ref="A1:Z993"/>
  <sheetViews>
    <sheetView showGridLines="0" zoomScale="115" zoomScaleNormal="115" workbookViewId="0">
      <selection sqref="A1:H1"/>
    </sheetView>
  </sheetViews>
  <sheetFormatPr defaultColWidth="14.453125" defaultRowHeight="12"/>
  <cols>
    <col min="1" max="1" width="9" style="1326" customWidth="1"/>
    <col min="2" max="2" width="23" style="1326" customWidth="1"/>
    <col min="3" max="3" width="17.54296875" style="1326" customWidth="1"/>
    <col min="4" max="4" width="12.81640625" style="1326" customWidth="1"/>
    <col min="5" max="5" width="14.453125" style="1326" customWidth="1"/>
    <col min="6" max="6" width="12.81640625" style="1326" customWidth="1"/>
    <col min="7" max="7" width="12.7265625" style="1326" customWidth="1"/>
    <col min="8" max="8" width="27.7265625" style="1326" customWidth="1"/>
    <col min="9" max="26" width="9.08984375" style="1326" customWidth="1"/>
    <col min="27" max="16384" width="14.453125" style="1326"/>
  </cols>
  <sheetData>
    <row r="1" spans="1:26" ht="18.75" customHeight="1">
      <c r="A1" s="1416" t="s">
        <v>120</v>
      </c>
      <c r="B1" s="1417"/>
      <c r="C1" s="1417"/>
      <c r="D1" s="1417"/>
      <c r="E1" s="1417"/>
      <c r="F1" s="1417"/>
      <c r="G1" s="1417"/>
      <c r="H1" s="1418"/>
      <c r="I1" s="1325"/>
      <c r="J1" s="1325"/>
      <c r="K1" s="1325"/>
      <c r="L1" s="1325"/>
      <c r="M1" s="1325"/>
      <c r="N1" s="1325"/>
      <c r="O1" s="1325"/>
      <c r="P1" s="1325"/>
      <c r="Q1" s="1325"/>
      <c r="R1" s="1325"/>
      <c r="S1" s="1325"/>
      <c r="T1" s="1325"/>
      <c r="U1" s="1325"/>
      <c r="V1" s="1325"/>
      <c r="W1" s="1325"/>
      <c r="X1" s="1325"/>
      <c r="Y1" s="1325"/>
      <c r="Z1" s="1325"/>
    </row>
    <row r="2" spans="1:26" ht="18.75" customHeight="1">
      <c r="A2" s="1419" t="s">
        <v>1796</v>
      </c>
      <c r="B2" s="1420"/>
      <c r="C2" s="1420"/>
      <c r="D2" s="1420"/>
      <c r="E2" s="1420"/>
      <c r="F2" s="1420"/>
      <c r="G2" s="1421"/>
      <c r="H2" s="1327" t="str">
        <f>TA413_PBNTL!M1</f>
        <v>17.07.2026</v>
      </c>
      <c r="I2" s="1325"/>
      <c r="J2" s="1325"/>
      <c r="K2" s="1325"/>
      <c r="L2" s="1325"/>
      <c r="M2" s="1325"/>
      <c r="N2" s="1325"/>
      <c r="O2" s="1325"/>
      <c r="P2" s="1325"/>
      <c r="Q2" s="1325"/>
      <c r="R2" s="1325"/>
      <c r="S2" s="1325"/>
      <c r="T2" s="1325"/>
      <c r="U2" s="1325"/>
      <c r="V2" s="1325"/>
      <c r="W2" s="1325"/>
      <c r="X2" s="1325"/>
      <c r="Y2" s="1325"/>
      <c r="Z2" s="1325"/>
    </row>
    <row r="3" spans="1:26" ht="18.75" customHeight="1">
      <c r="A3" s="1422" t="s">
        <v>1797</v>
      </c>
      <c r="B3" s="1421"/>
      <c r="C3" s="1423" t="s">
        <v>1816</v>
      </c>
      <c r="D3" s="1420"/>
      <c r="E3" s="1420"/>
      <c r="F3" s="1420"/>
      <c r="G3" s="1420"/>
      <c r="H3" s="1421"/>
      <c r="I3" s="1325"/>
      <c r="J3" s="1325"/>
      <c r="K3" s="1325"/>
      <c r="L3" s="1325"/>
      <c r="M3" s="1325"/>
      <c r="N3" s="1325"/>
      <c r="O3" s="1325"/>
      <c r="P3" s="1325"/>
      <c r="Q3" s="1325"/>
      <c r="R3" s="1325"/>
      <c r="S3" s="1325"/>
      <c r="T3" s="1325"/>
      <c r="U3" s="1325"/>
      <c r="V3" s="1325"/>
      <c r="W3" s="1325"/>
      <c r="X3" s="1325"/>
      <c r="Y3" s="1325"/>
      <c r="Z3" s="1325"/>
    </row>
    <row r="4" spans="1:26" ht="18.75" customHeight="1">
      <c r="A4" s="1422" t="s">
        <v>1798</v>
      </c>
      <c r="B4" s="1421"/>
      <c r="C4" s="1423" t="s">
        <v>1817</v>
      </c>
      <c r="D4" s="1420"/>
      <c r="E4" s="1420"/>
      <c r="F4" s="1420"/>
      <c r="G4" s="1420"/>
      <c r="H4" s="1421"/>
      <c r="I4" s="1325"/>
      <c r="J4" s="1325"/>
      <c r="K4" s="1325"/>
      <c r="L4" s="1325"/>
      <c r="M4" s="1325"/>
      <c r="N4" s="1325"/>
      <c r="O4" s="1325"/>
      <c r="P4" s="1325"/>
      <c r="Q4" s="1325"/>
      <c r="R4" s="1325"/>
      <c r="S4" s="1325"/>
      <c r="T4" s="1325"/>
      <c r="U4" s="1325"/>
      <c r="V4" s="1325"/>
      <c r="W4" s="1325"/>
      <c r="X4" s="1325"/>
      <c r="Y4" s="1325"/>
      <c r="Z4" s="1325"/>
    </row>
    <row r="5" spans="1:26" ht="18.75" customHeight="1">
      <c r="A5" s="1411" t="s">
        <v>1802</v>
      </c>
      <c r="B5" s="1412"/>
      <c r="C5" s="1412"/>
      <c r="D5" s="1412"/>
      <c r="E5" s="1412"/>
      <c r="F5" s="1412"/>
      <c r="G5" s="1412"/>
      <c r="H5" s="1413"/>
      <c r="I5" s="1328"/>
      <c r="J5" s="1328"/>
      <c r="K5" s="1328"/>
      <c r="L5" s="1328"/>
      <c r="M5" s="1328"/>
      <c r="N5" s="1328"/>
      <c r="O5" s="1328"/>
      <c r="P5" s="1328"/>
      <c r="Q5" s="1328"/>
      <c r="R5" s="1328"/>
      <c r="S5" s="1328"/>
      <c r="T5" s="1328"/>
      <c r="U5" s="1328"/>
      <c r="V5" s="1328"/>
      <c r="W5" s="1328"/>
      <c r="X5" s="1328"/>
      <c r="Y5" s="1328"/>
      <c r="Z5" s="1328"/>
    </row>
    <row r="6" spans="1:26" ht="18.75" customHeight="1">
      <c r="A6" s="1329" t="s">
        <v>1803</v>
      </c>
      <c r="B6" s="1329" t="s">
        <v>1804</v>
      </c>
      <c r="C6" s="1330" t="s">
        <v>1799</v>
      </c>
      <c r="D6" s="1329" t="s">
        <v>1805</v>
      </c>
      <c r="E6" s="1331" t="s">
        <v>1800</v>
      </c>
      <c r="F6" s="1331" t="s">
        <v>1801</v>
      </c>
      <c r="G6" s="1332" t="s">
        <v>1818</v>
      </c>
      <c r="H6" s="1332" t="s">
        <v>294</v>
      </c>
      <c r="I6" s="1333"/>
      <c r="J6" s="1333"/>
      <c r="K6" s="1333"/>
      <c r="L6" s="1334"/>
      <c r="M6" s="1334"/>
      <c r="N6" s="1333"/>
      <c r="O6" s="1333"/>
      <c r="P6" s="1333"/>
      <c r="Q6" s="1333"/>
      <c r="R6" s="1333"/>
      <c r="S6" s="1333"/>
      <c r="T6" s="1333"/>
      <c r="U6" s="1333"/>
      <c r="V6" s="1333"/>
      <c r="W6" s="1333"/>
      <c r="X6" s="1333"/>
      <c r="Y6" s="1333"/>
      <c r="Z6" s="1333"/>
    </row>
    <row r="7" spans="1:26" ht="18" customHeight="1">
      <c r="A7" s="1335">
        <v>1</v>
      </c>
      <c r="B7" s="1336" t="s">
        <v>1855</v>
      </c>
      <c r="C7" s="1401" t="str">
        <f>Erection!C309</f>
        <v>37/0-N</v>
      </c>
      <c r="D7" s="1337" t="str">
        <f>Erection!D309</f>
        <v>DB2+9</v>
      </c>
      <c r="E7" s="1338">
        <f>Erection!E309</f>
        <v>46215</v>
      </c>
      <c r="F7" s="1338"/>
      <c r="G7" s="1337"/>
      <c r="H7" s="1336" t="s">
        <v>1864</v>
      </c>
      <c r="I7" s="1334"/>
      <c r="J7" s="1334"/>
      <c r="K7" s="1334"/>
      <c r="L7" s="1334"/>
      <c r="M7" s="1334"/>
      <c r="N7" s="1334"/>
      <c r="O7" s="1334"/>
      <c r="P7" s="1334"/>
      <c r="Q7" s="1334"/>
      <c r="R7" s="1334"/>
      <c r="S7" s="1334"/>
      <c r="T7" s="1334"/>
      <c r="U7" s="1334"/>
      <c r="V7" s="1334"/>
      <c r="W7" s="1334"/>
      <c r="X7" s="1334"/>
      <c r="Y7" s="1334"/>
      <c r="Z7" s="1334"/>
    </row>
    <row r="8" spans="1:26" ht="13.5" customHeight="1">
      <c r="A8" s="1333"/>
      <c r="B8" s="1339"/>
      <c r="C8" s="1333"/>
      <c r="D8" s="1340"/>
      <c r="E8" s="1341"/>
      <c r="F8" s="1341"/>
      <c r="G8" s="1340"/>
      <c r="H8" s="1340"/>
      <c r="I8" s="1334"/>
      <c r="J8" s="1334"/>
      <c r="K8" s="1334"/>
      <c r="L8" s="1334"/>
      <c r="M8" s="1334"/>
      <c r="N8" s="1334"/>
      <c r="O8" s="1334"/>
      <c r="P8" s="1334"/>
      <c r="Q8" s="1334"/>
      <c r="R8" s="1334"/>
      <c r="S8" s="1334"/>
      <c r="T8" s="1334"/>
      <c r="U8" s="1334"/>
      <c r="V8" s="1334"/>
      <c r="W8" s="1334"/>
      <c r="X8" s="1334"/>
      <c r="Y8" s="1334"/>
      <c r="Z8" s="1334"/>
    </row>
    <row r="9" spans="1:26" ht="18.75" customHeight="1">
      <c r="A9" s="1414" t="s">
        <v>1806</v>
      </c>
      <c r="B9" s="1415"/>
      <c r="C9" s="1415"/>
      <c r="D9" s="1415"/>
      <c r="E9" s="1415"/>
      <c r="F9" s="1415"/>
      <c r="G9" s="1415"/>
      <c r="H9" s="1415"/>
      <c r="I9" s="1328"/>
      <c r="J9" s="1328"/>
      <c r="K9" s="1328"/>
      <c r="L9" s="1328"/>
      <c r="M9" s="1328"/>
      <c r="N9" s="1328"/>
      <c r="O9" s="1328"/>
      <c r="P9" s="1328"/>
      <c r="Q9" s="1328"/>
      <c r="R9" s="1328"/>
      <c r="S9" s="1328"/>
      <c r="T9" s="1328"/>
      <c r="U9" s="1328"/>
      <c r="V9" s="1328"/>
      <c r="W9" s="1328"/>
      <c r="X9" s="1328"/>
      <c r="Y9" s="1328"/>
      <c r="Z9" s="1328"/>
    </row>
    <row r="10" spans="1:26" ht="18.75" customHeight="1">
      <c r="A10" s="1343" t="s">
        <v>1803</v>
      </c>
      <c r="B10" s="1343" t="s">
        <v>1804</v>
      </c>
      <c r="C10" s="1343" t="s">
        <v>1807</v>
      </c>
      <c r="D10" s="1344" t="s">
        <v>1808</v>
      </c>
      <c r="E10" s="1345" t="s">
        <v>1800</v>
      </c>
      <c r="F10" s="1344" t="s">
        <v>1801</v>
      </c>
      <c r="G10" s="1346" t="s">
        <v>1818</v>
      </c>
      <c r="H10" s="1332" t="s">
        <v>294</v>
      </c>
      <c r="I10" s="1334"/>
      <c r="J10" s="1334"/>
      <c r="K10" s="1334"/>
      <c r="L10" s="1334"/>
      <c r="M10" s="1334"/>
      <c r="N10" s="1334"/>
      <c r="O10" s="1334"/>
      <c r="P10" s="1334"/>
      <c r="Q10" s="1334"/>
      <c r="R10" s="1334"/>
      <c r="S10" s="1334"/>
      <c r="T10" s="1334"/>
      <c r="U10" s="1334"/>
      <c r="V10" s="1334"/>
      <c r="W10" s="1334"/>
      <c r="X10" s="1334"/>
      <c r="Y10" s="1334"/>
      <c r="Z10" s="1334"/>
    </row>
    <row r="11" spans="1:26" ht="22" customHeight="1">
      <c r="A11" s="1347">
        <v>1</v>
      </c>
      <c r="B11" s="1348" t="s">
        <v>1503</v>
      </c>
      <c r="C11" s="1349" t="s">
        <v>670</v>
      </c>
      <c r="D11" s="1350">
        <f>Stringing!E45</f>
        <v>5.0193400000000006</v>
      </c>
      <c r="E11" s="1351">
        <v>46179</v>
      </c>
      <c r="F11" s="1352"/>
      <c r="G11" s="1353">
        <v>55</v>
      </c>
      <c r="H11" s="1380" t="s">
        <v>1861</v>
      </c>
      <c r="I11" s="1333"/>
      <c r="J11" s="1333"/>
      <c r="K11" s="1333"/>
      <c r="L11" s="1333"/>
      <c r="M11" s="1333"/>
      <c r="N11" s="1333"/>
      <c r="O11" s="1333"/>
      <c r="P11" s="1333"/>
      <c r="Q11" s="1333"/>
      <c r="R11" s="1333"/>
      <c r="S11" s="1333"/>
      <c r="T11" s="1333"/>
      <c r="U11" s="1333"/>
      <c r="V11" s="1333"/>
      <c r="W11" s="1333"/>
      <c r="X11" s="1333"/>
      <c r="Y11" s="1333"/>
      <c r="Z11" s="1333"/>
    </row>
    <row r="12" spans="1:26" ht="22" customHeight="1">
      <c r="A12" s="1335">
        <v>2</v>
      </c>
      <c r="B12" s="1336" t="s">
        <v>1503</v>
      </c>
      <c r="C12" s="1399" t="s">
        <v>1853</v>
      </c>
      <c r="D12" s="1354">
        <f>'Stretch readiness '!C37/1000</f>
        <v>2.5501670000000001</v>
      </c>
      <c r="E12" s="1338"/>
      <c r="F12" s="1338"/>
      <c r="G12" s="1337">
        <v>12</v>
      </c>
      <c r="H12" s="1400" t="s">
        <v>1854</v>
      </c>
      <c r="I12" s="1333"/>
      <c r="J12" s="1333"/>
      <c r="K12" s="1333"/>
      <c r="L12" s="1333"/>
      <c r="M12" s="1333"/>
      <c r="N12" s="1333"/>
      <c r="O12" s="1333"/>
      <c r="P12" s="1333"/>
      <c r="Q12" s="1333"/>
      <c r="R12" s="1333"/>
      <c r="S12" s="1333"/>
      <c r="T12" s="1333"/>
      <c r="U12" s="1333"/>
      <c r="V12" s="1333"/>
      <c r="W12" s="1333"/>
      <c r="X12" s="1333"/>
      <c r="Y12" s="1333"/>
      <c r="Z12" s="1333"/>
    </row>
    <row r="13" spans="1:26" s="1363" customFormat="1" ht="19.5" customHeight="1">
      <c r="A13" s="1356">
        <v>4</v>
      </c>
      <c r="B13" s="1357" t="s">
        <v>1670</v>
      </c>
      <c r="C13" s="1358" t="s">
        <v>1836</v>
      </c>
      <c r="D13" s="1359">
        <f>Stringing!E46</f>
        <v>4.6659179999999996</v>
      </c>
      <c r="E13" s="1360"/>
      <c r="F13" s="1360"/>
      <c r="G13" s="1361">
        <v>65</v>
      </c>
      <c r="H13" s="1355" t="s">
        <v>1859</v>
      </c>
      <c r="I13" s="1362"/>
      <c r="J13" s="1362"/>
      <c r="K13" s="1362"/>
      <c r="L13" s="1362"/>
      <c r="M13" s="1362"/>
      <c r="N13" s="1362"/>
      <c r="O13" s="1362"/>
      <c r="P13" s="1362"/>
      <c r="Q13" s="1362"/>
      <c r="R13" s="1362"/>
      <c r="S13" s="1362"/>
      <c r="T13" s="1362"/>
      <c r="U13" s="1362"/>
      <c r="V13" s="1362"/>
      <c r="W13" s="1362"/>
      <c r="X13" s="1362"/>
      <c r="Y13" s="1362"/>
      <c r="Z13" s="1362"/>
    </row>
    <row r="14" spans="1:26" ht="18.5" customHeight="1">
      <c r="A14" s="1333">
        <v>5</v>
      </c>
      <c r="B14" s="1336" t="s">
        <v>1830</v>
      </c>
      <c r="C14" s="1364" t="s">
        <v>1846</v>
      </c>
      <c r="D14" s="1354">
        <f>Stringing!E44</f>
        <v>0.23743</v>
      </c>
      <c r="E14" s="1338">
        <v>46204</v>
      </c>
      <c r="F14" s="1338"/>
      <c r="G14" s="1337">
        <v>35</v>
      </c>
      <c r="H14" s="1355" t="s">
        <v>1860</v>
      </c>
      <c r="I14" s="1333"/>
      <c r="J14" s="1333"/>
      <c r="K14" s="1333"/>
      <c r="L14" s="1333"/>
      <c r="M14" s="1333"/>
      <c r="N14" s="1333"/>
      <c r="O14" s="1333"/>
      <c r="P14" s="1333"/>
      <c r="Q14" s="1333"/>
      <c r="R14" s="1333"/>
      <c r="S14" s="1333"/>
      <c r="T14" s="1333"/>
      <c r="U14" s="1333"/>
      <c r="V14" s="1333"/>
      <c r="W14" s="1333"/>
      <c r="X14" s="1333"/>
      <c r="Y14" s="1333"/>
      <c r="Z14" s="1333"/>
    </row>
    <row r="15" spans="1:26" ht="18" customHeight="1">
      <c r="A15" s="1335">
        <v>6</v>
      </c>
      <c r="B15" s="1336" t="s">
        <v>1830</v>
      </c>
      <c r="C15" s="1336" t="s">
        <v>1863</v>
      </c>
      <c r="D15" s="1354">
        <f>'Stretch readiness '!C44/1000</f>
        <v>0.20347999999999999</v>
      </c>
      <c r="E15" s="1338"/>
      <c r="F15" s="1338"/>
      <c r="G15" s="1337"/>
      <c r="H15" s="1342" t="s">
        <v>1862</v>
      </c>
      <c r="I15" s="1333"/>
      <c r="J15" s="1333"/>
      <c r="K15" s="1333"/>
      <c r="L15" s="1333"/>
      <c r="M15" s="1333"/>
      <c r="N15" s="1333"/>
      <c r="O15" s="1333"/>
      <c r="P15" s="1333"/>
      <c r="Q15" s="1333"/>
      <c r="R15" s="1333"/>
      <c r="S15" s="1333"/>
      <c r="T15" s="1333"/>
      <c r="U15" s="1333"/>
      <c r="V15" s="1333"/>
      <c r="W15" s="1333"/>
      <c r="X15" s="1333"/>
      <c r="Y15" s="1333"/>
      <c r="Z15" s="1333"/>
    </row>
    <row r="16" spans="1:26" ht="18.75" customHeight="1">
      <c r="A16" s="1424" t="s">
        <v>34</v>
      </c>
      <c r="B16" s="1420"/>
      <c r="C16" s="1420"/>
      <c r="D16" s="1420"/>
      <c r="E16" s="1420"/>
      <c r="F16" s="1420"/>
      <c r="G16" s="1420"/>
      <c r="H16" s="1421"/>
      <c r="I16" s="1333"/>
      <c r="J16" s="1333"/>
      <c r="K16" s="1333"/>
      <c r="L16" s="1333"/>
      <c r="M16" s="1333"/>
      <c r="N16" s="1333"/>
      <c r="O16" s="1333"/>
      <c r="P16" s="1333"/>
      <c r="Q16" s="1333"/>
      <c r="R16" s="1333"/>
      <c r="S16" s="1333"/>
      <c r="T16" s="1333"/>
      <c r="U16" s="1333"/>
      <c r="V16" s="1333"/>
      <c r="W16" s="1333"/>
      <c r="X16" s="1333"/>
      <c r="Y16" s="1333"/>
      <c r="Z16" s="1333"/>
    </row>
    <row r="17" spans="1:26" ht="18.75" customHeight="1">
      <c r="A17" s="1365" t="s">
        <v>1810</v>
      </c>
      <c r="B17" s="1365" t="s">
        <v>1804</v>
      </c>
      <c r="C17" s="1365" t="s">
        <v>1799</v>
      </c>
      <c r="D17" s="1366" t="s">
        <v>1805</v>
      </c>
      <c r="E17" s="1365" t="s">
        <v>1811</v>
      </c>
      <c r="F17" s="1367" t="s">
        <v>1800</v>
      </c>
      <c r="G17" s="1366" t="s">
        <v>1801</v>
      </c>
      <c r="H17" s="1365" t="s">
        <v>32</v>
      </c>
      <c r="I17" s="1333"/>
      <c r="J17" s="1333"/>
      <c r="K17" s="1333"/>
      <c r="L17" s="1333"/>
      <c r="M17" s="1333"/>
      <c r="N17" s="1333"/>
      <c r="O17" s="1333"/>
      <c r="P17" s="1333"/>
      <c r="Q17" s="1333"/>
      <c r="R17" s="1333"/>
      <c r="S17" s="1333"/>
      <c r="T17" s="1333"/>
      <c r="U17" s="1333"/>
      <c r="V17" s="1333"/>
      <c r="W17" s="1333"/>
      <c r="X17" s="1333"/>
      <c r="Y17" s="1333"/>
      <c r="Z17" s="1333"/>
    </row>
    <row r="18" spans="1:26" ht="18" customHeight="1">
      <c r="A18" s="1368">
        <v>1</v>
      </c>
      <c r="B18" s="1369" t="s">
        <v>950</v>
      </c>
      <c r="C18" s="1369" t="s">
        <v>1069</v>
      </c>
      <c r="D18" s="1368" t="str">
        <f>Earthing!D313</f>
        <v>DB1+9</v>
      </c>
      <c r="E18" s="1368"/>
      <c r="F18" s="1368"/>
      <c r="G18" s="1368"/>
      <c r="H18" s="1370" t="s">
        <v>1821</v>
      </c>
      <c r="I18" s="1333"/>
      <c r="J18" s="1333"/>
      <c r="K18" s="1333"/>
      <c r="L18" s="1333"/>
      <c r="M18" s="1333"/>
      <c r="N18" s="1333"/>
      <c r="O18" s="1333"/>
      <c r="P18" s="1333"/>
      <c r="Q18" s="1333"/>
      <c r="R18" s="1333"/>
      <c r="S18" s="1333"/>
      <c r="T18" s="1333"/>
      <c r="U18" s="1333"/>
      <c r="V18" s="1333"/>
      <c r="W18" s="1333"/>
      <c r="X18" s="1333"/>
      <c r="Y18" s="1333"/>
      <c r="Z18" s="1333"/>
    </row>
    <row r="19" spans="1:26" ht="18" customHeight="1">
      <c r="A19" s="1368">
        <v>2</v>
      </c>
      <c r="B19" s="1368"/>
      <c r="C19" s="1368"/>
      <c r="D19" s="1368"/>
      <c r="E19" s="1368"/>
      <c r="F19" s="1368"/>
      <c r="G19" s="1368"/>
      <c r="H19" s="1365"/>
      <c r="I19" s="1333"/>
      <c r="J19" s="1333"/>
      <c r="K19" s="1333"/>
      <c r="L19" s="1333"/>
      <c r="M19" s="1333"/>
      <c r="N19" s="1333"/>
      <c r="O19" s="1333"/>
      <c r="P19" s="1333"/>
      <c r="Q19" s="1333"/>
      <c r="R19" s="1333"/>
      <c r="S19" s="1333"/>
      <c r="T19" s="1333"/>
      <c r="U19" s="1333"/>
      <c r="V19" s="1333"/>
      <c r="W19" s="1333"/>
      <c r="X19" s="1333"/>
      <c r="Y19" s="1333"/>
      <c r="Z19" s="1333"/>
    </row>
    <row r="20" spans="1:26" ht="18.75" customHeight="1">
      <c r="A20" s="1425" t="s">
        <v>1809</v>
      </c>
      <c r="B20" s="1426"/>
      <c r="C20" s="1426"/>
      <c r="D20" s="1426"/>
      <c r="E20" s="1426"/>
      <c r="F20" s="1426"/>
      <c r="G20" s="1426"/>
      <c r="H20" s="1427"/>
      <c r="I20" s="1333"/>
      <c r="J20" s="1333"/>
      <c r="K20" s="1333"/>
      <c r="L20" s="1333"/>
      <c r="M20" s="1333"/>
      <c r="N20" s="1333"/>
      <c r="O20" s="1333"/>
      <c r="P20" s="1333"/>
      <c r="Q20" s="1333"/>
      <c r="R20" s="1333"/>
      <c r="S20" s="1333"/>
      <c r="T20" s="1333"/>
      <c r="U20" s="1333"/>
      <c r="V20" s="1333"/>
      <c r="W20" s="1333"/>
      <c r="X20" s="1333"/>
      <c r="Y20" s="1333"/>
      <c r="Z20" s="1333"/>
    </row>
    <row r="21" spans="1:26" ht="18.75" customHeight="1">
      <c r="A21" s="1365" t="s">
        <v>1810</v>
      </c>
      <c r="B21" s="1365" t="s">
        <v>1804</v>
      </c>
      <c r="C21" s="1365" t="s">
        <v>1807</v>
      </c>
      <c r="D21" s="1366" t="s">
        <v>1808</v>
      </c>
      <c r="E21" s="1367" t="s">
        <v>1800</v>
      </c>
      <c r="F21" s="1366" t="s">
        <v>1801</v>
      </c>
      <c r="G21" s="1422" t="s">
        <v>32</v>
      </c>
      <c r="H21" s="1421"/>
      <c r="I21" s="1333"/>
      <c r="J21" s="1333"/>
      <c r="K21" s="1333"/>
      <c r="L21" s="1333"/>
      <c r="M21" s="1333"/>
      <c r="N21" s="1333"/>
      <c r="O21" s="1333"/>
      <c r="P21" s="1333"/>
      <c r="Q21" s="1333"/>
      <c r="R21" s="1333"/>
      <c r="S21" s="1333"/>
      <c r="T21" s="1333"/>
      <c r="U21" s="1333"/>
      <c r="V21" s="1333"/>
      <c r="W21" s="1333"/>
      <c r="X21" s="1333"/>
      <c r="Y21" s="1333"/>
      <c r="Z21" s="1333"/>
    </row>
    <row r="22" spans="1:26" ht="18" customHeight="1">
      <c r="A22" s="1368"/>
      <c r="B22" s="1368"/>
      <c r="C22" s="1368"/>
      <c r="D22" s="1368"/>
      <c r="E22" s="1371"/>
      <c r="F22" s="1372"/>
      <c r="G22" s="1428"/>
      <c r="H22" s="1421"/>
      <c r="I22" s="1333"/>
      <c r="J22" s="1333"/>
      <c r="K22" s="1333"/>
      <c r="L22" s="1333"/>
      <c r="M22" s="1333"/>
      <c r="N22" s="1333"/>
      <c r="O22" s="1333"/>
      <c r="P22" s="1333"/>
      <c r="Q22" s="1333"/>
      <c r="R22" s="1333"/>
      <c r="S22" s="1333"/>
      <c r="T22" s="1333"/>
      <c r="U22" s="1333"/>
      <c r="V22" s="1333"/>
      <c r="W22" s="1333"/>
      <c r="X22" s="1333"/>
      <c r="Y22" s="1333"/>
      <c r="Z22" s="1333"/>
    </row>
    <row r="23" spans="1:26" ht="18" customHeight="1">
      <c r="A23" s="1368"/>
      <c r="B23" s="1373"/>
      <c r="C23" s="1368"/>
      <c r="D23" s="1374"/>
      <c r="E23" s="1371"/>
      <c r="F23" s="1371"/>
      <c r="G23" s="1428"/>
      <c r="H23" s="1421"/>
      <c r="I23" s="1333"/>
      <c r="J23" s="1333"/>
      <c r="K23" s="1333"/>
      <c r="L23" s="1333"/>
      <c r="M23" s="1333"/>
      <c r="N23" s="1333"/>
      <c r="O23" s="1333"/>
      <c r="P23" s="1333"/>
      <c r="Q23" s="1333"/>
      <c r="R23" s="1333"/>
      <c r="S23" s="1333"/>
      <c r="T23" s="1333"/>
      <c r="U23" s="1333"/>
      <c r="V23" s="1333"/>
      <c r="W23" s="1333"/>
      <c r="X23" s="1333"/>
      <c r="Y23" s="1333"/>
      <c r="Z23" s="1333"/>
    </row>
    <row r="24" spans="1:26" ht="18.75" customHeight="1">
      <c r="A24" s="1424" t="s">
        <v>1812</v>
      </c>
      <c r="B24" s="1420"/>
      <c r="C24" s="1420"/>
      <c r="D24" s="1420"/>
      <c r="E24" s="1420"/>
      <c r="F24" s="1420"/>
      <c r="G24" s="1420"/>
      <c r="H24" s="1421"/>
      <c r="I24" s="1333"/>
      <c r="J24" s="1333"/>
      <c r="K24" s="1333"/>
      <c r="L24" s="1333"/>
      <c r="M24" s="1333"/>
      <c r="N24" s="1333"/>
      <c r="O24" s="1333"/>
      <c r="P24" s="1333"/>
      <c r="Q24" s="1333"/>
      <c r="R24" s="1333"/>
      <c r="S24" s="1333"/>
      <c r="T24" s="1333"/>
      <c r="U24" s="1333"/>
      <c r="V24" s="1333"/>
      <c r="W24" s="1333"/>
      <c r="X24" s="1333"/>
      <c r="Y24" s="1333"/>
      <c r="Z24" s="1333"/>
    </row>
    <row r="25" spans="1:26" ht="18.75" customHeight="1">
      <c r="A25" s="1365" t="s">
        <v>1810</v>
      </c>
      <c r="B25" s="1365" t="s">
        <v>1804</v>
      </c>
      <c r="C25" s="1365" t="s">
        <v>1799</v>
      </c>
      <c r="D25" s="1366" t="s">
        <v>1805</v>
      </c>
      <c r="E25" s="1367"/>
      <c r="F25" s="1367" t="s">
        <v>1800</v>
      </c>
      <c r="G25" s="1366" t="s">
        <v>1801</v>
      </c>
      <c r="H25" s="1365" t="s">
        <v>32</v>
      </c>
      <c r="I25" s="1333"/>
      <c r="J25" s="1333"/>
      <c r="K25" s="1333"/>
      <c r="L25" s="1333"/>
      <c r="M25" s="1333"/>
      <c r="N25" s="1333"/>
      <c r="O25" s="1333"/>
      <c r="P25" s="1333"/>
      <c r="Q25" s="1333"/>
      <c r="R25" s="1333"/>
      <c r="S25" s="1333"/>
      <c r="T25" s="1333"/>
      <c r="U25" s="1333"/>
      <c r="V25" s="1333"/>
      <c r="W25" s="1333"/>
      <c r="X25" s="1333"/>
      <c r="Y25" s="1333"/>
      <c r="Z25" s="1333"/>
    </row>
    <row r="26" spans="1:26" ht="18" customHeight="1">
      <c r="A26" s="1368">
        <v>1</v>
      </c>
      <c r="B26" s="1373"/>
      <c r="C26" s="1375"/>
      <c r="D26" s="1368"/>
      <c r="E26" s="1368"/>
      <c r="F26" s="1373"/>
      <c r="G26" s="1373"/>
      <c r="H26" s="1368"/>
      <c r="I26" s="1333"/>
      <c r="J26" s="1333"/>
      <c r="K26" s="1333"/>
      <c r="L26" s="1333"/>
      <c r="M26" s="1333"/>
      <c r="N26" s="1333"/>
      <c r="O26" s="1333"/>
      <c r="P26" s="1333"/>
      <c r="Q26" s="1333"/>
      <c r="R26" s="1325"/>
      <c r="S26" s="1325"/>
      <c r="T26" s="1325"/>
      <c r="U26" s="1325"/>
      <c r="V26" s="1325"/>
      <c r="W26" s="1325"/>
      <c r="X26" s="1325"/>
      <c r="Y26" s="1325"/>
      <c r="Z26" s="1325"/>
    </row>
    <row r="27" spans="1:26" ht="18" customHeight="1">
      <c r="A27" s="1368">
        <v>2</v>
      </c>
      <c r="B27" s="1373"/>
      <c r="C27" s="1375"/>
      <c r="D27" s="1368"/>
      <c r="E27" s="1368"/>
      <c r="F27" s="1368"/>
      <c r="G27" s="1368"/>
      <c r="H27" s="1368"/>
      <c r="I27" s="1325"/>
      <c r="J27" s="1325"/>
      <c r="K27" s="1325"/>
      <c r="L27" s="1325"/>
      <c r="M27" s="1325"/>
      <c r="N27" s="1325"/>
      <c r="O27" s="1325"/>
      <c r="P27" s="1325"/>
      <c r="Q27" s="1325"/>
      <c r="R27" s="1325"/>
      <c r="S27" s="1325"/>
      <c r="T27" s="1325"/>
      <c r="U27" s="1325"/>
      <c r="V27" s="1325"/>
      <c r="W27" s="1325"/>
      <c r="X27" s="1325"/>
      <c r="Y27" s="1325"/>
      <c r="Z27" s="1325"/>
    </row>
    <row r="28" spans="1:26" ht="18.75" customHeight="1">
      <c r="A28" s="1424" t="s">
        <v>1813</v>
      </c>
      <c r="B28" s="1420"/>
      <c r="C28" s="1420"/>
      <c r="D28" s="1420"/>
      <c r="E28" s="1420"/>
      <c r="F28" s="1420"/>
      <c r="G28" s="1420"/>
      <c r="H28" s="1421"/>
      <c r="I28" s="1325"/>
      <c r="J28" s="1325"/>
      <c r="K28" s="1325"/>
      <c r="L28" s="1325"/>
      <c r="M28" s="1325"/>
      <c r="N28" s="1325"/>
      <c r="O28" s="1325"/>
      <c r="P28" s="1325"/>
      <c r="Q28" s="1325"/>
      <c r="R28" s="1325"/>
      <c r="S28" s="1325"/>
      <c r="T28" s="1325"/>
      <c r="U28" s="1325"/>
      <c r="V28" s="1325"/>
      <c r="W28" s="1325"/>
      <c r="X28" s="1325"/>
      <c r="Y28" s="1325"/>
      <c r="Z28" s="1325"/>
    </row>
    <row r="29" spans="1:26" ht="39" customHeight="1">
      <c r="A29" s="1365" t="s">
        <v>1810</v>
      </c>
      <c r="B29" s="1365" t="s">
        <v>1804</v>
      </c>
      <c r="C29" s="1365" t="s">
        <v>1799</v>
      </c>
      <c r="D29" s="1366" t="s">
        <v>1805</v>
      </c>
      <c r="E29" s="1366" t="s">
        <v>1814</v>
      </c>
      <c r="F29" s="1376" t="s">
        <v>1815</v>
      </c>
      <c r="G29" s="1366"/>
      <c r="H29" s="1365" t="s">
        <v>32</v>
      </c>
      <c r="I29" s="1325"/>
      <c r="J29" s="1325"/>
      <c r="K29" s="1325"/>
      <c r="L29" s="1325"/>
      <c r="M29" s="1325"/>
      <c r="N29" s="1325"/>
      <c r="O29" s="1325"/>
      <c r="P29" s="1325"/>
      <c r="Q29" s="1325"/>
      <c r="R29" s="1325"/>
      <c r="S29" s="1325"/>
      <c r="T29" s="1325"/>
      <c r="U29" s="1325"/>
      <c r="V29" s="1325"/>
      <c r="W29" s="1325"/>
      <c r="X29" s="1325"/>
      <c r="Y29" s="1325"/>
      <c r="Z29" s="1325"/>
    </row>
    <row r="30" spans="1:26" ht="18" customHeight="1">
      <c r="A30" s="1368">
        <v>1</v>
      </c>
      <c r="B30" s="1377"/>
      <c r="C30" s="1378"/>
      <c r="D30" s="1368"/>
      <c r="E30" s="1368"/>
      <c r="F30" s="1368"/>
      <c r="G30" s="1368"/>
      <c r="H30" s="1368"/>
      <c r="I30" s="1325"/>
      <c r="J30" s="1325"/>
      <c r="K30" s="1325"/>
      <c r="L30" s="1325"/>
      <c r="M30" s="1325"/>
      <c r="N30" s="1325"/>
      <c r="O30" s="1325"/>
      <c r="P30" s="1325"/>
      <c r="Q30" s="1325"/>
      <c r="R30" s="1325"/>
      <c r="S30" s="1325"/>
      <c r="T30" s="1325"/>
      <c r="U30" s="1325"/>
      <c r="V30" s="1325"/>
      <c r="W30" s="1325"/>
      <c r="X30" s="1325"/>
      <c r="Y30" s="1325"/>
      <c r="Z30" s="1325"/>
    </row>
    <row r="31" spans="1:26" ht="18" customHeight="1">
      <c r="A31" s="1368">
        <v>2</v>
      </c>
      <c r="B31" s="1377"/>
      <c r="C31" s="1378"/>
      <c r="D31" s="1368"/>
      <c r="E31" s="1368"/>
      <c r="F31" s="1368"/>
      <c r="G31" s="1368"/>
      <c r="H31" s="1368"/>
      <c r="I31" s="1325"/>
      <c r="J31" s="1325"/>
      <c r="K31" s="1325"/>
      <c r="L31" s="1325"/>
      <c r="M31" s="1325"/>
      <c r="N31" s="1325"/>
      <c r="O31" s="1325"/>
      <c r="P31" s="1325"/>
      <c r="Q31" s="1325"/>
      <c r="R31" s="1325"/>
      <c r="S31" s="1325"/>
      <c r="T31" s="1325"/>
      <c r="U31" s="1325"/>
      <c r="V31" s="1325"/>
      <c r="W31" s="1325"/>
      <c r="X31" s="1325"/>
      <c r="Y31" s="1325"/>
      <c r="Z31" s="1325"/>
    </row>
    <row r="32" spans="1:26" ht="18" customHeight="1">
      <c r="A32" s="1368">
        <v>3</v>
      </c>
      <c r="B32" s="1368"/>
      <c r="C32" s="1378"/>
      <c r="D32" s="1368"/>
      <c r="E32" s="1368"/>
      <c r="F32" s="1368"/>
      <c r="G32" s="1368"/>
      <c r="H32" s="1368"/>
      <c r="I32" s="1325"/>
      <c r="J32" s="1325"/>
      <c r="K32" s="1325"/>
      <c r="L32" s="1325"/>
      <c r="M32" s="1325"/>
      <c r="N32" s="1325"/>
      <c r="O32" s="1325"/>
      <c r="P32" s="1325"/>
      <c r="Q32" s="1325"/>
      <c r="R32" s="1325"/>
      <c r="S32" s="1325"/>
      <c r="T32" s="1325"/>
      <c r="U32" s="1325"/>
      <c r="V32" s="1325"/>
      <c r="W32" s="1325"/>
      <c r="X32" s="1325"/>
      <c r="Y32" s="1325"/>
      <c r="Z32" s="1325"/>
    </row>
    <row r="33" spans="1:26" ht="18.75" customHeight="1">
      <c r="A33" s="1325"/>
      <c r="B33" s="1379"/>
      <c r="C33" s="1325"/>
      <c r="D33" s="1379"/>
      <c r="E33" s="1325"/>
      <c r="F33" s="1325"/>
      <c r="G33" s="1325"/>
      <c r="H33" s="1325"/>
      <c r="I33" s="1325"/>
      <c r="J33" s="1325"/>
      <c r="K33" s="1325"/>
      <c r="L33" s="1325"/>
      <c r="M33" s="1325"/>
      <c r="N33" s="1325"/>
      <c r="O33" s="1325"/>
      <c r="P33" s="1325"/>
      <c r="Q33" s="1325"/>
      <c r="R33" s="1325"/>
      <c r="S33" s="1325"/>
      <c r="T33" s="1325"/>
      <c r="U33" s="1325"/>
      <c r="V33" s="1325"/>
      <c r="W33" s="1325"/>
      <c r="X33" s="1325"/>
      <c r="Y33" s="1325"/>
      <c r="Z33" s="1325"/>
    </row>
    <row r="34" spans="1:26" ht="18.75" customHeight="1">
      <c r="A34" s="1325"/>
      <c r="B34" s="1379"/>
      <c r="C34" s="1325"/>
      <c r="D34" s="1379"/>
      <c r="E34" s="1325"/>
      <c r="F34" s="1325"/>
      <c r="G34" s="1325"/>
      <c r="H34" s="1325"/>
      <c r="I34" s="1325"/>
      <c r="J34" s="1325"/>
      <c r="K34" s="1325"/>
      <c r="L34" s="1325"/>
      <c r="M34" s="1325"/>
      <c r="N34" s="1325"/>
      <c r="O34" s="1325"/>
      <c r="P34" s="1325"/>
      <c r="Q34" s="1325"/>
      <c r="R34" s="1325"/>
      <c r="S34" s="1325"/>
      <c r="T34" s="1325"/>
      <c r="U34" s="1325"/>
      <c r="V34" s="1325"/>
      <c r="W34" s="1325"/>
      <c r="X34" s="1325"/>
      <c r="Y34" s="1325"/>
      <c r="Z34" s="1325"/>
    </row>
    <row r="35" spans="1:26" ht="18.75" customHeight="1">
      <c r="A35" s="1325"/>
      <c r="B35" s="1379"/>
      <c r="C35" s="1325"/>
      <c r="D35" s="1379"/>
      <c r="E35" s="1325"/>
      <c r="F35" s="1325"/>
      <c r="G35" s="1325"/>
      <c r="H35" s="1325"/>
      <c r="I35" s="1325"/>
      <c r="J35" s="1325"/>
      <c r="K35" s="1325"/>
      <c r="L35" s="1325"/>
      <c r="M35" s="1325"/>
      <c r="N35" s="1325"/>
      <c r="O35" s="1325"/>
      <c r="P35" s="1325"/>
      <c r="Q35" s="1325"/>
      <c r="R35" s="1325"/>
      <c r="S35" s="1325"/>
      <c r="T35" s="1325"/>
      <c r="U35" s="1325"/>
      <c r="V35" s="1325"/>
      <c r="W35" s="1325"/>
      <c r="X35" s="1325"/>
      <c r="Y35" s="1325"/>
      <c r="Z35" s="1325"/>
    </row>
    <row r="36" spans="1:26" ht="18.75" customHeight="1">
      <c r="A36" s="1325"/>
      <c r="B36" s="1379"/>
      <c r="C36" s="1325"/>
      <c r="D36" s="1379"/>
      <c r="E36" s="1325"/>
      <c r="F36" s="1325"/>
      <c r="G36" s="1325"/>
      <c r="H36" s="1325"/>
      <c r="I36" s="1325"/>
      <c r="J36" s="1325"/>
      <c r="K36" s="1325"/>
      <c r="L36" s="1325"/>
      <c r="M36" s="1325"/>
      <c r="N36" s="1325"/>
      <c r="O36" s="1325"/>
      <c r="P36" s="1325"/>
      <c r="Q36" s="1325"/>
      <c r="R36" s="1325"/>
      <c r="S36" s="1325"/>
      <c r="T36" s="1325"/>
      <c r="U36" s="1325"/>
      <c r="V36" s="1325"/>
      <c r="W36" s="1325"/>
      <c r="X36" s="1325"/>
      <c r="Y36" s="1325"/>
      <c r="Z36" s="1325"/>
    </row>
    <row r="37" spans="1:26" ht="18.75" customHeight="1">
      <c r="A37" s="1325"/>
      <c r="B37" s="1379"/>
      <c r="C37" s="1325"/>
      <c r="D37" s="1379"/>
      <c r="E37" s="1325"/>
      <c r="F37" s="1325"/>
      <c r="G37" s="1325"/>
      <c r="H37" s="1325"/>
      <c r="I37" s="1325"/>
      <c r="J37" s="1325"/>
      <c r="K37" s="1325"/>
      <c r="L37" s="1325"/>
      <c r="M37" s="1325"/>
      <c r="N37" s="1325"/>
      <c r="O37" s="1325"/>
      <c r="P37" s="1325"/>
      <c r="Q37" s="1325"/>
      <c r="R37" s="1325"/>
      <c r="S37" s="1325"/>
      <c r="T37" s="1325"/>
      <c r="U37" s="1325"/>
      <c r="V37" s="1325"/>
      <c r="W37" s="1325"/>
      <c r="X37" s="1325"/>
      <c r="Y37" s="1325"/>
      <c r="Z37" s="1325"/>
    </row>
    <row r="38" spans="1:26" ht="18.75" customHeight="1">
      <c r="A38" s="1325"/>
      <c r="B38" s="1379"/>
      <c r="C38" s="1325"/>
      <c r="D38" s="1379"/>
      <c r="E38" s="1325"/>
      <c r="F38" s="1325"/>
      <c r="G38" s="1325"/>
      <c r="H38" s="1325"/>
      <c r="I38" s="1325"/>
      <c r="J38" s="1325"/>
      <c r="K38" s="1325"/>
      <c r="L38" s="1325"/>
      <c r="M38" s="1325"/>
      <c r="N38" s="1325"/>
      <c r="O38" s="1325"/>
      <c r="P38" s="1325"/>
      <c r="Q38" s="1325"/>
      <c r="R38" s="1325"/>
      <c r="S38" s="1325"/>
      <c r="T38" s="1325"/>
      <c r="U38" s="1325"/>
      <c r="V38" s="1325"/>
      <c r="W38" s="1325"/>
      <c r="X38" s="1325"/>
      <c r="Y38" s="1325"/>
      <c r="Z38" s="1325"/>
    </row>
    <row r="39" spans="1:26" ht="18.75" customHeight="1">
      <c r="A39" s="1325"/>
      <c r="B39" s="1379"/>
      <c r="C39" s="1325"/>
      <c r="D39" s="1379"/>
      <c r="E39" s="1325"/>
      <c r="F39" s="1325"/>
      <c r="G39" s="1325"/>
      <c r="H39" s="1325"/>
      <c r="I39" s="1325"/>
      <c r="J39" s="1325"/>
      <c r="K39" s="1325"/>
      <c r="L39" s="1325"/>
      <c r="M39" s="1325"/>
      <c r="N39" s="1325"/>
      <c r="O39" s="1325"/>
      <c r="P39" s="1325"/>
      <c r="Q39" s="1325"/>
      <c r="R39" s="1325"/>
      <c r="S39" s="1325"/>
      <c r="T39" s="1325"/>
      <c r="U39" s="1325"/>
      <c r="V39" s="1325"/>
      <c r="W39" s="1325"/>
      <c r="X39" s="1325"/>
      <c r="Y39" s="1325"/>
      <c r="Z39" s="1325"/>
    </row>
    <row r="40" spans="1:26" ht="18.75" customHeight="1">
      <c r="A40" s="1325"/>
      <c r="B40" s="1379"/>
      <c r="C40" s="1325"/>
      <c r="D40" s="1379"/>
      <c r="E40" s="1325"/>
      <c r="F40" s="1325"/>
      <c r="G40" s="1325"/>
      <c r="H40" s="1325"/>
      <c r="I40" s="1325"/>
      <c r="J40" s="1325"/>
      <c r="K40" s="1325"/>
      <c r="L40" s="1325"/>
      <c r="M40" s="1325"/>
      <c r="N40" s="1325"/>
      <c r="O40" s="1325"/>
      <c r="P40" s="1325"/>
      <c r="Q40" s="1325"/>
      <c r="R40" s="1325"/>
      <c r="S40" s="1325"/>
      <c r="T40" s="1325"/>
      <c r="U40" s="1325"/>
      <c r="V40" s="1325"/>
      <c r="W40" s="1325"/>
      <c r="X40" s="1325"/>
      <c r="Y40" s="1325"/>
      <c r="Z40" s="1325"/>
    </row>
    <row r="41" spans="1:26" ht="18.75" customHeight="1">
      <c r="A41" s="1325"/>
      <c r="B41" s="1379"/>
      <c r="C41" s="1325"/>
      <c r="D41" s="1379"/>
      <c r="E41" s="1325"/>
      <c r="F41" s="1325"/>
      <c r="G41" s="1325"/>
      <c r="H41" s="1325"/>
      <c r="I41" s="1325"/>
      <c r="J41" s="1325"/>
      <c r="K41" s="1325"/>
      <c r="L41" s="1325"/>
      <c r="M41" s="1325"/>
      <c r="N41" s="1325"/>
      <c r="O41" s="1325"/>
      <c r="P41" s="1325"/>
      <c r="Q41" s="1325"/>
      <c r="R41" s="1325"/>
      <c r="S41" s="1325"/>
      <c r="T41" s="1325"/>
      <c r="U41" s="1325"/>
      <c r="V41" s="1325"/>
      <c r="W41" s="1325"/>
      <c r="X41" s="1325"/>
      <c r="Y41" s="1325"/>
      <c r="Z41" s="1325"/>
    </row>
    <row r="42" spans="1:26" ht="18.75" customHeight="1">
      <c r="A42" s="1325"/>
      <c r="B42" s="1379"/>
      <c r="C42" s="1325"/>
      <c r="D42" s="1379"/>
      <c r="E42" s="1325"/>
      <c r="F42" s="1325"/>
      <c r="G42" s="1325"/>
      <c r="H42" s="1325"/>
      <c r="I42" s="1325"/>
      <c r="J42" s="1325"/>
      <c r="K42" s="1325"/>
      <c r="L42" s="1325"/>
      <c r="M42" s="1325"/>
      <c r="N42" s="1325"/>
      <c r="O42" s="1325"/>
      <c r="P42" s="1325"/>
      <c r="Q42" s="1325"/>
      <c r="R42" s="1325"/>
      <c r="S42" s="1325"/>
      <c r="T42" s="1325"/>
      <c r="U42" s="1325"/>
      <c r="V42" s="1325"/>
      <c r="W42" s="1325"/>
      <c r="X42" s="1325"/>
      <c r="Y42" s="1325"/>
      <c r="Z42" s="1325"/>
    </row>
    <row r="43" spans="1:26" ht="18.75" customHeight="1">
      <c r="A43" s="1325"/>
      <c r="B43" s="1379"/>
      <c r="C43" s="1325"/>
      <c r="D43" s="1379"/>
      <c r="E43" s="1325"/>
      <c r="F43" s="1325"/>
      <c r="G43" s="1325"/>
      <c r="H43" s="1325"/>
      <c r="I43" s="1325"/>
      <c r="J43" s="1325"/>
      <c r="K43" s="1325"/>
      <c r="L43" s="1325"/>
      <c r="M43" s="1325"/>
      <c r="N43" s="1325"/>
      <c r="O43" s="1325"/>
      <c r="P43" s="1325"/>
      <c r="Q43" s="1325"/>
      <c r="R43" s="1325"/>
      <c r="S43" s="1325"/>
      <c r="T43" s="1325"/>
      <c r="U43" s="1325"/>
      <c r="V43" s="1325"/>
      <c r="W43" s="1325"/>
      <c r="X43" s="1325"/>
      <c r="Y43" s="1325"/>
      <c r="Z43" s="1325"/>
    </row>
    <row r="44" spans="1:26" ht="18.75" customHeight="1">
      <c r="A44" s="1325"/>
      <c r="B44" s="1379"/>
      <c r="C44" s="1325"/>
      <c r="D44" s="1379"/>
      <c r="E44" s="1325"/>
      <c r="F44" s="1325"/>
      <c r="G44" s="1325"/>
      <c r="H44" s="1325"/>
      <c r="I44" s="1325"/>
      <c r="J44" s="1325"/>
      <c r="K44" s="1325"/>
      <c r="L44" s="1325"/>
      <c r="M44" s="1325"/>
      <c r="N44" s="1325"/>
      <c r="O44" s="1325"/>
      <c r="P44" s="1325"/>
      <c r="Q44" s="1325"/>
      <c r="R44" s="1325"/>
      <c r="S44" s="1325"/>
      <c r="T44" s="1325"/>
      <c r="U44" s="1325"/>
      <c r="V44" s="1325"/>
      <c r="W44" s="1325"/>
      <c r="X44" s="1325"/>
      <c r="Y44" s="1325"/>
      <c r="Z44" s="1325"/>
    </row>
    <row r="45" spans="1:26" ht="18.75" customHeight="1">
      <c r="A45" s="1325"/>
      <c r="B45" s="1379"/>
      <c r="C45" s="1325"/>
      <c r="D45" s="1379"/>
      <c r="E45" s="1325"/>
      <c r="F45" s="1325"/>
      <c r="G45" s="1325"/>
      <c r="H45" s="1325"/>
      <c r="I45" s="1325"/>
      <c r="J45" s="1325"/>
      <c r="K45" s="1325"/>
      <c r="L45" s="1325"/>
      <c r="M45" s="1325"/>
      <c r="N45" s="1325"/>
      <c r="O45" s="1325"/>
      <c r="P45" s="1325"/>
      <c r="Q45" s="1325"/>
      <c r="R45" s="1325"/>
      <c r="S45" s="1325"/>
      <c r="T45" s="1325"/>
      <c r="U45" s="1325"/>
      <c r="V45" s="1325"/>
      <c r="W45" s="1325"/>
      <c r="X45" s="1325"/>
      <c r="Y45" s="1325"/>
      <c r="Z45" s="1325"/>
    </row>
    <row r="46" spans="1:26" ht="18.75" customHeight="1">
      <c r="A46" s="1325"/>
      <c r="B46" s="1379"/>
      <c r="C46" s="1325"/>
      <c r="D46" s="1379"/>
      <c r="E46" s="1325"/>
      <c r="F46" s="1325"/>
      <c r="G46" s="1325"/>
      <c r="H46" s="1325"/>
      <c r="I46" s="1325"/>
      <c r="J46" s="1325"/>
      <c r="K46" s="1325"/>
      <c r="L46" s="1325"/>
      <c r="M46" s="1325"/>
      <c r="N46" s="1325"/>
      <c r="O46" s="1325"/>
      <c r="P46" s="1325"/>
      <c r="Q46" s="1325"/>
      <c r="R46" s="1325"/>
      <c r="S46" s="1325"/>
      <c r="T46" s="1325"/>
      <c r="U46" s="1325"/>
      <c r="V46" s="1325"/>
      <c r="W46" s="1325"/>
      <c r="X46" s="1325"/>
      <c r="Y46" s="1325"/>
      <c r="Z46" s="1325"/>
    </row>
    <row r="47" spans="1:26" ht="18.75" customHeight="1">
      <c r="A47" s="1325"/>
      <c r="B47" s="1379"/>
      <c r="C47" s="1325"/>
      <c r="D47" s="1379"/>
      <c r="E47" s="1325"/>
      <c r="F47" s="1325"/>
      <c r="G47" s="1325"/>
      <c r="H47" s="1325"/>
      <c r="I47" s="1325"/>
      <c r="J47" s="1325"/>
      <c r="K47" s="1325"/>
      <c r="L47" s="1325"/>
      <c r="M47" s="1325"/>
      <c r="N47" s="1325"/>
      <c r="O47" s="1325"/>
      <c r="P47" s="1325"/>
      <c r="Q47" s="1325"/>
      <c r="R47" s="1325"/>
      <c r="S47" s="1325"/>
      <c r="T47" s="1325"/>
      <c r="U47" s="1325"/>
      <c r="V47" s="1325"/>
      <c r="W47" s="1325"/>
      <c r="X47" s="1325"/>
      <c r="Y47" s="1325"/>
      <c r="Z47" s="1325"/>
    </row>
    <row r="48" spans="1:26" ht="18.75" customHeight="1">
      <c r="A48" s="1325"/>
      <c r="B48" s="1379"/>
      <c r="C48" s="1325"/>
      <c r="D48" s="1379"/>
      <c r="E48" s="1325"/>
      <c r="F48" s="1325"/>
      <c r="G48" s="1325"/>
      <c r="H48" s="1325"/>
      <c r="I48" s="1325"/>
      <c r="J48" s="1325"/>
      <c r="K48" s="1325"/>
      <c r="L48" s="1325"/>
      <c r="M48" s="1325"/>
      <c r="N48" s="1325"/>
      <c r="O48" s="1325"/>
      <c r="P48" s="1325"/>
      <c r="Q48" s="1325"/>
      <c r="R48" s="1325"/>
      <c r="S48" s="1325"/>
      <c r="T48" s="1325"/>
      <c r="U48" s="1325"/>
      <c r="V48" s="1325"/>
      <c r="W48" s="1325"/>
      <c r="X48" s="1325"/>
      <c r="Y48" s="1325"/>
      <c r="Z48" s="1325"/>
    </row>
    <row r="49" spans="1:26" ht="18.75" customHeight="1">
      <c r="A49" s="1325"/>
      <c r="B49" s="1379"/>
      <c r="C49" s="1325"/>
      <c r="D49" s="1379"/>
      <c r="E49" s="1325"/>
      <c r="F49" s="1325"/>
      <c r="G49" s="1325"/>
      <c r="H49" s="1325"/>
      <c r="I49" s="1325"/>
      <c r="J49" s="1325"/>
      <c r="K49" s="1325"/>
      <c r="L49" s="1325"/>
      <c r="M49" s="1325"/>
      <c r="N49" s="1325"/>
      <c r="O49" s="1325"/>
      <c r="P49" s="1325"/>
      <c r="Q49" s="1325"/>
      <c r="R49" s="1325"/>
      <c r="S49" s="1325"/>
      <c r="T49" s="1325"/>
      <c r="U49" s="1325"/>
      <c r="V49" s="1325"/>
      <c r="W49" s="1325"/>
      <c r="X49" s="1325"/>
      <c r="Y49" s="1325"/>
      <c r="Z49" s="1325"/>
    </row>
    <row r="50" spans="1:26" ht="18.75" customHeight="1">
      <c r="A50" s="1325"/>
      <c r="B50" s="1379"/>
      <c r="C50" s="1325"/>
      <c r="D50" s="1379"/>
      <c r="E50" s="1325"/>
      <c r="F50" s="1325"/>
      <c r="G50" s="1325"/>
      <c r="H50" s="1325"/>
      <c r="I50" s="1325"/>
      <c r="J50" s="1325"/>
      <c r="K50" s="1325"/>
      <c r="L50" s="1325"/>
      <c r="M50" s="1325"/>
      <c r="N50" s="1325"/>
      <c r="O50" s="1325"/>
      <c r="P50" s="1325"/>
      <c r="Q50" s="1325"/>
      <c r="R50" s="1325"/>
      <c r="S50" s="1325"/>
      <c r="T50" s="1325"/>
      <c r="U50" s="1325"/>
      <c r="V50" s="1325"/>
      <c r="W50" s="1325"/>
      <c r="X50" s="1325"/>
      <c r="Y50" s="1325"/>
      <c r="Z50" s="1325"/>
    </row>
    <row r="51" spans="1:26" ht="18.75" customHeight="1">
      <c r="A51" s="1325"/>
      <c r="B51" s="1379"/>
      <c r="C51" s="1325"/>
      <c r="D51" s="1379"/>
      <c r="E51" s="1325"/>
      <c r="F51" s="1325"/>
      <c r="G51" s="1325"/>
      <c r="H51" s="1325"/>
      <c r="I51" s="1325"/>
      <c r="J51" s="1325"/>
      <c r="K51" s="1325"/>
      <c r="L51" s="1325"/>
      <c r="M51" s="1325"/>
      <c r="N51" s="1325"/>
      <c r="O51" s="1325"/>
      <c r="P51" s="1325"/>
      <c r="Q51" s="1325"/>
      <c r="R51" s="1325"/>
      <c r="S51" s="1325"/>
      <c r="T51" s="1325"/>
      <c r="U51" s="1325"/>
      <c r="V51" s="1325"/>
      <c r="W51" s="1325"/>
      <c r="X51" s="1325"/>
      <c r="Y51" s="1325"/>
      <c r="Z51" s="1325"/>
    </row>
    <row r="52" spans="1:26" ht="18.75" customHeight="1">
      <c r="A52" s="1325"/>
      <c r="B52" s="1379"/>
      <c r="C52" s="1325"/>
      <c r="D52" s="1379"/>
      <c r="E52" s="1325"/>
      <c r="F52" s="1325"/>
      <c r="G52" s="1325"/>
      <c r="H52" s="1325"/>
      <c r="I52" s="1325"/>
      <c r="J52" s="1325"/>
      <c r="K52" s="1325"/>
      <c r="L52" s="1325"/>
      <c r="M52" s="1325"/>
      <c r="N52" s="1325"/>
      <c r="O52" s="1325"/>
      <c r="P52" s="1325"/>
      <c r="Q52" s="1325"/>
      <c r="R52" s="1325"/>
      <c r="S52" s="1325"/>
      <c r="T52" s="1325"/>
      <c r="U52" s="1325"/>
      <c r="V52" s="1325"/>
      <c r="W52" s="1325"/>
      <c r="X52" s="1325"/>
      <c r="Y52" s="1325"/>
      <c r="Z52" s="1325"/>
    </row>
    <row r="53" spans="1:26" ht="18.75" customHeight="1">
      <c r="A53" s="1325"/>
      <c r="B53" s="1379"/>
      <c r="C53" s="1325"/>
      <c r="D53" s="1379"/>
      <c r="E53" s="1325"/>
      <c r="F53" s="1325"/>
      <c r="G53" s="1325"/>
      <c r="H53" s="1325"/>
      <c r="I53" s="1325"/>
      <c r="J53" s="1325"/>
      <c r="K53" s="1325"/>
      <c r="L53" s="1325"/>
      <c r="M53" s="1325"/>
      <c r="N53" s="1325"/>
      <c r="O53" s="1325"/>
      <c r="P53" s="1325"/>
      <c r="Q53" s="1325"/>
      <c r="R53" s="1325"/>
      <c r="S53" s="1325"/>
      <c r="T53" s="1325"/>
      <c r="U53" s="1325"/>
      <c r="V53" s="1325"/>
      <c r="W53" s="1325"/>
      <c r="X53" s="1325"/>
      <c r="Y53" s="1325"/>
      <c r="Z53" s="1325"/>
    </row>
    <row r="54" spans="1:26" ht="18.75" customHeight="1">
      <c r="A54" s="1325"/>
      <c r="B54" s="1379"/>
      <c r="C54" s="1325"/>
      <c r="D54" s="1379"/>
      <c r="E54" s="1325"/>
      <c r="F54" s="1325"/>
      <c r="G54" s="1325"/>
      <c r="H54" s="1325"/>
      <c r="I54" s="1325"/>
      <c r="J54" s="1325"/>
      <c r="K54" s="1325"/>
      <c r="L54" s="1325"/>
      <c r="M54" s="1325"/>
      <c r="N54" s="1325"/>
      <c r="O54" s="1325"/>
      <c r="P54" s="1325"/>
      <c r="Q54" s="1325"/>
      <c r="R54" s="1325"/>
      <c r="S54" s="1325"/>
      <c r="T54" s="1325"/>
      <c r="U54" s="1325"/>
      <c r="V54" s="1325"/>
      <c r="W54" s="1325"/>
      <c r="X54" s="1325"/>
      <c r="Y54" s="1325"/>
      <c r="Z54" s="1325"/>
    </row>
    <row r="55" spans="1:26" ht="18.75" customHeight="1">
      <c r="A55" s="1325"/>
      <c r="B55" s="1379"/>
      <c r="C55" s="1325"/>
      <c r="D55" s="1379"/>
      <c r="E55" s="1325"/>
      <c r="F55" s="1325"/>
      <c r="G55" s="1325"/>
      <c r="H55" s="1325"/>
      <c r="I55" s="1325"/>
      <c r="J55" s="1325"/>
      <c r="K55" s="1325"/>
      <c r="L55" s="1325"/>
      <c r="M55" s="1325"/>
      <c r="N55" s="1325"/>
      <c r="O55" s="1325"/>
      <c r="P55" s="1325"/>
      <c r="Q55" s="1325"/>
      <c r="R55" s="1325"/>
      <c r="S55" s="1325"/>
      <c r="T55" s="1325"/>
      <c r="U55" s="1325"/>
      <c r="V55" s="1325"/>
      <c r="W55" s="1325"/>
      <c r="X55" s="1325"/>
      <c r="Y55" s="1325"/>
      <c r="Z55" s="1325"/>
    </row>
    <row r="56" spans="1:26" ht="18.75" customHeight="1">
      <c r="A56" s="1325"/>
      <c r="B56" s="1379"/>
      <c r="C56" s="1325"/>
      <c r="D56" s="1379"/>
      <c r="E56" s="1325"/>
      <c r="F56" s="1325"/>
      <c r="G56" s="1325"/>
      <c r="H56" s="1325"/>
      <c r="I56" s="1325"/>
      <c r="J56" s="1325"/>
      <c r="K56" s="1325"/>
      <c r="L56" s="1325"/>
      <c r="M56" s="1325"/>
      <c r="N56" s="1325"/>
      <c r="O56" s="1325"/>
      <c r="P56" s="1325"/>
      <c r="Q56" s="1325"/>
      <c r="R56" s="1325"/>
      <c r="S56" s="1325"/>
      <c r="T56" s="1325"/>
      <c r="U56" s="1325"/>
      <c r="V56" s="1325"/>
      <c r="W56" s="1325"/>
      <c r="X56" s="1325"/>
      <c r="Y56" s="1325"/>
      <c r="Z56" s="1325"/>
    </row>
    <row r="57" spans="1:26" ht="18.75" customHeight="1">
      <c r="A57" s="1325"/>
      <c r="B57" s="1379"/>
      <c r="C57" s="1325"/>
      <c r="D57" s="1379"/>
      <c r="E57" s="1325"/>
      <c r="F57" s="1325"/>
      <c r="G57" s="1325"/>
      <c r="H57" s="1325"/>
      <c r="I57" s="1325"/>
      <c r="J57" s="1325"/>
      <c r="K57" s="1325"/>
      <c r="L57" s="1325"/>
      <c r="M57" s="1325"/>
      <c r="N57" s="1325"/>
      <c r="O57" s="1325"/>
      <c r="P57" s="1325"/>
      <c r="Q57" s="1325"/>
      <c r="R57" s="1325"/>
      <c r="S57" s="1325"/>
      <c r="T57" s="1325"/>
      <c r="U57" s="1325"/>
      <c r="V57" s="1325"/>
      <c r="W57" s="1325"/>
      <c r="X57" s="1325"/>
      <c r="Y57" s="1325"/>
      <c r="Z57" s="1325"/>
    </row>
    <row r="58" spans="1:26" ht="18.75" customHeight="1">
      <c r="A58" s="1325"/>
      <c r="B58" s="1379"/>
      <c r="C58" s="1325"/>
      <c r="D58" s="1379"/>
      <c r="E58" s="1325"/>
      <c r="F58" s="1325"/>
      <c r="G58" s="1325"/>
      <c r="H58" s="1325"/>
      <c r="I58" s="1325"/>
      <c r="J58" s="1325"/>
      <c r="K58" s="1325"/>
      <c r="L58" s="1325"/>
      <c r="M58" s="1325"/>
      <c r="N58" s="1325"/>
      <c r="O58" s="1325"/>
      <c r="P58" s="1325"/>
      <c r="Q58" s="1325"/>
      <c r="R58" s="1325"/>
      <c r="S58" s="1325"/>
      <c r="T58" s="1325"/>
      <c r="U58" s="1325"/>
      <c r="V58" s="1325"/>
      <c r="W58" s="1325"/>
      <c r="X58" s="1325"/>
      <c r="Y58" s="1325"/>
      <c r="Z58" s="1325"/>
    </row>
    <row r="59" spans="1:26" ht="18.75" customHeight="1">
      <c r="A59" s="1325"/>
      <c r="B59" s="1379"/>
      <c r="C59" s="1325"/>
      <c r="D59" s="1379"/>
      <c r="E59" s="1325"/>
      <c r="F59" s="1325"/>
      <c r="G59" s="1325"/>
      <c r="H59" s="1325"/>
      <c r="I59" s="1325"/>
      <c r="J59" s="1325"/>
      <c r="K59" s="1325"/>
      <c r="L59" s="1325"/>
      <c r="M59" s="1325"/>
      <c r="N59" s="1325"/>
      <c r="O59" s="1325"/>
      <c r="P59" s="1325"/>
      <c r="Q59" s="1325"/>
      <c r="R59" s="1325"/>
      <c r="S59" s="1325"/>
      <c r="T59" s="1325"/>
      <c r="U59" s="1325"/>
      <c r="V59" s="1325"/>
      <c r="W59" s="1325"/>
      <c r="X59" s="1325"/>
      <c r="Y59" s="1325"/>
      <c r="Z59" s="1325"/>
    </row>
    <row r="60" spans="1:26" ht="18.75" customHeight="1">
      <c r="A60" s="1325"/>
      <c r="B60" s="1379"/>
      <c r="C60" s="1325"/>
      <c r="D60" s="1379"/>
      <c r="E60" s="1325"/>
      <c r="F60" s="1325"/>
      <c r="G60" s="1325"/>
      <c r="H60" s="1325"/>
      <c r="I60" s="1325"/>
      <c r="J60" s="1325"/>
      <c r="K60" s="1325"/>
      <c r="L60" s="1325"/>
      <c r="M60" s="1325"/>
      <c r="N60" s="1325"/>
      <c r="O60" s="1325"/>
      <c r="P60" s="1325"/>
      <c r="Q60" s="1325"/>
      <c r="R60" s="1325"/>
      <c r="S60" s="1325"/>
      <c r="T60" s="1325"/>
      <c r="U60" s="1325"/>
      <c r="V60" s="1325"/>
      <c r="W60" s="1325"/>
      <c r="X60" s="1325"/>
      <c r="Y60" s="1325"/>
      <c r="Z60" s="1325"/>
    </row>
    <row r="61" spans="1:26" ht="18.75" customHeight="1">
      <c r="A61" s="1325"/>
      <c r="B61" s="1379"/>
      <c r="C61" s="1325"/>
      <c r="D61" s="1379"/>
      <c r="E61" s="1325"/>
      <c r="F61" s="1325"/>
      <c r="G61" s="1325"/>
      <c r="H61" s="1325"/>
      <c r="I61" s="1325"/>
      <c r="J61" s="1325"/>
      <c r="K61" s="1325"/>
      <c r="L61" s="1325"/>
      <c r="M61" s="1325"/>
      <c r="N61" s="1325"/>
      <c r="O61" s="1325"/>
      <c r="P61" s="1325"/>
      <c r="Q61" s="1325"/>
      <c r="R61" s="1325"/>
      <c r="S61" s="1325"/>
      <c r="T61" s="1325"/>
      <c r="U61" s="1325"/>
      <c r="V61" s="1325"/>
      <c r="W61" s="1325"/>
      <c r="X61" s="1325"/>
      <c r="Y61" s="1325"/>
      <c r="Z61" s="1325"/>
    </row>
    <row r="62" spans="1:26" ht="18.75" customHeight="1">
      <c r="A62" s="1325"/>
      <c r="B62" s="1379"/>
      <c r="C62" s="1325"/>
      <c r="D62" s="1379"/>
      <c r="E62" s="1325"/>
      <c r="F62" s="1325"/>
      <c r="G62" s="1325"/>
      <c r="H62" s="1325"/>
      <c r="I62" s="1325"/>
      <c r="J62" s="1325"/>
      <c r="K62" s="1325"/>
      <c r="L62" s="1325"/>
      <c r="M62" s="1325"/>
      <c r="N62" s="1325"/>
      <c r="O62" s="1325"/>
      <c r="P62" s="1325"/>
      <c r="Q62" s="1325"/>
      <c r="R62" s="1325"/>
      <c r="S62" s="1325"/>
      <c r="T62" s="1325"/>
      <c r="U62" s="1325"/>
      <c r="V62" s="1325"/>
      <c r="W62" s="1325"/>
      <c r="X62" s="1325"/>
      <c r="Y62" s="1325"/>
      <c r="Z62" s="1325"/>
    </row>
    <row r="63" spans="1:26" ht="18.75" customHeight="1">
      <c r="A63" s="1325"/>
      <c r="B63" s="1379"/>
      <c r="C63" s="1325"/>
      <c r="D63" s="1379"/>
      <c r="E63" s="1325"/>
      <c r="F63" s="1325"/>
      <c r="G63" s="1325"/>
      <c r="H63" s="1325"/>
      <c r="I63" s="1325"/>
      <c r="J63" s="1325"/>
      <c r="K63" s="1325"/>
      <c r="L63" s="1325"/>
      <c r="M63" s="1325"/>
      <c r="N63" s="1325"/>
      <c r="O63" s="1325"/>
      <c r="P63" s="1325"/>
      <c r="Q63" s="1325"/>
      <c r="R63" s="1325"/>
      <c r="S63" s="1325"/>
      <c r="T63" s="1325"/>
      <c r="U63" s="1325"/>
      <c r="V63" s="1325"/>
      <c r="W63" s="1325"/>
      <c r="X63" s="1325"/>
      <c r="Y63" s="1325"/>
      <c r="Z63" s="1325"/>
    </row>
    <row r="64" spans="1:26" ht="18.75" customHeight="1">
      <c r="A64" s="1325"/>
      <c r="B64" s="1379"/>
      <c r="C64" s="1325"/>
      <c r="D64" s="1379"/>
      <c r="E64" s="1325"/>
      <c r="F64" s="1325"/>
      <c r="G64" s="1325"/>
      <c r="H64" s="1325"/>
      <c r="I64" s="1325"/>
      <c r="J64" s="1325"/>
      <c r="K64" s="1325"/>
      <c r="L64" s="1325"/>
      <c r="M64" s="1325"/>
      <c r="N64" s="1325"/>
      <c r="O64" s="1325"/>
      <c r="P64" s="1325"/>
      <c r="Q64" s="1325"/>
      <c r="R64" s="1325"/>
      <c r="S64" s="1325"/>
      <c r="T64" s="1325"/>
      <c r="U64" s="1325"/>
      <c r="V64" s="1325"/>
      <c r="W64" s="1325"/>
      <c r="X64" s="1325"/>
      <c r="Y64" s="1325"/>
      <c r="Z64" s="1325"/>
    </row>
    <row r="65" spans="1:26" ht="18.75" customHeight="1">
      <c r="A65" s="1325"/>
      <c r="B65" s="1379"/>
      <c r="C65" s="1325"/>
      <c r="D65" s="1379"/>
      <c r="E65" s="1325"/>
      <c r="F65" s="1325"/>
      <c r="G65" s="1325"/>
      <c r="H65" s="1325"/>
      <c r="I65" s="1325"/>
      <c r="J65" s="1325"/>
      <c r="K65" s="1325"/>
      <c r="L65" s="1325"/>
      <c r="M65" s="1325"/>
      <c r="N65" s="1325"/>
      <c r="O65" s="1325"/>
      <c r="P65" s="1325"/>
      <c r="Q65" s="1325"/>
      <c r="R65" s="1325"/>
      <c r="S65" s="1325"/>
      <c r="T65" s="1325"/>
      <c r="U65" s="1325"/>
      <c r="V65" s="1325"/>
      <c r="W65" s="1325"/>
      <c r="X65" s="1325"/>
      <c r="Y65" s="1325"/>
      <c r="Z65" s="1325"/>
    </row>
    <row r="66" spans="1:26" ht="18.75" customHeight="1">
      <c r="A66" s="1325"/>
      <c r="B66" s="1379"/>
      <c r="C66" s="1325"/>
      <c r="D66" s="1379"/>
      <c r="E66" s="1325"/>
      <c r="F66" s="1325"/>
      <c r="G66" s="1325"/>
      <c r="H66" s="1325"/>
      <c r="I66" s="1325"/>
      <c r="J66" s="1325"/>
      <c r="K66" s="1325"/>
      <c r="L66" s="1325"/>
      <c r="M66" s="1325"/>
      <c r="N66" s="1325"/>
      <c r="O66" s="1325"/>
      <c r="P66" s="1325"/>
      <c r="Q66" s="1325"/>
      <c r="R66" s="1325"/>
      <c r="S66" s="1325"/>
      <c r="T66" s="1325"/>
      <c r="U66" s="1325"/>
      <c r="V66" s="1325"/>
      <c r="W66" s="1325"/>
      <c r="X66" s="1325"/>
      <c r="Y66" s="1325"/>
      <c r="Z66" s="1325"/>
    </row>
    <row r="67" spans="1:26" ht="18.75" customHeight="1">
      <c r="A67" s="1325"/>
      <c r="B67" s="1379"/>
      <c r="C67" s="1325"/>
      <c r="D67" s="1379"/>
      <c r="E67" s="1325"/>
      <c r="F67" s="1325"/>
      <c r="G67" s="1325"/>
      <c r="H67" s="1325"/>
      <c r="I67" s="1325"/>
      <c r="J67" s="1325"/>
      <c r="K67" s="1325"/>
      <c r="L67" s="1325"/>
      <c r="M67" s="1325"/>
      <c r="N67" s="1325"/>
      <c r="O67" s="1325"/>
      <c r="P67" s="1325"/>
      <c r="Q67" s="1325"/>
      <c r="R67" s="1325"/>
      <c r="S67" s="1325"/>
      <c r="T67" s="1325"/>
      <c r="U67" s="1325"/>
      <c r="V67" s="1325"/>
      <c r="W67" s="1325"/>
      <c r="X67" s="1325"/>
      <c r="Y67" s="1325"/>
      <c r="Z67" s="1325"/>
    </row>
    <row r="68" spans="1:26" ht="18.75" customHeight="1">
      <c r="A68" s="1325"/>
      <c r="B68" s="1379"/>
      <c r="C68" s="1325"/>
      <c r="D68" s="1379"/>
      <c r="E68" s="1325"/>
      <c r="F68" s="1325"/>
      <c r="G68" s="1325"/>
      <c r="H68" s="1325"/>
      <c r="I68" s="1325"/>
      <c r="J68" s="1325"/>
      <c r="K68" s="1325"/>
      <c r="L68" s="1325"/>
      <c r="M68" s="1325"/>
      <c r="N68" s="1325"/>
      <c r="O68" s="1325"/>
      <c r="P68" s="1325"/>
      <c r="Q68" s="1325"/>
      <c r="R68" s="1325"/>
      <c r="S68" s="1325"/>
      <c r="T68" s="1325"/>
      <c r="U68" s="1325"/>
      <c r="V68" s="1325"/>
      <c r="W68" s="1325"/>
      <c r="X68" s="1325"/>
      <c r="Y68" s="1325"/>
      <c r="Z68" s="1325"/>
    </row>
    <row r="69" spans="1:26" ht="18.75" customHeight="1">
      <c r="A69" s="1325"/>
      <c r="B69" s="1379"/>
      <c r="C69" s="1325"/>
      <c r="D69" s="1379"/>
      <c r="E69" s="1325"/>
      <c r="F69" s="1325"/>
      <c r="G69" s="1325"/>
      <c r="H69" s="1325"/>
      <c r="I69" s="1325"/>
      <c r="J69" s="1325"/>
      <c r="K69" s="1325"/>
      <c r="L69" s="1325"/>
      <c r="M69" s="1325"/>
      <c r="N69" s="1325"/>
      <c r="O69" s="1325"/>
      <c r="P69" s="1325"/>
      <c r="Q69" s="1325"/>
      <c r="R69" s="1325"/>
      <c r="S69" s="1325"/>
      <c r="T69" s="1325"/>
      <c r="U69" s="1325"/>
      <c r="V69" s="1325"/>
      <c r="W69" s="1325"/>
      <c r="X69" s="1325"/>
      <c r="Y69" s="1325"/>
      <c r="Z69" s="1325"/>
    </row>
    <row r="70" spans="1:26" ht="18.75" customHeight="1">
      <c r="A70" s="1325"/>
      <c r="B70" s="1379"/>
      <c r="C70" s="1325"/>
      <c r="D70" s="1379"/>
      <c r="E70" s="1325"/>
      <c r="F70" s="1325"/>
      <c r="G70" s="1325"/>
      <c r="H70" s="1325"/>
      <c r="I70" s="1325"/>
      <c r="J70" s="1325"/>
      <c r="K70" s="1325"/>
      <c r="L70" s="1325"/>
      <c r="M70" s="1325"/>
      <c r="N70" s="1325"/>
      <c r="O70" s="1325"/>
      <c r="P70" s="1325"/>
      <c r="Q70" s="1325"/>
      <c r="R70" s="1325"/>
      <c r="S70" s="1325"/>
      <c r="T70" s="1325"/>
      <c r="U70" s="1325"/>
      <c r="V70" s="1325"/>
      <c r="W70" s="1325"/>
      <c r="X70" s="1325"/>
      <c r="Y70" s="1325"/>
      <c r="Z70" s="1325"/>
    </row>
    <row r="71" spans="1:26" ht="18.75" customHeight="1">
      <c r="A71" s="1325"/>
      <c r="B71" s="1379"/>
      <c r="C71" s="1325"/>
      <c r="D71" s="1379"/>
      <c r="E71" s="1325"/>
      <c r="F71" s="1325"/>
      <c r="G71" s="1325"/>
      <c r="H71" s="1325"/>
      <c r="I71" s="1325"/>
      <c r="J71" s="1325"/>
      <c r="K71" s="1325"/>
      <c r="L71" s="1325"/>
      <c r="M71" s="1325"/>
      <c r="N71" s="1325"/>
      <c r="O71" s="1325"/>
      <c r="P71" s="1325"/>
      <c r="Q71" s="1325"/>
      <c r="R71" s="1325"/>
      <c r="S71" s="1325"/>
      <c r="T71" s="1325"/>
      <c r="U71" s="1325"/>
      <c r="V71" s="1325"/>
      <c r="W71" s="1325"/>
      <c r="X71" s="1325"/>
      <c r="Y71" s="1325"/>
      <c r="Z71" s="1325"/>
    </row>
    <row r="72" spans="1:26" ht="18.75" customHeight="1">
      <c r="A72" s="1325"/>
      <c r="B72" s="1379"/>
      <c r="C72" s="1325"/>
      <c r="D72" s="1379"/>
      <c r="E72" s="1325"/>
      <c r="F72" s="1325"/>
      <c r="G72" s="1325"/>
      <c r="H72" s="1325"/>
      <c r="I72" s="1325"/>
      <c r="J72" s="1325"/>
      <c r="K72" s="1325"/>
      <c r="L72" s="1325"/>
      <c r="M72" s="1325"/>
      <c r="N72" s="1325"/>
      <c r="O72" s="1325"/>
      <c r="P72" s="1325"/>
      <c r="Q72" s="1325"/>
      <c r="R72" s="1325"/>
      <c r="S72" s="1325"/>
      <c r="T72" s="1325"/>
      <c r="U72" s="1325"/>
      <c r="V72" s="1325"/>
      <c r="W72" s="1325"/>
      <c r="X72" s="1325"/>
      <c r="Y72" s="1325"/>
      <c r="Z72" s="1325"/>
    </row>
    <row r="73" spans="1:26" ht="18.75" customHeight="1">
      <c r="A73" s="1325"/>
      <c r="B73" s="1379"/>
      <c r="C73" s="1325"/>
      <c r="D73" s="1379"/>
      <c r="E73" s="1325"/>
      <c r="F73" s="1325"/>
      <c r="G73" s="1325"/>
      <c r="H73" s="1325"/>
      <c r="I73" s="1325"/>
      <c r="J73" s="1325"/>
      <c r="K73" s="1325"/>
      <c r="L73" s="1325"/>
      <c r="M73" s="1325"/>
      <c r="N73" s="1325"/>
      <c r="O73" s="1325"/>
      <c r="P73" s="1325"/>
      <c r="Q73" s="1325"/>
      <c r="R73" s="1325"/>
      <c r="S73" s="1325"/>
      <c r="T73" s="1325"/>
      <c r="U73" s="1325"/>
      <c r="V73" s="1325"/>
      <c r="W73" s="1325"/>
      <c r="X73" s="1325"/>
      <c r="Y73" s="1325"/>
      <c r="Z73" s="1325"/>
    </row>
    <row r="74" spans="1:26" ht="18.75" customHeight="1">
      <c r="A74" s="1325"/>
      <c r="B74" s="1379"/>
      <c r="C74" s="1325"/>
      <c r="D74" s="1379"/>
      <c r="E74" s="1325"/>
      <c r="F74" s="1325"/>
      <c r="G74" s="1325"/>
      <c r="H74" s="1325"/>
      <c r="I74" s="1325"/>
      <c r="J74" s="1325"/>
      <c r="K74" s="1325"/>
      <c r="L74" s="1325"/>
      <c r="M74" s="1325"/>
      <c r="N74" s="1325"/>
      <c r="O74" s="1325"/>
      <c r="P74" s="1325"/>
      <c r="Q74" s="1325"/>
      <c r="R74" s="1325"/>
      <c r="S74" s="1325"/>
      <c r="T74" s="1325"/>
      <c r="U74" s="1325"/>
      <c r="V74" s="1325"/>
      <c r="W74" s="1325"/>
      <c r="X74" s="1325"/>
      <c r="Y74" s="1325"/>
      <c r="Z74" s="1325"/>
    </row>
    <row r="75" spans="1:26" ht="18.75" customHeight="1">
      <c r="A75" s="1325"/>
      <c r="B75" s="1379"/>
      <c r="C75" s="1325"/>
      <c r="D75" s="1379"/>
      <c r="E75" s="1325"/>
      <c r="F75" s="1325"/>
      <c r="G75" s="1325"/>
      <c r="H75" s="1325"/>
      <c r="I75" s="1325"/>
      <c r="J75" s="1325"/>
      <c r="K75" s="1325"/>
      <c r="L75" s="1325"/>
      <c r="M75" s="1325"/>
      <c r="N75" s="1325"/>
      <c r="O75" s="1325"/>
      <c r="P75" s="1325"/>
      <c r="Q75" s="1325"/>
      <c r="R75" s="1325"/>
      <c r="S75" s="1325"/>
      <c r="T75" s="1325"/>
      <c r="U75" s="1325"/>
      <c r="V75" s="1325"/>
      <c r="W75" s="1325"/>
      <c r="X75" s="1325"/>
      <c r="Y75" s="1325"/>
      <c r="Z75" s="1325"/>
    </row>
    <row r="76" spans="1:26" ht="18.75" customHeight="1">
      <c r="A76" s="1325"/>
      <c r="B76" s="1379"/>
      <c r="C76" s="1325"/>
      <c r="D76" s="1379"/>
      <c r="E76" s="1325"/>
      <c r="F76" s="1325"/>
      <c r="G76" s="1325"/>
      <c r="H76" s="1325"/>
      <c r="I76" s="1325"/>
      <c r="J76" s="1325"/>
      <c r="K76" s="1325"/>
      <c r="L76" s="1325"/>
      <c r="M76" s="1325"/>
      <c r="N76" s="1325"/>
      <c r="O76" s="1325"/>
      <c r="P76" s="1325"/>
      <c r="Q76" s="1325"/>
      <c r="R76" s="1325"/>
      <c r="S76" s="1325"/>
      <c r="T76" s="1325"/>
      <c r="U76" s="1325"/>
      <c r="V76" s="1325"/>
      <c r="W76" s="1325"/>
      <c r="X76" s="1325"/>
      <c r="Y76" s="1325"/>
      <c r="Z76" s="1325"/>
    </row>
    <row r="77" spans="1:26" ht="18.75" customHeight="1">
      <c r="A77" s="1325"/>
      <c r="B77" s="1379"/>
      <c r="C77" s="1325"/>
      <c r="D77" s="1379"/>
      <c r="E77" s="1325"/>
      <c r="F77" s="1325"/>
      <c r="G77" s="1325"/>
      <c r="H77" s="1325"/>
      <c r="I77" s="1325"/>
      <c r="J77" s="1325"/>
      <c r="K77" s="1325"/>
      <c r="L77" s="1325"/>
      <c r="M77" s="1325"/>
      <c r="N77" s="1325"/>
      <c r="O77" s="1325"/>
      <c r="P77" s="1325"/>
      <c r="Q77" s="1325"/>
      <c r="R77" s="1325"/>
      <c r="S77" s="1325"/>
      <c r="T77" s="1325"/>
      <c r="U77" s="1325"/>
      <c r="V77" s="1325"/>
      <c r="W77" s="1325"/>
      <c r="X77" s="1325"/>
      <c r="Y77" s="1325"/>
      <c r="Z77" s="1325"/>
    </row>
    <row r="78" spans="1:26" ht="18.75" customHeight="1">
      <c r="A78" s="1325"/>
      <c r="B78" s="1379"/>
      <c r="C78" s="1325"/>
      <c r="D78" s="1379"/>
      <c r="E78" s="1325"/>
      <c r="F78" s="1325"/>
      <c r="G78" s="1325"/>
      <c r="H78" s="1325"/>
      <c r="I78" s="1325"/>
      <c r="J78" s="1325"/>
      <c r="K78" s="1325"/>
      <c r="L78" s="1325"/>
      <c r="M78" s="1325"/>
      <c r="N78" s="1325"/>
      <c r="O78" s="1325"/>
      <c r="P78" s="1325"/>
      <c r="Q78" s="1325"/>
      <c r="R78" s="1325"/>
      <c r="S78" s="1325"/>
      <c r="T78" s="1325"/>
      <c r="U78" s="1325"/>
      <c r="V78" s="1325"/>
      <c r="W78" s="1325"/>
      <c r="X78" s="1325"/>
      <c r="Y78" s="1325"/>
      <c r="Z78" s="1325"/>
    </row>
    <row r="79" spans="1:26" ht="18.75" customHeight="1">
      <c r="A79" s="1325"/>
      <c r="B79" s="1379"/>
      <c r="C79" s="1325"/>
      <c r="D79" s="1379"/>
      <c r="E79" s="1325"/>
      <c r="F79" s="1325"/>
      <c r="G79" s="1325"/>
      <c r="H79" s="1325"/>
      <c r="I79" s="1325"/>
      <c r="J79" s="1325"/>
      <c r="K79" s="1325"/>
      <c r="L79" s="1325"/>
      <c r="M79" s="1325"/>
      <c r="N79" s="1325"/>
      <c r="O79" s="1325"/>
      <c r="P79" s="1325"/>
      <c r="Q79" s="1325"/>
      <c r="R79" s="1325"/>
      <c r="S79" s="1325"/>
      <c r="T79" s="1325"/>
      <c r="U79" s="1325"/>
      <c r="V79" s="1325"/>
      <c r="W79" s="1325"/>
      <c r="X79" s="1325"/>
      <c r="Y79" s="1325"/>
      <c r="Z79" s="1325"/>
    </row>
    <row r="80" spans="1:26" ht="18.75" customHeight="1">
      <c r="A80" s="1325"/>
      <c r="B80" s="1379"/>
      <c r="C80" s="1325"/>
      <c r="D80" s="1379"/>
      <c r="E80" s="1325"/>
      <c r="F80" s="1325"/>
      <c r="G80" s="1325"/>
      <c r="H80" s="1325"/>
      <c r="I80" s="1325"/>
      <c r="J80" s="1325"/>
      <c r="K80" s="1325"/>
      <c r="L80" s="1325"/>
      <c r="M80" s="1325"/>
      <c r="N80" s="1325"/>
      <c r="O80" s="1325"/>
      <c r="P80" s="1325"/>
      <c r="Q80" s="1325"/>
      <c r="R80" s="1325"/>
      <c r="S80" s="1325"/>
      <c r="T80" s="1325"/>
      <c r="U80" s="1325"/>
      <c r="V80" s="1325"/>
      <c r="W80" s="1325"/>
      <c r="X80" s="1325"/>
      <c r="Y80" s="1325"/>
      <c r="Z80" s="1325"/>
    </row>
    <row r="81" spans="1:26" ht="18.75" customHeight="1">
      <c r="A81" s="1325"/>
      <c r="B81" s="1379"/>
      <c r="C81" s="1325"/>
      <c r="D81" s="1379"/>
      <c r="E81" s="1325"/>
      <c r="F81" s="1325"/>
      <c r="G81" s="1325"/>
      <c r="H81" s="1325"/>
      <c r="I81" s="1325"/>
      <c r="J81" s="1325"/>
      <c r="K81" s="1325"/>
      <c r="L81" s="1325"/>
      <c r="M81" s="1325"/>
      <c r="N81" s="1325"/>
      <c r="O81" s="1325"/>
      <c r="P81" s="1325"/>
      <c r="Q81" s="1325"/>
      <c r="R81" s="1325"/>
      <c r="S81" s="1325"/>
      <c r="T81" s="1325"/>
      <c r="U81" s="1325"/>
      <c r="V81" s="1325"/>
      <c r="W81" s="1325"/>
      <c r="X81" s="1325"/>
      <c r="Y81" s="1325"/>
      <c r="Z81" s="1325"/>
    </row>
    <row r="82" spans="1:26" ht="18.75" customHeight="1">
      <c r="A82" s="1325"/>
      <c r="B82" s="1379"/>
      <c r="C82" s="1325"/>
      <c r="D82" s="1379"/>
      <c r="E82" s="1325"/>
      <c r="F82" s="1325"/>
      <c r="G82" s="1325"/>
      <c r="H82" s="1325"/>
      <c r="I82" s="1325"/>
      <c r="J82" s="1325"/>
      <c r="K82" s="1325"/>
      <c r="L82" s="1325"/>
      <c r="M82" s="1325"/>
      <c r="N82" s="1325"/>
      <c r="O82" s="1325"/>
      <c r="P82" s="1325"/>
      <c r="Q82" s="1325"/>
      <c r="R82" s="1325"/>
      <c r="S82" s="1325"/>
      <c r="T82" s="1325"/>
      <c r="U82" s="1325"/>
      <c r="V82" s="1325"/>
      <c r="W82" s="1325"/>
      <c r="X82" s="1325"/>
      <c r="Y82" s="1325"/>
      <c r="Z82" s="1325"/>
    </row>
    <row r="83" spans="1:26" ht="18.75" customHeight="1">
      <c r="A83" s="1325"/>
      <c r="B83" s="1379"/>
      <c r="C83" s="1325"/>
      <c r="D83" s="1379"/>
      <c r="E83" s="1325"/>
      <c r="F83" s="1325"/>
      <c r="G83" s="1325"/>
      <c r="H83" s="1325"/>
      <c r="I83" s="1325"/>
      <c r="J83" s="1325"/>
      <c r="K83" s="1325"/>
      <c r="L83" s="1325"/>
      <c r="M83" s="1325"/>
      <c r="N83" s="1325"/>
      <c r="O83" s="1325"/>
      <c r="P83" s="1325"/>
      <c r="Q83" s="1325"/>
      <c r="R83" s="1325"/>
      <c r="S83" s="1325"/>
      <c r="T83" s="1325"/>
      <c r="U83" s="1325"/>
      <c r="V83" s="1325"/>
      <c r="W83" s="1325"/>
      <c r="X83" s="1325"/>
      <c r="Y83" s="1325"/>
      <c r="Z83" s="1325"/>
    </row>
    <row r="84" spans="1:26" ht="18.75" customHeight="1">
      <c r="A84" s="1325"/>
      <c r="B84" s="1379"/>
      <c r="C84" s="1325"/>
      <c r="D84" s="1379"/>
      <c r="E84" s="1325"/>
      <c r="F84" s="1325"/>
      <c r="G84" s="1325"/>
      <c r="H84" s="1325"/>
      <c r="I84" s="1325"/>
      <c r="J84" s="1325"/>
      <c r="K84" s="1325"/>
      <c r="L84" s="1325"/>
      <c r="M84" s="1325"/>
      <c r="N84" s="1325"/>
      <c r="O84" s="1325"/>
      <c r="P84" s="1325"/>
      <c r="Q84" s="1325"/>
      <c r="R84" s="1325"/>
      <c r="S84" s="1325"/>
      <c r="T84" s="1325"/>
      <c r="U84" s="1325"/>
      <c r="V84" s="1325"/>
      <c r="W84" s="1325"/>
      <c r="X84" s="1325"/>
      <c r="Y84" s="1325"/>
      <c r="Z84" s="1325"/>
    </row>
    <row r="85" spans="1:26" ht="18.75" customHeight="1">
      <c r="A85" s="1325"/>
      <c r="B85" s="1379"/>
      <c r="C85" s="1325"/>
      <c r="D85" s="1379"/>
      <c r="E85" s="1325"/>
      <c r="F85" s="1325"/>
      <c r="G85" s="1325"/>
      <c r="H85" s="1325"/>
      <c r="I85" s="1325"/>
      <c r="J85" s="1325"/>
      <c r="K85" s="1325"/>
      <c r="L85" s="1325"/>
      <c r="M85" s="1325"/>
      <c r="N85" s="1325"/>
      <c r="O85" s="1325"/>
      <c r="P85" s="1325"/>
      <c r="Q85" s="1325"/>
      <c r="R85" s="1325"/>
      <c r="S85" s="1325"/>
      <c r="T85" s="1325"/>
      <c r="U85" s="1325"/>
      <c r="V85" s="1325"/>
      <c r="W85" s="1325"/>
      <c r="X85" s="1325"/>
      <c r="Y85" s="1325"/>
      <c r="Z85" s="1325"/>
    </row>
    <row r="86" spans="1:26" ht="18.75" customHeight="1">
      <c r="A86" s="1325"/>
      <c r="B86" s="1379"/>
      <c r="C86" s="1325"/>
      <c r="D86" s="1379"/>
      <c r="E86" s="1325"/>
      <c r="F86" s="1325"/>
      <c r="G86" s="1325"/>
      <c r="H86" s="1325"/>
      <c r="I86" s="1325"/>
      <c r="J86" s="1325"/>
      <c r="K86" s="1325"/>
      <c r="L86" s="1325"/>
      <c r="M86" s="1325"/>
      <c r="N86" s="1325"/>
      <c r="O86" s="1325"/>
      <c r="P86" s="1325"/>
      <c r="Q86" s="1325"/>
      <c r="R86" s="1325"/>
      <c r="S86" s="1325"/>
      <c r="T86" s="1325"/>
      <c r="U86" s="1325"/>
      <c r="V86" s="1325"/>
      <c r="W86" s="1325"/>
      <c r="X86" s="1325"/>
      <c r="Y86" s="1325"/>
      <c r="Z86" s="1325"/>
    </row>
    <row r="87" spans="1:26" ht="18.75" customHeight="1">
      <c r="A87" s="1325"/>
      <c r="B87" s="1379"/>
      <c r="C87" s="1325"/>
      <c r="D87" s="1379"/>
      <c r="E87" s="1325"/>
      <c r="F87" s="1325"/>
      <c r="G87" s="1325"/>
      <c r="H87" s="1325"/>
      <c r="I87" s="1325"/>
      <c r="J87" s="1325"/>
      <c r="K87" s="1325"/>
      <c r="L87" s="1325"/>
      <c r="M87" s="1325"/>
      <c r="N87" s="1325"/>
      <c r="O87" s="1325"/>
      <c r="P87" s="1325"/>
      <c r="Q87" s="1325"/>
      <c r="R87" s="1325"/>
      <c r="S87" s="1325"/>
      <c r="T87" s="1325"/>
      <c r="U87" s="1325"/>
      <c r="V87" s="1325"/>
      <c r="W87" s="1325"/>
      <c r="X87" s="1325"/>
      <c r="Y87" s="1325"/>
      <c r="Z87" s="1325"/>
    </row>
    <row r="88" spans="1:26" ht="18.75" customHeight="1">
      <c r="A88" s="1325"/>
      <c r="B88" s="1379"/>
      <c r="C88" s="1325"/>
      <c r="D88" s="1379"/>
      <c r="E88" s="1325"/>
      <c r="F88" s="1325"/>
      <c r="G88" s="1325"/>
      <c r="H88" s="1325"/>
      <c r="I88" s="1325"/>
      <c r="J88" s="1325"/>
      <c r="K88" s="1325"/>
      <c r="L88" s="1325"/>
      <c r="M88" s="1325"/>
      <c r="N88" s="1325"/>
      <c r="O88" s="1325"/>
      <c r="P88" s="1325"/>
      <c r="Q88" s="1325"/>
      <c r="R88" s="1325"/>
      <c r="S88" s="1325"/>
      <c r="T88" s="1325"/>
      <c r="U88" s="1325"/>
      <c r="V88" s="1325"/>
      <c r="W88" s="1325"/>
      <c r="X88" s="1325"/>
      <c r="Y88" s="1325"/>
      <c r="Z88" s="1325"/>
    </row>
    <row r="89" spans="1:26" ht="18.75" customHeight="1">
      <c r="A89" s="1325"/>
      <c r="B89" s="1379"/>
      <c r="C89" s="1325"/>
      <c r="D89" s="1379"/>
      <c r="E89" s="1325"/>
      <c r="F89" s="1325"/>
      <c r="G89" s="1325"/>
      <c r="H89" s="1325"/>
      <c r="I89" s="1325"/>
      <c r="J89" s="1325"/>
      <c r="K89" s="1325"/>
      <c r="L89" s="1325"/>
      <c r="M89" s="1325"/>
      <c r="N89" s="1325"/>
      <c r="O89" s="1325"/>
      <c r="P89" s="1325"/>
      <c r="Q89" s="1325"/>
      <c r="R89" s="1325"/>
      <c r="S89" s="1325"/>
      <c r="T89" s="1325"/>
      <c r="U89" s="1325"/>
      <c r="V89" s="1325"/>
      <c r="W89" s="1325"/>
      <c r="X89" s="1325"/>
      <c r="Y89" s="1325"/>
      <c r="Z89" s="1325"/>
    </row>
    <row r="90" spans="1:26" ht="18.75" customHeight="1">
      <c r="A90" s="1325"/>
      <c r="B90" s="1379"/>
      <c r="C90" s="1325"/>
      <c r="D90" s="1379"/>
      <c r="E90" s="1325"/>
      <c r="F90" s="1325"/>
      <c r="G90" s="1325"/>
      <c r="H90" s="1325"/>
      <c r="I90" s="1325"/>
      <c r="J90" s="1325"/>
      <c r="K90" s="1325"/>
      <c r="L90" s="1325"/>
      <c r="M90" s="1325"/>
      <c r="N90" s="1325"/>
      <c r="O90" s="1325"/>
      <c r="P90" s="1325"/>
      <c r="Q90" s="1325"/>
      <c r="R90" s="1325"/>
      <c r="S90" s="1325"/>
      <c r="T90" s="1325"/>
      <c r="U90" s="1325"/>
      <c r="V90" s="1325"/>
      <c r="W90" s="1325"/>
      <c r="X90" s="1325"/>
      <c r="Y90" s="1325"/>
      <c r="Z90" s="1325"/>
    </row>
    <row r="91" spans="1:26" ht="18.75" customHeight="1">
      <c r="A91" s="1325"/>
      <c r="B91" s="1379"/>
      <c r="C91" s="1325"/>
      <c r="D91" s="1379"/>
      <c r="E91" s="1325"/>
      <c r="F91" s="1325"/>
      <c r="G91" s="1325"/>
      <c r="H91" s="1325"/>
      <c r="I91" s="1325"/>
      <c r="J91" s="1325"/>
      <c r="K91" s="1325"/>
      <c r="L91" s="1325"/>
      <c r="M91" s="1325"/>
      <c r="N91" s="1325"/>
      <c r="O91" s="1325"/>
      <c r="P91" s="1325"/>
      <c r="Q91" s="1325"/>
      <c r="R91" s="1325"/>
      <c r="S91" s="1325"/>
      <c r="T91" s="1325"/>
      <c r="U91" s="1325"/>
      <c r="V91" s="1325"/>
      <c r="W91" s="1325"/>
      <c r="X91" s="1325"/>
      <c r="Y91" s="1325"/>
      <c r="Z91" s="1325"/>
    </row>
    <row r="92" spans="1:26" ht="18.75" customHeight="1">
      <c r="A92" s="1325"/>
      <c r="B92" s="1379"/>
      <c r="C92" s="1325"/>
      <c r="D92" s="1379"/>
      <c r="E92" s="1325"/>
      <c r="F92" s="1325"/>
      <c r="G92" s="1325"/>
      <c r="H92" s="1325"/>
      <c r="I92" s="1325"/>
      <c r="J92" s="1325"/>
      <c r="K92" s="1325"/>
      <c r="L92" s="1325"/>
      <c r="M92" s="1325"/>
      <c r="N92" s="1325"/>
      <c r="O92" s="1325"/>
      <c r="P92" s="1325"/>
      <c r="Q92" s="1325"/>
      <c r="R92" s="1325"/>
      <c r="S92" s="1325"/>
      <c r="T92" s="1325"/>
      <c r="U92" s="1325"/>
      <c r="V92" s="1325"/>
      <c r="W92" s="1325"/>
      <c r="X92" s="1325"/>
      <c r="Y92" s="1325"/>
      <c r="Z92" s="1325"/>
    </row>
    <row r="93" spans="1:26" ht="18.75" customHeight="1">
      <c r="A93" s="1325"/>
      <c r="B93" s="1379"/>
      <c r="C93" s="1325"/>
      <c r="D93" s="1379"/>
      <c r="E93" s="1325"/>
      <c r="F93" s="1325"/>
      <c r="G93" s="1325"/>
      <c r="H93" s="1325"/>
      <c r="I93" s="1325"/>
      <c r="J93" s="1325"/>
      <c r="K93" s="1325"/>
      <c r="L93" s="1325"/>
      <c r="M93" s="1325"/>
      <c r="N93" s="1325"/>
      <c r="O93" s="1325"/>
      <c r="P93" s="1325"/>
      <c r="Q93" s="1325"/>
      <c r="R93" s="1325"/>
      <c r="S93" s="1325"/>
      <c r="T93" s="1325"/>
      <c r="U93" s="1325"/>
      <c r="V93" s="1325"/>
      <c r="W93" s="1325"/>
      <c r="X93" s="1325"/>
      <c r="Y93" s="1325"/>
      <c r="Z93" s="1325"/>
    </row>
    <row r="94" spans="1:26" ht="18.75" customHeight="1">
      <c r="A94" s="1325"/>
      <c r="B94" s="1379"/>
      <c r="C94" s="1325"/>
      <c r="D94" s="1379"/>
      <c r="E94" s="1325"/>
      <c r="F94" s="1325"/>
      <c r="G94" s="1325"/>
      <c r="H94" s="1325"/>
      <c r="I94" s="1325"/>
      <c r="J94" s="1325"/>
      <c r="K94" s="1325"/>
      <c r="L94" s="1325"/>
      <c r="M94" s="1325"/>
      <c r="N94" s="1325"/>
      <c r="O94" s="1325"/>
      <c r="P94" s="1325"/>
      <c r="Q94" s="1325"/>
      <c r="R94" s="1325"/>
      <c r="S94" s="1325"/>
      <c r="T94" s="1325"/>
      <c r="U94" s="1325"/>
      <c r="V94" s="1325"/>
      <c r="W94" s="1325"/>
      <c r="X94" s="1325"/>
      <c r="Y94" s="1325"/>
      <c r="Z94" s="1325"/>
    </row>
    <row r="95" spans="1:26" ht="18.75" customHeight="1">
      <c r="A95" s="1325"/>
      <c r="B95" s="1379"/>
      <c r="C95" s="1325"/>
      <c r="D95" s="1379"/>
      <c r="E95" s="1325"/>
      <c r="F95" s="1325"/>
      <c r="G95" s="1325"/>
      <c r="H95" s="1325"/>
      <c r="I95" s="1325"/>
      <c r="J95" s="1325"/>
      <c r="K95" s="1325"/>
      <c r="L95" s="1325"/>
      <c r="M95" s="1325"/>
      <c r="N95" s="1325"/>
      <c r="O95" s="1325"/>
      <c r="P95" s="1325"/>
      <c r="Q95" s="1325"/>
      <c r="R95" s="1325"/>
      <c r="S95" s="1325"/>
      <c r="T95" s="1325"/>
      <c r="U95" s="1325"/>
      <c r="V95" s="1325"/>
      <c r="W95" s="1325"/>
      <c r="X95" s="1325"/>
      <c r="Y95" s="1325"/>
      <c r="Z95" s="1325"/>
    </row>
    <row r="96" spans="1:26" ht="18.75" customHeight="1">
      <c r="A96" s="1325"/>
      <c r="B96" s="1379"/>
      <c r="C96" s="1325"/>
      <c r="D96" s="1379"/>
      <c r="E96" s="1325"/>
      <c r="F96" s="1325"/>
      <c r="G96" s="1325"/>
      <c r="H96" s="1325"/>
      <c r="I96" s="1325"/>
      <c r="J96" s="1325"/>
      <c r="K96" s="1325"/>
      <c r="L96" s="1325"/>
      <c r="M96" s="1325"/>
      <c r="N96" s="1325"/>
      <c r="O96" s="1325"/>
      <c r="P96" s="1325"/>
      <c r="Q96" s="1325"/>
      <c r="R96" s="1325"/>
      <c r="S96" s="1325"/>
      <c r="T96" s="1325"/>
      <c r="U96" s="1325"/>
      <c r="V96" s="1325"/>
      <c r="W96" s="1325"/>
      <c r="X96" s="1325"/>
      <c r="Y96" s="1325"/>
      <c r="Z96" s="1325"/>
    </row>
    <row r="97" spans="1:26" ht="18.75" customHeight="1">
      <c r="A97" s="1325"/>
      <c r="B97" s="1379"/>
      <c r="C97" s="1325"/>
      <c r="D97" s="1379"/>
      <c r="E97" s="1325"/>
      <c r="F97" s="1325"/>
      <c r="G97" s="1325"/>
      <c r="H97" s="1325"/>
      <c r="I97" s="1325"/>
      <c r="J97" s="1325"/>
      <c r="K97" s="1325"/>
      <c r="L97" s="1325"/>
      <c r="M97" s="1325"/>
      <c r="N97" s="1325"/>
      <c r="O97" s="1325"/>
      <c r="P97" s="1325"/>
      <c r="Q97" s="1325"/>
      <c r="R97" s="1325"/>
      <c r="S97" s="1325"/>
      <c r="T97" s="1325"/>
      <c r="U97" s="1325"/>
      <c r="V97" s="1325"/>
      <c r="W97" s="1325"/>
      <c r="X97" s="1325"/>
      <c r="Y97" s="1325"/>
      <c r="Z97" s="1325"/>
    </row>
    <row r="98" spans="1:26" ht="18.75" customHeight="1">
      <c r="A98" s="1325"/>
      <c r="B98" s="1379"/>
      <c r="C98" s="1325"/>
      <c r="D98" s="1379"/>
      <c r="E98" s="1325"/>
      <c r="F98" s="1325"/>
      <c r="G98" s="1325"/>
      <c r="H98" s="1325"/>
      <c r="I98" s="1325"/>
      <c r="J98" s="1325"/>
      <c r="K98" s="1325"/>
      <c r="L98" s="1325"/>
      <c r="M98" s="1325"/>
      <c r="N98" s="1325"/>
      <c r="O98" s="1325"/>
      <c r="P98" s="1325"/>
      <c r="Q98" s="1325"/>
      <c r="R98" s="1325"/>
      <c r="S98" s="1325"/>
      <c r="T98" s="1325"/>
      <c r="U98" s="1325"/>
      <c r="V98" s="1325"/>
      <c r="W98" s="1325"/>
      <c r="X98" s="1325"/>
      <c r="Y98" s="1325"/>
      <c r="Z98" s="1325"/>
    </row>
    <row r="99" spans="1:26" ht="18.75" customHeight="1">
      <c r="A99" s="1325"/>
      <c r="B99" s="1379"/>
      <c r="C99" s="1325"/>
      <c r="D99" s="1379"/>
      <c r="E99" s="1325"/>
      <c r="F99" s="1325"/>
      <c r="G99" s="1325"/>
      <c r="H99" s="1325"/>
      <c r="I99" s="1325"/>
      <c r="J99" s="1325"/>
      <c r="K99" s="1325"/>
      <c r="L99" s="1325"/>
      <c r="M99" s="1325"/>
      <c r="N99" s="1325"/>
      <c r="O99" s="1325"/>
      <c r="P99" s="1325"/>
      <c r="Q99" s="1325"/>
      <c r="R99" s="1325"/>
      <c r="S99" s="1325"/>
      <c r="T99" s="1325"/>
      <c r="U99" s="1325"/>
      <c r="V99" s="1325"/>
      <c r="W99" s="1325"/>
      <c r="X99" s="1325"/>
      <c r="Y99" s="1325"/>
      <c r="Z99" s="1325"/>
    </row>
    <row r="100" spans="1:26" ht="18.75" customHeight="1">
      <c r="A100" s="1325"/>
      <c r="B100" s="1379"/>
      <c r="C100" s="1325"/>
      <c r="D100" s="1379"/>
      <c r="E100" s="1325"/>
      <c r="F100" s="1325"/>
      <c r="G100" s="1325"/>
      <c r="H100" s="1325"/>
      <c r="I100" s="1325"/>
      <c r="J100" s="1325"/>
      <c r="K100" s="1325"/>
      <c r="L100" s="1325"/>
      <c r="M100" s="1325"/>
      <c r="N100" s="1325"/>
      <c r="O100" s="1325"/>
      <c r="P100" s="1325"/>
      <c r="Q100" s="1325"/>
      <c r="R100" s="1325"/>
      <c r="S100" s="1325"/>
      <c r="T100" s="1325"/>
      <c r="U100" s="1325"/>
      <c r="V100" s="1325"/>
      <c r="W100" s="1325"/>
      <c r="X100" s="1325"/>
      <c r="Y100" s="1325"/>
      <c r="Z100" s="1325"/>
    </row>
    <row r="101" spans="1:26" ht="18.75" customHeight="1">
      <c r="A101" s="1325"/>
      <c r="B101" s="1379"/>
      <c r="C101" s="1325"/>
      <c r="D101" s="1379"/>
      <c r="E101" s="1325"/>
      <c r="F101" s="1325"/>
      <c r="G101" s="1325"/>
      <c r="H101" s="1325"/>
      <c r="I101" s="1325"/>
      <c r="J101" s="1325"/>
      <c r="K101" s="1325"/>
      <c r="L101" s="1325"/>
      <c r="M101" s="1325"/>
      <c r="N101" s="1325"/>
      <c r="O101" s="1325"/>
      <c r="P101" s="1325"/>
      <c r="Q101" s="1325"/>
      <c r="R101" s="1325"/>
      <c r="S101" s="1325"/>
      <c r="T101" s="1325"/>
      <c r="U101" s="1325"/>
      <c r="V101" s="1325"/>
      <c r="W101" s="1325"/>
      <c r="X101" s="1325"/>
      <c r="Y101" s="1325"/>
      <c r="Z101" s="1325"/>
    </row>
    <row r="102" spans="1:26" ht="18.75" customHeight="1">
      <c r="A102" s="1325"/>
      <c r="B102" s="1379"/>
      <c r="C102" s="1325"/>
      <c r="D102" s="1379"/>
      <c r="E102" s="1325"/>
      <c r="F102" s="1325"/>
      <c r="G102" s="1325"/>
      <c r="H102" s="1325"/>
      <c r="I102" s="1325"/>
      <c r="J102" s="1325"/>
      <c r="K102" s="1325"/>
      <c r="L102" s="1325"/>
      <c r="M102" s="1325"/>
      <c r="N102" s="1325"/>
      <c r="O102" s="1325"/>
      <c r="P102" s="1325"/>
      <c r="Q102" s="1325"/>
      <c r="R102" s="1325"/>
      <c r="S102" s="1325"/>
      <c r="T102" s="1325"/>
      <c r="U102" s="1325"/>
      <c r="V102" s="1325"/>
      <c r="W102" s="1325"/>
      <c r="X102" s="1325"/>
      <c r="Y102" s="1325"/>
      <c r="Z102" s="1325"/>
    </row>
    <row r="103" spans="1:26" ht="18.75" customHeight="1">
      <c r="A103" s="1325"/>
      <c r="B103" s="1379"/>
      <c r="C103" s="1325"/>
      <c r="D103" s="1379"/>
      <c r="E103" s="1325"/>
      <c r="F103" s="1325"/>
      <c r="G103" s="1325"/>
      <c r="H103" s="1325"/>
      <c r="I103" s="1325"/>
      <c r="J103" s="1325"/>
      <c r="K103" s="1325"/>
      <c r="L103" s="1325"/>
      <c r="M103" s="1325"/>
      <c r="N103" s="1325"/>
      <c r="O103" s="1325"/>
      <c r="P103" s="1325"/>
      <c r="Q103" s="1325"/>
      <c r="R103" s="1325"/>
      <c r="S103" s="1325"/>
      <c r="T103" s="1325"/>
      <c r="U103" s="1325"/>
      <c r="V103" s="1325"/>
      <c r="W103" s="1325"/>
      <c r="X103" s="1325"/>
      <c r="Y103" s="1325"/>
      <c r="Z103" s="1325"/>
    </row>
    <row r="104" spans="1:26" ht="18.75" customHeight="1">
      <c r="A104" s="1325"/>
      <c r="B104" s="1379"/>
      <c r="C104" s="1325"/>
      <c r="D104" s="1379"/>
      <c r="E104" s="1325"/>
      <c r="F104" s="1325"/>
      <c r="G104" s="1325"/>
      <c r="H104" s="1325"/>
      <c r="I104" s="1325"/>
      <c r="J104" s="1325"/>
      <c r="K104" s="1325"/>
      <c r="L104" s="1325"/>
      <c r="M104" s="1325"/>
      <c r="N104" s="1325"/>
      <c r="O104" s="1325"/>
      <c r="P104" s="1325"/>
      <c r="Q104" s="1325"/>
      <c r="R104" s="1325"/>
      <c r="S104" s="1325"/>
      <c r="T104" s="1325"/>
      <c r="U104" s="1325"/>
      <c r="V104" s="1325"/>
      <c r="W104" s="1325"/>
      <c r="X104" s="1325"/>
      <c r="Y104" s="1325"/>
      <c r="Z104" s="1325"/>
    </row>
    <row r="105" spans="1:26" ht="18.75" customHeight="1">
      <c r="A105" s="1325"/>
      <c r="B105" s="1379"/>
      <c r="C105" s="1325"/>
      <c r="D105" s="1379"/>
      <c r="E105" s="1325"/>
      <c r="F105" s="1325"/>
      <c r="G105" s="1325"/>
      <c r="H105" s="1325"/>
      <c r="I105" s="1325"/>
      <c r="J105" s="1325"/>
      <c r="K105" s="1325"/>
      <c r="L105" s="1325"/>
      <c r="M105" s="1325"/>
      <c r="N105" s="1325"/>
      <c r="O105" s="1325"/>
      <c r="P105" s="1325"/>
      <c r="Q105" s="1325"/>
      <c r="R105" s="1325"/>
      <c r="S105" s="1325"/>
      <c r="T105" s="1325"/>
      <c r="U105" s="1325"/>
      <c r="V105" s="1325"/>
      <c r="W105" s="1325"/>
      <c r="X105" s="1325"/>
      <c r="Y105" s="1325"/>
      <c r="Z105" s="1325"/>
    </row>
    <row r="106" spans="1:26" ht="18.75" customHeight="1">
      <c r="A106" s="1325"/>
      <c r="B106" s="1379"/>
      <c r="C106" s="1325"/>
      <c r="D106" s="1379"/>
      <c r="E106" s="1325"/>
      <c r="F106" s="1325"/>
      <c r="G106" s="1325"/>
      <c r="H106" s="1325"/>
      <c r="I106" s="1325"/>
      <c r="J106" s="1325"/>
      <c r="K106" s="1325"/>
      <c r="L106" s="1325"/>
      <c r="M106" s="1325"/>
      <c r="N106" s="1325"/>
      <c r="O106" s="1325"/>
      <c r="P106" s="1325"/>
      <c r="Q106" s="1325"/>
      <c r="R106" s="1325"/>
      <c r="S106" s="1325"/>
      <c r="T106" s="1325"/>
      <c r="U106" s="1325"/>
      <c r="V106" s="1325"/>
      <c r="W106" s="1325"/>
      <c r="X106" s="1325"/>
      <c r="Y106" s="1325"/>
      <c r="Z106" s="1325"/>
    </row>
    <row r="107" spans="1:26" ht="18.75" customHeight="1">
      <c r="A107" s="1325"/>
      <c r="B107" s="1379"/>
      <c r="C107" s="1325"/>
      <c r="D107" s="1379"/>
      <c r="E107" s="1325"/>
      <c r="F107" s="1325"/>
      <c r="G107" s="1325"/>
      <c r="H107" s="1325"/>
      <c r="I107" s="1325"/>
      <c r="J107" s="1325"/>
      <c r="K107" s="1325"/>
      <c r="L107" s="1325"/>
      <c r="M107" s="1325"/>
      <c r="N107" s="1325"/>
      <c r="O107" s="1325"/>
      <c r="P107" s="1325"/>
      <c r="Q107" s="1325"/>
      <c r="R107" s="1325"/>
      <c r="S107" s="1325"/>
      <c r="T107" s="1325"/>
      <c r="U107" s="1325"/>
      <c r="V107" s="1325"/>
      <c r="W107" s="1325"/>
      <c r="X107" s="1325"/>
      <c r="Y107" s="1325"/>
      <c r="Z107" s="1325"/>
    </row>
    <row r="108" spans="1:26" ht="18.75" customHeight="1">
      <c r="A108" s="1325"/>
      <c r="B108" s="1379"/>
      <c r="C108" s="1325"/>
      <c r="D108" s="1379"/>
      <c r="E108" s="1325"/>
      <c r="F108" s="1325"/>
      <c r="G108" s="1325"/>
      <c r="H108" s="1325"/>
      <c r="I108" s="1325"/>
      <c r="J108" s="1325"/>
      <c r="K108" s="1325"/>
      <c r="L108" s="1325"/>
      <c r="M108" s="1325"/>
      <c r="N108" s="1325"/>
      <c r="O108" s="1325"/>
      <c r="P108" s="1325"/>
      <c r="Q108" s="1325"/>
      <c r="R108" s="1325"/>
      <c r="S108" s="1325"/>
      <c r="T108" s="1325"/>
      <c r="U108" s="1325"/>
      <c r="V108" s="1325"/>
      <c r="W108" s="1325"/>
      <c r="X108" s="1325"/>
      <c r="Y108" s="1325"/>
      <c r="Z108" s="1325"/>
    </row>
    <row r="109" spans="1:26" ht="18.75" customHeight="1">
      <c r="A109" s="1325"/>
      <c r="B109" s="1379"/>
      <c r="C109" s="1325"/>
      <c r="D109" s="1379"/>
      <c r="E109" s="1325"/>
      <c r="F109" s="1325"/>
      <c r="G109" s="1325"/>
      <c r="H109" s="1325"/>
      <c r="I109" s="1325"/>
      <c r="J109" s="1325"/>
      <c r="K109" s="1325"/>
      <c r="L109" s="1325"/>
      <c r="M109" s="1325"/>
      <c r="N109" s="1325"/>
      <c r="O109" s="1325"/>
      <c r="P109" s="1325"/>
      <c r="Q109" s="1325"/>
      <c r="R109" s="1325"/>
      <c r="S109" s="1325"/>
      <c r="T109" s="1325"/>
      <c r="U109" s="1325"/>
      <c r="V109" s="1325"/>
      <c r="W109" s="1325"/>
      <c r="X109" s="1325"/>
      <c r="Y109" s="1325"/>
      <c r="Z109" s="1325"/>
    </row>
    <row r="110" spans="1:26" ht="18.75" customHeight="1">
      <c r="A110" s="1325"/>
      <c r="B110" s="1379"/>
      <c r="C110" s="1325"/>
      <c r="D110" s="1379"/>
      <c r="E110" s="1325"/>
      <c r="F110" s="1325"/>
      <c r="G110" s="1325"/>
      <c r="H110" s="1325"/>
      <c r="I110" s="1325"/>
      <c r="J110" s="1325"/>
      <c r="K110" s="1325"/>
      <c r="L110" s="1325"/>
      <c r="M110" s="1325"/>
      <c r="N110" s="1325"/>
      <c r="O110" s="1325"/>
      <c r="P110" s="1325"/>
      <c r="Q110" s="1325"/>
      <c r="R110" s="1325"/>
      <c r="S110" s="1325"/>
      <c r="T110" s="1325"/>
      <c r="U110" s="1325"/>
      <c r="V110" s="1325"/>
      <c r="W110" s="1325"/>
      <c r="X110" s="1325"/>
      <c r="Y110" s="1325"/>
      <c r="Z110" s="1325"/>
    </row>
    <row r="111" spans="1:26" ht="18.75" customHeight="1">
      <c r="A111" s="1325"/>
      <c r="B111" s="1379"/>
      <c r="C111" s="1325"/>
      <c r="D111" s="1379"/>
      <c r="E111" s="1325"/>
      <c r="F111" s="1325"/>
      <c r="G111" s="1325"/>
      <c r="H111" s="1325"/>
      <c r="I111" s="1325"/>
      <c r="J111" s="1325"/>
      <c r="K111" s="1325"/>
      <c r="L111" s="1325"/>
      <c r="M111" s="1325"/>
      <c r="N111" s="1325"/>
      <c r="O111" s="1325"/>
      <c r="P111" s="1325"/>
      <c r="Q111" s="1325"/>
      <c r="R111" s="1325"/>
      <c r="S111" s="1325"/>
      <c r="T111" s="1325"/>
      <c r="U111" s="1325"/>
      <c r="V111" s="1325"/>
      <c r="W111" s="1325"/>
      <c r="X111" s="1325"/>
      <c r="Y111" s="1325"/>
      <c r="Z111" s="1325"/>
    </row>
    <row r="112" spans="1:26" ht="18.75" customHeight="1">
      <c r="A112" s="1325"/>
      <c r="B112" s="1379"/>
      <c r="C112" s="1325"/>
      <c r="D112" s="1379"/>
      <c r="E112" s="1325"/>
      <c r="F112" s="1325"/>
      <c r="G112" s="1325"/>
      <c r="H112" s="1325"/>
      <c r="I112" s="1325"/>
      <c r="J112" s="1325"/>
      <c r="K112" s="1325"/>
      <c r="L112" s="1325"/>
      <c r="M112" s="1325"/>
      <c r="N112" s="1325"/>
      <c r="O112" s="1325"/>
      <c r="P112" s="1325"/>
      <c r="Q112" s="1325"/>
      <c r="R112" s="1325"/>
      <c r="S112" s="1325"/>
      <c r="T112" s="1325"/>
      <c r="U112" s="1325"/>
      <c r="V112" s="1325"/>
      <c r="W112" s="1325"/>
      <c r="X112" s="1325"/>
      <c r="Y112" s="1325"/>
      <c r="Z112" s="1325"/>
    </row>
    <row r="113" spans="1:26" ht="18.75" customHeight="1">
      <c r="A113" s="1325"/>
      <c r="B113" s="1379"/>
      <c r="C113" s="1325"/>
      <c r="D113" s="1379"/>
      <c r="E113" s="1325"/>
      <c r="F113" s="1325"/>
      <c r="G113" s="1325"/>
      <c r="H113" s="1325"/>
      <c r="I113" s="1325"/>
      <c r="J113" s="1325"/>
      <c r="K113" s="1325"/>
      <c r="L113" s="1325"/>
      <c r="M113" s="1325"/>
      <c r="N113" s="1325"/>
      <c r="O113" s="1325"/>
      <c r="P113" s="1325"/>
      <c r="Q113" s="1325"/>
      <c r="R113" s="1325"/>
      <c r="S113" s="1325"/>
      <c r="T113" s="1325"/>
      <c r="U113" s="1325"/>
      <c r="V113" s="1325"/>
      <c r="W113" s="1325"/>
      <c r="X113" s="1325"/>
      <c r="Y113" s="1325"/>
      <c r="Z113" s="1325"/>
    </row>
    <row r="114" spans="1:26" ht="18.75" customHeight="1">
      <c r="A114" s="1325"/>
      <c r="B114" s="1379"/>
      <c r="C114" s="1325"/>
      <c r="D114" s="1379"/>
      <c r="E114" s="1325"/>
      <c r="F114" s="1325"/>
      <c r="G114" s="1325"/>
      <c r="H114" s="1325"/>
      <c r="I114" s="1325"/>
      <c r="J114" s="1325"/>
      <c r="K114" s="1325"/>
      <c r="L114" s="1325"/>
      <c r="M114" s="1325"/>
      <c r="N114" s="1325"/>
      <c r="O114" s="1325"/>
      <c r="P114" s="1325"/>
      <c r="Q114" s="1325"/>
      <c r="R114" s="1325"/>
      <c r="S114" s="1325"/>
      <c r="T114" s="1325"/>
      <c r="U114" s="1325"/>
      <c r="V114" s="1325"/>
      <c r="W114" s="1325"/>
      <c r="X114" s="1325"/>
      <c r="Y114" s="1325"/>
      <c r="Z114" s="1325"/>
    </row>
    <row r="115" spans="1:26" ht="18.75" customHeight="1">
      <c r="A115" s="1325"/>
      <c r="B115" s="1379"/>
      <c r="C115" s="1325"/>
      <c r="D115" s="1379"/>
      <c r="E115" s="1325"/>
      <c r="F115" s="1325"/>
      <c r="G115" s="1325"/>
      <c r="H115" s="1325"/>
      <c r="I115" s="1325"/>
      <c r="J115" s="1325"/>
      <c r="K115" s="1325"/>
      <c r="L115" s="1325"/>
      <c r="M115" s="1325"/>
      <c r="N115" s="1325"/>
      <c r="O115" s="1325"/>
      <c r="P115" s="1325"/>
      <c r="Q115" s="1325"/>
      <c r="R115" s="1325"/>
      <c r="S115" s="1325"/>
      <c r="T115" s="1325"/>
      <c r="U115" s="1325"/>
      <c r="V115" s="1325"/>
      <c r="W115" s="1325"/>
      <c r="X115" s="1325"/>
      <c r="Y115" s="1325"/>
      <c r="Z115" s="1325"/>
    </row>
    <row r="116" spans="1:26" ht="18.75" customHeight="1">
      <c r="A116" s="1325"/>
      <c r="B116" s="1379"/>
      <c r="C116" s="1325"/>
      <c r="D116" s="1379"/>
      <c r="E116" s="1325"/>
      <c r="F116" s="1325"/>
      <c r="G116" s="1325"/>
      <c r="H116" s="1325"/>
      <c r="I116" s="1325"/>
      <c r="J116" s="1325"/>
      <c r="K116" s="1325"/>
      <c r="L116" s="1325"/>
      <c r="M116" s="1325"/>
      <c r="N116" s="1325"/>
      <c r="O116" s="1325"/>
      <c r="P116" s="1325"/>
      <c r="Q116" s="1325"/>
      <c r="R116" s="1325"/>
      <c r="S116" s="1325"/>
      <c r="T116" s="1325"/>
      <c r="U116" s="1325"/>
      <c r="V116" s="1325"/>
      <c r="W116" s="1325"/>
      <c r="X116" s="1325"/>
      <c r="Y116" s="1325"/>
      <c r="Z116" s="1325"/>
    </row>
    <row r="117" spans="1:26" ht="18.75" customHeight="1">
      <c r="A117" s="1325"/>
      <c r="B117" s="1379"/>
      <c r="C117" s="1325"/>
      <c r="D117" s="1379"/>
      <c r="E117" s="1325"/>
      <c r="F117" s="1325"/>
      <c r="G117" s="1325"/>
      <c r="H117" s="1325"/>
      <c r="I117" s="1325"/>
      <c r="J117" s="1325"/>
      <c r="K117" s="1325"/>
      <c r="L117" s="1325"/>
      <c r="M117" s="1325"/>
      <c r="N117" s="1325"/>
      <c r="O117" s="1325"/>
      <c r="P117" s="1325"/>
      <c r="Q117" s="1325"/>
      <c r="R117" s="1325"/>
      <c r="S117" s="1325"/>
      <c r="T117" s="1325"/>
      <c r="U117" s="1325"/>
      <c r="V117" s="1325"/>
      <c r="W117" s="1325"/>
      <c r="X117" s="1325"/>
      <c r="Y117" s="1325"/>
      <c r="Z117" s="1325"/>
    </row>
    <row r="118" spans="1:26" ht="18.75" customHeight="1">
      <c r="A118" s="1325"/>
      <c r="B118" s="1379"/>
      <c r="C118" s="1325"/>
      <c r="D118" s="1379"/>
      <c r="E118" s="1325"/>
      <c r="F118" s="1325"/>
      <c r="G118" s="1325"/>
      <c r="H118" s="1325"/>
      <c r="I118" s="1325"/>
      <c r="J118" s="1325"/>
      <c r="K118" s="1325"/>
      <c r="L118" s="1325"/>
      <c r="M118" s="1325"/>
      <c r="N118" s="1325"/>
      <c r="O118" s="1325"/>
      <c r="P118" s="1325"/>
      <c r="Q118" s="1325"/>
      <c r="R118" s="1325"/>
      <c r="S118" s="1325"/>
      <c r="T118" s="1325"/>
      <c r="U118" s="1325"/>
      <c r="V118" s="1325"/>
      <c r="W118" s="1325"/>
      <c r="X118" s="1325"/>
      <c r="Y118" s="1325"/>
      <c r="Z118" s="1325"/>
    </row>
    <row r="119" spans="1:26" ht="18.75" customHeight="1">
      <c r="A119" s="1325"/>
      <c r="B119" s="1379"/>
      <c r="C119" s="1325"/>
      <c r="D119" s="1379"/>
      <c r="E119" s="1325"/>
      <c r="F119" s="1325"/>
      <c r="G119" s="1325"/>
      <c r="H119" s="1325"/>
      <c r="I119" s="1325"/>
      <c r="J119" s="1325"/>
      <c r="K119" s="1325"/>
      <c r="L119" s="1325"/>
      <c r="M119" s="1325"/>
      <c r="N119" s="1325"/>
      <c r="O119" s="1325"/>
      <c r="P119" s="1325"/>
      <c r="Q119" s="1325"/>
      <c r="R119" s="1325"/>
      <c r="S119" s="1325"/>
      <c r="T119" s="1325"/>
      <c r="U119" s="1325"/>
      <c r="V119" s="1325"/>
      <c r="W119" s="1325"/>
      <c r="X119" s="1325"/>
      <c r="Y119" s="1325"/>
      <c r="Z119" s="1325"/>
    </row>
    <row r="120" spans="1:26" ht="18.75" customHeight="1">
      <c r="A120" s="1325"/>
      <c r="B120" s="1379"/>
      <c r="C120" s="1325"/>
      <c r="D120" s="1379"/>
      <c r="E120" s="1325"/>
      <c r="F120" s="1325"/>
      <c r="G120" s="1325"/>
      <c r="H120" s="1325"/>
      <c r="I120" s="1325"/>
      <c r="J120" s="1325"/>
      <c r="K120" s="1325"/>
      <c r="L120" s="1325"/>
      <c r="M120" s="1325"/>
      <c r="N120" s="1325"/>
      <c r="O120" s="1325"/>
      <c r="P120" s="1325"/>
      <c r="Q120" s="1325"/>
      <c r="R120" s="1325"/>
      <c r="S120" s="1325"/>
      <c r="T120" s="1325"/>
      <c r="U120" s="1325"/>
      <c r="V120" s="1325"/>
      <c r="W120" s="1325"/>
      <c r="X120" s="1325"/>
      <c r="Y120" s="1325"/>
      <c r="Z120" s="1325"/>
    </row>
    <row r="121" spans="1:26" ht="18.75" customHeight="1">
      <c r="A121" s="1325"/>
      <c r="B121" s="1379"/>
      <c r="C121" s="1325"/>
      <c r="D121" s="1379"/>
      <c r="E121" s="1325"/>
      <c r="F121" s="1325"/>
      <c r="G121" s="1325"/>
      <c r="H121" s="1325"/>
      <c r="I121" s="1325"/>
      <c r="J121" s="1325"/>
      <c r="K121" s="1325"/>
      <c r="L121" s="1325"/>
      <c r="M121" s="1325"/>
      <c r="N121" s="1325"/>
      <c r="O121" s="1325"/>
      <c r="P121" s="1325"/>
      <c r="Q121" s="1325"/>
      <c r="R121" s="1325"/>
      <c r="S121" s="1325"/>
      <c r="T121" s="1325"/>
      <c r="U121" s="1325"/>
      <c r="V121" s="1325"/>
      <c r="W121" s="1325"/>
      <c r="X121" s="1325"/>
      <c r="Y121" s="1325"/>
      <c r="Z121" s="1325"/>
    </row>
    <row r="122" spans="1:26" ht="18.75" customHeight="1">
      <c r="A122" s="1325"/>
      <c r="B122" s="1379"/>
      <c r="C122" s="1325"/>
      <c r="D122" s="1379"/>
      <c r="E122" s="1325"/>
      <c r="F122" s="1325"/>
      <c r="G122" s="1325"/>
      <c r="H122" s="1325"/>
      <c r="I122" s="1325"/>
      <c r="J122" s="1325"/>
      <c r="K122" s="1325"/>
      <c r="L122" s="1325"/>
      <c r="M122" s="1325"/>
      <c r="N122" s="1325"/>
      <c r="O122" s="1325"/>
      <c r="P122" s="1325"/>
      <c r="Q122" s="1325"/>
      <c r="R122" s="1325"/>
      <c r="S122" s="1325"/>
      <c r="T122" s="1325"/>
      <c r="U122" s="1325"/>
      <c r="V122" s="1325"/>
      <c r="W122" s="1325"/>
      <c r="X122" s="1325"/>
      <c r="Y122" s="1325"/>
      <c r="Z122" s="1325"/>
    </row>
    <row r="123" spans="1:26" ht="18.75" customHeight="1">
      <c r="A123" s="1325"/>
      <c r="B123" s="1379"/>
      <c r="C123" s="1325"/>
      <c r="D123" s="1379"/>
      <c r="E123" s="1325"/>
      <c r="F123" s="1325"/>
      <c r="G123" s="1325"/>
      <c r="H123" s="1325"/>
      <c r="I123" s="1325"/>
      <c r="J123" s="1325"/>
      <c r="K123" s="1325"/>
      <c r="L123" s="1325"/>
      <c r="M123" s="1325"/>
      <c r="N123" s="1325"/>
      <c r="O123" s="1325"/>
      <c r="P123" s="1325"/>
      <c r="Q123" s="1325"/>
      <c r="R123" s="1325"/>
      <c r="S123" s="1325"/>
      <c r="T123" s="1325"/>
      <c r="U123" s="1325"/>
      <c r="V123" s="1325"/>
      <c r="W123" s="1325"/>
      <c r="X123" s="1325"/>
      <c r="Y123" s="1325"/>
      <c r="Z123" s="1325"/>
    </row>
    <row r="124" spans="1:26" ht="18.75" customHeight="1">
      <c r="A124" s="1325"/>
      <c r="B124" s="1379"/>
      <c r="C124" s="1325"/>
      <c r="D124" s="1379"/>
      <c r="E124" s="1325"/>
      <c r="F124" s="1325"/>
      <c r="G124" s="1325"/>
      <c r="H124" s="1325"/>
      <c r="I124" s="1325"/>
      <c r="J124" s="1325"/>
      <c r="K124" s="1325"/>
      <c r="L124" s="1325"/>
      <c r="M124" s="1325"/>
      <c r="N124" s="1325"/>
      <c r="O124" s="1325"/>
      <c r="P124" s="1325"/>
      <c r="Q124" s="1325"/>
      <c r="R124" s="1325"/>
      <c r="S124" s="1325"/>
      <c r="T124" s="1325"/>
      <c r="U124" s="1325"/>
      <c r="V124" s="1325"/>
      <c r="W124" s="1325"/>
      <c r="X124" s="1325"/>
      <c r="Y124" s="1325"/>
      <c r="Z124" s="1325"/>
    </row>
    <row r="125" spans="1:26" ht="18.75" customHeight="1">
      <c r="A125" s="1325"/>
      <c r="B125" s="1379"/>
      <c r="C125" s="1325"/>
      <c r="D125" s="1379"/>
      <c r="E125" s="1325"/>
      <c r="F125" s="1325"/>
      <c r="G125" s="1325"/>
      <c r="H125" s="1325"/>
      <c r="I125" s="1325"/>
      <c r="J125" s="1325"/>
      <c r="K125" s="1325"/>
      <c r="L125" s="1325"/>
      <c r="M125" s="1325"/>
      <c r="N125" s="1325"/>
      <c r="O125" s="1325"/>
      <c r="P125" s="1325"/>
      <c r="Q125" s="1325"/>
      <c r="R125" s="1325"/>
      <c r="S125" s="1325"/>
      <c r="T125" s="1325"/>
      <c r="U125" s="1325"/>
      <c r="V125" s="1325"/>
      <c r="W125" s="1325"/>
      <c r="X125" s="1325"/>
      <c r="Y125" s="1325"/>
      <c r="Z125" s="1325"/>
    </row>
    <row r="126" spans="1:26" ht="18.75" customHeight="1">
      <c r="A126" s="1325"/>
      <c r="B126" s="1379"/>
      <c r="C126" s="1325"/>
      <c r="D126" s="1379"/>
      <c r="E126" s="1325"/>
      <c r="F126" s="1325"/>
      <c r="G126" s="1325"/>
      <c r="H126" s="1325"/>
      <c r="I126" s="1325"/>
      <c r="J126" s="1325"/>
      <c r="K126" s="1325"/>
      <c r="L126" s="1325"/>
      <c r="M126" s="1325"/>
      <c r="N126" s="1325"/>
      <c r="O126" s="1325"/>
      <c r="P126" s="1325"/>
      <c r="Q126" s="1325"/>
      <c r="R126" s="1325"/>
      <c r="S126" s="1325"/>
      <c r="T126" s="1325"/>
      <c r="U126" s="1325"/>
      <c r="V126" s="1325"/>
      <c r="W126" s="1325"/>
      <c r="X126" s="1325"/>
      <c r="Y126" s="1325"/>
      <c r="Z126" s="1325"/>
    </row>
    <row r="127" spans="1:26" ht="18.75" customHeight="1">
      <c r="A127" s="1325"/>
      <c r="B127" s="1379"/>
      <c r="C127" s="1325"/>
      <c r="D127" s="1379"/>
      <c r="E127" s="1325"/>
      <c r="F127" s="1325"/>
      <c r="G127" s="1325"/>
      <c r="H127" s="1325"/>
      <c r="I127" s="1325"/>
      <c r="J127" s="1325"/>
      <c r="K127" s="1325"/>
      <c r="L127" s="1325"/>
      <c r="M127" s="1325"/>
      <c r="N127" s="1325"/>
      <c r="O127" s="1325"/>
      <c r="P127" s="1325"/>
      <c r="Q127" s="1325"/>
      <c r="R127" s="1325"/>
      <c r="S127" s="1325"/>
      <c r="T127" s="1325"/>
      <c r="U127" s="1325"/>
      <c r="V127" s="1325"/>
      <c r="W127" s="1325"/>
      <c r="X127" s="1325"/>
      <c r="Y127" s="1325"/>
      <c r="Z127" s="1325"/>
    </row>
    <row r="128" spans="1:26" ht="18.75" customHeight="1">
      <c r="A128" s="1325"/>
      <c r="B128" s="1379"/>
      <c r="C128" s="1325"/>
      <c r="D128" s="1379"/>
      <c r="E128" s="1325"/>
      <c r="F128" s="1325"/>
      <c r="G128" s="1325"/>
      <c r="H128" s="1325"/>
      <c r="I128" s="1325"/>
      <c r="J128" s="1325"/>
      <c r="K128" s="1325"/>
      <c r="L128" s="1325"/>
      <c r="M128" s="1325"/>
      <c r="N128" s="1325"/>
      <c r="O128" s="1325"/>
      <c r="P128" s="1325"/>
      <c r="Q128" s="1325"/>
      <c r="R128" s="1325"/>
      <c r="S128" s="1325"/>
      <c r="T128" s="1325"/>
      <c r="U128" s="1325"/>
      <c r="V128" s="1325"/>
      <c r="W128" s="1325"/>
      <c r="X128" s="1325"/>
      <c r="Y128" s="1325"/>
      <c r="Z128" s="1325"/>
    </row>
    <row r="129" spans="1:26" ht="18.75" customHeight="1">
      <c r="A129" s="1325"/>
      <c r="B129" s="1379"/>
      <c r="C129" s="1325"/>
      <c r="D129" s="1379"/>
      <c r="E129" s="1325"/>
      <c r="F129" s="1325"/>
      <c r="G129" s="1325"/>
      <c r="H129" s="1325"/>
      <c r="I129" s="1325"/>
      <c r="J129" s="1325"/>
      <c r="K129" s="1325"/>
      <c r="L129" s="1325"/>
      <c r="M129" s="1325"/>
      <c r="N129" s="1325"/>
      <c r="O129" s="1325"/>
      <c r="P129" s="1325"/>
      <c r="Q129" s="1325"/>
      <c r="R129" s="1325"/>
      <c r="S129" s="1325"/>
      <c r="T129" s="1325"/>
      <c r="U129" s="1325"/>
      <c r="V129" s="1325"/>
      <c r="W129" s="1325"/>
      <c r="X129" s="1325"/>
      <c r="Y129" s="1325"/>
      <c r="Z129" s="1325"/>
    </row>
    <row r="130" spans="1:26" ht="18.75" customHeight="1">
      <c r="A130" s="1325"/>
      <c r="B130" s="1379"/>
      <c r="C130" s="1325"/>
      <c r="D130" s="1379"/>
      <c r="E130" s="1325"/>
      <c r="F130" s="1325"/>
      <c r="G130" s="1325"/>
      <c r="H130" s="1325"/>
      <c r="I130" s="1325"/>
      <c r="J130" s="1325"/>
      <c r="K130" s="1325"/>
      <c r="L130" s="1325"/>
      <c r="M130" s="1325"/>
      <c r="N130" s="1325"/>
      <c r="O130" s="1325"/>
      <c r="P130" s="1325"/>
      <c r="Q130" s="1325"/>
      <c r="R130" s="1325"/>
      <c r="S130" s="1325"/>
      <c r="T130" s="1325"/>
      <c r="U130" s="1325"/>
      <c r="V130" s="1325"/>
      <c r="W130" s="1325"/>
      <c r="X130" s="1325"/>
      <c r="Y130" s="1325"/>
      <c r="Z130" s="1325"/>
    </row>
    <row r="131" spans="1:26" ht="18.75" customHeight="1">
      <c r="A131" s="1325"/>
      <c r="B131" s="1379"/>
      <c r="C131" s="1325"/>
      <c r="D131" s="1379"/>
      <c r="E131" s="1325"/>
      <c r="F131" s="1325"/>
      <c r="G131" s="1325"/>
      <c r="H131" s="1325"/>
      <c r="I131" s="1325"/>
      <c r="J131" s="1325"/>
      <c r="K131" s="1325"/>
      <c r="L131" s="1325"/>
      <c r="M131" s="1325"/>
      <c r="N131" s="1325"/>
      <c r="O131" s="1325"/>
      <c r="P131" s="1325"/>
      <c r="Q131" s="1325"/>
      <c r="R131" s="1325"/>
      <c r="S131" s="1325"/>
      <c r="T131" s="1325"/>
      <c r="U131" s="1325"/>
      <c r="V131" s="1325"/>
      <c r="W131" s="1325"/>
      <c r="X131" s="1325"/>
      <c r="Y131" s="1325"/>
      <c r="Z131" s="1325"/>
    </row>
    <row r="132" spans="1:26" ht="18.75" customHeight="1">
      <c r="A132" s="1325"/>
      <c r="B132" s="1379"/>
      <c r="C132" s="1325"/>
      <c r="D132" s="1379"/>
      <c r="E132" s="1325"/>
      <c r="F132" s="1325"/>
      <c r="G132" s="1325"/>
      <c r="H132" s="1325"/>
      <c r="I132" s="1325"/>
      <c r="J132" s="1325"/>
      <c r="K132" s="1325"/>
      <c r="L132" s="1325"/>
      <c r="M132" s="1325"/>
      <c r="N132" s="1325"/>
      <c r="O132" s="1325"/>
      <c r="P132" s="1325"/>
      <c r="Q132" s="1325"/>
      <c r="R132" s="1325"/>
      <c r="S132" s="1325"/>
      <c r="T132" s="1325"/>
      <c r="U132" s="1325"/>
      <c r="V132" s="1325"/>
      <c r="W132" s="1325"/>
      <c r="X132" s="1325"/>
      <c r="Y132" s="1325"/>
      <c r="Z132" s="1325"/>
    </row>
    <row r="133" spans="1:26" ht="18.75" customHeight="1">
      <c r="A133" s="1325"/>
      <c r="B133" s="1379"/>
      <c r="C133" s="1325"/>
      <c r="D133" s="1379"/>
      <c r="E133" s="1325"/>
      <c r="F133" s="1325"/>
      <c r="G133" s="1325"/>
      <c r="H133" s="1325"/>
      <c r="I133" s="1325"/>
      <c r="J133" s="1325"/>
      <c r="K133" s="1325"/>
      <c r="L133" s="1325"/>
      <c r="M133" s="1325"/>
      <c r="N133" s="1325"/>
      <c r="O133" s="1325"/>
      <c r="P133" s="1325"/>
      <c r="Q133" s="1325"/>
      <c r="R133" s="1325"/>
      <c r="S133" s="1325"/>
      <c r="T133" s="1325"/>
      <c r="U133" s="1325"/>
      <c r="V133" s="1325"/>
      <c r="W133" s="1325"/>
      <c r="X133" s="1325"/>
      <c r="Y133" s="1325"/>
      <c r="Z133" s="1325"/>
    </row>
    <row r="134" spans="1:26" ht="18.75" customHeight="1">
      <c r="A134" s="1325"/>
      <c r="B134" s="1379"/>
      <c r="C134" s="1325"/>
      <c r="D134" s="1379"/>
      <c r="E134" s="1325"/>
      <c r="F134" s="1325"/>
      <c r="G134" s="1325"/>
      <c r="H134" s="1325"/>
      <c r="I134" s="1325"/>
      <c r="J134" s="1325"/>
      <c r="K134" s="1325"/>
      <c r="L134" s="1325"/>
      <c r="M134" s="1325"/>
      <c r="N134" s="1325"/>
      <c r="O134" s="1325"/>
      <c r="P134" s="1325"/>
      <c r="Q134" s="1325"/>
      <c r="R134" s="1325"/>
      <c r="S134" s="1325"/>
      <c r="T134" s="1325"/>
      <c r="U134" s="1325"/>
      <c r="V134" s="1325"/>
      <c r="W134" s="1325"/>
      <c r="X134" s="1325"/>
      <c r="Y134" s="1325"/>
      <c r="Z134" s="1325"/>
    </row>
    <row r="135" spans="1:26" ht="18.75" customHeight="1">
      <c r="A135" s="1325"/>
      <c r="B135" s="1379"/>
      <c r="C135" s="1325"/>
      <c r="D135" s="1379"/>
      <c r="E135" s="1325"/>
      <c r="F135" s="1325"/>
      <c r="G135" s="1325"/>
      <c r="H135" s="1325"/>
      <c r="I135" s="1325"/>
      <c r="J135" s="1325"/>
      <c r="K135" s="1325"/>
      <c r="L135" s="1325"/>
      <c r="M135" s="1325"/>
      <c r="N135" s="1325"/>
      <c r="O135" s="1325"/>
      <c r="P135" s="1325"/>
      <c r="Q135" s="1325"/>
      <c r="R135" s="1325"/>
      <c r="S135" s="1325"/>
      <c r="T135" s="1325"/>
      <c r="U135" s="1325"/>
      <c r="V135" s="1325"/>
      <c r="W135" s="1325"/>
      <c r="X135" s="1325"/>
      <c r="Y135" s="1325"/>
      <c r="Z135" s="1325"/>
    </row>
    <row r="136" spans="1:26" ht="18.75" customHeight="1">
      <c r="A136" s="1325"/>
      <c r="B136" s="1379"/>
      <c r="C136" s="1325"/>
      <c r="D136" s="1379"/>
      <c r="E136" s="1325"/>
      <c r="F136" s="1325"/>
      <c r="G136" s="1325"/>
      <c r="H136" s="1325"/>
      <c r="I136" s="1325"/>
      <c r="J136" s="1325"/>
      <c r="K136" s="1325"/>
      <c r="L136" s="1325"/>
      <c r="M136" s="1325"/>
      <c r="N136" s="1325"/>
      <c r="O136" s="1325"/>
      <c r="P136" s="1325"/>
      <c r="Q136" s="1325"/>
      <c r="R136" s="1325"/>
      <c r="S136" s="1325"/>
      <c r="T136" s="1325"/>
      <c r="U136" s="1325"/>
      <c r="V136" s="1325"/>
      <c r="W136" s="1325"/>
      <c r="X136" s="1325"/>
      <c r="Y136" s="1325"/>
      <c r="Z136" s="1325"/>
    </row>
    <row r="137" spans="1:26" ht="18.75" customHeight="1">
      <c r="A137" s="1325"/>
      <c r="B137" s="1379"/>
      <c r="C137" s="1325"/>
      <c r="D137" s="1379"/>
      <c r="E137" s="1325"/>
      <c r="F137" s="1325"/>
      <c r="G137" s="1325"/>
      <c r="H137" s="1325"/>
      <c r="I137" s="1325"/>
      <c r="J137" s="1325"/>
      <c r="K137" s="1325"/>
      <c r="L137" s="1325"/>
      <c r="M137" s="1325"/>
      <c r="N137" s="1325"/>
      <c r="O137" s="1325"/>
      <c r="P137" s="1325"/>
      <c r="Q137" s="1325"/>
      <c r="R137" s="1325"/>
      <c r="S137" s="1325"/>
      <c r="T137" s="1325"/>
      <c r="U137" s="1325"/>
      <c r="V137" s="1325"/>
      <c r="W137" s="1325"/>
      <c r="X137" s="1325"/>
      <c r="Y137" s="1325"/>
      <c r="Z137" s="1325"/>
    </row>
    <row r="138" spans="1:26" ht="18.75" customHeight="1">
      <c r="A138" s="1325"/>
      <c r="B138" s="1379"/>
      <c r="C138" s="1325"/>
      <c r="D138" s="1379"/>
      <c r="E138" s="1325"/>
      <c r="F138" s="1325"/>
      <c r="G138" s="1325"/>
      <c r="H138" s="1325"/>
      <c r="I138" s="1325"/>
      <c r="J138" s="1325"/>
      <c r="K138" s="1325"/>
      <c r="L138" s="1325"/>
      <c r="M138" s="1325"/>
      <c r="N138" s="1325"/>
      <c r="O138" s="1325"/>
      <c r="P138" s="1325"/>
      <c r="Q138" s="1325"/>
      <c r="R138" s="1325"/>
      <c r="S138" s="1325"/>
      <c r="T138" s="1325"/>
      <c r="U138" s="1325"/>
      <c r="V138" s="1325"/>
      <c r="W138" s="1325"/>
      <c r="X138" s="1325"/>
      <c r="Y138" s="1325"/>
      <c r="Z138" s="1325"/>
    </row>
    <row r="139" spans="1:26" ht="18.75" customHeight="1">
      <c r="A139" s="1325"/>
      <c r="B139" s="1379"/>
      <c r="C139" s="1325"/>
      <c r="D139" s="1379"/>
      <c r="E139" s="1325"/>
      <c r="F139" s="1325"/>
      <c r="G139" s="1325"/>
      <c r="H139" s="1325"/>
      <c r="I139" s="1325"/>
      <c r="J139" s="1325"/>
      <c r="K139" s="1325"/>
      <c r="L139" s="1325"/>
      <c r="M139" s="1325"/>
      <c r="N139" s="1325"/>
      <c r="O139" s="1325"/>
      <c r="P139" s="1325"/>
      <c r="Q139" s="1325"/>
      <c r="R139" s="1325"/>
      <c r="S139" s="1325"/>
      <c r="T139" s="1325"/>
      <c r="U139" s="1325"/>
      <c r="V139" s="1325"/>
      <c r="W139" s="1325"/>
      <c r="X139" s="1325"/>
      <c r="Y139" s="1325"/>
      <c r="Z139" s="1325"/>
    </row>
    <row r="140" spans="1:26" ht="18.75" customHeight="1">
      <c r="A140" s="1325"/>
      <c r="B140" s="1379"/>
      <c r="C140" s="1325"/>
      <c r="D140" s="1379"/>
      <c r="E140" s="1325"/>
      <c r="F140" s="1325"/>
      <c r="G140" s="1325"/>
      <c r="H140" s="1325"/>
      <c r="I140" s="1325"/>
      <c r="J140" s="1325"/>
      <c r="K140" s="1325"/>
      <c r="L140" s="1325"/>
      <c r="M140" s="1325"/>
      <c r="N140" s="1325"/>
      <c r="O140" s="1325"/>
      <c r="P140" s="1325"/>
      <c r="Q140" s="1325"/>
      <c r="R140" s="1325"/>
      <c r="S140" s="1325"/>
      <c r="T140" s="1325"/>
      <c r="U140" s="1325"/>
      <c r="V140" s="1325"/>
      <c r="W140" s="1325"/>
      <c r="X140" s="1325"/>
      <c r="Y140" s="1325"/>
      <c r="Z140" s="1325"/>
    </row>
    <row r="141" spans="1:26" ht="18.75" customHeight="1">
      <c r="A141" s="1325"/>
      <c r="B141" s="1379"/>
      <c r="C141" s="1325"/>
      <c r="D141" s="1379"/>
      <c r="E141" s="1325"/>
      <c r="F141" s="1325"/>
      <c r="G141" s="1325"/>
      <c r="H141" s="1325"/>
      <c r="I141" s="1325"/>
      <c r="J141" s="1325"/>
      <c r="K141" s="1325"/>
      <c r="L141" s="1325"/>
      <c r="M141" s="1325"/>
      <c r="N141" s="1325"/>
      <c r="O141" s="1325"/>
      <c r="P141" s="1325"/>
      <c r="Q141" s="1325"/>
      <c r="R141" s="1325"/>
      <c r="S141" s="1325"/>
      <c r="T141" s="1325"/>
      <c r="U141" s="1325"/>
      <c r="V141" s="1325"/>
      <c r="W141" s="1325"/>
      <c r="X141" s="1325"/>
      <c r="Y141" s="1325"/>
      <c r="Z141" s="1325"/>
    </row>
    <row r="142" spans="1:26" ht="18.75" customHeight="1">
      <c r="A142" s="1325"/>
      <c r="B142" s="1379"/>
      <c r="C142" s="1325"/>
      <c r="D142" s="1379"/>
      <c r="E142" s="1325"/>
      <c r="F142" s="1325"/>
      <c r="G142" s="1325"/>
      <c r="H142" s="1325"/>
      <c r="I142" s="1325"/>
      <c r="J142" s="1325"/>
      <c r="K142" s="1325"/>
      <c r="L142" s="1325"/>
      <c r="M142" s="1325"/>
      <c r="N142" s="1325"/>
      <c r="O142" s="1325"/>
      <c r="P142" s="1325"/>
      <c r="Q142" s="1325"/>
      <c r="R142" s="1325"/>
      <c r="S142" s="1325"/>
      <c r="T142" s="1325"/>
      <c r="U142" s="1325"/>
      <c r="V142" s="1325"/>
      <c r="W142" s="1325"/>
      <c r="X142" s="1325"/>
      <c r="Y142" s="1325"/>
      <c r="Z142" s="1325"/>
    </row>
    <row r="143" spans="1:26" ht="18.75" customHeight="1">
      <c r="A143" s="1325"/>
      <c r="B143" s="1379"/>
      <c r="C143" s="1325"/>
      <c r="D143" s="1379"/>
      <c r="E143" s="1325"/>
      <c r="F143" s="1325"/>
      <c r="G143" s="1325"/>
      <c r="H143" s="1325"/>
      <c r="I143" s="1325"/>
      <c r="J143" s="1325"/>
      <c r="K143" s="1325"/>
      <c r="L143" s="1325"/>
      <c r="M143" s="1325"/>
      <c r="N143" s="1325"/>
      <c r="O143" s="1325"/>
      <c r="P143" s="1325"/>
      <c r="Q143" s="1325"/>
      <c r="R143" s="1325"/>
      <c r="S143" s="1325"/>
      <c r="T143" s="1325"/>
      <c r="U143" s="1325"/>
      <c r="V143" s="1325"/>
      <c r="W143" s="1325"/>
      <c r="X143" s="1325"/>
      <c r="Y143" s="1325"/>
      <c r="Z143" s="1325"/>
    </row>
    <row r="144" spans="1:26" ht="18.75" customHeight="1">
      <c r="A144" s="1325"/>
      <c r="B144" s="1379"/>
      <c r="C144" s="1325"/>
      <c r="D144" s="1379"/>
      <c r="E144" s="1325"/>
      <c r="F144" s="1325"/>
      <c r="G144" s="1325"/>
      <c r="H144" s="1325"/>
      <c r="I144" s="1325"/>
      <c r="J144" s="1325"/>
      <c r="K144" s="1325"/>
      <c r="L144" s="1325"/>
      <c r="M144" s="1325"/>
      <c r="N144" s="1325"/>
      <c r="O144" s="1325"/>
      <c r="P144" s="1325"/>
      <c r="Q144" s="1325"/>
      <c r="R144" s="1325"/>
      <c r="S144" s="1325"/>
      <c r="T144" s="1325"/>
      <c r="U144" s="1325"/>
      <c r="V144" s="1325"/>
      <c r="W144" s="1325"/>
      <c r="X144" s="1325"/>
      <c r="Y144" s="1325"/>
      <c r="Z144" s="1325"/>
    </row>
    <row r="145" spans="1:26" ht="18.75" customHeight="1">
      <c r="A145" s="1325"/>
      <c r="B145" s="1379"/>
      <c r="C145" s="1325"/>
      <c r="D145" s="1379"/>
      <c r="E145" s="1325"/>
      <c r="F145" s="1325"/>
      <c r="G145" s="1325"/>
      <c r="H145" s="1325"/>
      <c r="I145" s="1325"/>
      <c r="J145" s="1325"/>
      <c r="K145" s="1325"/>
      <c r="L145" s="1325"/>
      <c r="M145" s="1325"/>
      <c r="N145" s="1325"/>
      <c r="O145" s="1325"/>
      <c r="P145" s="1325"/>
      <c r="Q145" s="1325"/>
      <c r="R145" s="1325"/>
      <c r="S145" s="1325"/>
      <c r="T145" s="1325"/>
      <c r="U145" s="1325"/>
      <c r="V145" s="1325"/>
      <c r="W145" s="1325"/>
      <c r="X145" s="1325"/>
      <c r="Y145" s="1325"/>
      <c r="Z145" s="1325"/>
    </row>
    <row r="146" spans="1:26" ht="18.75" customHeight="1">
      <c r="A146" s="1325"/>
      <c r="B146" s="1379"/>
      <c r="C146" s="1325"/>
      <c r="D146" s="1379"/>
      <c r="E146" s="1325"/>
      <c r="F146" s="1325"/>
      <c r="G146" s="1325"/>
      <c r="H146" s="1325"/>
      <c r="I146" s="1325"/>
      <c r="J146" s="1325"/>
      <c r="K146" s="1325"/>
      <c r="L146" s="1325"/>
      <c r="M146" s="1325"/>
      <c r="N146" s="1325"/>
      <c r="O146" s="1325"/>
      <c r="P146" s="1325"/>
      <c r="Q146" s="1325"/>
      <c r="R146" s="1325"/>
      <c r="S146" s="1325"/>
      <c r="T146" s="1325"/>
      <c r="U146" s="1325"/>
      <c r="V146" s="1325"/>
      <c r="W146" s="1325"/>
      <c r="X146" s="1325"/>
      <c r="Y146" s="1325"/>
      <c r="Z146" s="1325"/>
    </row>
    <row r="147" spans="1:26" ht="18.75" customHeight="1">
      <c r="A147" s="1325"/>
      <c r="B147" s="1379"/>
      <c r="C147" s="1325"/>
      <c r="D147" s="1379"/>
      <c r="E147" s="1325"/>
      <c r="F147" s="1325"/>
      <c r="G147" s="1325"/>
      <c r="H147" s="1325"/>
      <c r="I147" s="1325"/>
      <c r="J147" s="1325"/>
      <c r="K147" s="1325"/>
      <c r="L147" s="1325"/>
      <c r="M147" s="1325"/>
      <c r="N147" s="1325"/>
      <c r="O147" s="1325"/>
      <c r="P147" s="1325"/>
      <c r="Q147" s="1325"/>
      <c r="R147" s="1325"/>
      <c r="S147" s="1325"/>
      <c r="T147" s="1325"/>
      <c r="U147" s="1325"/>
      <c r="V147" s="1325"/>
      <c r="W147" s="1325"/>
      <c r="X147" s="1325"/>
      <c r="Y147" s="1325"/>
      <c r="Z147" s="1325"/>
    </row>
    <row r="148" spans="1:26" ht="18.75" customHeight="1">
      <c r="A148" s="1325"/>
      <c r="B148" s="1379"/>
      <c r="C148" s="1325"/>
      <c r="D148" s="1379"/>
      <c r="E148" s="1325"/>
      <c r="F148" s="1325"/>
      <c r="G148" s="1325"/>
      <c r="H148" s="1325"/>
      <c r="I148" s="1325"/>
      <c r="J148" s="1325"/>
      <c r="K148" s="1325"/>
      <c r="L148" s="1325"/>
      <c r="M148" s="1325"/>
      <c r="N148" s="1325"/>
      <c r="O148" s="1325"/>
      <c r="P148" s="1325"/>
      <c r="Q148" s="1325"/>
      <c r="R148" s="1325"/>
      <c r="S148" s="1325"/>
      <c r="T148" s="1325"/>
      <c r="U148" s="1325"/>
      <c r="V148" s="1325"/>
      <c r="W148" s="1325"/>
      <c r="X148" s="1325"/>
      <c r="Y148" s="1325"/>
      <c r="Z148" s="1325"/>
    </row>
    <row r="149" spans="1:26" ht="18.75" customHeight="1">
      <c r="A149" s="1325"/>
      <c r="B149" s="1379"/>
      <c r="C149" s="1325"/>
      <c r="D149" s="1379"/>
      <c r="E149" s="1325"/>
      <c r="F149" s="1325"/>
      <c r="G149" s="1325"/>
      <c r="H149" s="1325"/>
      <c r="I149" s="1325"/>
      <c r="J149" s="1325"/>
      <c r="K149" s="1325"/>
      <c r="L149" s="1325"/>
      <c r="M149" s="1325"/>
      <c r="N149" s="1325"/>
      <c r="O149" s="1325"/>
      <c r="P149" s="1325"/>
      <c r="Q149" s="1325"/>
      <c r="R149" s="1325"/>
      <c r="S149" s="1325"/>
      <c r="T149" s="1325"/>
      <c r="U149" s="1325"/>
      <c r="V149" s="1325"/>
      <c r="W149" s="1325"/>
      <c r="X149" s="1325"/>
      <c r="Y149" s="1325"/>
      <c r="Z149" s="1325"/>
    </row>
    <row r="150" spans="1:26" ht="18.75" customHeight="1">
      <c r="A150" s="1325"/>
      <c r="B150" s="1379"/>
      <c r="C150" s="1325"/>
      <c r="D150" s="1379"/>
      <c r="E150" s="1325"/>
      <c r="F150" s="1325"/>
      <c r="G150" s="1325"/>
      <c r="H150" s="1325"/>
      <c r="I150" s="1325"/>
      <c r="J150" s="1325"/>
      <c r="K150" s="1325"/>
      <c r="L150" s="1325"/>
      <c r="M150" s="1325"/>
      <c r="N150" s="1325"/>
      <c r="O150" s="1325"/>
      <c r="P150" s="1325"/>
      <c r="Q150" s="1325"/>
      <c r="R150" s="1325"/>
      <c r="S150" s="1325"/>
      <c r="T150" s="1325"/>
      <c r="U150" s="1325"/>
      <c r="V150" s="1325"/>
      <c r="W150" s="1325"/>
      <c r="X150" s="1325"/>
      <c r="Y150" s="1325"/>
      <c r="Z150" s="1325"/>
    </row>
    <row r="151" spans="1:26" ht="18.75" customHeight="1">
      <c r="A151" s="1325"/>
      <c r="B151" s="1379"/>
      <c r="C151" s="1325"/>
      <c r="D151" s="1379"/>
      <c r="E151" s="1325"/>
      <c r="F151" s="1325"/>
      <c r="G151" s="1325"/>
      <c r="H151" s="1325"/>
      <c r="I151" s="1325"/>
      <c r="J151" s="1325"/>
      <c r="K151" s="1325"/>
      <c r="L151" s="1325"/>
      <c r="M151" s="1325"/>
      <c r="N151" s="1325"/>
      <c r="O151" s="1325"/>
      <c r="P151" s="1325"/>
      <c r="Q151" s="1325"/>
      <c r="R151" s="1325"/>
      <c r="S151" s="1325"/>
      <c r="T151" s="1325"/>
      <c r="U151" s="1325"/>
      <c r="V151" s="1325"/>
      <c r="W151" s="1325"/>
      <c r="X151" s="1325"/>
      <c r="Y151" s="1325"/>
      <c r="Z151" s="1325"/>
    </row>
    <row r="152" spans="1:26" ht="18.75" customHeight="1">
      <c r="A152" s="1325"/>
      <c r="B152" s="1379"/>
      <c r="C152" s="1325"/>
      <c r="D152" s="1379"/>
      <c r="E152" s="1325"/>
      <c r="F152" s="1325"/>
      <c r="G152" s="1325"/>
      <c r="H152" s="1325"/>
      <c r="I152" s="1325"/>
      <c r="J152" s="1325"/>
      <c r="K152" s="1325"/>
      <c r="L152" s="1325"/>
      <c r="M152" s="1325"/>
      <c r="N152" s="1325"/>
      <c r="O152" s="1325"/>
      <c r="P152" s="1325"/>
      <c r="Q152" s="1325"/>
      <c r="R152" s="1325"/>
      <c r="S152" s="1325"/>
      <c r="T152" s="1325"/>
      <c r="U152" s="1325"/>
      <c r="V152" s="1325"/>
      <c r="W152" s="1325"/>
      <c r="X152" s="1325"/>
      <c r="Y152" s="1325"/>
      <c r="Z152" s="1325"/>
    </row>
    <row r="153" spans="1:26" ht="18.75" customHeight="1">
      <c r="A153" s="1325"/>
      <c r="B153" s="1379"/>
      <c r="C153" s="1325"/>
      <c r="D153" s="1379"/>
      <c r="E153" s="1325"/>
      <c r="F153" s="1325"/>
      <c r="G153" s="1325"/>
      <c r="H153" s="1325"/>
      <c r="I153" s="1325"/>
      <c r="J153" s="1325"/>
      <c r="K153" s="1325"/>
      <c r="L153" s="1325"/>
      <c r="M153" s="1325"/>
      <c r="N153" s="1325"/>
      <c r="O153" s="1325"/>
      <c r="P153" s="1325"/>
      <c r="Q153" s="1325"/>
      <c r="R153" s="1325"/>
      <c r="S153" s="1325"/>
      <c r="T153" s="1325"/>
      <c r="U153" s="1325"/>
      <c r="V153" s="1325"/>
      <c r="W153" s="1325"/>
      <c r="X153" s="1325"/>
      <c r="Y153" s="1325"/>
      <c r="Z153" s="1325"/>
    </row>
    <row r="154" spans="1:26" ht="18.75" customHeight="1">
      <c r="A154" s="1325"/>
      <c r="B154" s="1379"/>
      <c r="C154" s="1325"/>
      <c r="D154" s="1379"/>
      <c r="E154" s="1325"/>
      <c r="F154" s="1325"/>
      <c r="G154" s="1325"/>
      <c r="H154" s="1325"/>
      <c r="I154" s="1325"/>
      <c r="J154" s="1325"/>
      <c r="K154" s="1325"/>
      <c r="L154" s="1325"/>
      <c r="M154" s="1325"/>
      <c r="N154" s="1325"/>
      <c r="O154" s="1325"/>
      <c r="P154" s="1325"/>
      <c r="Q154" s="1325"/>
      <c r="R154" s="1325"/>
      <c r="S154" s="1325"/>
      <c r="T154" s="1325"/>
      <c r="U154" s="1325"/>
      <c r="V154" s="1325"/>
      <c r="W154" s="1325"/>
      <c r="X154" s="1325"/>
      <c r="Y154" s="1325"/>
      <c r="Z154" s="1325"/>
    </row>
    <row r="155" spans="1:26" ht="18.75" customHeight="1">
      <c r="A155" s="1325"/>
      <c r="B155" s="1379"/>
      <c r="C155" s="1325"/>
      <c r="D155" s="1379"/>
      <c r="E155" s="1325"/>
      <c r="F155" s="1325"/>
      <c r="G155" s="1325"/>
      <c r="H155" s="1325"/>
      <c r="I155" s="1325"/>
      <c r="J155" s="1325"/>
      <c r="K155" s="1325"/>
      <c r="L155" s="1325"/>
      <c r="M155" s="1325"/>
      <c r="N155" s="1325"/>
      <c r="O155" s="1325"/>
      <c r="P155" s="1325"/>
      <c r="Q155" s="1325"/>
      <c r="R155" s="1325"/>
      <c r="S155" s="1325"/>
      <c r="T155" s="1325"/>
      <c r="U155" s="1325"/>
      <c r="V155" s="1325"/>
      <c r="W155" s="1325"/>
      <c r="X155" s="1325"/>
      <c r="Y155" s="1325"/>
      <c r="Z155" s="1325"/>
    </row>
    <row r="156" spans="1:26" ht="18.75" customHeight="1">
      <c r="A156" s="1325"/>
      <c r="B156" s="1379"/>
      <c r="C156" s="1325"/>
      <c r="D156" s="1379"/>
      <c r="E156" s="1325"/>
      <c r="F156" s="1325"/>
      <c r="G156" s="1325"/>
      <c r="H156" s="1325"/>
      <c r="I156" s="1325"/>
      <c r="J156" s="1325"/>
      <c r="K156" s="1325"/>
      <c r="L156" s="1325"/>
      <c r="M156" s="1325"/>
      <c r="N156" s="1325"/>
      <c r="O156" s="1325"/>
      <c r="P156" s="1325"/>
      <c r="Q156" s="1325"/>
      <c r="R156" s="1325"/>
      <c r="S156" s="1325"/>
      <c r="T156" s="1325"/>
      <c r="U156" s="1325"/>
      <c r="V156" s="1325"/>
      <c r="W156" s="1325"/>
      <c r="X156" s="1325"/>
      <c r="Y156" s="1325"/>
      <c r="Z156" s="1325"/>
    </row>
    <row r="157" spans="1:26" ht="18.75" customHeight="1">
      <c r="A157" s="1325"/>
      <c r="B157" s="1379"/>
      <c r="C157" s="1325"/>
      <c r="D157" s="1379"/>
      <c r="E157" s="1325"/>
      <c r="F157" s="1325"/>
      <c r="G157" s="1325"/>
      <c r="H157" s="1325"/>
      <c r="I157" s="1325"/>
      <c r="J157" s="1325"/>
      <c r="K157" s="1325"/>
      <c r="L157" s="1325"/>
      <c r="M157" s="1325"/>
      <c r="N157" s="1325"/>
      <c r="O157" s="1325"/>
      <c r="P157" s="1325"/>
      <c r="Q157" s="1325"/>
      <c r="R157" s="1325"/>
      <c r="S157" s="1325"/>
      <c r="T157" s="1325"/>
      <c r="U157" s="1325"/>
      <c r="V157" s="1325"/>
      <c r="W157" s="1325"/>
      <c r="X157" s="1325"/>
      <c r="Y157" s="1325"/>
      <c r="Z157" s="1325"/>
    </row>
    <row r="158" spans="1:26" ht="18.75" customHeight="1">
      <c r="A158" s="1325"/>
      <c r="B158" s="1379"/>
      <c r="C158" s="1325"/>
      <c r="D158" s="1379"/>
      <c r="E158" s="1325"/>
      <c r="F158" s="1325"/>
      <c r="G158" s="1325"/>
      <c r="H158" s="1325"/>
      <c r="I158" s="1325"/>
      <c r="J158" s="1325"/>
      <c r="K158" s="1325"/>
      <c r="L158" s="1325"/>
      <c r="M158" s="1325"/>
      <c r="N158" s="1325"/>
      <c r="O158" s="1325"/>
      <c r="P158" s="1325"/>
      <c r="Q158" s="1325"/>
      <c r="R158" s="1325"/>
      <c r="S158" s="1325"/>
      <c r="T158" s="1325"/>
      <c r="U158" s="1325"/>
      <c r="V158" s="1325"/>
      <c r="W158" s="1325"/>
      <c r="X158" s="1325"/>
      <c r="Y158" s="1325"/>
      <c r="Z158" s="1325"/>
    </row>
    <row r="159" spans="1:26" ht="18.75" customHeight="1">
      <c r="A159" s="1325"/>
      <c r="B159" s="1379"/>
      <c r="C159" s="1325"/>
      <c r="D159" s="1379"/>
      <c r="E159" s="1325"/>
      <c r="F159" s="1325"/>
      <c r="G159" s="1325"/>
      <c r="H159" s="1325"/>
      <c r="I159" s="1325"/>
      <c r="J159" s="1325"/>
      <c r="K159" s="1325"/>
      <c r="L159" s="1325"/>
      <c r="M159" s="1325"/>
      <c r="N159" s="1325"/>
      <c r="O159" s="1325"/>
      <c r="P159" s="1325"/>
      <c r="Q159" s="1325"/>
      <c r="R159" s="1325"/>
      <c r="S159" s="1325"/>
      <c r="T159" s="1325"/>
      <c r="U159" s="1325"/>
      <c r="V159" s="1325"/>
      <c r="W159" s="1325"/>
      <c r="X159" s="1325"/>
      <c r="Y159" s="1325"/>
      <c r="Z159" s="1325"/>
    </row>
    <row r="160" spans="1:26" ht="18.75" customHeight="1">
      <c r="A160" s="1325"/>
      <c r="B160" s="1379"/>
      <c r="C160" s="1325"/>
      <c r="D160" s="1379"/>
      <c r="E160" s="1325"/>
      <c r="F160" s="1325"/>
      <c r="G160" s="1325"/>
      <c r="H160" s="1325"/>
      <c r="I160" s="1325"/>
      <c r="J160" s="1325"/>
      <c r="K160" s="1325"/>
      <c r="L160" s="1325"/>
      <c r="M160" s="1325"/>
      <c r="N160" s="1325"/>
      <c r="O160" s="1325"/>
      <c r="P160" s="1325"/>
      <c r="Q160" s="1325"/>
      <c r="R160" s="1325"/>
      <c r="S160" s="1325"/>
      <c r="T160" s="1325"/>
      <c r="U160" s="1325"/>
      <c r="V160" s="1325"/>
      <c r="W160" s="1325"/>
      <c r="X160" s="1325"/>
      <c r="Y160" s="1325"/>
      <c r="Z160" s="1325"/>
    </row>
    <row r="161" spans="1:26" ht="18.75" customHeight="1">
      <c r="A161" s="1325"/>
      <c r="B161" s="1379"/>
      <c r="C161" s="1325"/>
      <c r="D161" s="1379"/>
      <c r="E161" s="1325"/>
      <c r="F161" s="1325"/>
      <c r="G161" s="1325"/>
      <c r="H161" s="1325"/>
      <c r="I161" s="1325"/>
      <c r="J161" s="1325"/>
      <c r="K161" s="1325"/>
      <c r="L161" s="1325"/>
      <c r="M161" s="1325"/>
      <c r="N161" s="1325"/>
      <c r="O161" s="1325"/>
      <c r="P161" s="1325"/>
      <c r="Q161" s="1325"/>
      <c r="R161" s="1325"/>
      <c r="S161" s="1325"/>
      <c r="T161" s="1325"/>
      <c r="U161" s="1325"/>
      <c r="V161" s="1325"/>
      <c r="W161" s="1325"/>
      <c r="X161" s="1325"/>
      <c r="Y161" s="1325"/>
      <c r="Z161" s="1325"/>
    </row>
    <row r="162" spans="1:26" ht="18.75" customHeight="1">
      <c r="A162" s="1325"/>
      <c r="B162" s="1379"/>
      <c r="C162" s="1325"/>
      <c r="D162" s="1379"/>
      <c r="E162" s="1325"/>
      <c r="F162" s="1325"/>
      <c r="G162" s="1325"/>
      <c r="H162" s="1325"/>
      <c r="I162" s="1325"/>
      <c r="J162" s="1325"/>
      <c r="K162" s="1325"/>
      <c r="L162" s="1325"/>
      <c r="M162" s="1325"/>
      <c r="N162" s="1325"/>
      <c r="O162" s="1325"/>
      <c r="P162" s="1325"/>
      <c r="Q162" s="1325"/>
      <c r="R162" s="1325"/>
      <c r="S162" s="1325"/>
      <c r="T162" s="1325"/>
      <c r="U162" s="1325"/>
      <c r="V162" s="1325"/>
      <c r="W162" s="1325"/>
      <c r="X162" s="1325"/>
      <c r="Y162" s="1325"/>
      <c r="Z162" s="1325"/>
    </row>
    <row r="163" spans="1:26" ht="18.75" customHeight="1">
      <c r="A163" s="1325"/>
      <c r="B163" s="1379"/>
      <c r="C163" s="1325"/>
      <c r="D163" s="1379"/>
      <c r="E163" s="1325"/>
      <c r="F163" s="1325"/>
      <c r="G163" s="1325"/>
      <c r="H163" s="1325"/>
      <c r="I163" s="1325"/>
      <c r="J163" s="1325"/>
      <c r="K163" s="1325"/>
      <c r="L163" s="1325"/>
      <c r="M163" s="1325"/>
      <c r="N163" s="1325"/>
      <c r="O163" s="1325"/>
      <c r="P163" s="1325"/>
      <c r="Q163" s="1325"/>
      <c r="R163" s="1325"/>
      <c r="S163" s="1325"/>
      <c r="T163" s="1325"/>
      <c r="U163" s="1325"/>
      <c r="V163" s="1325"/>
      <c r="W163" s="1325"/>
      <c r="X163" s="1325"/>
      <c r="Y163" s="1325"/>
      <c r="Z163" s="1325"/>
    </row>
    <row r="164" spans="1:26" ht="18.75" customHeight="1">
      <c r="A164" s="1325"/>
      <c r="B164" s="1379"/>
      <c r="C164" s="1325"/>
      <c r="D164" s="1379"/>
      <c r="E164" s="1325"/>
      <c r="F164" s="1325"/>
      <c r="G164" s="1325"/>
      <c r="H164" s="1325"/>
      <c r="I164" s="1325"/>
      <c r="J164" s="1325"/>
      <c r="K164" s="1325"/>
      <c r="L164" s="1325"/>
      <c r="M164" s="1325"/>
      <c r="N164" s="1325"/>
      <c r="O164" s="1325"/>
      <c r="P164" s="1325"/>
      <c r="Q164" s="1325"/>
      <c r="R164" s="1325"/>
      <c r="S164" s="1325"/>
      <c r="T164" s="1325"/>
      <c r="U164" s="1325"/>
      <c r="V164" s="1325"/>
      <c r="W164" s="1325"/>
      <c r="X164" s="1325"/>
      <c r="Y164" s="1325"/>
      <c r="Z164" s="1325"/>
    </row>
    <row r="165" spans="1:26" ht="18.75" customHeight="1">
      <c r="A165" s="1325"/>
      <c r="B165" s="1379"/>
      <c r="C165" s="1325"/>
      <c r="D165" s="1379"/>
      <c r="E165" s="1325"/>
      <c r="F165" s="1325"/>
      <c r="G165" s="1325"/>
      <c r="H165" s="1325"/>
      <c r="I165" s="1325"/>
      <c r="J165" s="1325"/>
      <c r="K165" s="1325"/>
      <c r="L165" s="1325"/>
      <c r="M165" s="1325"/>
      <c r="N165" s="1325"/>
      <c r="O165" s="1325"/>
      <c r="P165" s="1325"/>
      <c r="Q165" s="1325"/>
      <c r="R165" s="1325"/>
      <c r="S165" s="1325"/>
      <c r="T165" s="1325"/>
      <c r="U165" s="1325"/>
      <c r="V165" s="1325"/>
      <c r="W165" s="1325"/>
      <c r="X165" s="1325"/>
      <c r="Y165" s="1325"/>
      <c r="Z165" s="1325"/>
    </row>
    <row r="166" spans="1:26" ht="18.75" customHeight="1">
      <c r="A166" s="1325"/>
      <c r="B166" s="1379"/>
      <c r="C166" s="1325"/>
      <c r="D166" s="1379"/>
      <c r="E166" s="1325"/>
      <c r="F166" s="1325"/>
      <c r="G166" s="1325"/>
      <c r="H166" s="1325"/>
      <c r="I166" s="1325"/>
      <c r="J166" s="1325"/>
      <c r="K166" s="1325"/>
      <c r="L166" s="1325"/>
      <c r="M166" s="1325"/>
      <c r="N166" s="1325"/>
      <c r="O166" s="1325"/>
      <c r="P166" s="1325"/>
      <c r="Q166" s="1325"/>
      <c r="R166" s="1325"/>
      <c r="S166" s="1325"/>
      <c r="T166" s="1325"/>
      <c r="U166" s="1325"/>
      <c r="V166" s="1325"/>
      <c r="W166" s="1325"/>
      <c r="X166" s="1325"/>
      <c r="Y166" s="1325"/>
      <c r="Z166" s="1325"/>
    </row>
    <row r="167" spans="1:26" ht="18.75" customHeight="1">
      <c r="A167" s="1325"/>
      <c r="B167" s="1379"/>
      <c r="C167" s="1325"/>
      <c r="D167" s="1379"/>
      <c r="E167" s="1325"/>
      <c r="F167" s="1325"/>
      <c r="G167" s="1325"/>
      <c r="H167" s="1325"/>
      <c r="I167" s="1325"/>
      <c r="J167" s="1325"/>
      <c r="K167" s="1325"/>
      <c r="L167" s="1325"/>
      <c r="M167" s="1325"/>
      <c r="N167" s="1325"/>
      <c r="O167" s="1325"/>
      <c r="P167" s="1325"/>
      <c r="Q167" s="1325"/>
      <c r="R167" s="1325"/>
      <c r="S167" s="1325"/>
      <c r="T167" s="1325"/>
      <c r="U167" s="1325"/>
      <c r="V167" s="1325"/>
      <c r="W167" s="1325"/>
      <c r="X167" s="1325"/>
      <c r="Y167" s="1325"/>
      <c r="Z167" s="1325"/>
    </row>
    <row r="168" spans="1:26" ht="18.75" customHeight="1">
      <c r="A168" s="1325"/>
      <c r="B168" s="1379"/>
      <c r="C168" s="1325"/>
      <c r="D168" s="1379"/>
      <c r="E168" s="1325"/>
      <c r="F168" s="1325"/>
      <c r="G168" s="1325"/>
      <c r="H168" s="1325"/>
      <c r="I168" s="1325"/>
      <c r="J168" s="1325"/>
      <c r="K168" s="1325"/>
      <c r="L168" s="1325"/>
      <c r="M168" s="1325"/>
      <c r="N168" s="1325"/>
      <c r="O168" s="1325"/>
      <c r="P168" s="1325"/>
      <c r="Q168" s="1325"/>
      <c r="R168" s="1325"/>
      <c r="S168" s="1325"/>
      <c r="T168" s="1325"/>
      <c r="U168" s="1325"/>
      <c r="V168" s="1325"/>
      <c r="W168" s="1325"/>
      <c r="X168" s="1325"/>
      <c r="Y168" s="1325"/>
      <c r="Z168" s="1325"/>
    </row>
    <row r="169" spans="1:26" ht="18.75" customHeight="1">
      <c r="A169" s="1325"/>
      <c r="B169" s="1379"/>
      <c r="C169" s="1325"/>
      <c r="D169" s="1379"/>
      <c r="E169" s="1325"/>
      <c r="F169" s="1325"/>
      <c r="G169" s="1325"/>
      <c r="H169" s="1325"/>
      <c r="I169" s="1325"/>
      <c r="J169" s="1325"/>
      <c r="K169" s="1325"/>
      <c r="L169" s="1325"/>
      <c r="M169" s="1325"/>
      <c r="N169" s="1325"/>
      <c r="O169" s="1325"/>
      <c r="P169" s="1325"/>
      <c r="Q169" s="1325"/>
      <c r="R169" s="1325"/>
      <c r="S169" s="1325"/>
      <c r="T169" s="1325"/>
      <c r="U169" s="1325"/>
      <c r="V169" s="1325"/>
      <c r="W169" s="1325"/>
      <c r="X169" s="1325"/>
      <c r="Y169" s="1325"/>
      <c r="Z169" s="1325"/>
    </row>
    <row r="170" spans="1:26" ht="18.75" customHeight="1">
      <c r="A170" s="1325"/>
      <c r="B170" s="1379"/>
      <c r="C170" s="1325"/>
      <c r="D170" s="1379"/>
      <c r="E170" s="1325"/>
      <c r="F170" s="1325"/>
      <c r="G170" s="1325"/>
      <c r="H170" s="1325"/>
      <c r="I170" s="1325"/>
      <c r="J170" s="1325"/>
      <c r="K170" s="1325"/>
      <c r="L170" s="1325"/>
      <c r="M170" s="1325"/>
      <c r="N170" s="1325"/>
      <c r="O170" s="1325"/>
      <c r="P170" s="1325"/>
      <c r="Q170" s="1325"/>
      <c r="R170" s="1325"/>
      <c r="S170" s="1325"/>
      <c r="T170" s="1325"/>
      <c r="U170" s="1325"/>
      <c r="V170" s="1325"/>
      <c r="W170" s="1325"/>
      <c r="X170" s="1325"/>
      <c r="Y170" s="1325"/>
      <c r="Z170" s="1325"/>
    </row>
    <row r="171" spans="1:26" ht="18.75" customHeight="1">
      <c r="A171" s="1325"/>
      <c r="B171" s="1379"/>
      <c r="C171" s="1325"/>
      <c r="D171" s="1379"/>
      <c r="E171" s="1325"/>
      <c r="F171" s="1325"/>
      <c r="G171" s="1325"/>
      <c r="H171" s="1325"/>
      <c r="I171" s="1325"/>
      <c r="J171" s="1325"/>
      <c r="K171" s="1325"/>
      <c r="L171" s="1325"/>
      <c r="M171" s="1325"/>
      <c r="N171" s="1325"/>
      <c r="O171" s="1325"/>
      <c r="P171" s="1325"/>
      <c r="Q171" s="1325"/>
      <c r="R171" s="1325"/>
      <c r="S171" s="1325"/>
      <c r="T171" s="1325"/>
      <c r="U171" s="1325"/>
      <c r="V171" s="1325"/>
      <c r="W171" s="1325"/>
      <c r="X171" s="1325"/>
      <c r="Y171" s="1325"/>
      <c r="Z171" s="1325"/>
    </row>
    <row r="172" spans="1:26" ht="18.75" customHeight="1">
      <c r="A172" s="1325"/>
      <c r="B172" s="1379"/>
      <c r="C172" s="1325"/>
      <c r="D172" s="1379"/>
      <c r="E172" s="1325"/>
      <c r="F172" s="1325"/>
      <c r="G172" s="1325"/>
      <c r="H172" s="1325"/>
      <c r="I172" s="1325"/>
      <c r="J172" s="1325"/>
      <c r="K172" s="1325"/>
      <c r="L172" s="1325"/>
      <c r="M172" s="1325"/>
      <c r="N172" s="1325"/>
      <c r="O172" s="1325"/>
      <c r="P172" s="1325"/>
      <c r="Q172" s="1325"/>
      <c r="R172" s="1325"/>
      <c r="S172" s="1325"/>
      <c r="T172" s="1325"/>
      <c r="U172" s="1325"/>
      <c r="V172" s="1325"/>
      <c r="W172" s="1325"/>
      <c r="X172" s="1325"/>
      <c r="Y172" s="1325"/>
      <c r="Z172" s="1325"/>
    </row>
    <row r="173" spans="1:26" ht="18.75" customHeight="1">
      <c r="A173" s="1325"/>
      <c r="B173" s="1379"/>
      <c r="C173" s="1325"/>
      <c r="D173" s="1379"/>
      <c r="E173" s="1325"/>
      <c r="F173" s="1325"/>
      <c r="G173" s="1325"/>
      <c r="H173" s="1325"/>
      <c r="I173" s="1325"/>
      <c r="J173" s="1325"/>
      <c r="K173" s="1325"/>
      <c r="L173" s="1325"/>
      <c r="M173" s="1325"/>
      <c r="N173" s="1325"/>
      <c r="O173" s="1325"/>
      <c r="P173" s="1325"/>
      <c r="Q173" s="1325"/>
      <c r="R173" s="1325"/>
      <c r="S173" s="1325"/>
      <c r="T173" s="1325"/>
      <c r="U173" s="1325"/>
      <c r="V173" s="1325"/>
      <c r="W173" s="1325"/>
      <c r="X173" s="1325"/>
      <c r="Y173" s="1325"/>
      <c r="Z173" s="1325"/>
    </row>
    <row r="174" spans="1:26" ht="18.75" customHeight="1">
      <c r="A174" s="1325"/>
      <c r="B174" s="1379"/>
      <c r="C174" s="1325"/>
      <c r="D174" s="1379"/>
      <c r="E174" s="1325"/>
      <c r="F174" s="1325"/>
      <c r="G174" s="1325"/>
      <c r="H174" s="1325"/>
      <c r="I174" s="1325"/>
      <c r="J174" s="1325"/>
      <c r="K174" s="1325"/>
      <c r="L174" s="1325"/>
      <c r="M174" s="1325"/>
      <c r="N174" s="1325"/>
      <c r="O174" s="1325"/>
      <c r="P174" s="1325"/>
      <c r="Q174" s="1325"/>
      <c r="R174" s="1325"/>
      <c r="S174" s="1325"/>
      <c r="T174" s="1325"/>
      <c r="U174" s="1325"/>
      <c r="V174" s="1325"/>
      <c r="W174" s="1325"/>
      <c r="X174" s="1325"/>
      <c r="Y174" s="1325"/>
      <c r="Z174" s="1325"/>
    </row>
    <row r="175" spans="1:26" ht="18.75" customHeight="1">
      <c r="A175" s="1325"/>
      <c r="B175" s="1379"/>
      <c r="C175" s="1325"/>
      <c r="D175" s="1379"/>
      <c r="E175" s="1325"/>
      <c r="F175" s="1325"/>
      <c r="G175" s="1325"/>
      <c r="H175" s="1325"/>
      <c r="I175" s="1325"/>
      <c r="J175" s="1325"/>
      <c r="K175" s="1325"/>
      <c r="L175" s="1325"/>
      <c r="M175" s="1325"/>
      <c r="N175" s="1325"/>
      <c r="O175" s="1325"/>
      <c r="P175" s="1325"/>
      <c r="Q175" s="1325"/>
      <c r="R175" s="1325"/>
      <c r="S175" s="1325"/>
      <c r="T175" s="1325"/>
      <c r="U175" s="1325"/>
      <c r="V175" s="1325"/>
      <c r="W175" s="1325"/>
      <c r="X175" s="1325"/>
      <c r="Y175" s="1325"/>
      <c r="Z175" s="1325"/>
    </row>
    <row r="176" spans="1:26" ht="18.75" customHeight="1">
      <c r="A176" s="1325"/>
      <c r="B176" s="1379"/>
      <c r="C176" s="1325"/>
      <c r="D176" s="1379"/>
      <c r="E176" s="1325"/>
      <c r="F176" s="1325"/>
      <c r="G176" s="1325"/>
      <c r="H176" s="1325"/>
      <c r="I176" s="1325"/>
      <c r="J176" s="1325"/>
      <c r="K176" s="1325"/>
      <c r="L176" s="1325"/>
      <c r="M176" s="1325"/>
      <c r="N176" s="1325"/>
      <c r="O176" s="1325"/>
      <c r="P176" s="1325"/>
      <c r="Q176" s="1325"/>
      <c r="R176" s="1325"/>
      <c r="S176" s="1325"/>
      <c r="T176" s="1325"/>
      <c r="U176" s="1325"/>
      <c r="V176" s="1325"/>
      <c r="W176" s="1325"/>
      <c r="X176" s="1325"/>
      <c r="Y176" s="1325"/>
      <c r="Z176" s="1325"/>
    </row>
    <row r="177" spans="1:26" ht="18.75" customHeight="1">
      <c r="A177" s="1325"/>
      <c r="B177" s="1379"/>
      <c r="C177" s="1325"/>
      <c r="D177" s="1379"/>
      <c r="E177" s="1325"/>
      <c r="F177" s="1325"/>
      <c r="G177" s="1325"/>
      <c r="H177" s="1325"/>
      <c r="I177" s="1325"/>
      <c r="J177" s="1325"/>
      <c r="K177" s="1325"/>
      <c r="L177" s="1325"/>
      <c r="M177" s="1325"/>
      <c r="N177" s="1325"/>
      <c r="O177" s="1325"/>
      <c r="P177" s="1325"/>
      <c r="Q177" s="1325"/>
      <c r="R177" s="1325"/>
      <c r="S177" s="1325"/>
      <c r="T177" s="1325"/>
      <c r="U177" s="1325"/>
      <c r="V177" s="1325"/>
      <c r="W177" s="1325"/>
      <c r="X177" s="1325"/>
      <c r="Y177" s="1325"/>
      <c r="Z177" s="1325"/>
    </row>
    <row r="178" spans="1:26" ht="18.75" customHeight="1">
      <c r="A178" s="1325"/>
      <c r="B178" s="1379"/>
      <c r="C178" s="1325"/>
      <c r="D178" s="1379"/>
      <c r="E178" s="1325"/>
      <c r="F178" s="1325"/>
      <c r="G178" s="1325"/>
      <c r="H178" s="1325"/>
      <c r="I178" s="1325"/>
      <c r="J178" s="1325"/>
      <c r="K178" s="1325"/>
      <c r="L178" s="1325"/>
      <c r="M178" s="1325"/>
      <c r="N178" s="1325"/>
      <c r="O178" s="1325"/>
      <c r="P178" s="1325"/>
      <c r="Q178" s="1325"/>
      <c r="R178" s="1325"/>
      <c r="S178" s="1325"/>
      <c r="T178" s="1325"/>
      <c r="U178" s="1325"/>
      <c r="V178" s="1325"/>
      <c r="W178" s="1325"/>
      <c r="X178" s="1325"/>
      <c r="Y178" s="1325"/>
      <c r="Z178" s="1325"/>
    </row>
    <row r="179" spans="1:26" ht="18.75" customHeight="1">
      <c r="A179" s="1325"/>
      <c r="B179" s="1379"/>
      <c r="C179" s="1325"/>
      <c r="D179" s="1379"/>
      <c r="E179" s="1325"/>
      <c r="F179" s="1325"/>
      <c r="G179" s="1325"/>
      <c r="H179" s="1325"/>
      <c r="I179" s="1325"/>
      <c r="J179" s="1325"/>
      <c r="K179" s="1325"/>
      <c r="L179" s="1325"/>
      <c r="M179" s="1325"/>
      <c r="N179" s="1325"/>
      <c r="O179" s="1325"/>
      <c r="P179" s="1325"/>
      <c r="Q179" s="1325"/>
      <c r="R179" s="1325"/>
      <c r="S179" s="1325"/>
      <c r="T179" s="1325"/>
      <c r="U179" s="1325"/>
      <c r="V179" s="1325"/>
      <c r="W179" s="1325"/>
      <c r="X179" s="1325"/>
      <c r="Y179" s="1325"/>
      <c r="Z179" s="1325"/>
    </row>
    <row r="180" spans="1:26" ht="18.75" customHeight="1">
      <c r="A180" s="1325"/>
      <c r="B180" s="1379"/>
      <c r="C180" s="1325"/>
      <c r="D180" s="1379"/>
      <c r="E180" s="1325"/>
      <c r="F180" s="1325"/>
      <c r="G180" s="1325"/>
      <c r="H180" s="1325"/>
      <c r="I180" s="1325"/>
      <c r="J180" s="1325"/>
      <c r="K180" s="1325"/>
      <c r="L180" s="1325"/>
      <c r="M180" s="1325"/>
      <c r="N180" s="1325"/>
      <c r="O180" s="1325"/>
      <c r="P180" s="1325"/>
      <c r="Q180" s="1325"/>
      <c r="R180" s="1325"/>
      <c r="S180" s="1325"/>
      <c r="T180" s="1325"/>
      <c r="U180" s="1325"/>
      <c r="V180" s="1325"/>
      <c r="W180" s="1325"/>
      <c r="X180" s="1325"/>
      <c r="Y180" s="1325"/>
      <c r="Z180" s="1325"/>
    </row>
    <row r="181" spans="1:26" ht="18.75" customHeight="1">
      <c r="A181" s="1325"/>
      <c r="B181" s="1379"/>
      <c r="C181" s="1325"/>
      <c r="D181" s="1379"/>
      <c r="E181" s="1325"/>
      <c r="F181" s="1325"/>
      <c r="G181" s="1325"/>
      <c r="H181" s="1325"/>
      <c r="I181" s="1325"/>
      <c r="J181" s="1325"/>
      <c r="K181" s="1325"/>
      <c r="L181" s="1325"/>
      <c r="M181" s="1325"/>
      <c r="N181" s="1325"/>
      <c r="O181" s="1325"/>
      <c r="P181" s="1325"/>
      <c r="Q181" s="1325"/>
      <c r="R181" s="1325"/>
      <c r="S181" s="1325"/>
      <c r="T181" s="1325"/>
      <c r="U181" s="1325"/>
      <c r="V181" s="1325"/>
      <c r="W181" s="1325"/>
      <c r="X181" s="1325"/>
      <c r="Y181" s="1325"/>
      <c r="Z181" s="1325"/>
    </row>
    <row r="182" spans="1:26" ht="18.75" customHeight="1">
      <c r="A182" s="1325"/>
      <c r="B182" s="1379"/>
      <c r="C182" s="1325"/>
      <c r="D182" s="1379"/>
      <c r="E182" s="1325"/>
      <c r="F182" s="1325"/>
      <c r="G182" s="1325"/>
      <c r="H182" s="1325"/>
      <c r="I182" s="1325"/>
      <c r="J182" s="1325"/>
      <c r="K182" s="1325"/>
      <c r="L182" s="1325"/>
      <c r="M182" s="1325"/>
      <c r="N182" s="1325"/>
      <c r="O182" s="1325"/>
      <c r="P182" s="1325"/>
      <c r="Q182" s="1325"/>
      <c r="R182" s="1325"/>
      <c r="S182" s="1325"/>
      <c r="T182" s="1325"/>
      <c r="U182" s="1325"/>
      <c r="V182" s="1325"/>
      <c r="W182" s="1325"/>
      <c r="X182" s="1325"/>
      <c r="Y182" s="1325"/>
      <c r="Z182" s="1325"/>
    </row>
    <row r="183" spans="1:26" ht="18.75" customHeight="1">
      <c r="A183" s="1325"/>
      <c r="B183" s="1379"/>
      <c r="C183" s="1325"/>
      <c r="D183" s="1379"/>
      <c r="E183" s="1325"/>
      <c r="F183" s="1325"/>
      <c r="G183" s="1325"/>
      <c r="H183" s="1325"/>
      <c r="I183" s="1325"/>
      <c r="J183" s="1325"/>
      <c r="K183" s="1325"/>
      <c r="L183" s="1325"/>
      <c r="M183" s="1325"/>
      <c r="N183" s="1325"/>
      <c r="O183" s="1325"/>
      <c r="P183" s="1325"/>
      <c r="Q183" s="1325"/>
      <c r="R183" s="1325"/>
      <c r="S183" s="1325"/>
      <c r="T183" s="1325"/>
      <c r="U183" s="1325"/>
      <c r="V183" s="1325"/>
      <c r="W183" s="1325"/>
      <c r="X183" s="1325"/>
      <c r="Y183" s="1325"/>
      <c r="Z183" s="1325"/>
    </row>
    <row r="184" spans="1:26" ht="18.75" customHeight="1">
      <c r="A184" s="1325"/>
      <c r="B184" s="1379"/>
      <c r="C184" s="1325"/>
      <c r="D184" s="1379"/>
      <c r="E184" s="1325"/>
      <c r="F184" s="1325"/>
      <c r="G184" s="1325"/>
      <c r="H184" s="1325"/>
      <c r="I184" s="1325"/>
      <c r="J184" s="1325"/>
      <c r="K184" s="1325"/>
      <c r="L184" s="1325"/>
      <c r="M184" s="1325"/>
      <c r="N184" s="1325"/>
      <c r="O184" s="1325"/>
      <c r="P184" s="1325"/>
      <c r="Q184" s="1325"/>
      <c r="R184" s="1325"/>
      <c r="S184" s="1325"/>
      <c r="T184" s="1325"/>
      <c r="U184" s="1325"/>
      <c r="V184" s="1325"/>
      <c r="W184" s="1325"/>
      <c r="X184" s="1325"/>
      <c r="Y184" s="1325"/>
      <c r="Z184" s="1325"/>
    </row>
    <row r="185" spans="1:26" ht="18.75" customHeight="1">
      <c r="A185" s="1325"/>
      <c r="B185" s="1379"/>
      <c r="C185" s="1325"/>
      <c r="D185" s="1379"/>
      <c r="E185" s="1325"/>
      <c r="F185" s="1325"/>
      <c r="G185" s="1325"/>
      <c r="H185" s="1325"/>
      <c r="I185" s="1325"/>
      <c r="J185" s="1325"/>
      <c r="K185" s="1325"/>
      <c r="L185" s="1325"/>
      <c r="M185" s="1325"/>
      <c r="N185" s="1325"/>
      <c r="O185" s="1325"/>
      <c r="P185" s="1325"/>
      <c r="Q185" s="1325"/>
      <c r="R185" s="1325"/>
      <c r="S185" s="1325"/>
      <c r="T185" s="1325"/>
      <c r="U185" s="1325"/>
      <c r="V185" s="1325"/>
      <c r="W185" s="1325"/>
      <c r="X185" s="1325"/>
      <c r="Y185" s="1325"/>
      <c r="Z185" s="1325"/>
    </row>
    <row r="186" spans="1:26" ht="18.75" customHeight="1">
      <c r="A186" s="1325"/>
      <c r="B186" s="1379"/>
      <c r="C186" s="1325"/>
      <c r="D186" s="1379"/>
      <c r="E186" s="1325"/>
      <c r="F186" s="1325"/>
      <c r="G186" s="1325"/>
      <c r="H186" s="1325"/>
      <c r="I186" s="1325"/>
      <c r="J186" s="1325"/>
      <c r="K186" s="1325"/>
      <c r="L186" s="1325"/>
      <c r="M186" s="1325"/>
      <c r="N186" s="1325"/>
      <c r="O186" s="1325"/>
      <c r="P186" s="1325"/>
      <c r="Q186" s="1325"/>
      <c r="R186" s="1325"/>
      <c r="S186" s="1325"/>
      <c r="T186" s="1325"/>
      <c r="U186" s="1325"/>
      <c r="V186" s="1325"/>
      <c r="W186" s="1325"/>
      <c r="X186" s="1325"/>
      <c r="Y186" s="1325"/>
      <c r="Z186" s="1325"/>
    </row>
    <row r="187" spans="1:26" ht="18.75" customHeight="1">
      <c r="A187" s="1325"/>
      <c r="B187" s="1379"/>
      <c r="C187" s="1325"/>
      <c r="D187" s="1379"/>
      <c r="E187" s="1325"/>
      <c r="F187" s="1325"/>
      <c r="G187" s="1325"/>
      <c r="H187" s="1325"/>
      <c r="I187" s="1325"/>
      <c r="J187" s="1325"/>
      <c r="K187" s="1325"/>
      <c r="L187" s="1325"/>
      <c r="M187" s="1325"/>
      <c r="N187" s="1325"/>
      <c r="O187" s="1325"/>
      <c r="P187" s="1325"/>
      <c r="Q187" s="1325"/>
      <c r="R187" s="1325"/>
      <c r="S187" s="1325"/>
      <c r="T187" s="1325"/>
      <c r="U187" s="1325"/>
      <c r="V187" s="1325"/>
      <c r="W187" s="1325"/>
      <c r="X187" s="1325"/>
      <c r="Y187" s="1325"/>
      <c r="Z187" s="1325"/>
    </row>
    <row r="188" spans="1:26" ht="18.75" customHeight="1">
      <c r="A188" s="1325"/>
      <c r="B188" s="1379"/>
      <c r="C188" s="1325"/>
      <c r="D188" s="1379"/>
      <c r="E188" s="1325"/>
      <c r="F188" s="1325"/>
      <c r="G188" s="1325"/>
      <c r="H188" s="1325"/>
      <c r="I188" s="1325"/>
      <c r="J188" s="1325"/>
      <c r="K188" s="1325"/>
      <c r="L188" s="1325"/>
      <c r="M188" s="1325"/>
      <c r="N188" s="1325"/>
      <c r="O188" s="1325"/>
      <c r="P188" s="1325"/>
      <c r="Q188" s="1325"/>
      <c r="R188" s="1325"/>
      <c r="S188" s="1325"/>
      <c r="T188" s="1325"/>
      <c r="U188" s="1325"/>
      <c r="V188" s="1325"/>
      <c r="W188" s="1325"/>
      <c r="X188" s="1325"/>
      <c r="Y188" s="1325"/>
      <c r="Z188" s="1325"/>
    </row>
    <row r="189" spans="1:26" ht="18.75" customHeight="1">
      <c r="A189" s="1325"/>
      <c r="B189" s="1379"/>
      <c r="C189" s="1325"/>
      <c r="D189" s="1379"/>
      <c r="E189" s="1325"/>
      <c r="F189" s="1325"/>
      <c r="G189" s="1325"/>
      <c r="H189" s="1325"/>
      <c r="I189" s="1325"/>
      <c r="J189" s="1325"/>
      <c r="K189" s="1325"/>
      <c r="L189" s="1325"/>
      <c r="M189" s="1325"/>
      <c r="N189" s="1325"/>
      <c r="O189" s="1325"/>
      <c r="P189" s="1325"/>
      <c r="Q189" s="1325"/>
      <c r="R189" s="1325"/>
      <c r="S189" s="1325"/>
      <c r="T189" s="1325"/>
      <c r="U189" s="1325"/>
      <c r="V189" s="1325"/>
      <c r="W189" s="1325"/>
      <c r="X189" s="1325"/>
      <c r="Y189" s="1325"/>
      <c r="Z189" s="1325"/>
    </row>
    <row r="190" spans="1:26" ht="18.75" customHeight="1">
      <c r="A190" s="1325"/>
      <c r="B190" s="1379"/>
      <c r="C190" s="1325"/>
      <c r="D190" s="1379"/>
      <c r="E190" s="1325"/>
      <c r="F190" s="1325"/>
      <c r="G190" s="1325"/>
      <c r="H190" s="1325"/>
      <c r="I190" s="1325"/>
      <c r="J190" s="1325"/>
      <c r="K190" s="1325"/>
      <c r="L190" s="1325"/>
      <c r="M190" s="1325"/>
      <c r="N190" s="1325"/>
      <c r="O190" s="1325"/>
      <c r="P190" s="1325"/>
      <c r="Q190" s="1325"/>
      <c r="R190" s="1325"/>
      <c r="S190" s="1325"/>
      <c r="T190" s="1325"/>
      <c r="U190" s="1325"/>
      <c r="V190" s="1325"/>
      <c r="W190" s="1325"/>
      <c r="X190" s="1325"/>
      <c r="Y190" s="1325"/>
      <c r="Z190" s="1325"/>
    </row>
    <row r="191" spans="1:26" ht="18.75" customHeight="1">
      <c r="A191" s="1325"/>
      <c r="B191" s="1379"/>
      <c r="C191" s="1325"/>
      <c r="D191" s="1379"/>
      <c r="E191" s="1325"/>
      <c r="F191" s="1325"/>
      <c r="G191" s="1325"/>
      <c r="H191" s="1325"/>
      <c r="I191" s="1325"/>
      <c r="J191" s="1325"/>
      <c r="K191" s="1325"/>
      <c r="L191" s="1325"/>
      <c r="M191" s="1325"/>
      <c r="N191" s="1325"/>
      <c r="O191" s="1325"/>
      <c r="P191" s="1325"/>
      <c r="Q191" s="1325"/>
      <c r="R191" s="1325"/>
      <c r="S191" s="1325"/>
      <c r="T191" s="1325"/>
      <c r="U191" s="1325"/>
      <c r="V191" s="1325"/>
      <c r="W191" s="1325"/>
      <c r="X191" s="1325"/>
      <c r="Y191" s="1325"/>
      <c r="Z191" s="1325"/>
    </row>
    <row r="192" spans="1:26" ht="18.75" customHeight="1">
      <c r="A192" s="1325"/>
      <c r="B192" s="1379"/>
      <c r="C192" s="1325"/>
      <c r="D192" s="1379"/>
      <c r="E192" s="1325"/>
      <c r="F192" s="1325"/>
      <c r="G192" s="1325"/>
      <c r="H192" s="1325"/>
      <c r="I192" s="1325"/>
      <c r="J192" s="1325"/>
      <c r="K192" s="1325"/>
      <c r="L192" s="1325"/>
      <c r="M192" s="1325"/>
      <c r="N192" s="1325"/>
      <c r="O192" s="1325"/>
      <c r="P192" s="1325"/>
      <c r="Q192" s="1325"/>
      <c r="R192" s="1325"/>
      <c r="S192" s="1325"/>
      <c r="T192" s="1325"/>
      <c r="U192" s="1325"/>
      <c r="V192" s="1325"/>
      <c r="W192" s="1325"/>
      <c r="X192" s="1325"/>
      <c r="Y192" s="1325"/>
      <c r="Z192" s="1325"/>
    </row>
    <row r="193" spans="1:26" ht="18.75" customHeight="1">
      <c r="A193" s="1325"/>
      <c r="B193" s="1379"/>
      <c r="C193" s="1325"/>
      <c r="D193" s="1379"/>
      <c r="E193" s="1325"/>
      <c r="F193" s="1325"/>
      <c r="G193" s="1325"/>
      <c r="H193" s="1325"/>
      <c r="I193" s="1325"/>
      <c r="J193" s="1325"/>
      <c r="K193" s="1325"/>
      <c r="L193" s="1325"/>
      <c r="M193" s="1325"/>
      <c r="N193" s="1325"/>
      <c r="O193" s="1325"/>
      <c r="P193" s="1325"/>
      <c r="Q193" s="1325"/>
      <c r="R193" s="1325"/>
      <c r="S193" s="1325"/>
      <c r="T193" s="1325"/>
      <c r="U193" s="1325"/>
      <c r="V193" s="1325"/>
      <c r="W193" s="1325"/>
      <c r="X193" s="1325"/>
      <c r="Y193" s="1325"/>
      <c r="Z193" s="1325"/>
    </row>
    <row r="194" spans="1:26" ht="18.75" customHeight="1">
      <c r="A194" s="1325"/>
      <c r="B194" s="1379"/>
      <c r="C194" s="1325"/>
      <c r="D194" s="1379"/>
      <c r="E194" s="1325"/>
      <c r="F194" s="1325"/>
      <c r="G194" s="1325"/>
      <c r="H194" s="1325"/>
      <c r="I194" s="1325"/>
      <c r="J194" s="1325"/>
      <c r="K194" s="1325"/>
      <c r="L194" s="1325"/>
      <c r="M194" s="1325"/>
      <c r="N194" s="1325"/>
      <c r="O194" s="1325"/>
      <c r="P194" s="1325"/>
      <c r="Q194" s="1325"/>
      <c r="R194" s="1325"/>
      <c r="S194" s="1325"/>
      <c r="T194" s="1325"/>
      <c r="U194" s="1325"/>
      <c r="V194" s="1325"/>
      <c r="W194" s="1325"/>
      <c r="X194" s="1325"/>
      <c r="Y194" s="1325"/>
      <c r="Z194" s="1325"/>
    </row>
    <row r="195" spans="1:26" ht="18.75" customHeight="1">
      <c r="A195" s="1325"/>
      <c r="B195" s="1379"/>
      <c r="C195" s="1325"/>
      <c r="D195" s="1379"/>
      <c r="E195" s="1325"/>
      <c r="F195" s="1325"/>
      <c r="G195" s="1325"/>
      <c r="H195" s="1325"/>
      <c r="I195" s="1325"/>
      <c r="J195" s="1325"/>
      <c r="K195" s="1325"/>
      <c r="L195" s="1325"/>
      <c r="M195" s="1325"/>
      <c r="N195" s="1325"/>
      <c r="O195" s="1325"/>
      <c r="P195" s="1325"/>
      <c r="Q195" s="1325"/>
      <c r="R195" s="1325"/>
      <c r="S195" s="1325"/>
      <c r="T195" s="1325"/>
      <c r="U195" s="1325"/>
      <c r="V195" s="1325"/>
      <c r="W195" s="1325"/>
      <c r="X195" s="1325"/>
      <c r="Y195" s="1325"/>
      <c r="Z195" s="1325"/>
    </row>
    <row r="196" spans="1:26" ht="18.75" customHeight="1">
      <c r="A196" s="1325"/>
      <c r="B196" s="1379"/>
      <c r="C196" s="1325"/>
      <c r="D196" s="1379"/>
      <c r="E196" s="1325"/>
      <c r="F196" s="1325"/>
      <c r="G196" s="1325"/>
      <c r="H196" s="1325"/>
      <c r="I196" s="1325"/>
      <c r="J196" s="1325"/>
      <c r="K196" s="1325"/>
      <c r="L196" s="1325"/>
      <c r="M196" s="1325"/>
      <c r="N196" s="1325"/>
      <c r="O196" s="1325"/>
      <c r="P196" s="1325"/>
      <c r="Q196" s="1325"/>
      <c r="R196" s="1325"/>
      <c r="S196" s="1325"/>
      <c r="T196" s="1325"/>
      <c r="U196" s="1325"/>
      <c r="V196" s="1325"/>
      <c r="W196" s="1325"/>
      <c r="X196" s="1325"/>
      <c r="Y196" s="1325"/>
      <c r="Z196" s="1325"/>
    </row>
    <row r="197" spans="1:26" ht="18.75" customHeight="1">
      <c r="A197" s="1325"/>
      <c r="B197" s="1379"/>
      <c r="C197" s="1325"/>
      <c r="D197" s="1379"/>
      <c r="E197" s="1325"/>
      <c r="F197" s="1325"/>
      <c r="G197" s="1325"/>
      <c r="H197" s="1325"/>
      <c r="I197" s="1325"/>
      <c r="J197" s="1325"/>
      <c r="K197" s="1325"/>
      <c r="L197" s="1325"/>
      <c r="M197" s="1325"/>
      <c r="N197" s="1325"/>
      <c r="O197" s="1325"/>
      <c r="P197" s="1325"/>
      <c r="Q197" s="1325"/>
      <c r="R197" s="1325"/>
      <c r="S197" s="1325"/>
      <c r="T197" s="1325"/>
      <c r="U197" s="1325"/>
      <c r="V197" s="1325"/>
      <c r="W197" s="1325"/>
      <c r="X197" s="1325"/>
      <c r="Y197" s="1325"/>
      <c r="Z197" s="1325"/>
    </row>
    <row r="198" spans="1:26" ht="18.75" customHeight="1">
      <c r="A198" s="1325"/>
      <c r="B198" s="1379"/>
      <c r="C198" s="1325"/>
      <c r="D198" s="1379"/>
      <c r="E198" s="1325"/>
      <c r="F198" s="1325"/>
      <c r="G198" s="1325"/>
      <c r="H198" s="1325"/>
      <c r="I198" s="1325"/>
      <c r="J198" s="1325"/>
      <c r="K198" s="1325"/>
      <c r="L198" s="1325"/>
      <c r="M198" s="1325"/>
      <c r="N198" s="1325"/>
      <c r="O198" s="1325"/>
      <c r="P198" s="1325"/>
      <c r="Q198" s="1325"/>
      <c r="R198" s="1325"/>
      <c r="S198" s="1325"/>
      <c r="T198" s="1325"/>
      <c r="U198" s="1325"/>
      <c r="V198" s="1325"/>
      <c r="W198" s="1325"/>
      <c r="X198" s="1325"/>
      <c r="Y198" s="1325"/>
      <c r="Z198" s="1325"/>
    </row>
    <row r="199" spans="1:26" ht="18.75" customHeight="1">
      <c r="A199" s="1325"/>
      <c r="B199" s="1379"/>
      <c r="C199" s="1325"/>
      <c r="D199" s="1379"/>
      <c r="E199" s="1325"/>
      <c r="F199" s="1325"/>
      <c r="G199" s="1325"/>
      <c r="H199" s="1325"/>
      <c r="I199" s="1325"/>
      <c r="J199" s="1325"/>
      <c r="K199" s="1325"/>
      <c r="L199" s="1325"/>
      <c r="M199" s="1325"/>
      <c r="N199" s="1325"/>
      <c r="O199" s="1325"/>
      <c r="P199" s="1325"/>
      <c r="Q199" s="1325"/>
      <c r="R199" s="1325"/>
      <c r="S199" s="1325"/>
      <c r="T199" s="1325"/>
      <c r="U199" s="1325"/>
      <c r="V199" s="1325"/>
      <c r="W199" s="1325"/>
      <c r="X199" s="1325"/>
      <c r="Y199" s="1325"/>
      <c r="Z199" s="1325"/>
    </row>
    <row r="200" spans="1:26" ht="18.75" customHeight="1">
      <c r="A200" s="1325"/>
      <c r="B200" s="1379"/>
      <c r="C200" s="1325"/>
      <c r="D200" s="1379"/>
      <c r="E200" s="1325"/>
      <c r="F200" s="1325"/>
      <c r="G200" s="1325"/>
      <c r="H200" s="1325"/>
      <c r="I200" s="1325"/>
      <c r="J200" s="1325"/>
      <c r="K200" s="1325"/>
      <c r="L200" s="1325"/>
      <c r="M200" s="1325"/>
      <c r="N200" s="1325"/>
      <c r="O200" s="1325"/>
      <c r="P200" s="1325"/>
      <c r="Q200" s="1325"/>
      <c r="R200" s="1325"/>
      <c r="S200" s="1325"/>
      <c r="T200" s="1325"/>
      <c r="U200" s="1325"/>
      <c r="V200" s="1325"/>
      <c r="W200" s="1325"/>
      <c r="X200" s="1325"/>
      <c r="Y200" s="1325"/>
      <c r="Z200" s="1325"/>
    </row>
    <row r="201" spans="1:26" ht="18.75" customHeight="1">
      <c r="A201" s="1325"/>
      <c r="B201" s="1379"/>
      <c r="C201" s="1325"/>
      <c r="D201" s="1379"/>
      <c r="E201" s="1325"/>
      <c r="F201" s="1325"/>
      <c r="G201" s="1325"/>
      <c r="H201" s="1325"/>
      <c r="I201" s="1325"/>
      <c r="J201" s="1325"/>
      <c r="K201" s="1325"/>
      <c r="L201" s="1325"/>
      <c r="M201" s="1325"/>
      <c r="N201" s="1325"/>
      <c r="O201" s="1325"/>
      <c r="P201" s="1325"/>
      <c r="Q201" s="1325"/>
      <c r="R201" s="1325"/>
      <c r="S201" s="1325"/>
      <c r="T201" s="1325"/>
      <c r="U201" s="1325"/>
      <c r="V201" s="1325"/>
      <c r="W201" s="1325"/>
      <c r="X201" s="1325"/>
      <c r="Y201" s="1325"/>
      <c r="Z201" s="1325"/>
    </row>
    <row r="202" spans="1:26" ht="18.75" customHeight="1">
      <c r="A202" s="1325"/>
      <c r="B202" s="1379"/>
      <c r="C202" s="1325"/>
      <c r="D202" s="1379"/>
      <c r="E202" s="1325"/>
      <c r="F202" s="1325"/>
      <c r="G202" s="1325"/>
      <c r="H202" s="1325"/>
      <c r="I202" s="1325"/>
      <c r="J202" s="1325"/>
      <c r="K202" s="1325"/>
      <c r="L202" s="1325"/>
      <c r="M202" s="1325"/>
      <c r="N202" s="1325"/>
      <c r="O202" s="1325"/>
      <c r="P202" s="1325"/>
      <c r="Q202" s="1325"/>
      <c r="R202" s="1325"/>
      <c r="S202" s="1325"/>
      <c r="T202" s="1325"/>
      <c r="U202" s="1325"/>
      <c r="V202" s="1325"/>
      <c r="W202" s="1325"/>
      <c r="X202" s="1325"/>
      <c r="Y202" s="1325"/>
      <c r="Z202" s="1325"/>
    </row>
    <row r="203" spans="1:26" ht="18.75" customHeight="1">
      <c r="A203" s="1325"/>
      <c r="B203" s="1379"/>
      <c r="C203" s="1325"/>
      <c r="D203" s="1379"/>
      <c r="E203" s="1325"/>
      <c r="F203" s="1325"/>
      <c r="G203" s="1325"/>
      <c r="H203" s="1325"/>
      <c r="I203" s="1325"/>
      <c r="J203" s="1325"/>
      <c r="K203" s="1325"/>
      <c r="L203" s="1325"/>
      <c r="M203" s="1325"/>
      <c r="N203" s="1325"/>
      <c r="O203" s="1325"/>
      <c r="P203" s="1325"/>
      <c r="Q203" s="1325"/>
      <c r="R203" s="1325"/>
      <c r="S203" s="1325"/>
      <c r="T203" s="1325"/>
      <c r="U203" s="1325"/>
      <c r="V203" s="1325"/>
      <c r="W203" s="1325"/>
      <c r="X203" s="1325"/>
      <c r="Y203" s="1325"/>
      <c r="Z203" s="1325"/>
    </row>
    <row r="204" spans="1:26" ht="18.75" customHeight="1">
      <c r="A204" s="1325"/>
      <c r="B204" s="1379"/>
      <c r="C204" s="1325"/>
      <c r="D204" s="1379"/>
      <c r="E204" s="1325"/>
      <c r="F204" s="1325"/>
      <c r="G204" s="1325"/>
      <c r="H204" s="1325"/>
      <c r="I204" s="1325"/>
      <c r="J204" s="1325"/>
      <c r="K204" s="1325"/>
      <c r="L204" s="1325"/>
      <c r="M204" s="1325"/>
      <c r="N204" s="1325"/>
      <c r="O204" s="1325"/>
      <c r="P204" s="1325"/>
      <c r="Q204" s="1325"/>
      <c r="R204" s="1325"/>
      <c r="S204" s="1325"/>
      <c r="T204" s="1325"/>
      <c r="U204" s="1325"/>
      <c r="V204" s="1325"/>
      <c r="W204" s="1325"/>
      <c r="X204" s="1325"/>
      <c r="Y204" s="1325"/>
      <c r="Z204" s="1325"/>
    </row>
    <row r="205" spans="1:26" ht="18.75" customHeight="1">
      <c r="A205" s="1325"/>
      <c r="B205" s="1379"/>
      <c r="C205" s="1325"/>
      <c r="D205" s="1379"/>
      <c r="E205" s="1325"/>
      <c r="F205" s="1325"/>
      <c r="G205" s="1325"/>
      <c r="H205" s="1325"/>
      <c r="I205" s="1325"/>
      <c r="J205" s="1325"/>
      <c r="K205" s="1325"/>
      <c r="L205" s="1325"/>
      <c r="M205" s="1325"/>
      <c r="N205" s="1325"/>
      <c r="O205" s="1325"/>
      <c r="P205" s="1325"/>
      <c r="Q205" s="1325"/>
      <c r="R205" s="1325"/>
      <c r="S205" s="1325"/>
      <c r="T205" s="1325"/>
      <c r="U205" s="1325"/>
      <c r="V205" s="1325"/>
      <c r="W205" s="1325"/>
      <c r="X205" s="1325"/>
      <c r="Y205" s="1325"/>
      <c r="Z205" s="1325"/>
    </row>
    <row r="206" spans="1:26" ht="18.75" customHeight="1">
      <c r="A206" s="1325"/>
      <c r="B206" s="1379"/>
      <c r="C206" s="1325"/>
      <c r="D206" s="1379"/>
      <c r="E206" s="1325"/>
      <c r="F206" s="1325"/>
      <c r="G206" s="1325"/>
      <c r="H206" s="1325"/>
      <c r="I206" s="1325"/>
      <c r="J206" s="1325"/>
      <c r="K206" s="1325"/>
      <c r="L206" s="1325"/>
      <c r="M206" s="1325"/>
      <c r="N206" s="1325"/>
      <c r="O206" s="1325"/>
      <c r="P206" s="1325"/>
      <c r="Q206" s="1325"/>
      <c r="R206" s="1325"/>
      <c r="S206" s="1325"/>
      <c r="T206" s="1325"/>
      <c r="U206" s="1325"/>
      <c r="V206" s="1325"/>
      <c r="W206" s="1325"/>
      <c r="X206" s="1325"/>
      <c r="Y206" s="1325"/>
      <c r="Z206" s="1325"/>
    </row>
    <row r="207" spans="1:26" ht="18.75" customHeight="1">
      <c r="A207" s="1325"/>
      <c r="B207" s="1379"/>
      <c r="C207" s="1325"/>
      <c r="D207" s="1379"/>
      <c r="E207" s="1325"/>
      <c r="F207" s="1325"/>
      <c r="G207" s="1325"/>
      <c r="H207" s="1325"/>
      <c r="I207" s="1325"/>
      <c r="J207" s="1325"/>
      <c r="K207" s="1325"/>
      <c r="L207" s="1325"/>
      <c r="M207" s="1325"/>
      <c r="N207" s="1325"/>
      <c r="O207" s="1325"/>
      <c r="P207" s="1325"/>
      <c r="Q207" s="1325"/>
      <c r="R207" s="1325"/>
      <c r="S207" s="1325"/>
      <c r="T207" s="1325"/>
      <c r="U207" s="1325"/>
      <c r="V207" s="1325"/>
      <c r="W207" s="1325"/>
      <c r="X207" s="1325"/>
      <c r="Y207" s="1325"/>
      <c r="Z207" s="1325"/>
    </row>
    <row r="208" spans="1:26" ht="18.75" customHeight="1">
      <c r="A208" s="1325"/>
      <c r="B208" s="1379"/>
      <c r="C208" s="1325"/>
      <c r="D208" s="1379"/>
      <c r="E208" s="1325"/>
      <c r="F208" s="1325"/>
      <c r="G208" s="1325"/>
      <c r="H208" s="1325"/>
      <c r="I208" s="1325"/>
      <c r="J208" s="1325"/>
      <c r="K208" s="1325"/>
      <c r="L208" s="1325"/>
      <c r="M208" s="1325"/>
      <c r="N208" s="1325"/>
      <c r="O208" s="1325"/>
      <c r="P208" s="1325"/>
      <c r="Q208" s="1325"/>
      <c r="R208" s="1325"/>
      <c r="S208" s="1325"/>
      <c r="T208" s="1325"/>
      <c r="U208" s="1325"/>
      <c r="V208" s="1325"/>
      <c r="W208" s="1325"/>
      <c r="X208" s="1325"/>
      <c r="Y208" s="1325"/>
      <c r="Z208" s="1325"/>
    </row>
    <row r="209" spans="1:26" ht="18.75" customHeight="1">
      <c r="A209" s="1325"/>
      <c r="B209" s="1379"/>
      <c r="C209" s="1325"/>
      <c r="D209" s="1379"/>
      <c r="E209" s="1325"/>
      <c r="F209" s="1325"/>
      <c r="G209" s="1325"/>
      <c r="H209" s="1325"/>
      <c r="I209" s="1325"/>
      <c r="J209" s="1325"/>
      <c r="K209" s="1325"/>
      <c r="L209" s="1325"/>
      <c r="M209" s="1325"/>
      <c r="N209" s="1325"/>
      <c r="O209" s="1325"/>
      <c r="P209" s="1325"/>
      <c r="Q209" s="1325"/>
      <c r="R209" s="1325"/>
      <c r="S209" s="1325"/>
      <c r="T209" s="1325"/>
      <c r="U209" s="1325"/>
      <c r="V209" s="1325"/>
      <c r="W209" s="1325"/>
      <c r="X209" s="1325"/>
      <c r="Y209" s="1325"/>
      <c r="Z209" s="1325"/>
    </row>
    <row r="210" spans="1:26" ht="18.75" customHeight="1">
      <c r="A210" s="1325"/>
      <c r="B210" s="1379"/>
      <c r="C210" s="1325"/>
      <c r="D210" s="1379"/>
      <c r="E210" s="1325"/>
      <c r="F210" s="1325"/>
      <c r="G210" s="1325"/>
      <c r="H210" s="1325"/>
      <c r="I210" s="1325"/>
      <c r="J210" s="1325"/>
      <c r="K210" s="1325"/>
      <c r="L210" s="1325"/>
      <c r="M210" s="1325"/>
      <c r="N210" s="1325"/>
      <c r="O210" s="1325"/>
      <c r="P210" s="1325"/>
      <c r="Q210" s="1325"/>
      <c r="R210" s="1325"/>
      <c r="S210" s="1325"/>
      <c r="T210" s="1325"/>
      <c r="U210" s="1325"/>
      <c r="V210" s="1325"/>
      <c r="W210" s="1325"/>
      <c r="X210" s="1325"/>
      <c r="Y210" s="1325"/>
      <c r="Z210" s="1325"/>
    </row>
    <row r="211" spans="1:26" ht="18.75" customHeight="1">
      <c r="A211" s="1325"/>
      <c r="B211" s="1379"/>
      <c r="C211" s="1325"/>
      <c r="D211" s="1379"/>
      <c r="E211" s="1325"/>
      <c r="F211" s="1325"/>
      <c r="G211" s="1325"/>
      <c r="H211" s="1325"/>
      <c r="I211" s="1325"/>
      <c r="J211" s="1325"/>
      <c r="K211" s="1325"/>
      <c r="L211" s="1325"/>
      <c r="M211" s="1325"/>
      <c r="N211" s="1325"/>
      <c r="O211" s="1325"/>
      <c r="P211" s="1325"/>
      <c r="Q211" s="1325"/>
      <c r="R211" s="1325"/>
      <c r="S211" s="1325"/>
      <c r="T211" s="1325"/>
      <c r="U211" s="1325"/>
      <c r="V211" s="1325"/>
      <c r="W211" s="1325"/>
      <c r="X211" s="1325"/>
      <c r="Y211" s="1325"/>
      <c r="Z211" s="1325"/>
    </row>
    <row r="212" spans="1:26" ht="18.75" customHeight="1">
      <c r="A212" s="1325"/>
      <c r="B212" s="1379"/>
      <c r="C212" s="1325"/>
      <c r="D212" s="1379"/>
      <c r="E212" s="1325"/>
      <c r="F212" s="1325"/>
      <c r="G212" s="1325"/>
      <c r="H212" s="1325"/>
      <c r="I212" s="1325"/>
      <c r="J212" s="1325"/>
      <c r="K212" s="1325"/>
      <c r="L212" s="1325"/>
      <c r="M212" s="1325"/>
      <c r="N212" s="1325"/>
      <c r="O212" s="1325"/>
      <c r="P212" s="1325"/>
      <c r="Q212" s="1325"/>
      <c r="R212" s="1325"/>
      <c r="S212" s="1325"/>
      <c r="T212" s="1325"/>
      <c r="U212" s="1325"/>
      <c r="V212" s="1325"/>
      <c r="W212" s="1325"/>
      <c r="X212" s="1325"/>
      <c r="Y212" s="1325"/>
      <c r="Z212" s="1325"/>
    </row>
    <row r="213" spans="1:26" ht="18.75" customHeight="1">
      <c r="A213" s="1325"/>
      <c r="B213" s="1379"/>
      <c r="C213" s="1325"/>
      <c r="D213" s="1379"/>
      <c r="E213" s="1325"/>
      <c r="F213" s="1325"/>
      <c r="G213" s="1325"/>
      <c r="H213" s="1325"/>
      <c r="I213" s="1325"/>
      <c r="J213" s="1325"/>
      <c r="K213" s="1325"/>
      <c r="L213" s="1325"/>
      <c r="M213" s="1325"/>
      <c r="N213" s="1325"/>
      <c r="O213" s="1325"/>
      <c r="P213" s="1325"/>
      <c r="Q213" s="1325"/>
      <c r="R213" s="1325"/>
      <c r="S213" s="1325"/>
      <c r="T213" s="1325"/>
      <c r="U213" s="1325"/>
      <c r="V213" s="1325"/>
      <c r="W213" s="1325"/>
      <c r="X213" s="1325"/>
      <c r="Y213" s="1325"/>
      <c r="Z213" s="1325"/>
    </row>
    <row r="214" spans="1:26" ht="18.75" customHeight="1">
      <c r="A214" s="1325"/>
      <c r="B214" s="1379"/>
      <c r="C214" s="1325"/>
      <c r="D214" s="1379"/>
      <c r="E214" s="1325"/>
      <c r="F214" s="1325"/>
      <c r="G214" s="1325"/>
      <c r="H214" s="1325"/>
      <c r="I214" s="1325"/>
      <c r="J214" s="1325"/>
      <c r="K214" s="1325"/>
      <c r="L214" s="1325"/>
      <c r="M214" s="1325"/>
      <c r="N214" s="1325"/>
      <c r="O214" s="1325"/>
      <c r="P214" s="1325"/>
      <c r="Q214" s="1325"/>
      <c r="R214" s="1325"/>
      <c r="S214" s="1325"/>
      <c r="T214" s="1325"/>
      <c r="U214" s="1325"/>
      <c r="V214" s="1325"/>
      <c r="W214" s="1325"/>
      <c r="X214" s="1325"/>
      <c r="Y214" s="1325"/>
      <c r="Z214" s="1325"/>
    </row>
    <row r="215" spans="1:26" ht="18.75" customHeight="1">
      <c r="A215" s="1325"/>
      <c r="B215" s="1379"/>
      <c r="C215" s="1325"/>
      <c r="D215" s="1379"/>
      <c r="E215" s="1325"/>
      <c r="F215" s="1325"/>
      <c r="G215" s="1325"/>
      <c r="H215" s="1325"/>
      <c r="I215" s="1325"/>
      <c r="J215" s="1325"/>
      <c r="K215" s="1325"/>
      <c r="L215" s="1325"/>
      <c r="M215" s="1325"/>
      <c r="N215" s="1325"/>
      <c r="O215" s="1325"/>
      <c r="P215" s="1325"/>
      <c r="Q215" s="1325"/>
      <c r="R215" s="1325"/>
      <c r="S215" s="1325"/>
      <c r="T215" s="1325"/>
      <c r="U215" s="1325"/>
      <c r="V215" s="1325"/>
      <c r="W215" s="1325"/>
      <c r="X215" s="1325"/>
      <c r="Y215" s="1325"/>
      <c r="Z215" s="1325"/>
    </row>
    <row r="216" spans="1:26" ht="18.75" customHeight="1">
      <c r="A216" s="1325"/>
      <c r="B216" s="1379"/>
      <c r="C216" s="1325"/>
      <c r="D216" s="1379"/>
      <c r="E216" s="1325"/>
      <c r="F216" s="1325"/>
      <c r="G216" s="1325"/>
      <c r="H216" s="1325"/>
      <c r="I216" s="1325"/>
      <c r="J216" s="1325"/>
      <c r="K216" s="1325"/>
      <c r="L216" s="1325"/>
      <c r="M216" s="1325"/>
      <c r="N216" s="1325"/>
      <c r="O216" s="1325"/>
      <c r="P216" s="1325"/>
      <c r="Q216" s="1325"/>
      <c r="R216" s="1325"/>
      <c r="S216" s="1325"/>
      <c r="T216" s="1325"/>
      <c r="U216" s="1325"/>
      <c r="V216" s="1325"/>
      <c r="W216" s="1325"/>
      <c r="X216" s="1325"/>
      <c r="Y216" s="1325"/>
      <c r="Z216" s="1325"/>
    </row>
    <row r="217" spans="1:26" ht="18.75" customHeight="1">
      <c r="A217" s="1325"/>
      <c r="B217" s="1379"/>
      <c r="C217" s="1325"/>
      <c r="D217" s="1379"/>
      <c r="E217" s="1325"/>
      <c r="F217" s="1325"/>
      <c r="G217" s="1325"/>
      <c r="H217" s="1325"/>
      <c r="I217" s="1325"/>
      <c r="J217" s="1325"/>
      <c r="K217" s="1325"/>
      <c r="L217" s="1325"/>
      <c r="M217" s="1325"/>
      <c r="N217" s="1325"/>
      <c r="O217" s="1325"/>
      <c r="P217" s="1325"/>
      <c r="Q217" s="1325"/>
      <c r="R217" s="1325"/>
      <c r="S217" s="1325"/>
      <c r="T217" s="1325"/>
      <c r="U217" s="1325"/>
      <c r="V217" s="1325"/>
      <c r="W217" s="1325"/>
      <c r="X217" s="1325"/>
      <c r="Y217" s="1325"/>
      <c r="Z217" s="1325"/>
    </row>
    <row r="218" spans="1:26" ht="18.75" customHeight="1">
      <c r="A218" s="1325"/>
      <c r="B218" s="1379"/>
      <c r="C218" s="1325"/>
      <c r="D218" s="1379"/>
      <c r="E218" s="1325"/>
      <c r="F218" s="1325"/>
      <c r="G218" s="1325"/>
      <c r="H218" s="1325"/>
      <c r="I218" s="1325"/>
      <c r="J218" s="1325"/>
      <c r="K218" s="1325"/>
      <c r="L218" s="1325"/>
      <c r="M218" s="1325"/>
      <c r="N218" s="1325"/>
      <c r="O218" s="1325"/>
      <c r="P218" s="1325"/>
      <c r="Q218" s="1325"/>
      <c r="R218" s="1325"/>
      <c r="S218" s="1325"/>
      <c r="T218" s="1325"/>
      <c r="U218" s="1325"/>
      <c r="V218" s="1325"/>
      <c r="W218" s="1325"/>
      <c r="X218" s="1325"/>
      <c r="Y218" s="1325"/>
      <c r="Z218" s="1325"/>
    </row>
    <row r="219" spans="1:26" ht="18.75" customHeight="1">
      <c r="A219" s="1325"/>
      <c r="B219" s="1379"/>
      <c r="C219" s="1325"/>
      <c r="D219" s="1379"/>
      <c r="E219" s="1325"/>
      <c r="F219" s="1325"/>
      <c r="G219" s="1325"/>
      <c r="H219" s="1325"/>
      <c r="I219" s="1325"/>
      <c r="J219" s="1325"/>
      <c r="K219" s="1325"/>
      <c r="L219" s="1325"/>
      <c r="M219" s="1325"/>
      <c r="N219" s="1325"/>
      <c r="O219" s="1325"/>
      <c r="P219" s="1325"/>
      <c r="Q219" s="1325"/>
      <c r="R219" s="1325"/>
      <c r="S219" s="1325"/>
      <c r="T219" s="1325"/>
      <c r="U219" s="1325"/>
      <c r="V219" s="1325"/>
      <c r="W219" s="1325"/>
      <c r="X219" s="1325"/>
      <c r="Y219" s="1325"/>
      <c r="Z219" s="1325"/>
    </row>
    <row r="220" spans="1:26" ht="18.75" customHeight="1">
      <c r="A220" s="1325"/>
      <c r="B220" s="1379"/>
      <c r="C220" s="1325"/>
      <c r="D220" s="1379"/>
      <c r="E220" s="1325"/>
      <c r="F220" s="1325"/>
      <c r="G220" s="1325"/>
      <c r="H220" s="1325"/>
      <c r="I220" s="1325"/>
      <c r="J220" s="1325"/>
      <c r="K220" s="1325"/>
      <c r="L220" s="1325"/>
      <c r="M220" s="1325"/>
      <c r="N220" s="1325"/>
      <c r="O220" s="1325"/>
      <c r="P220" s="1325"/>
      <c r="Q220" s="1325"/>
      <c r="R220" s="1325"/>
      <c r="S220" s="1325"/>
      <c r="T220" s="1325"/>
      <c r="U220" s="1325"/>
      <c r="V220" s="1325"/>
      <c r="W220" s="1325"/>
      <c r="X220" s="1325"/>
      <c r="Y220" s="1325"/>
      <c r="Z220" s="1325"/>
    </row>
    <row r="221" spans="1:26" ht="18.75" customHeight="1">
      <c r="A221" s="1325"/>
      <c r="B221" s="1379"/>
      <c r="C221" s="1325"/>
      <c r="D221" s="1379"/>
      <c r="E221" s="1325"/>
      <c r="F221" s="1325"/>
      <c r="G221" s="1325"/>
      <c r="H221" s="1325"/>
      <c r="I221" s="1325"/>
      <c r="J221" s="1325"/>
      <c r="K221" s="1325"/>
      <c r="L221" s="1325"/>
      <c r="M221" s="1325"/>
      <c r="N221" s="1325"/>
      <c r="O221" s="1325"/>
      <c r="P221" s="1325"/>
      <c r="Q221" s="1325"/>
      <c r="R221" s="1325"/>
      <c r="S221" s="1325"/>
      <c r="T221" s="1325"/>
      <c r="U221" s="1325"/>
      <c r="V221" s="1325"/>
      <c r="W221" s="1325"/>
      <c r="X221" s="1325"/>
      <c r="Y221" s="1325"/>
      <c r="Z221" s="1325"/>
    </row>
    <row r="222" spans="1:26" ht="18.75" customHeight="1">
      <c r="A222" s="1325"/>
      <c r="B222" s="1379"/>
      <c r="C222" s="1325"/>
      <c r="D222" s="1379"/>
      <c r="E222" s="1325"/>
      <c r="F222" s="1325"/>
      <c r="G222" s="1325"/>
      <c r="H222" s="1325"/>
      <c r="I222" s="1325"/>
      <c r="J222" s="1325"/>
      <c r="K222" s="1325"/>
      <c r="L222" s="1325"/>
      <c r="M222" s="1325"/>
      <c r="N222" s="1325"/>
      <c r="O222" s="1325"/>
      <c r="P222" s="1325"/>
      <c r="Q222" s="1325"/>
      <c r="R222" s="1325"/>
      <c r="S222" s="1325"/>
      <c r="T222" s="1325"/>
      <c r="U222" s="1325"/>
      <c r="V222" s="1325"/>
      <c r="W222" s="1325"/>
      <c r="X222" s="1325"/>
      <c r="Y222" s="1325"/>
      <c r="Z222" s="1325"/>
    </row>
    <row r="223" spans="1:26" ht="18.75" customHeight="1">
      <c r="A223" s="1325"/>
      <c r="B223" s="1379"/>
      <c r="C223" s="1325"/>
      <c r="D223" s="1379"/>
      <c r="E223" s="1325"/>
      <c r="F223" s="1325"/>
      <c r="G223" s="1325"/>
      <c r="H223" s="1325"/>
      <c r="I223" s="1325"/>
      <c r="J223" s="1325"/>
      <c r="K223" s="1325"/>
      <c r="L223" s="1325"/>
      <c r="M223" s="1325"/>
      <c r="N223" s="1325"/>
      <c r="O223" s="1325"/>
      <c r="P223" s="1325"/>
      <c r="Q223" s="1325"/>
      <c r="R223" s="1325"/>
      <c r="S223" s="1325"/>
      <c r="T223" s="1325"/>
      <c r="U223" s="1325"/>
      <c r="V223" s="1325"/>
      <c r="W223" s="1325"/>
      <c r="X223" s="1325"/>
      <c r="Y223" s="1325"/>
      <c r="Z223" s="1325"/>
    </row>
    <row r="224" spans="1:26" ht="18.75" customHeight="1">
      <c r="A224" s="1325"/>
      <c r="B224" s="1379"/>
      <c r="C224" s="1325"/>
      <c r="D224" s="1379"/>
      <c r="E224" s="1325"/>
      <c r="F224" s="1325"/>
      <c r="G224" s="1325"/>
      <c r="H224" s="1325"/>
      <c r="I224" s="1325"/>
      <c r="J224" s="1325"/>
      <c r="K224" s="1325"/>
      <c r="L224" s="1325"/>
      <c r="M224" s="1325"/>
      <c r="N224" s="1325"/>
      <c r="O224" s="1325"/>
      <c r="P224" s="1325"/>
      <c r="Q224" s="1325"/>
      <c r="R224" s="1325"/>
      <c r="S224" s="1325"/>
      <c r="T224" s="1325"/>
      <c r="U224" s="1325"/>
      <c r="V224" s="1325"/>
      <c r="W224" s="1325"/>
      <c r="X224" s="1325"/>
      <c r="Y224" s="1325"/>
      <c r="Z224" s="1325"/>
    </row>
    <row r="225" spans="1:26" ht="18.75" customHeight="1">
      <c r="A225" s="1325"/>
      <c r="B225" s="1379"/>
      <c r="C225" s="1325"/>
      <c r="D225" s="1379"/>
      <c r="E225" s="1325"/>
      <c r="F225" s="1325"/>
      <c r="G225" s="1325"/>
      <c r="H225" s="1325"/>
      <c r="I225" s="1325"/>
      <c r="J225" s="1325"/>
      <c r="K225" s="1325"/>
      <c r="L225" s="1325"/>
      <c r="M225" s="1325"/>
      <c r="N225" s="1325"/>
      <c r="O225" s="1325"/>
      <c r="P225" s="1325"/>
      <c r="Q225" s="1325"/>
      <c r="R225" s="1325"/>
      <c r="S225" s="1325"/>
      <c r="T225" s="1325"/>
      <c r="U225" s="1325"/>
      <c r="V225" s="1325"/>
      <c r="W225" s="1325"/>
      <c r="X225" s="1325"/>
      <c r="Y225" s="1325"/>
      <c r="Z225" s="1325"/>
    </row>
    <row r="226" spans="1:26" ht="18.75" customHeight="1">
      <c r="A226" s="1325"/>
      <c r="B226" s="1379"/>
      <c r="C226" s="1325"/>
      <c r="D226" s="1379"/>
      <c r="E226" s="1325"/>
      <c r="F226" s="1325"/>
      <c r="G226" s="1325"/>
      <c r="H226" s="1325"/>
      <c r="I226" s="1325"/>
      <c r="J226" s="1325"/>
      <c r="K226" s="1325"/>
      <c r="L226" s="1325"/>
      <c r="M226" s="1325"/>
      <c r="N226" s="1325"/>
      <c r="O226" s="1325"/>
      <c r="P226" s="1325"/>
      <c r="Q226" s="1325"/>
      <c r="R226" s="1325"/>
      <c r="S226" s="1325"/>
      <c r="T226" s="1325"/>
      <c r="U226" s="1325"/>
      <c r="V226" s="1325"/>
      <c r="W226" s="1325"/>
      <c r="X226" s="1325"/>
      <c r="Y226" s="1325"/>
      <c r="Z226" s="1325"/>
    </row>
    <row r="227" spans="1:26" ht="18.75" customHeight="1">
      <c r="A227" s="1325"/>
      <c r="B227" s="1379"/>
      <c r="C227" s="1325"/>
      <c r="D227" s="1379"/>
      <c r="E227" s="1325"/>
      <c r="F227" s="1325"/>
      <c r="G227" s="1325"/>
      <c r="H227" s="1325"/>
      <c r="I227" s="1325"/>
      <c r="J227" s="1325"/>
      <c r="K227" s="1325"/>
      <c r="L227" s="1325"/>
      <c r="M227" s="1325"/>
      <c r="N227" s="1325"/>
      <c r="O227" s="1325"/>
      <c r="P227" s="1325"/>
      <c r="Q227" s="1325"/>
      <c r="R227" s="1325"/>
      <c r="S227" s="1325"/>
      <c r="T227" s="1325"/>
      <c r="U227" s="1325"/>
      <c r="V227" s="1325"/>
      <c r="W227" s="1325"/>
      <c r="X227" s="1325"/>
      <c r="Y227" s="1325"/>
      <c r="Z227" s="1325"/>
    </row>
    <row r="228" spans="1:26" ht="18.75" customHeight="1">
      <c r="A228" s="1325"/>
      <c r="B228" s="1379"/>
      <c r="C228" s="1325"/>
      <c r="D228" s="1379"/>
      <c r="E228" s="1325"/>
      <c r="F228" s="1325"/>
      <c r="G228" s="1325"/>
      <c r="H228" s="1325"/>
      <c r="I228" s="1325"/>
      <c r="J228" s="1325"/>
      <c r="K228" s="1325"/>
      <c r="L228" s="1325"/>
      <c r="M228" s="1325"/>
      <c r="N228" s="1325"/>
      <c r="O228" s="1325"/>
      <c r="P228" s="1325"/>
      <c r="Q228" s="1325"/>
      <c r="R228" s="1325"/>
      <c r="S228" s="1325"/>
      <c r="T228" s="1325"/>
      <c r="U228" s="1325"/>
      <c r="V228" s="1325"/>
      <c r="W228" s="1325"/>
      <c r="X228" s="1325"/>
      <c r="Y228" s="1325"/>
      <c r="Z228" s="1325"/>
    </row>
    <row r="229" spans="1:26" ht="18.75" customHeight="1">
      <c r="A229" s="1325"/>
      <c r="B229" s="1379"/>
      <c r="C229" s="1325"/>
      <c r="D229" s="1379"/>
      <c r="E229" s="1325"/>
      <c r="F229" s="1325"/>
      <c r="G229" s="1325"/>
      <c r="H229" s="1325"/>
      <c r="I229" s="1325"/>
      <c r="J229" s="1325"/>
      <c r="K229" s="1325"/>
      <c r="L229" s="1325"/>
      <c r="M229" s="1325"/>
      <c r="N229" s="1325"/>
      <c r="O229" s="1325"/>
      <c r="P229" s="1325"/>
      <c r="Q229" s="1325"/>
      <c r="R229" s="1325"/>
      <c r="S229" s="1325"/>
      <c r="T229" s="1325"/>
      <c r="U229" s="1325"/>
      <c r="V229" s="1325"/>
      <c r="W229" s="1325"/>
      <c r="X229" s="1325"/>
      <c r="Y229" s="1325"/>
      <c r="Z229" s="1325"/>
    </row>
    <row r="230" spans="1:26" ht="18.75" customHeight="1">
      <c r="A230" s="1325"/>
      <c r="B230" s="1379"/>
      <c r="C230" s="1325"/>
      <c r="D230" s="1379"/>
      <c r="E230" s="1325"/>
      <c r="F230" s="1325"/>
      <c r="G230" s="1325"/>
      <c r="H230" s="1325"/>
      <c r="I230" s="1325"/>
      <c r="J230" s="1325"/>
      <c r="K230" s="1325"/>
      <c r="L230" s="1325"/>
      <c r="M230" s="1325"/>
      <c r="N230" s="1325"/>
      <c r="O230" s="1325"/>
      <c r="P230" s="1325"/>
      <c r="Q230" s="1325"/>
      <c r="R230" s="1325"/>
      <c r="S230" s="1325"/>
      <c r="T230" s="1325"/>
      <c r="U230" s="1325"/>
      <c r="V230" s="1325"/>
      <c r="W230" s="1325"/>
      <c r="X230" s="1325"/>
      <c r="Y230" s="1325"/>
      <c r="Z230" s="1325"/>
    </row>
    <row r="231" spans="1:26" ht="18.75" customHeight="1">
      <c r="A231" s="1325"/>
      <c r="B231" s="1379"/>
      <c r="C231" s="1325"/>
      <c r="D231" s="1379"/>
      <c r="E231" s="1325"/>
      <c r="F231" s="1325"/>
      <c r="G231" s="1325"/>
      <c r="H231" s="1325"/>
      <c r="I231" s="1325"/>
      <c r="J231" s="1325"/>
      <c r="K231" s="1325"/>
      <c r="L231" s="1325"/>
      <c r="M231" s="1325"/>
      <c r="N231" s="1325"/>
      <c r="O231" s="1325"/>
      <c r="P231" s="1325"/>
      <c r="Q231" s="1325"/>
      <c r="R231" s="1325"/>
      <c r="S231" s="1325"/>
      <c r="T231" s="1325"/>
      <c r="U231" s="1325"/>
      <c r="V231" s="1325"/>
      <c r="W231" s="1325"/>
      <c r="X231" s="1325"/>
      <c r="Y231" s="1325"/>
      <c r="Z231" s="1325"/>
    </row>
    <row r="232" spans="1:26" ht="18.75" customHeight="1">
      <c r="A232" s="1325"/>
      <c r="B232" s="1379"/>
      <c r="C232" s="1325"/>
      <c r="D232" s="1379"/>
      <c r="E232" s="1325"/>
      <c r="F232" s="1325"/>
      <c r="G232" s="1325"/>
      <c r="H232" s="1325"/>
      <c r="I232" s="1325"/>
      <c r="J232" s="1325"/>
      <c r="K232" s="1325"/>
      <c r="L232" s="1325"/>
      <c r="M232" s="1325"/>
      <c r="N232" s="1325"/>
      <c r="O232" s="1325"/>
      <c r="P232" s="1325"/>
      <c r="Q232" s="1325"/>
      <c r="R232" s="1325"/>
      <c r="S232" s="1325"/>
      <c r="T232" s="1325"/>
      <c r="U232" s="1325"/>
      <c r="V232" s="1325"/>
      <c r="W232" s="1325"/>
      <c r="X232" s="1325"/>
      <c r="Y232" s="1325"/>
      <c r="Z232" s="1325"/>
    </row>
    <row r="233" spans="1:26" ht="15.75" customHeight="1"/>
    <row r="234" spans="1:26" ht="15.75" customHeight="1"/>
    <row r="235" spans="1:26" ht="15.75" customHeight="1"/>
    <row r="236" spans="1:26" ht="15.75" customHeight="1"/>
    <row r="237" spans="1:26" ht="15.75" customHeight="1"/>
    <row r="238" spans="1:26" ht="15.75" customHeight="1"/>
    <row r="239" spans="1:26" ht="15.75" customHeight="1"/>
    <row r="240" spans="1:26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mergeCells count="15">
    <mergeCell ref="A16:H16"/>
    <mergeCell ref="A24:H24"/>
    <mergeCell ref="A28:H28"/>
    <mergeCell ref="A20:H20"/>
    <mergeCell ref="G21:H21"/>
    <mergeCell ref="G22:H22"/>
    <mergeCell ref="G23:H23"/>
    <mergeCell ref="A5:H5"/>
    <mergeCell ref="A9:H9"/>
    <mergeCell ref="A1:H1"/>
    <mergeCell ref="A2:G2"/>
    <mergeCell ref="A3:B3"/>
    <mergeCell ref="C3:H3"/>
    <mergeCell ref="A4:B4"/>
    <mergeCell ref="C4:H4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5165E-7395-4A33-BC61-B58C928E58FA}">
  <sheetPr codeName="Sheet16">
    <tabColor rgb="FFFF0000"/>
    <pageSetUpPr fitToPage="1"/>
  </sheetPr>
  <dimension ref="B1:BT165"/>
  <sheetViews>
    <sheetView showGridLines="0" topLeftCell="H123" zoomScale="98" zoomScaleNormal="98" zoomScaleSheetLayoutView="96" workbookViewId="0">
      <selection activeCell="X141" sqref="X141:AC141"/>
    </sheetView>
  </sheetViews>
  <sheetFormatPr defaultColWidth="4" defaultRowHeight="13"/>
  <cols>
    <col min="1" max="1" width="1.54296875" style="310" customWidth="1"/>
    <col min="2" max="2" width="4.26953125" style="310" customWidth="1"/>
    <col min="3" max="3" width="5.81640625" style="310" customWidth="1"/>
    <col min="4" max="4" width="4.7265625" style="310" customWidth="1"/>
    <col min="5" max="5" width="5.1796875" style="310" customWidth="1"/>
    <col min="6" max="6" width="4.26953125" style="310" customWidth="1"/>
    <col min="7" max="7" width="5.1796875" style="310" customWidth="1"/>
    <col min="8" max="8" width="4.7265625" style="310" customWidth="1"/>
    <col min="9" max="11" width="5.453125" style="310" customWidth="1"/>
    <col min="12" max="12" width="4.26953125" style="310" customWidth="1"/>
    <col min="13" max="13" width="5.1796875" style="310" customWidth="1"/>
    <col min="14" max="14" width="4.26953125" style="310" customWidth="1"/>
    <col min="15" max="15" width="5.7265625" style="310" customWidth="1"/>
    <col min="16" max="16" width="4.26953125" style="310" customWidth="1"/>
    <col min="17" max="17" width="5.81640625" style="310" customWidth="1"/>
    <col min="18" max="18" width="4.54296875" style="310" customWidth="1"/>
    <col min="19" max="19" width="5.1796875" style="310" customWidth="1"/>
    <col min="20" max="20" width="4.26953125" style="310" customWidth="1"/>
    <col min="21" max="21" width="5.1796875" style="310" customWidth="1"/>
    <col min="22" max="22" width="4.26953125" style="310" customWidth="1"/>
    <col min="23" max="23" width="5.1796875" style="310" customWidth="1"/>
    <col min="24" max="24" width="4.26953125" style="310" customWidth="1"/>
    <col min="25" max="25" width="5.1796875" style="310" customWidth="1"/>
    <col min="26" max="26" width="4.26953125" style="310" customWidth="1"/>
    <col min="27" max="27" width="5.1796875" style="310" customWidth="1"/>
    <col min="28" max="28" width="4.7265625" style="310" customWidth="1"/>
    <col min="29" max="29" width="5.1796875" style="310" customWidth="1"/>
    <col min="30" max="30" width="4.26953125" style="310" customWidth="1"/>
    <col min="31" max="31" width="5.1796875" style="310" customWidth="1"/>
    <col min="32" max="32" width="4.7265625" style="310" customWidth="1"/>
    <col min="33" max="33" width="5.1796875" style="310" customWidth="1"/>
    <col min="34" max="34" width="4.26953125" style="310" customWidth="1"/>
    <col min="35" max="35" width="5.1796875" style="310" customWidth="1"/>
    <col min="36" max="36" width="4.453125" style="310" customWidth="1"/>
    <col min="37" max="37" width="5.7265625" style="310" customWidth="1"/>
    <col min="38" max="38" width="4.26953125" style="310" customWidth="1"/>
    <col min="39" max="39" width="5.1796875" style="310" customWidth="1"/>
    <col min="40" max="40" width="4.7265625" style="310" customWidth="1"/>
    <col min="41" max="41" width="5.1796875" style="310" customWidth="1"/>
    <col min="42" max="42" width="3.81640625" style="310" customWidth="1"/>
    <col min="43" max="43" width="5.1796875" style="310" customWidth="1"/>
    <col min="44" max="44" width="6" style="310" customWidth="1"/>
    <col min="45" max="45" width="5.54296875" style="310" customWidth="1"/>
    <col min="46" max="46" width="6" style="310" customWidth="1"/>
    <col min="47" max="47" width="1.81640625" style="310" customWidth="1"/>
    <col min="48" max="48" width="4" style="310"/>
    <col min="49" max="49" width="6.453125" style="310" bestFit="1" customWidth="1"/>
    <col min="50" max="50" width="5.1796875" style="310" customWidth="1"/>
    <col min="51" max="53" width="4" style="310"/>
    <col min="54" max="54" width="6.7265625" style="310" bestFit="1" customWidth="1"/>
    <col min="55" max="16384" width="4" style="310"/>
  </cols>
  <sheetData>
    <row r="1" spans="2:54" ht="17.25" customHeight="1" thickBot="1">
      <c r="B1" s="1491" t="s">
        <v>189</v>
      </c>
      <c r="C1" s="1492"/>
      <c r="D1" s="1492"/>
      <c r="E1" s="1492"/>
      <c r="F1" s="1492"/>
      <c r="G1" s="1492"/>
      <c r="H1" s="1492"/>
      <c r="I1" s="1492"/>
      <c r="J1" s="1492"/>
      <c r="K1" s="1492"/>
      <c r="L1" s="1492"/>
      <c r="M1" s="1492"/>
      <c r="N1" s="1492"/>
      <c r="O1" s="1492"/>
      <c r="P1" s="1492"/>
      <c r="Q1" s="1492"/>
      <c r="R1" s="1492"/>
      <c r="S1" s="1492"/>
      <c r="T1" s="1492"/>
      <c r="U1" s="1492"/>
      <c r="V1" s="1492"/>
      <c r="W1" s="1492"/>
      <c r="X1" s="1492"/>
      <c r="Y1" s="1492"/>
      <c r="Z1" s="1492"/>
      <c r="AA1" s="1492"/>
      <c r="AB1" s="1492"/>
      <c r="AC1" s="1492"/>
      <c r="AD1" s="1492"/>
      <c r="AE1" s="1492"/>
      <c r="AF1" s="1492"/>
      <c r="AG1" s="1492"/>
      <c r="AH1" s="1492"/>
      <c r="AI1" s="1492"/>
      <c r="AJ1" s="1492"/>
      <c r="AK1" s="1492"/>
      <c r="AL1" s="1492"/>
      <c r="AM1" s="1492"/>
      <c r="AN1" s="1492"/>
      <c r="AO1" s="1492"/>
      <c r="AP1" s="1492"/>
      <c r="AQ1" s="1492"/>
      <c r="AR1" s="1492"/>
      <c r="AS1" s="1492"/>
      <c r="AT1" s="1493"/>
    </row>
    <row r="2" spans="2:54" ht="20.25" customHeight="1" thickBot="1">
      <c r="B2" s="311" t="str">
        <f>TA413_PBNTL!A3</f>
        <v>Name of Line: 765 KV D/C Bikaner III - Neemrana II TL02                                                                                                                                                                                                                     LOA Value: 378 Crore</v>
      </c>
      <c r="C2" s="312"/>
      <c r="D2" s="312"/>
      <c r="E2" s="312"/>
      <c r="F2" s="312"/>
      <c r="G2" s="312"/>
      <c r="H2" s="312"/>
      <c r="I2" s="312"/>
      <c r="J2" s="312"/>
      <c r="K2" s="312"/>
      <c r="L2" s="312"/>
      <c r="M2" s="312"/>
      <c r="N2" s="312"/>
      <c r="O2" s="312"/>
      <c r="P2" s="312"/>
      <c r="Q2" s="312"/>
      <c r="R2" s="312"/>
      <c r="S2" s="312"/>
      <c r="T2" s="312"/>
      <c r="U2" s="312"/>
      <c r="V2" s="313" t="s">
        <v>690</v>
      </c>
      <c r="W2" s="312"/>
      <c r="X2" s="312"/>
      <c r="Y2" s="312"/>
      <c r="Z2" s="168"/>
      <c r="AA2" s="168"/>
      <c r="AB2" s="168"/>
      <c r="AC2" s="168"/>
      <c r="AD2" s="168"/>
      <c r="AE2" s="168"/>
      <c r="AF2" s="168"/>
      <c r="AG2" s="168"/>
      <c r="AH2" s="168"/>
      <c r="AI2" s="168"/>
      <c r="AJ2" s="168"/>
      <c r="AK2" s="168"/>
      <c r="AL2" s="168"/>
      <c r="AM2" s="168"/>
      <c r="AN2" s="168"/>
      <c r="AO2" s="168"/>
      <c r="AP2" s="168"/>
      <c r="AQ2" s="1494" t="str">
        <f>TA413_PBNTL!M1</f>
        <v>17.07.2026</v>
      </c>
      <c r="AR2" s="1495"/>
      <c r="AS2" s="1495"/>
      <c r="AT2" s="169"/>
    </row>
    <row r="3" spans="2:54" ht="15.75" customHeight="1">
      <c r="B3" s="85"/>
      <c r="C3" s="170"/>
      <c r="D3" s="170"/>
      <c r="E3" s="170"/>
      <c r="F3" s="170"/>
      <c r="G3" s="170"/>
      <c r="H3" s="170"/>
      <c r="I3" s="170"/>
      <c r="J3" s="170"/>
      <c r="K3" s="170"/>
      <c r="L3" s="170"/>
      <c r="M3" s="170"/>
      <c r="N3" s="170"/>
      <c r="O3" s="170"/>
      <c r="P3" s="170"/>
      <c r="Q3" s="170"/>
      <c r="R3" s="170"/>
      <c r="S3" s="170"/>
      <c r="T3" s="170"/>
      <c r="U3" s="170"/>
      <c r="V3" s="170"/>
      <c r="W3" s="170"/>
      <c r="X3" s="170"/>
      <c r="AR3" s="170"/>
      <c r="AS3" s="170"/>
      <c r="AT3" s="86"/>
    </row>
    <row r="4" spans="2:54" ht="15" customHeight="1">
      <c r="B4" s="85"/>
      <c r="C4" s="1442" t="s">
        <v>91</v>
      </c>
      <c r="D4" s="1442"/>
      <c r="E4" s="1442" t="s">
        <v>131</v>
      </c>
      <c r="F4" s="1442"/>
      <c r="G4" s="1442"/>
      <c r="H4" s="1442"/>
      <c r="I4" s="1442" t="s">
        <v>274</v>
      </c>
      <c r="J4" s="1442"/>
      <c r="K4" s="1442" t="s">
        <v>986</v>
      </c>
      <c r="L4" s="1442"/>
      <c r="M4" s="1442" t="s">
        <v>255</v>
      </c>
      <c r="N4" s="1442"/>
      <c r="O4" s="1442"/>
      <c r="P4" s="1442" t="s">
        <v>0</v>
      </c>
      <c r="Q4" s="1442"/>
      <c r="R4" s="170"/>
      <c r="S4" s="170"/>
      <c r="T4" s="170" t="s">
        <v>517</v>
      </c>
      <c r="U4" s="170"/>
      <c r="V4" s="170"/>
      <c r="W4" s="170"/>
      <c r="X4" s="170"/>
      <c r="Z4" s="314"/>
      <c r="AA4" s="315"/>
      <c r="AC4" s="1442" t="s">
        <v>190</v>
      </c>
      <c r="AD4" s="1442"/>
      <c r="AE4" s="1442"/>
      <c r="AF4" s="1442"/>
      <c r="AI4" s="314"/>
      <c r="AJ4" s="315"/>
      <c r="AL4" s="1442" t="s">
        <v>199</v>
      </c>
      <c r="AM4" s="1442"/>
      <c r="AN4" s="1442"/>
      <c r="AO4" s="1442"/>
      <c r="AP4" s="1442"/>
      <c r="AQ4" s="1442"/>
      <c r="AR4" s="170"/>
      <c r="AS4" s="170"/>
      <c r="AT4" s="86"/>
    </row>
    <row r="5" spans="2:54" ht="15" customHeight="1">
      <c r="B5" s="85"/>
      <c r="C5" s="1453">
        <v>1</v>
      </c>
      <c r="D5" s="1453"/>
      <c r="E5" s="1442" t="s">
        <v>99</v>
      </c>
      <c r="F5" s="1442"/>
      <c r="G5" s="1442"/>
      <c r="H5" s="1442"/>
      <c r="I5" s="1453" t="s">
        <v>122</v>
      </c>
      <c r="J5" s="1453"/>
      <c r="K5" s="1454">
        <f>TA413_PBNTL!D11</f>
        <v>316</v>
      </c>
      <c r="L5" s="1454"/>
      <c r="M5" s="1456">
        <f>TA413_PBNTL!J11</f>
        <v>316</v>
      </c>
      <c r="N5" s="1456"/>
      <c r="O5" s="1456"/>
      <c r="P5" s="1456">
        <f>K5-M5</f>
        <v>0</v>
      </c>
      <c r="Q5" s="1456"/>
      <c r="R5" s="170"/>
      <c r="S5" s="170"/>
      <c r="T5" s="170"/>
      <c r="U5" s="170"/>
      <c r="V5" s="170"/>
      <c r="W5" s="170"/>
      <c r="X5" s="170"/>
      <c r="Z5" s="314"/>
      <c r="AA5" s="314"/>
      <c r="AC5" s="1442" t="s">
        <v>191</v>
      </c>
      <c r="AD5" s="1442"/>
      <c r="AE5" s="1442"/>
      <c r="AF5" s="1442"/>
      <c r="AI5" s="314"/>
      <c r="AJ5" s="314"/>
      <c r="AL5" s="1442" t="s">
        <v>200</v>
      </c>
      <c r="AM5" s="1442"/>
      <c r="AN5" s="1442"/>
      <c r="AO5" s="1442"/>
      <c r="AP5" s="1442"/>
      <c r="AQ5" s="1442"/>
      <c r="AR5" s="170"/>
      <c r="AS5" s="170"/>
      <c r="AT5" s="86"/>
    </row>
    <row r="6" spans="2:54">
      <c r="B6" s="85"/>
      <c r="C6" s="1453">
        <v>2</v>
      </c>
      <c r="D6" s="1453"/>
      <c r="E6" s="1442" t="s">
        <v>34</v>
      </c>
      <c r="F6" s="1442"/>
      <c r="G6" s="1442"/>
      <c r="H6" s="1442"/>
      <c r="I6" s="1453" t="s">
        <v>122</v>
      </c>
      <c r="J6" s="1453"/>
      <c r="K6" s="1454">
        <f>TA413_PBNTL!D12</f>
        <v>309</v>
      </c>
      <c r="L6" s="1454"/>
      <c r="M6" s="1456">
        <f>TA413_PBNTL!J12</f>
        <v>308</v>
      </c>
      <c r="N6" s="1456"/>
      <c r="O6" s="1456"/>
      <c r="P6" s="1456">
        <f>K6-M6</f>
        <v>1</v>
      </c>
      <c r="Q6" s="1456"/>
      <c r="R6" s="170"/>
      <c r="S6" s="170"/>
      <c r="T6" s="170" t="s">
        <v>519</v>
      </c>
      <c r="U6" s="170"/>
      <c r="V6" s="170"/>
      <c r="W6" s="170"/>
      <c r="X6" s="170"/>
      <c r="Z6" s="1455"/>
      <c r="AA6" s="314"/>
      <c r="AB6" s="1455"/>
      <c r="AC6" s="1442" t="s">
        <v>194</v>
      </c>
      <c r="AD6" s="1442"/>
      <c r="AE6" s="1442"/>
      <c r="AF6" s="1442"/>
      <c r="AI6" s="1455"/>
      <c r="AJ6" s="314">
        <v>4</v>
      </c>
      <c r="AK6" s="1455"/>
      <c r="AL6" s="1442" t="s">
        <v>201</v>
      </c>
      <c r="AM6" s="1442"/>
      <c r="AN6" s="1442"/>
      <c r="AO6" s="1442"/>
      <c r="AP6" s="1442"/>
      <c r="AQ6" s="1442"/>
      <c r="AR6" s="170"/>
      <c r="AS6" s="170"/>
      <c r="AT6" s="86"/>
    </row>
    <row r="7" spans="2:54">
      <c r="B7" s="85"/>
      <c r="C7" s="1453">
        <v>3</v>
      </c>
      <c r="D7" s="1453"/>
      <c r="E7" s="1442" t="s">
        <v>275</v>
      </c>
      <c r="F7" s="1442"/>
      <c r="G7" s="1442"/>
      <c r="H7" s="1442"/>
      <c r="I7" s="1453" t="s">
        <v>122</v>
      </c>
      <c r="J7" s="1453"/>
      <c r="K7" s="1454">
        <f>TA413_PBNTL!D13</f>
        <v>306</v>
      </c>
      <c r="L7" s="1454"/>
      <c r="M7" s="1456">
        <f>TA413_PBNTL!J13</f>
        <v>303</v>
      </c>
      <c r="N7" s="1456"/>
      <c r="O7" s="1456"/>
      <c r="P7" s="1456">
        <f>K7-M7</f>
        <v>3</v>
      </c>
      <c r="Q7" s="1456"/>
      <c r="R7" s="170"/>
      <c r="S7" s="170"/>
      <c r="T7" s="170"/>
      <c r="U7" s="170"/>
      <c r="V7" s="170"/>
      <c r="W7" s="170"/>
      <c r="X7" s="170"/>
      <c r="Z7" s="1455"/>
      <c r="AA7" s="1497">
        <v>1</v>
      </c>
      <c r="AB7" s="1455"/>
      <c r="AC7" s="1442" t="s">
        <v>195</v>
      </c>
      <c r="AD7" s="1442"/>
      <c r="AE7" s="1442"/>
      <c r="AF7" s="1442"/>
      <c r="AI7" s="1455"/>
      <c r="AJ7" s="316"/>
      <c r="AK7" s="1455"/>
      <c r="AL7" s="1436" t="s">
        <v>202</v>
      </c>
      <c r="AM7" s="1437"/>
      <c r="AN7" s="1437"/>
      <c r="AO7" s="1437"/>
      <c r="AP7" s="1437"/>
      <c r="AQ7" s="1438"/>
      <c r="AR7" s="170"/>
      <c r="AS7" s="170"/>
      <c r="AT7" s="86"/>
    </row>
    <row r="8" spans="2:54" ht="15" customHeight="1">
      <c r="B8" s="85"/>
      <c r="C8" s="1453">
        <v>4</v>
      </c>
      <c r="D8" s="1453"/>
      <c r="E8" s="1448" t="s">
        <v>276</v>
      </c>
      <c r="F8" s="1449"/>
      <c r="G8" s="1449"/>
      <c r="H8" s="1450"/>
      <c r="I8" s="1446" t="s">
        <v>159</v>
      </c>
      <c r="J8" s="1447"/>
      <c r="K8" s="1451">
        <f>TA413_PBNTL!D17</f>
        <v>117.85085099999999</v>
      </c>
      <c r="L8" s="1452"/>
      <c r="M8" s="1443">
        <f>TA413_PBNTL!J17</f>
        <v>93.601669999999999</v>
      </c>
      <c r="N8" s="1444"/>
      <c r="O8" s="1445"/>
      <c r="P8" s="1443">
        <f>K8-M8</f>
        <v>24.249180999999993</v>
      </c>
      <c r="Q8" s="1445"/>
      <c r="R8" s="170"/>
      <c r="S8" s="170"/>
      <c r="T8" s="170" t="s">
        <v>518</v>
      </c>
      <c r="U8" s="170"/>
      <c r="V8" s="170"/>
      <c r="W8" s="170"/>
      <c r="X8" s="170"/>
      <c r="Z8" s="1455"/>
      <c r="AA8" s="1498"/>
      <c r="AB8" s="1455"/>
      <c r="AC8" s="1442"/>
      <c r="AD8" s="1442"/>
      <c r="AE8" s="1442"/>
      <c r="AF8" s="1442"/>
      <c r="AI8" s="1455"/>
      <c r="AJ8" s="317">
        <v>3</v>
      </c>
      <c r="AK8" s="1455"/>
      <c r="AL8" s="1439"/>
      <c r="AM8" s="1440"/>
      <c r="AN8" s="1440"/>
      <c r="AO8" s="1440"/>
      <c r="AP8" s="1440"/>
      <c r="AQ8" s="1441"/>
      <c r="AR8" s="170"/>
      <c r="AS8" s="170"/>
      <c r="AT8" s="86"/>
    </row>
    <row r="9" spans="2:54" ht="15" customHeight="1">
      <c r="B9" s="85"/>
      <c r="C9" s="1446">
        <v>5</v>
      </c>
      <c r="D9" s="1447"/>
      <c r="E9" s="1448" t="s">
        <v>277</v>
      </c>
      <c r="F9" s="1449"/>
      <c r="G9" s="1449"/>
      <c r="H9" s="1450"/>
      <c r="I9" s="1446" t="s">
        <v>159</v>
      </c>
      <c r="J9" s="1447"/>
      <c r="K9" s="1451">
        <f>TA413_PBNTL!D18</f>
        <v>117.85085099999999</v>
      </c>
      <c r="L9" s="1452"/>
      <c r="M9" s="1443">
        <f>TA413_PBNTL!J18</f>
        <v>88.582669999999993</v>
      </c>
      <c r="N9" s="1444"/>
      <c r="O9" s="1445"/>
      <c r="P9" s="1443">
        <f>K9-M9</f>
        <v>29.268180999999998</v>
      </c>
      <c r="Q9" s="1445"/>
      <c r="R9" s="170"/>
      <c r="S9" s="170"/>
      <c r="T9" s="170"/>
      <c r="U9" s="170"/>
      <c r="V9" s="170"/>
      <c r="W9" s="170"/>
      <c r="X9" s="170"/>
      <c r="Z9" s="1455"/>
      <c r="AA9" s="318">
        <v>1</v>
      </c>
      <c r="AB9" s="1455"/>
      <c r="AC9" s="1442" t="s">
        <v>196</v>
      </c>
      <c r="AD9" s="1442"/>
      <c r="AE9" s="1442"/>
      <c r="AF9" s="1442"/>
      <c r="AI9" s="1455"/>
      <c r="AJ9" s="319">
        <v>2</v>
      </c>
      <c r="AK9" s="1455"/>
      <c r="AL9" s="1442" t="s">
        <v>203</v>
      </c>
      <c r="AM9" s="1442"/>
      <c r="AN9" s="1442"/>
      <c r="AO9" s="1442"/>
      <c r="AP9" s="1442"/>
      <c r="AQ9" s="1442"/>
      <c r="AR9" s="170"/>
      <c r="AS9" s="170"/>
      <c r="AT9" s="86"/>
    </row>
    <row r="10" spans="2:54" ht="15" customHeight="1">
      <c r="B10" s="85"/>
      <c r="C10" s="170"/>
      <c r="D10" s="170"/>
      <c r="E10" s="170"/>
      <c r="F10" s="170"/>
      <c r="G10" s="170"/>
      <c r="H10" s="170"/>
      <c r="I10" s="170"/>
      <c r="J10" s="170"/>
      <c r="K10" s="170"/>
      <c r="L10" s="170"/>
      <c r="M10" s="170"/>
      <c r="N10" s="170"/>
      <c r="O10" s="170"/>
      <c r="P10" s="170"/>
      <c r="Q10" s="170"/>
      <c r="R10" s="170"/>
      <c r="S10" s="170"/>
      <c r="T10" s="170" t="s">
        <v>513</v>
      </c>
      <c r="U10" s="170"/>
      <c r="V10" s="170"/>
      <c r="W10" s="170"/>
      <c r="X10" s="170"/>
      <c r="Z10" s="314"/>
      <c r="AA10" s="314"/>
      <c r="AC10" s="1453"/>
      <c r="AD10" s="1453"/>
      <c r="AE10" s="1453"/>
      <c r="AF10" s="1453"/>
      <c r="AI10" s="314"/>
      <c r="AJ10" s="314"/>
      <c r="AL10" s="1442" t="s">
        <v>204</v>
      </c>
      <c r="AM10" s="1442"/>
      <c r="AN10" s="1442"/>
      <c r="AO10" s="1442"/>
      <c r="AP10" s="1442"/>
      <c r="AQ10" s="1442"/>
      <c r="AR10" s="170"/>
      <c r="AS10" s="170"/>
      <c r="AT10" s="86"/>
    </row>
    <row r="11" spans="2:54" ht="15" customHeight="1">
      <c r="B11" s="85"/>
      <c r="C11" s="170"/>
      <c r="D11" s="170"/>
      <c r="E11" s="170"/>
      <c r="F11" s="170"/>
      <c r="G11" s="170"/>
      <c r="H11" s="170"/>
      <c r="I11" s="170"/>
      <c r="J11" s="170"/>
      <c r="K11" s="170"/>
      <c r="L11" s="170"/>
      <c r="M11" s="170"/>
      <c r="N11" s="170"/>
      <c r="O11" s="170"/>
      <c r="P11" s="1500"/>
      <c r="Q11" s="1500"/>
      <c r="R11" s="170"/>
      <c r="S11" s="170"/>
      <c r="T11" s="170"/>
      <c r="U11" s="170"/>
      <c r="V11" s="170"/>
      <c r="W11" s="170"/>
      <c r="X11" s="170"/>
      <c r="Y11" s="170"/>
      <c r="Z11" s="170"/>
      <c r="AA11" s="170"/>
      <c r="AB11" s="170"/>
      <c r="AC11" s="170"/>
      <c r="AD11" s="170"/>
      <c r="AE11" s="170"/>
      <c r="AF11" s="170"/>
      <c r="AG11" s="170"/>
      <c r="AH11" s="170"/>
      <c r="AI11" s="170"/>
      <c r="AJ11" s="170"/>
      <c r="AK11" s="170"/>
      <c r="AL11" s="170"/>
      <c r="AM11" s="170"/>
      <c r="AN11" s="170"/>
      <c r="AO11" s="170"/>
      <c r="AP11" s="170"/>
      <c r="AQ11" s="170"/>
      <c r="AR11" s="170"/>
      <c r="AS11" s="170"/>
      <c r="AT11" s="86"/>
    </row>
    <row r="12" spans="2:54" ht="15" customHeight="1">
      <c r="B12" s="320"/>
      <c r="C12" s="321"/>
      <c r="D12" s="322"/>
      <c r="E12" s="323"/>
      <c r="F12" s="321"/>
      <c r="G12" s="321"/>
      <c r="H12" s="324"/>
      <c r="I12" s="325"/>
      <c r="J12" s="324"/>
      <c r="K12" s="325"/>
      <c r="L12" s="325"/>
      <c r="M12" s="325"/>
      <c r="N12" s="324"/>
      <c r="O12" s="325"/>
      <c r="P12" s="324"/>
      <c r="Q12" s="325">
        <f>O12+1</f>
        <v>1</v>
      </c>
      <c r="R12" s="325"/>
      <c r="S12" s="325">
        <v>2</v>
      </c>
      <c r="T12" s="325"/>
      <c r="U12" s="325">
        <f>S12+1</f>
        <v>3</v>
      </c>
      <c r="V12" s="325"/>
      <c r="W12" s="325">
        <f>U12+1</f>
        <v>4</v>
      </c>
      <c r="X12" s="325"/>
      <c r="Y12" s="325">
        <f>W12+1</f>
        <v>5</v>
      </c>
      <c r="Z12" s="325"/>
      <c r="AA12" s="325">
        <f>Y12+1</f>
        <v>6</v>
      </c>
      <c r="AB12" s="325"/>
      <c r="AC12" s="325">
        <f>AA12+1</f>
        <v>7</v>
      </c>
      <c r="AD12" s="325"/>
      <c r="AE12" s="325">
        <f>AC12+1</f>
        <v>8</v>
      </c>
      <c r="AF12" s="325"/>
      <c r="AG12" s="325">
        <f>AE12+1</f>
        <v>9</v>
      </c>
      <c r="AH12" s="325"/>
      <c r="AI12" s="325">
        <f>AG12+1</f>
        <v>10</v>
      </c>
      <c r="AJ12" s="325"/>
      <c r="AK12" s="325">
        <f>AI12+1</f>
        <v>11</v>
      </c>
      <c r="AL12" s="325"/>
      <c r="AM12" s="325">
        <f>AK12+1</f>
        <v>12</v>
      </c>
      <c r="AN12" s="325"/>
      <c r="AO12" s="325">
        <f>AM12+1</f>
        <v>13</v>
      </c>
      <c r="AP12" s="325"/>
      <c r="AQ12" s="325">
        <f>AO12+1</f>
        <v>14</v>
      </c>
      <c r="AR12" s="325"/>
      <c r="AS12" s="325">
        <f>AQ12+1</f>
        <v>15</v>
      </c>
      <c r="AT12" s="326"/>
      <c r="BB12" s="935"/>
    </row>
    <row r="13" spans="2:54" ht="15" customHeight="1">
      <c r="B13" s="320"/>
      <c r="C13" s="321"/>
      <c r="D13" s="322" t="s">
        <v>653</v>
      </c>
      <c r="E13" s="323"/>
      <c r="F13" s="321"/>
      <c r="G13" s="321"/>
      <c r="H13" s="327"/>
      <c r="I13" s="325"/>
      <c r="J13" s="327"/>
      <c r="K13" s="327"/>
      <c r="L13" s="327"/>
      <c r="M13" s="327"/>
      <c r="N13" s="328"/>
      <c r="O13" s="329" t="s">
        <v>1160</v>
      </c>
      <c r="P13" s="328"/>
      <c r="Q13" s="329" t="s">
        <v>268</v>
      </c>
      <c r="R13" s="329"/>
      <c r="S13" s="329" t="s">
        <v>1248</v>
      </c>
      <c r="T13" s="329"/>
      <c r="U13" s="329" t="s">
        <v>1250</v>
      </c>
      <c r="V13" s="329"/>
      <c r="W13" s="329" t="s">
        <v>1251</v>
      </c>
      <c r="X13" s="329"/>
      <c r="Y13" s="329" t="s">
        <v>1252</v>
      </c>
      <c r="Z13" s="329"/>
      <c r="AA13" s="329" t="s">
        <v>1253</v>
      </c>
      <c r="AB13" s="329"/>
      <c r="AC13" s="329" t="s">
        <v>1254</v>
      </c>
      <c r="AD13" s="329"/>
      <c r="AE13" s="329" t="s">
        <v>1255</v>
      </c>
      <c r="AF13" s="329"/>
      <c r="AG13" s="329" t="s">
        <v>1256</v>
      </c>
      <c r="AH13" s="329"/>
      <c r="AI13" s="329" t="s">
        <v>1257</v>
      </c>
      <c r="AJ13" s="329"/>
      <c r="AK13" s="329" t="s">
        <v>1258</v>
      </c>
      <c r="AL13" s="329"/>
      <c r="AM13" s="329" t="s">
        <v>1259</v>
      </c>
      <c r="AN13" s="329"/>
      <c r="AO13" s="329" t="s">
        <v>1260</v>
      </c>
      <c r="AP13" s="329"/>
      <c r="AQ13" s="329" t="s">
        <v>1261</v>
      </c>
      <c r="AR13" s="329"/>
      <c r="AS13" s="329" t="s">
        <v>1262</v>
      </c>
      <c r="AT13" s="326"/>
    </row>
    <row r="14" spans="2:54" ht="15" customHeight="1">
      <c r="B14" s="330"/>
      <c r="C14" s="331"/>
      <c r="D14" s="331"/>
      <c r="E14" s="331"/>
      <c r="F14" s="331"/>
      <c r="G14" s="331"/>
      <c r="T14" s="314"/>
      <c r="V14" s="314"/>
      <c r="X14" s="314"/>
      <c r="Z14" s="314"/>
      <c r="AB14" s="314"/>
      <c r="AD14" s="314"/>
      <c r="AF14" s="314"/>
      <c r="AH14" s="314"/>
      <c r="AJ14" s="314"/>
      <c r="AL14" s="314"/>
      <c r="AN14" s="314"/>
      <c r="AP14" s="314"/>
      <c r="AR14" s="314"/>
      <c r="AT14" s="326"/>
    </row>
    <row r="15" spans="2:54" ht="15" customHeight="1">
      <c r="B15" s="1499"/>
      <c r="C15" s="331"/>
      <c r="D15" s="322" t="s">
        <v>278</v>
      </c>
      <c r="E15" s="331"/>
      <c r="F15" s="331"/>
      <c r="G15" s="331"/>
      <c r="H15" s="333"/>
      <c r="AT15" s="326"/>
      <c r="AW15" s="939"/>
      <c r="AX15" s="939"/>
      <c r="AY15" s="939"/>
      <c r="AZ15" s="939"/>
      <c r="BA15" s="939"/>
      <c r="BB15" s="939"/>
    </row>
    <row r="16" spans="2:54" ht="21" customHeight="1">
      <c r="B16" s="1499"/>
      <c r="C16" s="331"/>
      <c r="D16" s="331"/>
      <c r="E16" s="331"/>
      <c r="F16" s="331"/>
      <c r="G16" s="331"/>
      <c r="K16" s="334" t="s">
        <v>312</v>
      </c>
      <c r="O16" s="335"/>
      <c r="P16" s="314">
        <v>150</v>
      </c>
      <c r="Q16" s="654">
        <v>3</v>
      </c>
      <c r="R16" s="337">
        <v>290.20999999999998</v>
      </c>
      <c r="S16" s="654">
        <v>3</v>
      </c>
      <c r="T16" s="337">
        <f>VLOOKUP(S13,'Location Summary'!$G$2:$H$604,2,FALSE)</f>
        <v>378</v>
      </c>
      <c r="U16" s="654">
        <v>3</v>
      </c>
      <c r="V16" s="337">
        <f>VLOOKUP(U13,'Location Summary'!$G$2:$H$604,2,FALSE)</f>
        <v>381</v>
      </c>
      <c r="W16" s="654">
        <v>3</v>
      </c>
      <c r="X16" s="337">
        <f>VLOOKUP(W13,'Location Summary'!$G$2:$H$604,2,FALSE)</f>
        <v>419</v>
      </c>
      <c r="Y16" s="654">
        <v>3</v>
      </c>
      <c r="Z16" s="337">
        <f>VLOOKUP(Y13,'Location Summary'!$G$2:$H$604,2,FALSE)</f>
        <v>422</v>
      </c>
      <c r="AA16" s="654">
        <v>3</v>
      </c>
      <c r="AB16" s="337">
        <f>VLOOKUP(AA13,'Location Summary'!$G$2:$H$604,2,FALSE)</f>
        <v>399</v>
      </c>
      <c r="AC16" s="654">
        <v>3</v>
      </c>
      <c r="AD16" s="337">
        <f>VLOOKUP(AC13,'Location Summary'!$G$2:$H$604,2,FALSE)</f>
        <v>423</v>
      </c>
      <c r="AE16" s="336">
        <v>3</v>
      </c>
      <c r="AF16" s="337">
        <f>VLOOKUP(AE13,'Location Summary'!$G$2:$H$604,2,FALSE)</f>
        <v>414.99200000000002</v>
      </c>
      <c r="AG16" s="654">
        <v>3</v>
      </c>
      <c r="AH16" s="337">
        <f>VLOOKUP(AG13,'Location Summary'!$G$2:$H$604,2,FALSE)</f>
        <v>409</v>
      </c>
      <c r="AI16" s="336">
        <v>3</v>
      </c>
      <c r="AJ16" s="337">
        <f>VLOOKUP(AI13,'Location Summary'!$G$2:$H$604,2,FALSE)</f>
        <v>402</v>
      </c>
      <c r="AK16" s="336">
        <v>3</v>
      </c>
      <c r="AL16" s="337">
        <f>VLOOKUP(AK13,'Location Summary'!$G$2:$H$604,2,FALSE)</f>
        <v>409</v>
      </c>
      <c r="AM16" s="336">
        <v>3</v>
      </c>
      <c r="AN16" s="337">
        <f>VLOOKUP(AM13,'Location Summary'!$G$2:$H$604,2,FALSE)</f>
        <v>337</v>
      </c>
      <c r="AO16" s="336">
        <v>3</v>
      </c>
      <c r="AP16" s="337">
        <f>VLOOKUP(AO13,'Location Summary'!$G$2:$H$604,2,FALSE)</f>
        <v>365</v>
      </c>
      <c r="AQ16" s="336">
        <v>3</v>
      </c>
      <c r="AR16" s="337">
        <f>VLOOKUP(AQ13,'Location Summary'!$G$2:$H$604,2,FALSE)</f>
        <v>378</v>
      </c>
      <c r="AS16" s="336">
        <v>3</v>
      </c>
      <c r="AT16" s="338">
        <f>VLOOKUP(AS13,'Location Summary'!$G$2:$H$604,2,FALSE)</f>
        <v>391.46699999999998</v>
      </c>
    </row>
    <row r="17" spans="2:53" ht="15" customHeight="1">
      <c r="B17" s="1499"/>
      <c r="C17" s="321"/>
      <c r="D17" s="339" t="s">
        <v>279</v>
      </c>
      <c r="E17" s="339"/>
      <c r="F17" s="321"/>
      <c r="G17" s="321"/>
      <c r="H17" s="333"/>
      <c r="I17" s="328"/>
      <c r="J17" s="328"/>
      <c r="K17" s="328"/>
      <c r="L17" s="328"/>
      <c r="O17" s="340"/>
      <c r="P17" s="328"/>
      <c r="Q17" s="341">
        <v>2</v>
      </c>
      <c r="S17" s="341">
        <v>2</v>
      </c>
      <c r="U17" s="341">
        <v>2</v>
      </c>
      <c r="W17" s="341">
        <v>2</v>
      </c>
      <c r="Y17" s="341">
        <v>2</v>
      </c>
      <c r="AA17" s="341">
        <v>2</v>
      </c>
      <c r="AC17" s="341">
        <v>2</v>
      </c>
      <c r="AE17" s="341">
        <v>2</v>
      </c>
      <c r="AG17" s="341">
        <v>2</v>
      </c>
      <c r="AI17" s="341">
        <v>2</v>
      </c>
      <c r="AK17" s="341">
        <v>2</v>
      </c>
      <c r="AM17" s="341">
        <v>2</v>
      </c>
      <c r="AO17" s="341">
        <v>2</v>
      </c>
      <c r="AQ17" s="341">
        <v>2</v>
      </c>
      <c r="AS17" s="341">
        <v>2</v>
      </c>
      <c r="AT17" s="326"/>
      <c r="BA17" s="936"/>
    </row>
    <row r="18" spans="2:53" ht="15" customHeight="1">
      <c r="B18" s="332"/>
      <c r="C18" s="321"/>
      <c r="D18" s="321"/>
      <c r="E18" s="321"/>
      <c r="F18" s="321"/>
      <c r="G18" s="321"/>
      <c r="H18" s="328"/>
      <c r="I18" s="328"/>
      <c r="J18" s="328"/>
      <c r="K18" s="328"/>
      <c r="L18" s="328"/>
      <c r="O18" s="314" t="s">
        <v>244</v>
      </c>
      <c r="P18" s="328"/>
      <c r="Q18" s="314" t="str">
        <f>VLOOKUP(Q13,'Location Summary'!$C$2:$J$604,2,FALSE)</f>
        <v>DD60+0</v>
      </c>
      <c r="R18" s="328"/>
      <c r="S18" s="314" t="str">
        <f>VLOOKUP(S13,'Location Summary'!$C$2:$J$604,2,FALSE)</f>
        <v>DD45+0</v>
      </c>
      <c r="T18" s="342"/>
      <c r="U18" s="314" t="str">
        <f>VLOOKUP(U13,'Location Summary'!$C$2:$J$604,2,FALSE)</f>
        <v>DA+0</v>
      </c>
      <c r="V18" s="342"/>
      <c r="W18" s="314" t="str">
        <f>VLOOKUP(W13,'Location Summary'!$C$2:$J$604,2,FALSE)</f>
        <v>DA+3</v>
      </c>
      <c r="X18" s="342"/>
      <c r="Y18" s="314" t="str">
        <f>VLOOKUP(Y13,'Location Summary'!$C$2:$J$604,2,FALSE)</f>
        <v>DA+3</v>
      </c>
      <c r="Z18" s="342"/>
      <c r="AA18" s="314" t="str">
        <f>VLOOKUP(AA13,'Location Summary'!$C$2:$J$604,2,FALSE)</f>
        <v>DA+3</v>
      </c>
      <c r="AB18" s="342"/>
      <c r="AC18" s="314" t="str">
        <f>VLOOKUP(AC13,'Location Summary'!$C$2:$J$604,2,FALSE)</f>
        <v>DA+3</v>
      </c>
      <c r="AD18" s="342"/>
      <c r="AE18" s="314" t="str">
        <f>VLOOKUP(AE13,'Location Summary'!$C$2:$J$604,2,FALSE)</f>
        <v>DA+6</v>
      </c>
      <c r="AF18" s="342"/>
      <c r="AG18" s="314" t="str">
        <f>VLOOKUP(AG13,'Location Summary'!$C$2:$J$604,2,FALSE)</f>
        <v>DD45+3</v>
      </c>
      <c r="AH18" s="342"/>
      <c r="AI18" s="314" t="str">
        <f>VLOOKUP(AI13,'Location Summary'!$C$2:$J$604,2,FALSE)</f>
        <v>DA+3</v>
      </c>
      <c r="AJ18" s="342"/>
      <c r="AK18" s="314" t="str">
        <f>VLOOKUP(AK13,'Location Summary'!$C$2:$J$604,2,FALSE)</f>
        <v>DA+3</v>
      </c>
      <c r="AL18" s="342"/>
      <c r="AM18" s="314" t="str">
        <f>VLOOKUP(AM13,'Location Summary'!$C$2:$J$604,2,FALSE)</f>
        <v>DA+0</v>
      </c>
      <c r="AN18" s="342"/>
      <c r="AO18" s="314" t="str">
        <f>VLOOKUP(AO13,'Location Summary'!$C$2:$J$604,2,FALSE)</f>
        <v>DA+0</v>
      </c>
      <c r="AP18" s="342"/>
      <c r="AQ18" s="314" t="str">
        <f>VLOOKUP(AQ13,'Location Summary'!$C$2:$J$604,2,FALSE)</f>
        <v>DA+3</v>
      </c>
      <c r="AS18" s="314" t="str">
        <f>VLOOKUP(AS13,'Location Summary'!$C$2:$J$604,2,FALSE)</f>
        <v>DA+0</v>
      </c>
      <c r="AT18" s="326"/>
    </row>
    <row r="19" spans="2:53" ht="15" customHeight="1">
      <c r="B19" s="332"/>
      <c r="C19" s="321"/>
      <c r="D19" s="321"/>
      <c r="E19" s="321"/>
      <c r="F19" s="321"/>
      <c r="G19" s="321"/>
      <c r="H19" s="328"/>
      <c r="I19" s="328"/>
      <c r="J19" s="328"/>
      <c r="K19" s="328"/>
      <c r="L19" s="328"/>
      <c r="M19" s="328"/>
      <c r="N19" s="328"/>
      <c r="O19" s="328"/>
      <c r="P19" s="328"/>
      <c r="Q19" s="1008"/>
      <c r="R19" s="1008"/>
      <c r="S19" s="1008"/>
      <c r="T19" s="1008"/>
      <c r="U19" s="1008"/>
      <c r="V19" s="342"/>
      <c r="W19" s="314"/>
      <c r="X19" s="342"/>
      <c r="Y19" s="343"/>
      <c r="Z19" s="342"/>
      <c r="AA19" s="314"/>
      <c r="AB19" s="342"/>
      <c r="AC19" s="314"/>
      <c r="AD19" s="342"/>
      <c r="AE19" s="314"/>
      <c r="AF19" s="342"/>
      <c r="AG19" s="344"/>
      <c r="AH19" s="344"/>
      <c r="AI19" s="344"/>
      <c r="AJ19" s="344"/>
      <c r="AK19" s="344"/>
      <c r="AL19" s="344"/>
      <c r="AM19" s="344"/>
      <c r="AN19" s="344"/>
      <c r="AO19" s="344"/>
      <c r="AP19" s="344"/>
      <c r="AQ19" s="344"/>
      <c r="AR19" s="344"/>
      <c r="AS19" s="344"/>
      <c r="AT19" s="326"/>
    </row>
    <row r="20" spans="2:53" ht="15" customHeight="1">
      <c r="B20" s="345"/>
      <c r="C20" s="343">
        <f>AS12+1</f>
        <v>16</v>
      </c>
      <c r="D20" s="343"/>
      <c r="E20" s="343">
        <f>C20+1</f>
        <v>17</v>
      </c>
      <c r="F20" s="343"/>
      <c r="G20" s="343">
        <f>E20+1</f>
        <v>18</v>
      </c>
      <c r="H20" s="343"/>
      <c r="I20" s="343">
        <f>G20+1</f>
        <v>19</v>
      </c>
      <c r="J20" s="343"/>
      <c r="K20" s="343">
        <f>I20+1</f>
        <v>20</v>
      </c>
      <c r="L20" s="343"/>
      <c r="M20" s="343">
        <f>K20+1</f>
        <v>21</v>
      </c>
      <c r="N20" s="343"/>
      <c r="O20" s="343">
        <f>M20+1</f>
        <v>22</v>
      </c>
      <c r="P20" s="343"/>
      <c r="Q20" s="343">
        <f>O20+1</f>
        <v>23</v>
      </c>
      <c r="R20" s="343"/>
      <c r="S20" s="343">
        <f>Q20+1</f>
        <v>24</v>
      </c>
      <c r="T20" s="343"/>
      <c r="U20" s="343">
        <f>S20+1</f>
        <v>25</v>
      </c>
      <c r="V20" s="343"/>
      <c r="W20" s="343">
        <f>U20+1</f>
        <v>26</v>
      </c>
      <c r="X20" s="343"/>
      <c r="Y20" s="343">
        <f>W20+1</f>
        <v>27</v>
      </c>
      <c r="Z20" s="343"/>
      <c r="AA20" s="343">
        <f>Y20+1</f>
        <v>28</v>
      </c>
      <c r="AB20" s="343"/>
      <c r="AC20" s="343">
        <f>AA20+1</f>
        <v>29</v>
      </c>
      <c r="AD20" s="343"/>
      <c r="AE20" s="343">
        <f>AC20+1</f>
        <v>30</v>
      </c>
      <c r="AF20" s="343"/>
      <c r="AG20" s="343">
        <f>AE20+1</f>
        <v>31</v>
      </c>
      <c r="AH20" s="343"/>
      <c r="AI20" s="343">
        <f>AG20+1</f>
        <v>32</v>
      </c>
      <c r="AJ20" s="343"/>
      <c r="AK20" s="343">
        <f>AI20+1</f>
        <v>33</v>
      </c>
      <c r="AL20" s="343"/>
      <c r="AM20" s="343">
        <f>AK20+1</f>
        <v>34</v>
      </c>
      <c r="AN20" s="343"/>
      <c r="AO20" s="343">
        <f>AM20+1</f>
        <v>35</v>
      </c>
      <c r="AP20" s="343"/>
      <c r="AQ20" s="343">
        <f>AO20+1</f>
        <v>36</v>
      </c>
      <c r="AR20" s="343"/>
      <c r="AS20" s="343">
        <f>AQ20+1</f>
        <v>37</v>
      </c>
      <c r="AT20" s="326"/>
    </row>
    <row r="21" spans="2:53" s="351" customFormat="1" ht="15" customHeight="1">
      <c r="B21" s="346"/>
      <c r="C21" s="347" t="s">
        <v>1263</v>
      </c>
      <c r="D21" s="343"/>
      <c r="E21" s="347" t="s">
        <v>1264</v>
      </c>
      <c r="F21" s="343"/>
      <c r="G21" s="347" t="s">
        <v>1265</v>
      </c>
      <c r="H21" s="343"/>
      <c r="I21" s="329" t="s">
        <v>1266</v>
      </c>
      <c r="J21" s="348"/>
      <c r="K21" s="329" t="s">
        <v>256</v>
      </c>
      <c r="L21" s="343"/>
      <c r="M21" s="349" t="s">
        <v>452</v>
      </c>
      <c r="N21" s="343"/>
      <c r="O21" s="347" t="s">
        <v>890</v>
      </c>
      <c r="P21" s="343"/>
      <c r="Q21" s="347" t="s">
        <v>891</v>
      </c>
      <c r="R21" s="343"/>
      <c r="S21" s="329" t="s">
        <v>892</v>
      </c>
      <c r="T21" s="343"/>
      <c r="U21" s="329" t="s">
        <v>893</v>
      </c>
      <c r="V21" s="343"/>
      <c r="W21" s="329" t="s">
        <v>894</v>
      </c>
      <c r="Y21" s="347" t="s">
        <v>895</v>
      </c>
      <c r="Z21" s="343"/>
      <c r="AA21" s="347" t="s">
        <v>896</v>
      </c>
      <c r="AB21" s="343"/>
      <c r="AC21" s="347" t="s">
        <v>257</v>
      </c>
      <c r="AD21" s="343"/>
      <c r="AE21" s="347" t="s">
        <v>457</v>
      </c>
      <c r="AF21" s="343"/>
      <c r="AG21" s="347" t="s">
        <v>458</v>
      </c>
      <c r="AH21" s="343"/>
      <c r="AI21" s="329" t="s">
        <v>459</v>
      </c>
      <c r="AJ21" s="348"/>
      <c r="AK21" s="329" t="s">
        <v>460</v>
      </c>
      <c r="AL21" s="343"/>
      <c r="AM21" s="349" t="s">
        <v>461</v>
      </c>
      <c r="AN21" s="343"/>
      <c r="AO21" s="347" t="s">
        <v>462</v>
      </c>
      <c r="AP21" s="343"/>
      <c r="AQ21" s="347" t="s">
        <v>463</v>
      </c>
      <c r="AR21" s="343"/>
      <c r="AS21" s="329" t="s">
        <v>464</v>
      </c>
      <c r="AT21" s="350"/>
      <c r="AU21" s="329"/>
      <c r="AV21" s="343"/>
    </row>
    <row r="22" spans="2:53" ht="15" customHeight="1">
      <c r="B22" s="352"/>
      <c r="T22" s="314"/>
      <c r="V22" s="314"/>
      <c r="X22" s="314"/>
      <c r="Z22" s="314"/>
      <c r="AB22" s="314"/>
      <c r="AD22" s="314"/>
      <c r="AF22" s="314"/>
      <c r="AH22" s="314"/>
      <c r="AJ22" s="314"/>
      <c r="AL22" s="314"/>
      <c r="AN22" s="314"/>
      <c r="AP22" s="314"/>
      <c r="AR22" s="314"/>
      <c r="AT22" s="326"/>
    </row>
    <row r="23" spans="2:53" ht="15" customHeight="1">
      <c r="B23" s="1496"/>
      <c r="AT23" s="326"/>
    </row>
    <row r="24" spans="2:53" ht="20.25" customHeight="1">
      <c r="B24" s="1496"/>
      <c r="C24" s="654">
        <v>3</v>
      </c>
      <c r="D24" s="337">
        <f>VLOOKUP(C21,'Location Summary'!$G$2:$H$604,2,FALSE)</f>
        <v>356</v>
      </c>
      <c r="E24" s="654">
        <v>3</v>
      </c>
      <c r="F24" s="337">
        <f>VLOOKUP(E21,'Location Summary'!$G$2:$H$604,2,FALSE)</f>
        <v>439</v>
      </c>
      <c r="G24" s="654">
        <v>3</v>
      </c>
      <c r="H24" s="337">
        <f>VLOOKUP(G21,'Location Summary'!$G$2:$H$604,2,FALSE)</f>
        <v>377</v>
      </c>
      <c r="I24" s="654">
        <v>3</v>
      </c>
      <c r="J24" s="337">
        <f>VLOOKUP(I21,'Location Summary'!$G$2:$H$604,2,FALSE)</f>
        <v>455.07</v>
      </c>
      <c r="K24" s="654">
        <v>3</v>
      </c>
      <c r="L24" s="337">
        <f>VLOOKUP(K21,'Location Summary'!$G$2:$H$604,2,FALSE)</f>
        <v>344.16300000000001</v>
      </c>
      <c r="M24" s="336">
        <v>3</v>
      </c>
      <c r="N24" s="337">
        <f>VLOOKUP(M21,'Location Summary'!$G$2:$H$604,2,FALSE)</f>
        <v>365</v>
      </c>
      <c r="O24" s="336">
        <v>3</v>
      </c>
      <c r="P24" s="337">
        <f>VLOOKUP(O21,'Location Summary'!$G$2:$H$604,2,FALSE)</f>
        <v>340</v>
      </c>
      <c r="Q24" s="336">
        <v>3</v>
      </c>
      <c r="R24" s="337">
        <f>VLOOKUP(Q21,'Location Summary'!$G$2:$H$604,2,FALSE)</f>
        <v>420</v>
      </c>
      <c r="S24" s="336">
        <v>3</v>
      </c>
      <c r="T24" s="337">
        <f>VLOOKUP(S21,'Location Summary'!$G$2:$H$604,2,FALSE)</f>
        <v>415</v>
      </c>
      <c r="U24" s="336">
        <v>3</v>
      </c>
      <c r="V24" s="337">
        <f>VLOOKUP(U21,'Location Summary'!$G$2:$H$604,2,FALSE)</f>
        <v>365</v>
      </c>
      <c r="W24" s="336">
        <v>3</v>
      </c>
      <c r="X24" s="337">
        <f>VLOOKUP(W21,'Location Summary'!$G$2:$H$604,2,FALSE)</f>
        <v>330</v>
      </c>
      <c r="Y24" s="336">
        <v>3</v>
      </c>
      <c r="Z24" s="337">
        <f>VLOOKUP(Y21,'Location Summary'!$G$2:$H$604,2,FALSE)</f>
        <v>457</v>
      </c>
      <c r="AA24" s="336">
        <v>3</v>
      </c>
      <c r="AB24" s="337">
        <f>VLOOKUP(AA21,'Location Summary'!$G$2:$H$604,2,FALSE)</f>
        <v>354.61099999999999</v>
      </c>
      <c r="AC24" s="654">
        <v>3</v>
      </c>
      <c r="AD24" s="337">
        <f>VLOOKUP(AC21,'Location Summary'!$G$2:$H$604,2,FALSE)</f>
        <v>428.38900000000001</v>
      </c>
      <c r="AE24" s="654">
        <v>3</v>
      </c>
      <c r="AF24" s="337">
        <f>VLOOKUP(AE21,'Location Summary'!$G$2:$H$604,2,FALSE)</f>
        <v>340</v>
      </c>
      <c r="AG24" s="336">
        <v>3</v>
      </c>
      <c r="AH24" s="337">
        <f>VLOOKUP(AG21,'Location Summary'!$G$2:$H$604,2,FALSE)</f>
        <v>375</v>
      </c>
      <c r="AI24" s="336">
        <v>3</v>
      </c>
      <c r="AJ24" s="337">
        <f>VLOOKUP(AI21,'Location Summary'!$G$2:$H$604,2,FALSE)</f>
        <v>365</v>
      </c>
      <c r="AK24" s="336">
        <v>3</v>
      </c>
      <c r="AL24" s="337">
        <f>VLOOKUP(AK21,'Location Summary'!$G$2:$H$604,2,FALSE)</f>
        <v>460</v>
      </c>
      <c r="AM24" s="336">
        <v>3</v>
      </c>
      <c r="AN24" s="337">
        <f>VLOOKUP(AM21,'Location Summary'!$G$2:$H$604,2,FALSE)</f>
        <v>380</v>
      </c>
      <c r="AO24" s="336">
        <v>3</v>
      </c>
      <c r="AP24" s="337">
        <f>VLOOKUP(AO21,'Location Summary'!$G$2:$H$604,2,FALSE)</f>
        <v>410</v>
      </c>
      <c r="AQ24" s="336">
        <v>3</v>
      </c>
      <c r="AR24" s="337">
        <f>VLOOKUP(AQ21,'Location Summary'!$G$2:$H$604,2,FALSE)</f>
        <v>400</v>
      </c>
      <c r="AS24" s="336">
        <v>3</v>
      </c>
      <c r="AT24" s="338">
        <f>VLOOKUP(AS21,'Location Summary'!$G$2:$H$604,2,FALSE)</f>
        <v>420</v>
      </c>
    </row>
    <row r="25" spans="2:53" ht="15" customHeight="1">
      <c r="B25" s="1496"/>
      <c r="C25" s="341">
        <v>2</v>
      </c>
      <c r="E25" s="341">
        <v>2</v>
      </c>
      <c r="G25" s="341">
        <v>2</v>
      </c>
      <c r="I25" s="341">
        <v>2</v>
      </c>
      <c r="K25" s="341">
        <v>2</v>
      </c>
      <c r="M25" s="341">
        <v>2</v>
      </c>
      <c r="O25" s="341">
        <v>2</v>
      </c>
      <c r="Q25" s="341">
        <v>2</v>
      </c>
      <c r="S25" s="341">
        <v>2</v>
      </c>
      <c r="U25" s="341">
        <v>2</v>
      </c>
      <c r="W25" s="341">
        <v>2</v>
      </c>
      <c r="Y25" s="341">
        <v>2</v>
      </c>
      <c r="AA25" s="341">
        <v>2</v>
      </c>
      <c r="AC25" s="341">
        <v>2</v>
      </c>
      <c r="AE25" s="341">
        <v>2</v>
      </c>
      <c r="AG25" s="341">
        <v>2</v>
      </c>
      <c r="AI25" s="341">
        <v>2</v>
      </c>
      <c r="AK25" s="341">
        <v>2</v>
      </c>
      <c r="AM25" s="341">
        <v>2</v>
      </c>
      <c r="AO25" s="341">
        <v>2</v>
      </c>
      <c r="AQ25" s="341">
        <v>2</v>
      </c>
      <c r="AS25" s="341">
        <v>2</v>
      </c>
      <c r="AT25" s="326"/>
    </row>
    <row r="26" spans="2:53" ht="15" customHeight="1">
      <c r="B26" s="352"/>
      <c r="C26" s="314" t="str">
        <f>VLOOKUP(C21,'Location Summary'!$C$2:$J$604,2,FALSE)</f>
        <v>DB1+9</v>
      </c>
      <c r="D26" s="328"/>
      <c r="E26" s="314" t="str">
        <f>VLOOKUP(E21,'Location Summary'!$C$2:$J$604,2,FALSE)</f>
        <v>DA+3</v>
      </c>
      <c r="F26" s="328"/>
      <c r="G26" s="314" t="str">
        <f>VLOOKUP(G21,'Location Summary'!$C$2:$J$604,2,FALSE)</f>
        <v>DA+9</v>
      </c>
      <c r="H26" s="328"/>
      <c r="I26" s="314" t="str">
        <f>VLOOKUP(I21,'Location Summary'!$C$2:$J$604,2,FALSE)</f>
        <v>DA+6</v>
      </c>
      <c r="J26" s="328"/>
      <c r="K26" s="314" t="str">
        <f>VLOOKUP(K21,'Location Summary'!$C$2:$J$604,2,FALSE)</f>
        <v>DB2+9</v>
      </c>
      <c r="L26" s="328"/>
      <c r="M26" s="314" t="str">
        <f>VLOOKUP(M21,'Location Summary'!$C$2:$J$604,2,FALSE)</f>
        <v>DA+6</v>
      </c>
      <c r="N26" s="328"/>
      <c r="O26" s="314" t="str">
        <f>VLOOKUP(O21,'Location Summary'!$C$2:$J$604,2,FALSE)</f>
        <v>DB1+3</v>
      </c>
      <c r="P26" s="328"/>
      <c r="Q26" s="314" t="str">
        <f>VLOOKUP(Q21,'Location Summary'!$C$2:$J$604,2,FALSE)</f>
        <v>DA+6</v>
      </c>
      <c r="R26" s="328"/>
      <c r="S26" s="314" t="str">
        <f>VLOOKUP(S21,'Location Summary'!$C$2:$J$604,2,FALSE)</f>
        <v>DA+6</v>
      </c>
      <c r="T26" s="342"/>
      <c r="U26" s="314" t="str">
        <f>VLOOKUP(U21,'Location Summary'!$C$2:$J$604,2,FALSE)</f>
        <v>DA+9</v>
      </c>
      <c r="V26" s="342"/>
      <c r="W26" s="314" t="str">
        <f>VLOOKUP(W21,'Location Summary'!$C$2:$J$604,2,FALSE)</f>
        <v>DA+6</v>
      </c>
      <c r="X26" s="342"/>
      <c r="Y26" s="314" t="str">
        <f>VLOOKUP(Y21,'Location Summary'!$C$2:$J$604,2,FALSE)</f>
        <v>DA+9</v>
      </c>
      <c r="Z26" s="342"/>
      <c r="AA26" s="314" t="str">
        <f>VLOOKUP(AA21,'Location Summary'!$C$2:$J$604,2,FALSE)</f>
        <v>DA+9</v>
      </c>
      <c r="AB26" s="342"/>
      <c r="AC26" s="314" t="str">
        <f>VLOOKUP(AC21,'Location Summary'!$C$2:$J$604,2,FALSE)</f>
        <v>DB1+6</v>
      </c>
      <c r="AD26" s="342"/>
      <c r="AE26" s="314" t="str">
        <f>VLOOKUP(AE21,'Location Summary'!$C$2:$J$604,2,FALSE)</f>
        <v>DA+6</v>
      </c>
      <c r="AF26" s="342"/>
      <c r="AG26" s="314" t="str">
        <f>VLOOKUP(AG21,'Location Summary'!$C$2:$J$604,2,FALSE)</f>
        <v>DA+9</v>
      </c>
      <c r="AH26" s="342"/>
      <c r="AI26" s="314" t="str">
        <f>VLOOKUP(AI21,'Location Summary'!$C$2:$J$604,2,FALSE)</f>
        <v>DA+9</v>
      </c>
      <c r="AJ26" s="342"/>
      <c r="AK26" s="314" t="str">
        <f>VLOOKUP(AK21,'Location Summary'!$C$2:$J$604,2,FALSE)</f>
        <v>DA-1.5</v>
      </c>
      <c r="AL26" s="342"/>
      <c r="AM26" s="314" t="str">
        <f>VLOOKUP(AM21,'Location Summary'!$C$2:$J$604,2,FALSE)</f>
        <v>DA+6</v>
      </c>
      <c r="AN26" s="342"/>
      <c r="AO26" s="314" t="str">
        <f>VLOOKUP(AO21,'Location Summary'!$C$2:$J$604,2,FALSE)</f>
        <v>DA+3</v>
      </c>
      <c r="AP26" s="342"/>
      <c r="AQ26" s="314" t="str">
        <f>VLOOKUP(AQ21,'Location Summary'!$C$2:$J$604,2,FALSE)</f>
        <v>DA+9</v>
      </c>
      <c r="AS26" s="314" t="str">
        <f>VLOOKUP(AS21,'Location Summary'!$C$2:$J$604,2,FALSE)</f>
        <v>DA+6</v>
      </c>
      <c r="AT26" s="326"/>
    </row>
    <row r="27" spans="2:53" ht="15" customHeight="1">
      <c r="B27" s="944"/>
      <c r="C27" s="342"/>
      <c r="D27" s="342"/>
      <c r="E27" s="325"/>
      <c r="F27" s="353"/>
      <c r="G27" s="324"/>
      <c r="H27" s="353"/>
      <c r="I27" s="343"/>
      <c r="J27" s="353"/>
      <c r="K27" s="324"/>
      <c r="L27" s="324"/>
      <c r="M27" s="324"/>
      <c r="N27" s="324"/>
      <c r="O27" s="314"/>
      <c r="P27" s="314"/>
      <c r="Q27" s="314"/>
      <c r="R27" s="314"/>
      <c r="S27" s="314"/>
      <c r="T27" s="314"/>
      <c r="U27" s="314"/>
      <c r="V27" s="314"/>
      <c r="W27" s="314"/>
      <c r="X27" s="314"/>
      <c r="Y27" s="314"/>
      <c r="Z27" s="314"/>
      <c r="AA27" s="314"/>
      <c r="AB27" s="314"/>
      <c r="AC27" s="314"/>
      <c r="AD27" s="314"/>
      <c r="AE27" s="314"/>
      <c r="AF27" s="314"/>
      <c r="AG27" s="314"/>
      <c r="AH27" s="314"/>
      <c r="AI27" s="314"/>
      <c r="AJ27" s="314"/>
      <c r="AK27" s="314"/>
      <c r="AM27" s="314"/>
      <c r="AT27" s="326"/>
    </row>
    <row r="28" spans="2:53" ht="15" customHeight="1">
      <c r="B28" s="345"/>
      <c r="C28" s="343">
        <f>AS20+1</f>
        <v>38</v>
      </c>
      <c r="D28" s="343"/>
      <c r="E28" s="343">
        <f>C28+1</f>
        <v>39</v>
      </c>
      <c r="F28" s="343"/>
      <c r="G28" s="343">
        <f>E28+1</f>
        <v>40</v>
      </c>
      <c r="H28" s="343"/>
      <c r="I28" s="343">
        <f>G28+1</f>
        <v>41</v>
      </c>
      <c r="J28" s="343"/>
      <c r="K28" s="343">
        <f>I28+1</f>
        <v>42</v>
      </c>
      <c r="L28" s="343"/>
      <c r="M28" s="343">
        <f>K28+1</f>
        <v>43</v>
      </c>
      <c r="N28" s="343"/>
      <c r="O28" s="343">
        <f>M28+1</f>
        <v>44</v>
      </c>
      <c r="P28" s="343"/>
      <c r="Q28" s="343">
        <f>O28+1</f>
        <v>45</v>
      </c>
      <c r="R28" s="343"/>
      <c r="S28" s="343">
        <f>Q28+1</f>
        <v>46</v>
      </c>
      <c r="T28" s="343"/>
      <c r="U28" s="343">
        <f>S28+1</f>
        <v>47</v>
      </c>
      <c r="V28" s="343"/>
      <c r="W28" s="343">
        <f>U28+1</f>
        <v>48</v>
      </c>
      <c r="X28" s="343"/>
      <c r="Y28" s="343">
        <f>W28+1</f>
        <v>49</v>
      </c>
      <c r="Z28" s="343"/>
      <c r="AA28" s="343">
        <f>Y28+1</f>
        <v>50</v>
      </c>
      <c r="AB28" s="343"/>
      <c r="AC28" s="343">
        <f>AA28+1</f>
        <v>51</v>
      </c>
      <c r="AD28" s="343"/>
      <c r="AE28" s="343">
        <f>AC28+1</f>
        <v>52</v>
      </c>
      <c r="AF28" s="343"/>
      <c r="AG28" s="343">
        <f>AE28+1</f>
        <v>53</v>
      </c>
      <c r="AH28" s="343"/>
      <c r="AI28" s="343">
        <f>AG28+1</f>
        <v>54</v>
      </c>
      <c r="AJ28" s="343"/>
      <c r="AK28" s="343">
        <f>AI28+1</f>
        <v>55</v>
      </c>
      <c r="AL28" s="343"/>
      <c r="AM28" s="343">
        <f>AK28+1</f>
        <v>56</v>
      </c>
      <c r="AN28" s="343"/>
      <c r="AO28" s="343">
        <f>AM28+1</f>
        <v>57</v>
      </c>
      <c r="AP28" s="343"/>
      <c r="AQ28" s="343">
        <f>AO28+1</f>
        <v>58</v>
      </c>
      <c r="AR28" s="343"/>
      <c r="AS28" s="343">
        <f>AQ28+1</f>
        <v>59</v>
      </c>
      <c r="AT28" s="326"/>
    </row>
    <row r="29" spans="2:53" s="356" customFormat="1" ht="15" customHeight="1">
      <c r="B29" s="346"/>
      <c r="C29" s="347" t="s">
        <v>465</v>
      </c>
      <c r="D29" s="348"/>
      <c r="E29" s="347" t="s">
        <v>466</v>
      </c>
      <c r="F29" s="348"/>
      <c r="G29" s="354" t="s">
        <v>672</v>
      </c>
      <c r="H29" s="348"/>
      <c r="I29" s="354" t="s">
        <v>258</v>
      </c>
      <c r="J29" s="348"/>
      <c r="K29" s="348" t="s">
        <v>259</v>
      </c>
      <c r="L29" s="348"/>
      <c r="M29" s="348" t="s">
        <v>260</v>
      </c>
      <c r="N29" s="348"/>
      <c r="O29" s="355" t="s">
        <v>467</v>
      </c>
      <c r="P29" s="348"/>
      <c r="Q29" s="348" t="s">
        <v>468</v>
      </c>
      <c r="R29" s="348"/>
      <c r="S29" s="348" t="s">
        <v>469</v>
      </c>
      <c r="T29" s="348"/>
      <c r="U29" s="355" t="s">
        <v>470</v>
      </c>
      <c r="V29" s="348"/>
      <c r="W29" s="348" t="s">
        <v>471</v>
      </c>
      <c r="X29" s="348"/>
      <c r="Y29" s="355" t="s">
        <v>472</v>
      </c>
      <c r="Z29" s="348"/>
      <c r="AA29" s="354" t="s">
        <v>473</v>
      </c>
      <c r="AB29" s="348"/>
      <c r="AC29" s="354" t="s">
        <v>474</v>
      </c>
      <c r="AD29" s="348"/>
      <c r="AE29" s="329" t="s">
        <v>475</v>
      </c>
      <c r="AF29" s="348"/>
      <c r="AG29" s="354" t="s">
        <v>490</v>
      </c>
      <c r="AH29" s="348"/>
      <c r="AI29" s="329" t="s">
        <v>261</v>
      </c>
      <c r="AJ29" s="348"/>
      <c r="AK29" s="354" t="s">
        <v>476</v>
      </c>
      <c r="AM29" s="329" t="s">
        <v>477</v>
      </c>
      <c r="AO29" s="356" t="s">
        <v>478</v>
      </c>
      <c r="AQ29" s="356" t="s">
        <v>479</v>
      </c>
      <c r="AS29" s="356" t="s">
        <v>480</v>
      </c>
      <c r="AT29" s="357"/>
    </row>
    <row r="30" spans="2:53" ht="15" customHeight="1">
      <c r="B30" s="346"/>
      <c r="T30" s="314"/>
      <c r="V30" s="314"/>
      <c r="X30" s="314"/>
      <c r="Z30" s="314"/>
      <c r="AB30" s="314"/>
      <c r="AD30" s="314"/>
      <c r="AF30" s="314"/>
      <c r="AH30" s="314"/>
      <c r="AJ30" s="314"/>
      <c r="AL30" s="314"/>
      <c r="AN30" s="314"/>
      <c r="AP30" s="314"/>
      <c r="AR30" s="314"/>
      <c r="AT30" s="326"/>
    </row>
    <row r="31" spans="2:53" ht="15" customHeight="1">
      <c r="B31" s="346"/>
      <c r="AT31" s="326"/>
    </row>
    <row r="32" spans="2:53" ht="20.25" customHeight="1">
      <c r="B32" s="358"/>
      <c r="C32" s="336">
        <v>3</v>
      </c>
      <c r="D32" s="337">
        <f>VLOOKUP(C29,'Location Summary'!$G$2:$H$604,2,FALSE)</f>
        <v>345</v>
      </c>
      <c r="E32" s="336">
        <v>3</v>
      </c>
      <c r="F32" s="337">
        <f>VLOOKUP(E29,'Location Summary'!$G$2:$H$604,2,FALSE)</f>
        <v>495</v>
      </c>
      <c r="G32" s="336">
        <v>3</v>
      </c>
      <c r="H32" s="337">
        <f>VLOOKUP(G29,'Location Summary'!$G$2:$H$604,2,FALSE)</f>
        <v>419.48</v>
      </c>
      <c r="I32" s="336">
        <v>3</v>
      </c>
      <c r="J32" s="337">
        <f>VLOOKUP(I29,'Location Summary'!$G$2:$H$604,2,FALSE)</f>
        <v>350.52</v>
      </c>
      <c r="K32" s="336">
        <v>3</v>
      </c>
      <c r="L32" s="337">
        <f>VLOOKUP(K29,'Location Summary'!$G$2:$H$604,2,FALSE)</f>
        <v>445</v>
      </c>
      <c r="M32" s="336">
        <v>3</v>
      </c>
      <c r="N32" s="337">
        <f>VLOOKUP(M29,'Location Summary'!$G$2:$H$604,2,FALSE)</f>
        <v>390</v>
      </c>
      <c r="O32" s="336">
        <v>3</v>
      </c>
      <c r="P32" s="337">
        <f>VLOOKUP(O29,'Location Summary'!$G$2:$H$604,2,FALSE)</f>
        <v>350</v>
      </c>
      <c r="Q32" s="336">
        <v>3</v>
      </c>
      <c r="R32" s="337">
        <f>VLOOKUP(Q29,'Location Summary'!$G$2:$H$604,2,FALSE)</f>
        <v>490</v>
      </c>
      <c r="S32" s="336">
        <v>3</v>
      </c>
      <c r="T32" s="337">
        <f>VLOOKUP(S29,'Location Summary'!$G$2:$H$604,2,FALSE)</f>
        <v>350</v>
      </c>
      <c r="U32" s="336">
        <v>3</v>
      </c>
      <c r="V32" s="337">
        <f>VLOOKUP(U29,'Location Summary'!$G$2:$H$604,2,FALSE)</f>
        <v>347</v>
      </c>
      <c r="W32" s="336">
        <v>3</v>
      </c>
      <c r="X32" s="337">
        <f>VLOOKUP(W29,'Location Summary'!$G$2:$H$604,2,FALSE)</f>
        <v>373</v>
      </c>
      <c r="Y32" s="336">
        <v>3</v>
      </c>
      <c r="Z32" s="337">
        <f>VLOOKUP(Y29,'Location Summary'!$G$2:$H$604,2,FALSE)</f>
        <v>380</v>
      </c>
      <c r="AA32" s="336">
        <v>3</v>
      </c>
      <c r="AB32" s="337">
        <f>VLOOKUP(AA29,'Location Summary'!$G$2:$H$604,2,FALSE)</f>
        <v>335</v>
      </c>
      <c r="AC32" s="336">
        <v>3</v>
      </c>
      <c r="AD32" s="337">
        <f>VLOOKUP(AC29,'Location Summary'!$G$2:$H$604,2,FALSE)</f>
        <v>315</v>
      </c>
      <c r="AE32" s="336">
        <v>3</v>
      </c>
      <c r="AF32" s="337">
        <f>VLOOKUP(AE29,'Location Summary'!$G$2:$H$604,2,FALSE)</f>
        <v>410</v>
      </c>
      <c r="AG32" s="336">
        <v>3</v>
      </c>
      <c r="AH32" s="337">
        <f>VLOOKUP(AG29,'Location Summary'!$G$2:$H$604,2,FALSE)</f>
        <v>365.71600000000001</v>
      </c>
      <c r="AI32" s="336">
        <v>3</v>
      </c>
      <c r="AJ32" s="337">
        <f>VLOOKUP(AI29,'Location Summary'!$G$2:$H$604,2,FALSE)</f>
        <v>319.28399999999999</v>
      </c>
      <c r="AK32" s="336">
        <v>3</v>
      </c>
      <c r="AL32" s="337">
        <f>VLOOKUP(AK29,'Location Summary'!$G$2:$H$604,2,FALSE)</f>
        <v>465</v>
      </c>
      <c r="AM32" s="336">
        <v>3</v>
      </c>
      <c r="AN32" s="337">
        <f>VLOOKUP(AM29,'Location Summary'!$G$2:$H$604,2,FALSE)</f>
        <v>375</v>
      </c>
      <c r="AO32" s="336">
        <v>3</v>
      </c>
      <c r="AP32" s="337">
        <f>VLOOKUP(AO29,'Location Summary'!$G$2:$H$604,2,FALSE)</f>
        <v>355</v>
      </c>
      <c r="AQ32" s="336">
        <v>3</v>
      </c>
      <c r="AR32" s="337">
        <f>VLOOKUP(AQ29,'Location Summary'!$G$2:$H$604,2,FALSE)</f>
        <v>420</v>
      </c>
      <c r="AS32" s="336">
        <v>3</v>
      </c>
      <c r="AT32" s="338">
        <f>VLOOKUP(AS29,'Location Summary'!$G$2:$H$604,2,FALSE)</f>
        <v>315</v>
      </c>
    </row>
    <row r="33" spans="2:48" ht="15" customHeight="1">
      <c r="B33" s="359"/>
      <c r="C33" s="341">
        <v>2</v>
      </c>
      <c r="E33" s="341">
        <v>2</v>
      </c>
      <c r="G33" s="341">
        <v>2</v>
      </c>
      <c r="I33" s="341">
        <v>2</v>
      </c>
      <c r="K33" s="341">
        <v>2</v>
      </c>
      <c r="M33" s="341">
        <v>2</v>
      </c>
      <c r="O33" s="341">
        <v>2</v>
      </c>
      <c r="Q33" s="341">
        <v>2</v>
      </c>
      <c r="S33" s="341">
        <v>2</v>
      </c>
      <c r="U33" s="341">
        <v>2</v>
      </c>
      <c r="W33" s="341">
        <v>2</v>
      </c>
      <c r="Y33" s="341">
        <v>2</v>
      </c>
      <c r="AA33" s="341">
        <v>2</v>
      </c>
      <c r="AC33" s="341">
        <v>2</v>
      </c>
      <c r="AE33" s="341">
        <v>2</v>
      </c>
      <c r="AG33" s="341">
        <v>2</v>
      </c>
      <c r="AI33" s="341">
        <v>2</v>
      </c>
      <c r="AK33" s="341">
        <v>2</v>
      </c>
      <c r="AM33" s="341">
        <v>2</v>
      </c>
      <c r="AO33" s="341">
        <v>2</v>
      </c>
      <c r="AQ33" s="341">
        <v>2</v>
      </c>
      <c r="AS33" s="341">
        <v>2</v>
      </c>
      <c r="AT33" s="326"/>
    </row>
    <row r="34" spans="2:48" ht="15" customHeight="1">
      <c r="B34" s="352"/>
      <c r="C34" s="314" t="str">
        <f>VLOOKUP(C29,'Location Summary'!$C$2:$J$604,2,FALSE)</f>
        <v>DA+6</v>
      </c>
      <c r="D34" s="328"/>
      <c r="E34" s="314" t="str">
        <f>VLOOKUP(E29,'Location Summary'!$C$2:$J$604,2,FALSE)</f>
        <v>DA+9</v>
      </c>
      <c r="F34" s="328"/>
      <c r="G34" s="314" t="str">
        <f>VLOOKUP(G29,'Location Summary'!$C$2:$J$604,2,FALSE)</f>
        <v>DB1+12</v>
      </c>
      <c r="H34" s="328"/>
      <c r="I34" s="314" t="str">
        <f>VLOOKUP(I29,'Location Summary'!$C$2:$J$604,2,FALSE)</f>
        <v>DB1+9</v>
      </c>
      <c r="J34" s="328"/>
      <c r="K34" s="314" t="str">
        <f>VLOOKUP(K29,'Location Summary'!$C$2:$J$604,2,FALSE)</f>
        <v>DA+9</v>
      </c>
      <c r="L34" s="328"/>
      <c r="M34" s="314" t="str">
        <f>VLOOKUP(M29,'Location Summary'!$C$2:$J$604,2,FALSE)</f>
        <v>DA+6</v>
      </c>
      <c r="N34" s="328"/>
      <c r="O34" s="314" t="str">
        <f>VLOOKUP(O29,'Location Summary'!$C$2:$J$604,2,FALSE)</f>
        <v>DA+3</v>
      </c>
      <c r="P34" s="328"/>
      <c r="Q34" s="314" t="str">
        <f>VLOOKUP(Q29,'Location Summary'!$C$2:$J$604,2,FALSE)</f>
        <v>DA+9</v>
      </c>
      <c r="R34" s="328"/>
      <c r="S34" s="314" t="str">
        <f>VLOOKUP(S29,'Location Summary'!$C$2:$J$604,2,FALSE)</f>
        <v>DA+9</v>
      </c>
      <c r="T34" s="342"/>
      <c r="U34" s="314" t="str">
        <f>VLOOKUP(U29,'Location Summary'!$C$2:$J$604,2,FALSE)</f>
        <v>DA-3</v>
      </c>
      <c r="V34" s="342"/>
      <c r="W34" s="314" t="str">
        <f>VLOOKUP(W29,'Location Summary'!$C$2:$J$604,2,FALSE)</f>
        <v>DA+1.5</v>
      </c>
      <c r="X34" s="342"/>
      <c r="Y34" s="314" t="str">
        <f>VLOOKUP(Y29,'Location Summary'!$C$2:$J$604,2,FALSE)</f>
        <v>DA+3</v>
      </c>
      <c r="Z34" s="342"/>
      <c r="AA34" s="314" t="str">
        <f>VLOOKUP(AA29,'Location Summary'!$C$2:$J$604,2,FALSE)</f>
        <v>DA+6</v>
      </c>
      <c r="AB34" s="342"/>
      <c r="AC34" s="314" t="str">
        <f>VLOOKUP(AC29,'Location Summary'!$C$2:$J$604,2,FALSE)</f>
        <v>DA+1.5</v>
      </c>
      <c r="AD34" s="342"/>
      <c r="AE34" s="314" t="str">
        <f>VLOOKUP(AE29,'Location Summary'!$C$2:$J$604,2,FALSE)</f>
        <v>DA-1.5</v>
      </c>
      <c r="AF34" s="342"/>
      <c r="AG34" s="314" t="str">
        <f>VLOOKUP(AG29,'Location Summary'!$C$2:$J$604,2,FALSE)</f>
        <v>DA+1.5</v>
      </c>
      <c r="AH34" s="342"/>
      <c r="AI34" s="314" t="str">
        <f>VLOOKUP(AI29,'Location Summary'!$C$2:$J$604,2,FALSE)</f>
        <v>DB2+0</v>
      </c>
      <c r="AJ34" s="342"/>
      <c r="AK34" s="314" t="str">
        <f>VLOOKUP(AK29,'Location Summary'!$C$2:$J$604,2,FALSE)</f>
        <v>DA-3</v>
      </c>
      <c r="AL34" s="342"/>
      <c r="AM34" s="314" t="str">
        <f>VLOOKUP(AM29,'Location Summary'!$C$2:$J$604,2,FALSE)</f>
        <v>DA+6</v>
      </c>
      <c r="AN34" s="342"/>
      <c r="AO34" s="314" t="str">
        <f>VLOOKUP(AO29,'Location Summary'!$C$2:$J$604,2,FALSE)</f>
        <v>DA+9</v>
      </c>
      <c r="AP34" s="342"/>
      <c r="AQ34" s="314" t="str">
        <f>VLOOKUP(AQ29,'Location Summary'!$C$2:$J$604,2,FALSE)</f>
        <v>DA+6</v>
      </c>
      <c r="AS34" s="314" t="str">
        <f>VLOOKUP(AS29,'Location Summary'!$C$2:$J$604,2,FALSE)</f>
        <v>DA+6</v>
      </c>
      <c r="AT34" s="326"/>
    </row>
    <row r="35" spans="2:48" ht="15" customHeight="1">
      <c r="B35" s="352"/>
      <c r="C35" s="314"/>
      <c r="D35" s="314"/>
      <c r="E35" s="314"/>
      <c r="F35" s="314"/>
      <c r="G35" s="314"/>
      <c r="H35" s="314"/>
      <c r="I35" s="314"/>
      <c r="J35" s="314"/>
      <c r="K35" s="314"/>
      <c r="L35" s="314"/>
      <c r="M35" s="314"/>
      <c r="N35" s="314"/>
      <c r="O35" s="314"/>
      <c r="P35" s="314"/>
      <c r="Q35" s="314"/>
      <c r="R35" s="314"/>
      <c r="S35" s="314"/>
      <c r="T35" s="314"/>
      <c r="U35" s="314"/>
      <c r="V35" s="314"/>
      <c r="W35" s="314"/>
      <c r="X35" s="314"/>
      <c r="Y35" s="314"/>
      <c r="Z35" s="314"/>
      <c r="AA35" s="314"/>
      <c r="AB35" s="314"/>
      <c r="AC35" s="314"/>
      <c r="AD35" s="314"/>
      <c r="AE35" s="314"/>
      <c r="AF35" s="314"/>
      <c r="AG35" s="314"/>
      <c r="AH35" s="314"/>
      <c r="AI35" s="314"/>
      <c r="AJ35" s="314"/>
      <c r="AK35" s="314"/>
      <c r="AL35" s="314"/>
      <c r="AM35" s="314"/>
      <c r="AN35" s="314"/>
      <c r="AO35" s="314"/>
      <c r="AP35" s="314"/>
      <c r="AQ35" s="314"/>
      <c r="AR35" s="314"/>
      <c r="AS35" s="314"/>
      <c r="AT35" s="326"/>
      <c r="AV35" s="351"/>
    </row>
    <row r="36" spans="2:48" ht="15" customHeight="1">
      <c r="B36" s="345"/>
      <c r="C36" s="343">
        <f>AS28+1</f>
        <v>60</v>
      </c>
      <c r="D36" s="324"/>
      <c r="E36" s="343">
        <f>C36+1</f>
        <v>61</v>
      </c>
      <c r="F36" s="343"/>
      <c r="G36" s="343">
        <f>E36+1</f>
        <v>62</v>
      </c>
      <c r="H36" s="343"/>
      <c r="I36" s="343">
        <f>G36+1</f>
        <v>63</v>
      </c>
      <c r="J36" s="343"/>
      <c r="K36" s="343">
        <f>I36+1</f>
        <v>64</v>
      </c>
      <c r="L36" s="343"/>
      <c r="M36" s="343">
        <f>K36+1</f>
        <v>65</v>
      </c>
      <c r="N36" s="343"/>
      <c r="O36" s="343">
        <f>M36+1</f>
        <v>66</v>
      </c>
      <c r="P36" s="343"/>
      <c r="Q36" s="343">
        <f>O36+1</f>
        <v>67</v>
      </c>
      <c r="R36" s="343"/>
      <c r="S36" s="343">
        <f>Q36+1</f>
        <v>68</v>
      </c>
      <c r="U36" s="343">
        <f>S36+1</f>
        <v>69</v>
      </c>
      <c r="V36" s="343"/>
      <c r="W36" s="343">
        <f>U36+1</f>
        <v>70</v>
      </c>
      <c r="X36" s="343"/>
      <c r="Y36" s="343">
        <f>W36+1</f>
        <v>71</v>
      </c>
      <c r="Z36" s="343"/>
      <c r="AA36" s="343">
        <f>Y36+1</f>
        <v>72</v>
      </c>
      <c r="AB36" s="343"/>
      <c r="AC36" s="343">
        <f>AA36+1</f>
        <v>73</v>
      </c>
      <c r="AD36" s="343"/>
      <c r="AE36" s="343">
        <f>AC36+1</f>
        <v>74</v>
      </c>
      <c r="AF36" s="343"/>
      <c r="AG36" s="343">
        <f>AE36+1</f>
        <v>75</v>
      </c>
      <c r="AH36" s="343"/>
      <c r="AI36" s="343">
        <f>AG36+1</f>
        <v>76</v>
      </c>
      <c r="AJ36" s="343"/>
      <c r="AK36" s="343">
        <f>AI36+1</f>
        <v>77</v>
      </c>
      <c r="AL36" s="343"/>
      <c r="AM36" s="343">
        <f>AK36+1</f>
        <v>78</v>
      </c>
      <c r="AO36" s="343">
        <f>AM36+1</f>
        <v>79</v>
      </c>
      <c r="AP36" s="343"/>
      <c r="AQ36" s="343">
        <f>AO36+1</f>
        <v>80</v>
      </c>
      <c r="AR36" s="343"/>
      <c r="AS36" s="343">
        <f>AQ36+1</f>
        <v>81</v>
      </c>
      <c r="AT36" s="326"/>
    </row>
    <row r="37" spans="2:48" s="356" customFormat="1" ht="15" customHeight="1">
      <c r="B37" s="346"/>
      <c r="C37" s="356" t="s">
        <v>481</v>
      </c>
      <c r="E37" s="356" t="s">
        <v>491</v>
      </c>
      <c r="G37" s="356" t="s">
        <v>492</v>
      </c>
      <c r="I37" s="356" t="s">
        <v>493</v>
      </c>
      <c r="K37" s="356" t="s">
        <v>494</v>
      </c>
      <c r="M37" s="356" t="s">
        <v>495</v>
      </c>
      <c r="O37" s="356" t="s">
        <v>496</v>
      </c>
      <c r="Q37" s="356" t="s">
        <v>262</v>
      </c>
      <c r="S37" s="356" t="s">
        <v>390</v>
      </c>
      <c r="U37" s="356" t="s">
        <v>391</v>
      </c>
      <c r="W37" s="356" t="s">
        <v>392</v>
      </c>
      <c r="Y37" s="356" t="s">
        <v>393</v>
      </c>
      <c r="AA37" s="356" t="s">
        <v>394</v>
      </c>
      <c r="AC37" s="356" t="s">
        <v>395</v>
      </c>
      <c r="AE37" s="356" t="s">
        <v>396</v>
      </c>
      <c r="AG37" s="356" t="s">
        <v>397</v>
      </c>
      <c r="AI37" s="356" t="s">
        <v>398</v>
      </c>
      <c r="AK37" s="356" t="s">
        <v>399</v>
      </c>
      <c r="AM37" s="356" t="s">
        <v>400</v>
      </c>
      <c r="AO37" s="356" t="s">
        <v>482</v>
      </c>
      <c r="AQ37" s="356" t="s">
        <v>263</v>
      </c>
      <c r="AS37" s="356" t="s">
        <v>402</v>
      </c>
      <c r="AT37" s="357"/>
    </row>
    <row r="38" spans="2:48" ht="15" customHeight="1">
      <c r="B38" s="352"/>
      <c r="T38" s="314"/>
      <c r="V38" s="314"/>
      <c r="X38" s="314"/>
      <c r="Z38" s="314"/>
      <c r="AB38" s="314"/>
      <c r="AD38" s="314"/>
      <c r="AF38" s="314"/>
      <c r="AH38" s="314"/>
      <c r="AJ38" s="314"/>
      <c r="AL38" s="314"/>
      <c r="AN38" s="314"/>
      <c r="AP38" s="314"/>
      <c r="AR38" s="314"/>
      <c r="AT38" s="326"/>
    </row>
    <row r="39" spans="2:48" ht="15" customHeight="1">
      <c r="B39" s="358"/>
      <c r="AT39" s="326"/>
    </row>
    <row r="40" spans="2:48" ht="20.25" customHeight="1">
      <c r="B40" s="358"/>
      <c r="C40" s="336">
        <v>3</v>
      </c>
      <c r="D40" s="337">
        <f>VLOOKUP(C37,'Location Summary'!$G$2:$H$604,2,FALSE)</f>
        <v>450</v>
      </c>
      <c r="E40" s="336">
        <v>3</v>
      </c>
      <c r="F40" s="337">
        <f>VLOOKUP(E37,'Location Summary'!$G$2:$H$604,2,FALSE)</f>
        <v>435</v>
      </c>
      <c r="G40" s="336">
        <v>3</v>
      </c>
      <c r="H40" s="337">
        <f>VLOOKUP(G37,'Location Summary'!$G$2:$H$604,2,FALSE)</f>
        <v>385</v>
      </c>
      <c r="I40" s="336">
        <v>3</v>
      </c>
      <c r="J40" s="337">
        <f>VLOOKUP(I37,'Location Summary'!$G$2:$H$604,2,FALSE)</f>
        <v>390</v>
      </c>
      <c r="K40" s="336">
        <v>3</v>
      </c>
      <c r="L40" s="337">
        <f>VLOOKUP(K37,'Location Summary'!$G$2:$H$604,2,FALSE)</f>
        <v>405</v>
      </c>
      <c r="M40" s="336">
        <v>3</v>
      </c>
      <c r="N40" s="337">
        <f>VLOOKUP(M37,'Location Summary'!$G$2:$H$604,2,FALSE)</f>
        <v>390</v>
      </c>
      <c r="O40" s="336">
        <v>3</v>
      </c>
      <c r="P40" s="337">
        <f>VLOOKUP(O37,'Location Summary'!$G$2:$H$604,2,FALSE)</f>
        <v>429.77</v>
      </c>
      <c r="Q40" s="336">
        <v>3</v>
      </c>
      <c r="R40" s="337">
        <f>VLOOKUP(Q37,'Location Summary'!$G$2:$H$604,2,FALSE)</f>
        <v>350</v>
      </c>
      <c r="S40" s="336">
        <v>3</v>
      </c>
      <c r="T40" s="337">
        <f>VLOOKUP(S37,'Location Summary'!$G$2:$H$604,2,FALSE)</f>
        <v>330</v>
      </c>
      <c r="U40" s="336">
        <v>3</v>
      </c>
      <c r="V40" s="337">
        <f>VLOOKUP(U37,'Location Summary'!$G$2:$H$604,2,FALSE)</f>
        <v>390</v>
      </c>
      <c r="W40" s="336">
        <v>3</v>
      </c>
      <c r="X40" s="337">
        <f>VLOOKUP(W37,'Location Summary'!$G$2:$H$604,2,FALSE)</f>
        <v>400</v>
      </c>
      <c r="Y40" s="336">
        <v>3</v>
      </c>
      <c r="Z40" s="337">
        <f>VLOOKUP(Y37,'Location Summary'!$G$2:$H$604,2,FALSE)</f>
        <v>338</v>
      </c>
      <c r="AA40" s="336">
        <v>3</v>
      </c>
      <c r="AB40" s="337">
        <f>VLOOKUP(AA37,'Location Summary'!$G$2:$H$604,2,FALSE)</f>
        <v>357</v>
      </c>
      <c r="AC40" s="336">
        <v>3</v>
      </c>
      <c r="AD40" s="337">
        <f>VLOOKUP(AC37,'Location Summary'!$G$2:$H$604,2,FALSE)</f>
        <v>335</v>
      </c>
      <c r="AE40" s="336">
        <v>3</v>
      </c>
      <c r="AF40" s="337">
        <f>VLOOKUP(AE37,'Location Summary'!$G$2:$H$604,2,FALSE)</f>
        <v>415</v>
      </c>
      <c r="AG40" s="336">
        <v>3</v>
      </c>
      <c r="AH40" s="337">
        <f>VLOOKUP(AG37,'Location Summary'!$G$2:$H$604,2,FALSE)</f>
        <v>375</v>
      </c>
      <c r="AI40" s="336">
        <v>3</v>
      </c>
      <c r="AJ40" s="337">
        <f>VLOOKUP(AI37,'Location Summary'!$G$2:$H$604,2,FALSE)</f>
        <v>375</v>
      </c>
      <c r="AK40" s="336">
        <v>3</v>
      </c>
      <c r="AL40" s="337">
        <f>VLOOKUP(AK37,'Location Summary'!$G$2:$H$604,2,FALSE)</f>
        <v>375</v>
      </c>
      <c r="AM40" s="643">
        <v>3</v>
      </c>
      <c r="AN40" s="337">
        <f>VLOOKUP(AM37,'Location Summary'!$G$2:$H$604,2,FALSE)</f>
        <v>415</v>
      </c>
      <c r="AO40" s="336">
        <v>3</v>
      </c>
      <c r="AP40" s="337">
        <f>VLOOKUP(AO37,'Location Summary'!$G$2:$H$604,2,FALSE)</f>
        <v>466.63</v>
      </c>
      <c r="AQ40" s="336">
        <v>3</v>
      </c>
      <c r="AR40" s="337">
        <f>VLOOKUP(AQ37,'Location Summary'!$G$2:$H$604,2,FALSE)</f>
        <v>418.37200000000001</v>
      </c>
      <c r="AS40" s="336">
        <v>3</v>
      </c>
      <c r="AT40" s="338">
        <f>VLOOKUP(AS37,'Location Summary'!$G$2:$H$604,2,FALSE)</f>
        <v>410</v>
      </c>
    </row>
    <row r="41" spans="2:48" ht="15" customHeight="1">
      <c r="B41" s="358"/>
      <c r="C41" s="341">
        <v>2</v>
      </c>
      <c r="E41" s="341">
        <v>2</v>
      </c>
      <c r="G41" s="341">
        <v>2</v>
      </c>
      <c r="I41" s="341">
        <v>2</v>
      </c>
      <c r="K41" s="341">
        <v>2</v>
      </c>
      <c r="M41" s="341">
        <v>2</v>
      </c>
      <c r="O41" s="341">
        <v>2</v>
      </c>
      <c r="Q41" s="341">
        <v>2</v>
      </c>
      <c r="S41" s="341">
        <v>2</v>
      </c>
      <c r="U41" s="341">
        <v>2</v>
      </c>
      <c r="W41" s="341">
        <v>2</v>
      </c>
      <c r="Y41" s="341">
        <v>2</v>
      </c>
      <c r="AA41" s="360">
        <v>2</v>
      </c>
      <c r="AC41" s="341">
        <v>2</v>
      </c>
      <c r="AE41" s="341">
        <v>2</v>
      </c>
      <c r="AG41" s="341">
        <v>2</v>
      </c>
      <c r="AI41" s="341">
        <v>2</v>
      </c>
      <c r="AK41" s="341">
        <v>2</v>
      </c>
      <c r="AM41" s="361">
        <v>2</v>
      </c>
      <c r="AO41" s="341">
        <v>2</v>
      </c>
      <c r="AQ41" s="341">
        <v>2</v>
      </c>
      <c r="AS41" s="341">
        <v>2</v>
      </c>
      <c r="AT41" s="326"/>
    </row>
    <row r="42" spans="2:48" ht="15" customHeight="1">
      <c r="B42" s="352"/>
      <c r="C42" s="314" t="str">
        <f>VLOOKUP(C37,'Location Summary'!$C$2:$J$604,2,FALSE)</f>
        <v>DA-1.5</v>
      </c>
      <c r="D42" s="314"/>
      <c r="E42" s="314" t="str">
        <f>VLOOKUP(E37,'Location Summary'!$C$2:$J$604,2,FALSE)</f>
        <v>DB1+6</v>
      </c>
      <c r="F42" s="314"/>
      <c r="G42" s="314" t="str">
        <f>VLOOKUP(G37,'Location Summary'!$C$2:$J$604,2,FALSE)</f>
        <v>DA+1.5</v>
      </c>
      <c r="H42" s="314"/>
      <c r="I42" s="314" t="str">
        <f>VLOOKUP(I37,'Location Summary'!$C$2:$J$604,2,FALSE)</f>
        <v>DA+3</v>
      </c>
      <c r="J42" s="314"/>
      <c r="K42" s="314" t="str">
        <f>VLOOKUP(K37,'Location Summary'!$C$2:$J$604,2,FALSE)</f>
        <v>DA+3</v>
      </c>
      <c r="L42" s="314"/>
      <c r="M42" s="314" t="str">
        <f>VLOOKUP(M37,'Location Summary'!$C$2:$J$604,2,FALSE)</f>
        <v>DA+3</v>
      </c>
      <c r="N42" s="314"/>
      <c r="O42" s="314" t="str">
        <f>VLOOKUP(O37,'Location Summary'!$C$2:$J$604,2,FALSE)</f>
        <v>DA+3</v>
      </c>
      <c r="P42" s="314"/>
      <c r="Q42" s="314" t="str">
        <f>VLOOKUP(Q37,'Location Summary'!$C$2:$J$604,2,FALSE)</f>
        <v>DB1+0</v>
      </c>
      <c r="R42" s="314"/>
      <c r="S42" s="314" t="str">
        <f>VLOOKUP(S37,'Location Summary'!$C$2:$J$604,2,FALSE)</f>
        <v>DA-3</v>
      </c>
      <c r="T42" s="314"/>
      <c r="U42" s="314" t="str">
        <f>VLOOKUP(U37,'Location Summary'!$C$2:$J$604,2,FALSE)</f>
        <v>DA+6</v>
      </c>
      <c r="V42" s="314"/>
      <c r="W42" s="314" t="str">
        <f>VLOOKUP(W37,'Location Summary'!$C$2:$J$604,2,FALSE)</f>
        <v>DA+9</v>
      </c>
      <c r="X42" s="314"/>
      <c r="Y42" s="314" t="str">
        <f>VLOOKUP(Y37,'Location Summary'!$C$2:$J$604,2,FALSE)</f>
        <v>DA+6</v>
      </c>
      <c r="Z42" s="314"/>
      <c r="AA42" s="314" t="str">
        <f>VLOOKUP(AA37,'Location Summary'!$C$2:$J$604,2,FALSE)</f>
        <v>DA+9</v>
      </c>
      <c r="AB42" s="314"/>
      <c r="AC42" s="314" t="str">
        <f>VLOOKUP(AC37,'Location Summary'!$C$2:$J$604,2,FALSE)</f>
        <v>DA+3</v>
      </c>
      <c r="AD42" s="314"/>
      <c r="AE42" s="314" t="str">
        <f>VLOOKUP(AE37,'Location Summary'!$C$2:$J$604,2,FALSE)</f>
        <v>DA+3</v>
      </c>
      <c r="AF42" s="314"/>
      <c r="AG42" s="314" t="str">
        <f>VLOOKUP(AG37,'Location Summary'!$C$2:$J$604,2,FALSE)</f>
        <v>DA+9</v>
      </c>
      <c r="AH42" s="314"/>
      <c r="AI42" s="314" t="str">
        <f>VLOOKUP(AI37,'Location Summary'!$C$2:$J$604,2,FALSE)</f>
        <v>DA+3</v>
      </c>
      <c r="AJ42" s="314"/>
      <c r="AK42" s="314" t="str">
        <f>VLOOKUP(AK37,'Location Summary'!$C$2:$J$604,2,FALSE)</f>
        <v>DA+0</v>
      </c>
      <c r="AL42" s="342"/>
      <c r="AM42" s="314" t="str">
        <f>VLOOKUP(AM37,'Location Summary'!$C$2:$J$604,2,FALSE)</f>
        <v>DA+9</v>
      </c>
      <c r="AN42" s="342"/>
      <c r="AO42" s="314" t="str">
        <f>VLOOKUP(AO37,'Location Summary'!$C$2:$J$604,2,FALSE)</f>
        <v>DB1+12</v>
      </c>
      <c r="AP42" s="342"/>
      <c r="AQ42" s="314" t="str">
        <f>VLOOKUP(AQ37,'Location Summary'!$C$2:$J$604,2,FALSE)</f>
        <v>DB1+12</v>
      </c>
      <c r="AS42" s="314" t="str">
        <f>VLOOKUP(AS37,'Location Summary'!$C$2:$J$604,2,FALSE)</f>
        <v>DA+3</v>
      </c>
      <c r="AT42" s="326"/>
    </row>
    <row r="43" spans="2:48" ht="15" customHeight="1">
      <c r="B43" s="352"/>
      <c r="C43" s="314"/>
      <c r="D43" s="314"/>
      <c r="E43" s="314"/>
      <c r="F43" s="314"/>
      <c r="G43" s="314"/>
      <c r="H43" s="342"/>
      <c r="I43" s="342"/>
      <c r="J43" s="342"/>
      <c r="K43" s="342"/>
      <c r="L43" s="342"/>
      <c r="M43" s="342"/>
      <c r="N43" s="342"/>
      <c r="O43" s="342"/>
      <c r="P43" s="314"/>
      <c r="Q43" s="314"/>
      <c r="R43" s="314"/>
      <c r="S43" s="314"/>
      <c r="T43" s="314"/>
      <c r="U43" s="314"/>
      <c r="V43" s="314"/>
      <c r="W43" s="314"/>
      <c r="X43" s="314"/>
      <c r="Y43" s="314"/>
      <c r="Z43" s="314"/>
      <c r="AA43" s="314"/>
      <c r="AB43" s="314"/>
      <c r="AC43" s="314"/>
      <c r="AD43" s="314"/>
      <c r="AE43" s="314"/>
      <c r="AF43" s="314"/>
      <c r="AG43" s="314"/>
      <c r="AH43" s="343"/>
      <c r="AI43" s="314"/>
      <c r="AJ43" s="314"/>
      <c r="AK43" s="314"/>
      <c r="AL43" s="314"/>
      <c r="AM43" s="314"/>
      <c r="AN43" s="343"/>
      <c r="AO43" s="314"/>
      <c r="AP43" s="314"/>
      <c r="AQ43" s="314"/>
      <c r="AR43" s="314"/>
      <c r="AS43" s="314"/>
      <c r="AT43" s="326"/>
      <c r="AV43" s="351"/>
    </row>
    <row r="44" spans="2:48" ht="15" customHeight="1">
      <c r="B44" s="345"/>
      <c r="C44" s="343">
        <f>AS36+1</f>
        <v>82</v>
      </c>
      <c r="D44" s="324"/>
      <c r="E44" s="343">
        <f>C44+1</f>
        <v>83</v>
      </c>
      <c r="F44" s="343"/>
      <c r="G44" s="343">
        <f>E44+1</f>
        <v>84</v>
      </c>
      <c r="H44" s="343"/>
      <c r="I44" s="343">
        <f>G44+1</f>
        <v>85</v>
      </c>
      <c r="J44" s="343"/>
      <c r="K44" s="343">
        <f>I44+1</f>
        <v>86</v>
      </c>
      <c r="L44" s="343"/>
      <c r="M44" s="343">
        <f>K44+1</f>
        <v>87</v>
      </c>
      <c r="N44" s="343"/>
      <c r="O44" s="343">
        <f>M44+1</f>
        <v>88</v>
      </c>
      <c r="P44" s="343"/>
      <c r="Q44" s="343">
        <f>O44+1</f>
        <v>89</v>
      </c>
      <c r="R44" s="343"/>
      <c r="S44" s="343">
        <f>Q44+1</f>
        <v>90</v>
      </c>
      <c r="T44" s="343"/>
      <c r="U44" s="343">
        <f>S44+1</f>
        <v>91</v>
      </c>
      <c r="V44" s="343"/>
      <c r="W44" s="343">
        <f>U44+1</f>
        <v>92</v>
      </c>
      <c r="X44" s="343"/>
      <c r="Y44" s="343">
        <f>W44+1</f>
        <v>93</v>
      </c>
      <c r="Z44" s="343"/>
      <c r="AA44" s="343">
        <f>Y44+1</f>
        <v>94</v>
      </c>
      <c r="AB44" s="343"/>
      <c r="AC44" s="343">
        <f>AA44+1</f>
        <v>95</v>
      </c>
      <c r="AD44" s="343"/>
      <c r="AE44" s="343">
        <f>AC44+1</f>
        <v>96</v>
      </c>
      <c r="AF44" s="343"/>
      <c r="AG44" s="343">
        <f>AE44+1</f>
        <v>97</v>
      </c>
      <c r="AI44" s="343">
        <f>AG44+1</f>
        <v>98</v>
      </c>
      <c r="AJ44" s="356"/>
      <c r="AK44" s="343">
        <f>AI44+1</f>
        <v>99</v>
      </c>
      <c r="AL44" s="343"/>
      <c r="AM44" s="343">
        <f>AK44+1</f>
        <v>100</v>
      </c>
      <c r="AO44" s="343">
        <f>AM44+1</f>
        <v>101</v>
      </c>
      <c r="AP44" s="343"/>
      <c r="AQ44" s="343">
        <f>AO44+1</f>
        <v>102</v>
      </c>
      <c r="AR44" s="343"/>
      <c r="AS44" s="343">
        <f>AQ44+1</f>
        <v>103</v>
      </c>
      <c r="AT44" s="326"/>
    </row>
    <row r="45" spans="2:48" s="348" customFormat="1" ht="15" customHeight="1">
      <c r="B45" s="362"/>
      <c r="C45" s="356" t="s">
        <v>404</v>
      </c>
      <c r="D45" s="356"/>
      <c r="E45" s="356" t="s">
        <v>405</v>
      </c>
      <c r="F45" s="356"/>
      <c r="G45" s="356" t="s">
        <v>368</v>
      </c>
      <c r="H45" s="356"/>
      <c r="I45" s="356" t="s">
        <v>369</v>
      </c>
      <c r="J45" s="356"/>
      <c r="K45" s="356" t="s">
        <v>370</v>
      </c>
      <c r="L45" s="356"/>
      <c r="M45" s="356" t="s">
        <v>406</v>
      </c>
      <c r="N45" s="356"/>
      <c r="O45" s="356" t="s">
        <v>407</v>
      </c>
      <c r="P45" s="356"/>
      <c r="Q45" s="356" t="s">
        <v>408</v>
      </c>
      <c r="R45" s="356"/>
      <c r="S45" s="356" t="s">
        <v>409</v>
      </c>
      <c r="T45" s="356"/>
      <c r="U45" s="356" t="s">
        <v>410</v>
      </c>
      <c r="V45" s="356"/>
      <c r="W45" s="356" t="s">
        <v>264</v>
      </c>
      <c r="X45" s="356"/>
      <c r="Y45" s="356" t="s">
        <v>411</v>
      </c>
      <c r="Z45" s="356"/>
      <c r="AA45" s="356" t="s">
        <v>412</v>
      </c>
      <c r="AB45" s="356"/>
      <c r="AC45" s="356" t="s">
        <v>265</v>
      </c>
      <c r="AD45" s="356"/>
      <c r="AE45" s="356" t="s">
        <v>266</v>
      </c>
      <c r="AF45" s="356"/>
      <c r="AG45" s="356" t="s">
        <v>267</v>
      </c>
      <c r="AH45" s="356"/>
      <c r="AI45" s="356" t="s">
        <v>483</v>
      </c>
      <c r="AK45" s="356" t="s">
        <v>11</v>
      </c>
      <c r="AL45" s="356"/>
      <c r="AM45" s="356" t="s">
        <v>167</v>
      </c>
      <c r="AN45" s="356"/>
      <c r="AO45" s="356" t="s">
        <v>308</v>
      </c>
      <c r="AP45" s="356"/>
      <c r="AQ45" s="356" t="s">
        <v>413</v>
      </c>
      <c r="AR45" s="356"/>
      <c r="AS45" s="356" t="s">
        <v>414</v>
      </c>
      <c r="AT45" s="357"/>
    </row>
    <row r="46" spans="2:48" ht="15" customHeight="1">
      <c r="B46" s="352"/>
      <c r="T46" s="314"/>
      <c r="V46" s="314"/>
      <c r="X46" s="314"/>
      <c r="Z46" s="314"/>
      <c r="AB46" s="314"/>
      <c r="AD46" s="314"/>
      <c r="AF46" s="363" t="s">
        <v>234</v>
      </c>
      <c r="AG46" s="314"/>
      <c r="AJ46" s="314"/>
      <c r="AL46" s="363" t="s">
        <v>232</v>
      </c>
      <c r="AN46" s="314"/>
      <c r="AP46" s="314"/>
      <c r="AR46" s="314"/>
      <c r="AT46" s="326"/>
    </row>
    <row r="47" spans="2:48" ht="15" customHeight="1">
      <c r="B47" s="358"/>
      <c r="AT47" s="326"/>
    </row>
    <row r="48" spans="2:48" s="367" customFormat="1" ht="20.25" customHeight="1">
      <c r="B48" s="364"/>
      <c r="C48" s="336">
        <v>3</v>
      </c>
      <c r="D48" s="365">
        <f>VLOOKUP(C45,'Location Summary'!$G$2:$H$604,2,FALSE)</f>
        <v>395</v>
      </c>
      <c r="E48" s="336">
        <v>3</v>
      </c>
      <c r="F48" s="365">
        <f>VLOOKUP(E45,'Location Summary'!$G$2:$H$604,2,FALSE)</f>
        <v>395</v>
      </c>
      <c r="G48" s="336">
        <v>3</v>
      </c>
      <c r="H48" s="365">
        <f>VLOOKUP(G45,'Location Summary'!$G$2:$H$604,2,FALSE)</f>
        <v>425</v>
      </c>
      <c r="I48" s="336">
        <v>3</v>
      </c>
      <c r="J48" s="365">
        <f>VLOOKUP(I45,'Location Summary'!$G$2:$H$604,2,FALSE)</f>
        <v>415</v>
      </c>
      <c r="K48" s="654">
        <v>3</v>
      </c>
      <c r="L48" s="365">
        <f>VLOOKUP(K45,'Location Summary'!$G$2:$H$604,2,FALSE)</f>
        <v>405</v>
      </c>
      <c r="M48" s="654">
        <v>3</v>
      </c>
      <c r="N48" s="365">
        <f>VLOOKUP(M45,'Location Summary'!$G$2:$H$604,2,FALSE)</f>
        <v>435</v>
      </c>
      <c r="O48" s="654">
        <v>3</v>
      </c>
      <c r="P48" s="365">
        <f>VLOOKUP(O45,'Location Summary'!$G$2:$H$604,2,FALSE)</f>
        <v>405</v>
      </c>
      <c r="Q48" s="654">
        <v>3</v>
      </c>
      <c r="R48" s="365">
        <f>VLOOKUP(Q45,'Location Summary'!$G$2:$H$604,2,FALSE)</f>
        <v>435</v>
      </c>
      <c r="S48" s="336">
        <v>3</v>
      </c>
      <c r="T48" s="365">
        <f>VLOOKUP(S45,'Location Summary'!$G$2:$H$604,2,FALSE)</f>
        <v>395</v>
      </c>
      <c r="U48" s="336">
        <v>3</v>
      </c>
      <c r="V48" s="365">
        <f>VLOOKUP(U45,'Location Summary'!$G$2:$H$604,2,FALSE)</f>
        <v>431.548</v>
      </c>
      <c r="W48" s="336">
        <v>3</v>
      </c>
      <c r="X48" s="365">
        <f>VLOOKUP(W45,'Location Summary'!$G$2:$H$604,2,FALSE)</f>
        <v>363.452</v>
      </c>
      <c r="Y48" s="336">
        <v>3</v>
      </c>
      <c r="Z48" s="365">
        <f>VLOOKUP(Y45,'Location Summary'!$G$2:$H$604,2,FALSE)</f>
        <v>295</v>
      </c>
      <c r="AA48" s="336">
        <v>3</v>
      </c>
      <c r="AB48" s="365">
        <f>VLOOKUP(AA45,'Location Summary'!$G$2:$H$604,2,FALSE)</f>
        <v>345.73099999999999</v>
      </c>
      <c r="AC48" s="653">
        <v>3</v>
      </c>
      <c r="AD48" s="365">
        <f>VLOOKUP(AC45,'Location Summary'!$G$2:$H$604,2,FALSE)</f>
        <v>242.89</v>
      </c>
      <c r="AE48" s="653">
        <v>3</v>
      </c>
      <c r="AF48" s="365">
        <f>VLOOKUP(AE45,'Location Summary'!$G$2:$H$604,2,FALSE)</f>
        <v>329.73</v>
      </c>
      <c r="AG48" s="653">
        <v>3</v>
      </c>
      <c r="AH48" s="365">
        <f>VLOOKUP(AG45,'Location Summary'!$G$2:$H$604,2,FALSE)</f>
        <v>416.88</v>
      </c>
      <c r="AI48" s="653">
        <v>3</v>
      </c>
      <c r="AJ48" s="365">
        <f>VLOOKUP(AI45,'Location Summary'!$G$2:$H$604,2,FALSE)</f>
        <v>480.27</v>
      </c>
      <c r="AK48" s="653">
        <v>3</v>
      </c>
      <c r="AL48" s="365">
        <f>VLOOKUP(AK45,'Location Summary'!$G$2:$H$604,2,FALSE)</f>
        <v>223.82</v>
      </c>
      <c r="AM48" s="653">
        <v>3</v>
      </c>
      <c r="AN48" s="365">
        <f>VLOOKUP(AM45,'Location Summary'!$G$2:$H$604,2,FALSE)</f>
        <v>405.91500000000002</v>
      </c>
      <c r="AO48" s="336">
        <v>3</v>
      </c>
      <c r="AP48" s="365">
        <f>VLOOKUP(AO45,'Location Summary'!$G$2:$H$604,2,FALSE)</f>
        <v>405</v>
      </c>
      <c r="AQ48" s="336">
        <v>3</v>
      </c>
      <c r="AR48" s="365">
        <f>VLOOKUP(AQ45,'Location Summary'!$G$2:$H$604,2,FALSE)</f>
        <v>420</v>
      </c>
      <c r="AS48" s="336">
        <v>3</v>
      </c>
      <c r="AT48" s="366">
        <f>VLOOKUP(AS45,'Location Summary'!$G$2:$H$604,2,FALSE)</f>
        <v>415</v>
      </c>
    </row>
    <row r="49" spans="2:48" ht="15" customHeight="1">
      <c r="B49" s="358"/>
      <c r="C49" s="341">
        <v>2</v>
      </c>
      <c r="E49" s="360">
        <v>2</v>
      </c>
      <c r="F49" s="367"/>
      <c r="G49" s="360">
        <v>2</v>
      </c>
      <c r="H49" s="367"/>
      <c r="I49" s="360">
        <v>2</v>
      </c>
      <c r="K49" s="341">
        <v>2</v>
      </c>
      <c r="M49" s="341">
        <v>2</v>
      </c>
      <c r="O49" s="341">
        <v>2</v>
      </c>
      <c r="Q49" s="341">
        <v>2</v>
      </c>
      <c r="S49" s="341">
        <v>2</v>
      </c>
      <c r="U49" s="360">
        <v>2</v>
      </c>
      <c r="W49" s="341">
        <v>2</v>
      </c>
      <c r="Y49" s="360">
        <v>2</v>
      </c>
      <c r="AA49" s="360">
        <v>2</v>
      </c>
      <c r="AC49" s="341">
        <v>2</v>
      </c>
      <c r="AE49" s="341">
        <v>2</v>
      </c>
      <c r="AG49" s="341">
        <v>2</v>
      </c>
      <c r="AI49" s="341">
        <v>2</v>
      </c>
      <c r="AK49" s="341">
        <v>2</v>
      </c>
      <c r="AM49" s="341">
        <v>2</v>
      </c>
      <c r="AO49" s="341">
        <v>2</v>
      </c>
      <c r="AQ49" s="360">
        <v>2</v>
      </c>
      <c r="AS49" s="360">
        <v>2</v>
      </c>
      <c r="AT49" s="326"/>
    </row>
    <row r="50" spans="2:48" s="370" customFormat="1" ht="21" customHeight="1">
      <c r="B50" s="368"/>
      <c r="C50" s="314" t="str">
        <f>VLOOKUP(C45,'Location Summary'!$C$2:$J$604,2,FALSE)</f>
        <v>DA+3</v>
      </c>
      <c r="D50" s="328"/>
      <c r="E50" s="314" t="str">
        <f>VLOOKUP(E45,'Location Summary'!$C$2:$J$604,2,FALSE)</f>
        <v>DA+0</v>
      </c>
      <c r="F50" s="328"/>
      <c r="G50" s="314" t="str">
        <f>VLOOKUP(G45,'Location Summary'!$C$2:$J$604,2,FALSE)</f>
        <v>DA+6</v>
      </c>
      <c r="H50" s="328"/>
      <c r="I50" s="314" t="str">
        <f>VLOOKUP(I45,'Location Summary'!$C$2:$J$604,2,FALSE)</f>
        <v>DA+3</v>
      </c>
      <c r="J50" s="328"/>
      <c r="K50" s="314" t="str">
        <f>VLOOKUP(K45,'Location Summary'!$C$2:$J$604,2,FALSE)</f>
        <v>DA+3</v>
      </c>
      <c r="L50" s="328"/>
      <c r="M50" s="314" t="str">
        <f>VLOOKUP(M45,'Location Summary'!$C$2:$J$604,2,FALSE)</f>
        <v>DA+9</v>
      </c>
      <c r="N50" s="328"/>
      <c r="O50" s="314" t="str">
        <f>VLOOKUP(O45,'Location Summary'!$C$2:$J$604,2,FALSE)</f>
        <v>DA+0</v>
      </c>
      <c r="P50" s="328"/>
      <c r="Q50" s="314" t="str">
        <f>VLOOKUP(Q45,'Location Summary'!$C$2:$J$604,2,FALSE)</f>
        <v>DA+0</v>
      </c>
      <c r="R50" s="328"/>
      <c r="S50" s="314" t="str">
        <f>VLOOKUP(S45,'Location Summary'!$C$2:$J$604,2,FALSE)</f>
        <v>DA+3</v>
      </c>
      <c r="T50" s="342"/>
      <c r="U50" s="314" t="str">
        <f>VLOOKUP(U45,'Location Summary'!$C$2:$J$604,2,FALSE)</f>
        <v>DA+3</v>
      </c>
      <c r="V50" s="342"/>
      <c r="W50" s="314" t="str">
        <f>VLOOKUP(W45,'Location Summary'!$C$2:$J$604,2,FALSE)</f>
        <v>DB1+6</v>
      </c>
      <c r="X50" s="342"/>
      <c r="Y50" s="314" t="str">
        <f>VLOOKUP(Y45,'Location Summary'!$C$2:$J$604,2,FALSE)</f>
        <v>DA+3</v>
      </c>
      <c r="Z50" s="342"/>
      <c r="AA50" s="314" t="str">
        <f>VLOOKUP(AA45,'Location Summary'!$C$2:$J$604,2,FALSE)</f>
        <v>DA+3</v>
      </c>
      <c r="AB50" s="342"/>
      <c r="AC50" s="369" t="str">
        <f>VLOOKUP(AC45,'Location Summary'!$C$2:$J$604,2,FALSE)</f>
        <v>DD45+0</v>
      </c>
      <c r="AD50" s="342"/>
      <c r="AE50" s="314" t="str">
        <f>VLOOKUP(AE45,'Location Summary'!$C$2:$J$604,2,FALSE)</f>
        <v>DB1+9</v>
      </c>
      <c r="AF50" s="342"/>
      <c r="AG50" s="314" t="str">
        <f>VLOOKUP(AG45,'Location Summary'!$C$2:$J$604,2,FALSE)</f>
        <v>DD60+9</v>
      </c>
      <c r="AH50" s="342"/>
      <c r="AI50" s="314" t="str">
        <f>VLOOKUP(AI45,'Location Summary'!$C$2:$J$604,2,FALSE)</f>
        <v>DB1+9</v>
      </c>
      <c r="AJ50" s="342"/>
      <c r="AK50" s="314" t="str">
        <f>VLOOKUP(AK45,'Location Summary'!$C$2:$J$604,2,FALSE)</f>
        <v>DD60+18</v>
      </c>
      <c r="AL50" s="342"/>
      <c r="AM50" s="314" t="str">
        <f>VLOOKUP(AM45,'Location Summary'!$C$2:$J$604,2,FALSE)</f>
        <v>DD60+25</v>
      </c>
      <c r="AN50" s="342"/>
      <c r="AO50" s="314" t="str">
        <f>VLOOKUP(AO45,'Location Summary'!$C$2:$J$604,2,FALSE)</f>
        <v>DA+6</v>
      </c>
      <c r="AP50" s="342"/>
      <c r="AQ50" s="314" t="str">
        <f>VLOOKUP(AQ45,'Location Summary'!$C$2:$J$604,2,FALSE)</f>
        <v>DA+3</v>
      </c>
      <c r="AR50" s="310"/>
      <c r="AS50" s="314" t="str">
        <f>VLOOKUP(AS45,'Location Summary'!$C$2:$J$604,2,FALSE)</f>
        <v>DA+3</v>
      </c>
      <c r="AT50" s="326"/>
    </row>
    <row r="51" spans="2:48" ht="15" customHeight="1" thickBot="1">
      <c r="B51" s="371"/>
      <c r="C51" s="372"/>
      <c r="D51" s="372"/>
      <c r="E51" s="372"/>
      <c r="F51" s="372"/>
      <c r="G51" s="372"/>
      <c r="H51" s="372"/>
      <c r="I51" s="372"/>
      <c r="J51" s="372"/>
      <c r="K51" s="372"/>
      <c r="L51" s="372"/>
      <c r="M51" s="372"/>
      <c r="N51" s="372"/>
      <c r="O51" s="1077"/>
      <c r="P51" s="372"/>
      <c r="Q51" s="372"/>
      <c r="R51" s="618"/>
      <c r="S51" s="618"/>
      <c r="T51" s="618"/>
      <c r="U51" s="618"/>
      <c r="V51" s="618"/>
      <c r="W51" s="618"/>
      <c r="X51" s="618"/>
      <c r="Y51" s="618"/>
      <c r="Z51" s="618"/>
      <c r="AA51" s="618"/>
      <c r="AB51" s="618"/>
      <c r="AC51" s="1527" t="s">
        <v>687</v>
      </c>
      <c r="AD51" s="1527"/>
      <c r="AE51" s="1527"/>
      <c r="AF51" s="372"/>
      <c r="AG51" s="386"/>
      <c r="AH51" s="372"/>
      <c r="AI51" s="386"/>
      <c r="AJ51" s="1518" t="s">
        <v>1166</v>
      </c>
      <c r="AK51" s="1518"/>
      <c r="AL51" s="1518"/>
      <c r="AM51" s="372"/>
      <c r="AN51" s="372"/>
      <c r="AO51" s="372"/>
      <c r="AP51" s="372"/>
      <c r="AQ51" s="372"/>
      <c r="AR51" s="372"/>
      <c r="AS51" s="372"/>
      <c r="AT51" s="373"/>
      <c r="AV51" s="351"/>
    </row>
    <row r="52" spans="2:48" ht="15" customHeight="1">
      <c r="B52" s="345"/>
      <c r="C52" s="343">
        <f>AS44+1</f>
        <v>104</v>
      </c>
      <c r="D52" s="324"/>
      <c r="E52" s="343">
        <f>C52+1</f>
        <v>105</v>
      </c>
      <c r="F52" s="343"/>
      <c r="G52" s="343">
        <f>E52+1</f>
        <v>106</v>
      </c>
      <c r="H52" s="343"/>
      <c r="I52" s="343">
        <f>G52+1</f>
        <v>107</v>
      </c>
      <c r="J52" s="343"/>
      <c r="K52" s="343">
        <f>I52+1</f>
        <v>108</v>
      </c>
      <c r="L52" s="343"/>
      <c r="M52" s="343">
        <f>K52+1</f>
        <v>109</v>
      </c>
      <c r="N52" s="343"/>
      <c r="O52" s="343">
        <f>M52+1</f>
        <v>110</v>
      </c>
      <c r="P52" s="343"/>
      <c r="Q52" s="343">
        <f>O52+1</f>
        <v>111</v>
      </c>
      <c r="R52" s="343"/>
      <c r="S52" s="343">
        <f>Q52+1</f>
        <v>112</v>
      </c>
      <c r="T52" s="343"/>
      <c r="U52" s="343">
        <f>S52+1</f>
        <v>113</v>
      </c>
      <c r="V52" s="343"/>
      <c r="W52" s="343">
        <f>U52+1</f>
        <v>114</v>
      </c>
      <c r="X52" s="343"/>
      <c r="Y52" s="343">
        <f>W52+1</f>
        <v>115</v>
      </c>
      <c r="Z52" s="343"/>
      <c r="AA52" s="343">
        <f>Y52+1</f>
        <v>116</v>
      </c>
      <c r="AB52" s="343"/>
      <c r="AC52" s="343">
        <f>AA52+1</f>
        <v>117</v>
      </c>
      <c r="AD52" s="343"/>
      <c r="AE52" s="343">
        <f>AC52+1</f>
        <v>118</v>
      </c>
      <c r="AF52" s="343"/>
      <c r="AG52" s="343">
        <f>AE52+1</f>
        <v>119</v>
      </c>
      <c r="AH52" s="343"/>
      <c r="AI52" s="343">
        <f>AG52+1</f>
        <v>120</v>
      </c>
      <c r="AJ52" s="343"/>
      <c r="AK52" s="343">
        <f>AI52+1</f>
        <v>121</v>
      </c>
      <c r="AL52" s="356"/>
      <c r="AM52" s="343">
        <f>AK52+1</f>
        <v>122</v>
      </c>
      <c r="AO52" s="343">
        <f>AM52+1</f>
        <v>123</v>
      </c>
      <c r="AP52" s="343"/>
      <c r="AQ52" s="343">
        <f>AO52+1</f>
        <v>124</v>
      </c>
      <c r="AR52" s="343"/>
      <c r="AS52" s="343">
        <f>AQ52+1</f>
        <v>125</v>
      </c>
      <c r="AT52" s="326"/>
    </row>
    <row r="53" spans="2:48" s="348" customFormat="1" ht="15" customHeight="1">
      <c r="B53" s="362"/>
      <c r="C53" s="356" t="s">
        <v>415</v>
      </c>
      <c r="D53" s="356"/>
      <c r="E53" s="356" t="s">
        <v>416</v>
      </c>
      <c r="F53" s="356"/>
      <c r="G53" s="356" t="s">
        <v>417</v>
      </c>
      <c r="H53" s="356"/>
      <c r="I53" s="356" t="s">
        <v>418</v>
      </c>
      <c r="J53" s="356"/>
      <c r="K53" s="356" t="s">
        <v>419</v>
      </c>
      <c r="L53" s="356"/>
      <c r="M53" s="356" t="s">
        <v>420</v>
      </c>
      <c r="N53" s="356"/>
      <c r="O53" s="356" t="s">
        <v>421</v>
      </c>
      <c r="P53" s="356"/>
      <c r="Q53" s="356" t="s">
        <v>422</v>
      </c>
      <c r="R53" s="356"/>
      <c r="S53" s="356" t="s">
        <v>423</v>
      </c>
      <c r="T53" s="356"/>
      <c r="U53" s="356" t="s">
        <v>12</v>
      </c>
      <c r="V53" s="310"/>
      <c r="W53" s="356" t="s">
        <v>13</v>
      </c>
      <c r="X53" s="356"/>
      <c r="Y53" s="356" t="s">
        <v>51</v>
      </c>
      <c r="Z53" s="356"/>
      <c r="AA53" s="356" t="s">
        <v>192</v>
      </c>
      <c r="AB53" s="356"/>
      <c r="AC53" s="356" t="s">
        <v>193</v>
      </c>
      <c r="AD53" s="356"/>
      <c r="AE53" s="356" t="s">
        <v>254</v>
      </c>
      <c r="AF53" s="356"/>
      <c r="AG53" s="356" t="s">
        <v>253</v>
      </c>
      <c r="AH53" s="356"/>
      <c r="AI53" s="356" t="s">
        <v>252</v>
      </c>
      <c r="AJ53" s="356"/>
      <c r="AK53" s="356" t="s">
        <v>251</v>
      </c>
      <c r="AM53" s="356" t="s">
        <v>424</v>
      </c>
      <c r="AN53" s="356"/>
      <c r="AO53" s="356" t="s">
        <v>52</v>
      </c>
      <c r="AP53" s="356"/>
      <c r="AQ53" s="356" t="s">
        <v>53</v>
      </c>
      <c r="AR53" s="356"/>
      <c r="AS53" s="356" t="s">
        <v>174</v>
      </c>
      <c r="AT53" s="357"/>
    </row>
    <row r="54" spans="2:48" ht="15" customHeight="1">
      <c r="B54" s="352"/>
      <c r="T54" s="314"/>
      <c r="V54" s="314"/>
      <c r="X54" s="314"/>
      <c r="Z54" s="314"/>
      <c r="AB54" s="314"/>
      <c r="AD54" s="314"/>
      <c r="AF54" s="314"/>
      <c r="AH54" s="314"/>
      <c r="AJ54" s="314"/>
      <c r="AL54" s="348"/>
      <c r="AN54" s="314"/>
      <c r="AP54" s="314"/>
      <c r="AR54" s="314"/>
      <c r="AT54" s="326"/>
    </row>
    <row r="55" spans="2:48" ht="15" customHeight="1">
      <c r="B55" s="358"/>
      <c r="AT55" s="326"/>
    </row>
    <row r="56" spans="2:48" s="367" customFormat="1" ht="20.25" customHeight="1">
      <c r="B56" s="364"/>
      <c r="C56" s="336">
        <v>3</v>
      </c>
      <c r="D56" s="365">
        <f>VLOOKUP(C53,'Location Summary'!$G$2:$H$604,2,FALSE)</f>
        <v>410</v>
      </c>
      <c r="E56" s="336">
        <v>3</v>
      </c>
      <c r="F56" s="365">
        <f>VLOOKUP(E53,'Location Summary'!$G$2:$H$604,2,FALSE)</f>
        <v>285</v>
      </c>
      <c r="G56" s="336">
        <v>3</v>
      </c>
      <c r="H56" s="365">
        <f>VLOOKUP(G53,'Location Summary'!$G$2:$H$604,2,FALSE)</f>
        <v>355</v>
      </c>
      <c r="I56" s="336">
        <v>3</v>
      </c>
      <c r="J56" s="365">
        <f>VLOOKUP(I53,'Location Summary'!$G$2:$H$604,2,FALSE)</f>
        <v>355</v>
      </c>
      <c r="K56" s="336">
        <v>3</v>
      </c>
      <c r="L56" s="365">
        <f>VLOOKUP(K53,'Location Summary'!$G$2:$H$604,2,FALSE)</f>
        <v>410</v>
      </c>
      <c r="M56" s="336">
        <v>3</v>
      </c>
      <c r="N56" s="365">
        <f>VLOOKUP(M53,'Location Summary'!$G$2:$H$604,2,FALSE)</f>
        <v>430</v>
      </c>
      <c r="O56" s="336">
        <v>3</v>
      </c>
      <c r="P56" s="365">
        <f>VLOOKUP(O53,'Location Summary'!$G$2:$H$604,2,FALSE)</f>
        <v>385</v>
      </c>
      <c r="Q56" s="336">
        <v>3</v>
      </c>
      <c r="R56" s="365">
        <f>VLOOKUP(Q53,'Location Summary'!$G$2:$H$604,2,FALSE)</f>
        <v>455</v>
      </c>
      <c r="S56" s="336">
        <v>3</v>
      </c>
      <c r="T56" s="365">
        <f>VLOOKUP(S53,'Location Summary'!$G$2:$H$604,2,FALSE)</f>
        <v>288.42500000000001</v>
      </c>
      <c r="U56" s="336">
        <v>3</v>
      </c>
      <c r="V56" s="365">
        <f>VLOOKUP(U53,'Location Summary'!$G$2:$H$604,2,FALSE)</f>
        <v>392.69</v>
      </c>
      <c r="W56" s="336">
        <v>3</v>
      </c>
      <c r="X56" s="365">
        <f>VLOOKUP(W53,'Location Summary'!$G$2:$H$604,2,FALSE)</f>
        <v>398.4</v>
      </c>
      <c r="Y56" s="336">
        <v>3</v>
      </c>
      <c r="Z56" s="365">
        <f>VLOOKUP(Y53,'Location Summary'!$G$2:$H$604,2,FALSE)</f>
        <v>307.59500000000003</v>
      </c>
      <c r="AA56" s="336">
        <v>3</v>
      </c>
      <c r="AB56" s="365">
        <f>VLOOKUP(AA53,'Location Summary'!$G$2:$H$604,2,FALSE)</f>
        <v>390</v>
      </c>
      <c r="AC56" s="336">
        <v>3</v>
      </c>
      <c r="AD56" s="365">
        <f>VLOOKUP(AC53,'Location Summary'!$G$2:$H$604,2,FALSE)</f>
        <v>380</v>
      </c>
      <c r="AE56" s="336">
        <v>3</v>
      </c>
      <c r="AF56" s="365">
        <f>VLOOKUP(AE53,'Location Summary'!$G$2:$H$604,2,FALSE)</f>
        <v>405</v>
      </c>
      <c r="AG56" s="336">
        <v>3</v>
      </c>
      <c r="AH56" s="365">
        <f>VLOOKUP(AG53,'Location Summary'!$G$2:$H$604,2,FALSE)</f>
        <v>335</v>
      </c>
      <c r="AI56" s="336">
        <v>3</v>
      </c>
      <c r="AJ56" s="365">
        <f>VLOOKUP(AI53,'Location Summary'!$G$2:$H$604,2,FALSE)</f>
        <v>425</v>
      </c>
      <c r="AK56" s="336">
        <v>3</v>
      </c>
      <c r="AL56" s="365">
        <f>VLOOKUP(AK53,'Location Summary'!$G$2:$H$604,2,FALSE)</f>
        <v>402</v>
      </c>
      <c r="AM56" s="376">
        <v>3</v>
      </c>
      <c r="AN56" s="365">
        <f>VLOOKUP(AM53,'Location Summary'!$G$2:$H$604,2,FALSE)</f>
        <v>385.43400000000003</v>
      </c>
      <c r="AO56" s="336">
        <v>3</v>
      </c>
      <c r="AP56" s="365">
        <f>VLOOKUP(AO53,'Location Summary'!$G$2:$H$604,2,FALSE)</f>
        <v>279.36</v>
      </c>
      <c r="AQ56" s="336">
        <v>3</v>
      </c>
      <c r="AR56" s="365">
        <f>VLOOKUP(AQ53,'Location Summary'!$G$2:$H$604,2,FALSE)</f>
        <v>388.51499999999999</v>
      </c>
      <c r="AS56" s="336">
        <v>3</v>
      </c>
      <c r="AT56" s="366">
        <f>VLOOKUP(AS53,'Location Summary'!$G$2:$H$604,2,FALSE)</f>
        <v>330</v>
      </c>
    </row>
    <row r="57" spans="2:48" ht="15" customHeight="1">
      <c r="B57" s="358"/>
      <c r="C57" s="319"/>
      <c r="E57" s="319"/>
      <c r="G57" s="374">
        <v>2</v>
      </c>
      <c r="I57" s="341">
        <v>2</v>
      </c>
      <c r="K57" s="341">
        <v>2</v>
      </c>
      <c r="M57" s="341">
        <v>2</v>
      </c>
      <c r="O57" s="341">
        <v>2</v>
      </c>
      <c r="Q57" s="341">
        <v>2</v>
      </c>
      <c r="S57" s="341">
        <v>2</v>
      </c>
      <c r="U57" s="341">
        <v>2</v>
      </c>
      <c r="W57" s="341">
        <v>2</v>
      </c>
      <c r="Y57" s="341">
        <v>2</v>
      </c>
      <c r="AA57" s="341">
        <v>2</v>
      </c>
      <c r="AC57" s="341">
        <v>2</v>
      </c>
      <c r="AE57" s="341">
        <v>2</v>
      </c>
      <c r="AG57" s="341">
        <v>2</v>
      </c>
      <c r="AI57" s="341">
        <v>2</v>
      </c>
      <c r="AK57" s="341">
        <v>2</v>
      </c>
      <c r="AM57" s="341">
        <v>2</v>
      </c>
      <c r="AO57" s="341">
        <v>2</v>
      </c>
      <c r="AQ57" s="341">
        <v>2</v>
      </c>
      <c r="AS57" s="341">
        <v>2</v>
      </c>
      <c r="AT57" s="326"/>
    </row>
    <row r="58" spans="2:48" ht="15" customHeight="1">
      <c r="B58" s="352"/>
      <c r="C58" s="314" t="str">
        <f>VLOOKUP(C53,'Location Summary'!$C$2:$J$604,2,FALSE)</f>
        <v>DA+6</v>
      </c>
      <c r="D58" s="328"/>
      <c r="E58" s="314" t="str">
        <f>VLOOKUP(E53,'Location Summary'!$C$2:$J$604,2,FALSE)</f>
        <v>DA+3</v>
      </c>
      <c r="F58" s="328"/>
      <c r="G58" s="314" t="str">
        <f>VLOOKUP(G53,'Location Summary'!$C$2:$J$604,2,FALSE)</f>
        <v>DA+9</v>
      </c>
      <c r="H58" s="328"/>
      <c r="I58" s="314" t="str">
        <f>VLOOKUP(I53,'Location Summary'!$C$2:$J$604,2,FALSE)</f>
        <v>DA+0</v>
      </c>
      <c r="J58" s="328"/>
      <c r="K58" s="314" t="str">
        <f>VLOOKUP(K53,'Location Summary'!$C$2:$J$604,2,FALSE)</f>
        <v>DA+1.5</v>
      </c>
      <c r="L58" s="328"/>
      <c r="M58" s="314" t="str">
        <f>VLOOKUP(M53,'Location Summary'!$C$2:$J$604,2,FALSE)</f>
        <v>DA+0</v>
      </c>
      <c r="N58" s="328"/>
      <c r="O58" s="314" t="str">
        <f>VLOOKUP(O53,'Location Summary'!$C$2:$J$604,2,FALSE)</f>
        <v>DA-1.5</v>
      </c>
      <c r="P58" s="328"/>
      <c r="Q58" s="314" t="str">
        <f>VLOOKUP(Q53,'Location Summary'!$C$2:$J$604,2,FALSE)</f>
        <v>DA+0</v>
      </c>
      <c r="R58" s="328"/>
      <c r="S58" s="314" t="str">
        <f>VLOOKUP(S53,'Location Summary'!$C$2:$J$604,2,FALSE)</f>
        <v>DA+6</v>
      </c>
      <c r="T58" s="342"/>
      <c r="U58" s="314" t="str">
        <f>VLOOKUP(U53,'Location Summary'!$C$2:$J$604,2,FALSE)</f>
        <v>DC2+0</v>
      </c>
      <c r="V58" s="342"/>
      <c r="W58" s="314" t="str">
        <f>VLOOKUP(W53,'Location Summary'!$C$2:$J$604,2,FALSE)</f>
        <v>DC1+3</v>
      </c>
      <c r="X58" s="342"/>
      <c r="Y58" s="314" t="str">
        <f>VLOOKUP(Y53,'Location Summary'!$C$2:$J$604,2,FALSE)</f>
        <v>DB2+6</v>
      </c>
      <c r="Z58" s="342"/>
      <c r="AA58" s="314" t="str">
        <f>VLOOKUP(AA53,'Location Summary'!$C$2:$J$604,2,FALSE)</f>
        <v>DA+3</v>
      </c>
      <c r="AB58" s="342"/>
      <c r="AC58" s="314" t="str">
        <f>VLOOKUP(AC53,'Location Summary'!$C$2:$J$604,2,FALSE)</f>
        <v>DA+1.5</v>
      </c>
      <c r="AD58" s="342"/>
      <c r="AE58" s="314" t="str">
        <f>VLOOKUP(AE53,'Location Summary'!$C$2:$J$604,2,FALSE)</f>
        <v>DA+6</v>
      </c>
      <c r="AF58" s="342"/>
      <c r="AG58" s="314" t="str">
        <f>VLOOKUP(AG53,'Location Summary'!$C$2:$J$604,2,FALSE)</f>
        <v>DA-3</v>
      </c>
      <c r="AH58" s="342"/>
      <c r="AI58" s="314" t="str">
        <f>VLOOKUP(AI53,'Location Summary'!$C$2:$J$604,2,FALSE)</f>
        <v>DA+0</v>
      </c>
      <c r="AJ58" s="342"/>
      <c r="AK58" s="314" t="str">
        <f>VLOOKUP(AK53,'Location Summary'!$C$2:$J$604,2,FALSE)</f>
        <v>DA+9</v>
      </c>
      <c r="AL58" s="342"/>
      <c r="AM58" s="314" t="str">
        <f>VLOOKUP(AM53,'Location Summary'!$C$2:$J$604,2,FALSE)</f>
        <v>DA+1.5</v>
      </c>
      <c r="AN58" s="342"/>
      <c r="AO58" s="369" t="str">
        <f>VLOOKUP(AO53,'Location Summary'!$C$2:$J$604,2,FALSE)</f>
        <v>DD60+3</v>
      </c>
      <c r="AP58" s="342"/>
      <c r="AQ58" s="375" t="str">
        <f>VLOOKUP(AQ53,'Location Summary'!$C$2:$J$604,2,FALSE)</f>
        <v>DD60+3</v>
      </c>
      <c r="AS58" s="314" t="str">
        <f>VLOOKUP(AS53,'Location Summary'!$C$2:$J$604,2,FALSE)</f>
        <v>DA-3</v>
      </c>
      <c r="AT58" s="326"/>
    </row>
    <row r="59" spans="2:48" ht="15" customHeight="1">
      <c r="B59" s="352"/>
      <c r="C59" s="314"/>
      <c r="D59" s="314"/>
      <c r="E59" s="314"/>
      <c r="F59" s="314"/>
      <c r="G59" s="314"/>
      <c r="H59" s="314"/>
      <c r="I59" s="314"/>
      <c r="J59" s="314"/>
      <c r="K59" s="1519" t="s">
        <v>513</v>
      </c>
      <c r="L59" s="1519"/>
      <c r="M59" s="1519"/>
      <c r="N59" s="314"/>
      <c r="O59" s="314"/>
      <c r="P59" s="342"/>
      <c r="Q59" s="325"/>
      <c r="R59" s="314"/>
      <c r="T59" s="342"/>
      <c r="U59" s="343" t="s">
        <v>1541</v>
      </c>
      <c r="V59" s="314"/>
      <c r="W59" s="343"/>
      <c r="X59" s="314"/>
      <c r="Y59" s="314"/>
      <c r="Z59" s="314"/>
      <c r="AA59" s="314"/>
      <c r="AB59" s="314"/>
      <c r="AC59" s="314"/>
      <c r="AD59" s="314"/>
      <c r="AE59" s="314"/>
      <c r="AF59" s="314"/>
      <c r="AG59" s="314"/>
      <c r="AH59" s="342"/>
      <c r="AI59" s="314"/>
      <c r="AJ59" s="314"/>
      <c r="AK59" s="314"/>
      <c r="AL59" s="314"/>
      <c r="AM59" s="314"/>
      <c r="AN59" s="1519" t="s">
        <v>309</v>
      </c>
      <c r="AO59" s="1519"/>
      <c r="AP59" s="1519"/>
      <c r="AQ59" s="1519"/>
      <c r="AR59" s="314"/>
      <c r="AS59" s="314"/>
      <c r="AT59" s="326"/>
      <c r="AV59" s="351"/>
    </row>
    <row r="60" spans="2:48" ht="15" customHeight="1">
      <c r="B60" s="345"/>
      <c r="C60" s="343">
        <f>AS52+1</f>
        <v>126</v>
      </c>
      <c r="D60" s="324"/>
      <c r="E60" s="343">
        <f>C60+1</f>
        <v>127</v>
      </c>
      <c r="F60" s="343"/>
      <c r="G60" s="343">
        <f>E60+1</f>
        <v>128</v>
      </c>
      <c r="H60" s="343"/>
      <c r="I60" s="343">
        <f>G60+1</f>
        <v>129</v>
      </c>
      <c r="J60" s="343"/>
      <c r="K60" s="343">
        <f>I60+1</f>
        <v>130</v>
      </c>
      <c r="L60" s="343"/>
      <c r="M60" s="343">
        <f>K60+1</f>
        <v>131</v>
      </c>
      <c r="N60" s="343"/>
      <c r="O60" s="343">
        <f>M60+1</f>
        <v>132</v>
      </c>
      <c r="P60" s="343"/>
      <c r="Q60" s="343">
        <f>O60+1</f>
        <v>133</v>
      </c>
      <c r="R60" s="343"/>
      <c r="S60" s="343">
        <f>Q60+1</f>
        <v>134</v>
      </c>
      <c r="T60" s="343"/>
      <c r="U60" s="343">
        <f>S60+1</f>
        <v>135</v>
      </c>
      <c r="V60" s="343"/>
      <c r="W60" s="343">
        <f>U60+1</f>
        <v>136</v>
      </c>
      <c r="X60" s="343"/>
      <c r="Y60" s="343">
        <f>W60+1</f>
        <v>137</v>
      </c>
      <c r="Z60" s="343"/>
      <c r="AA60" s="343">
        <f>Y60+1</f>
        <v>138</v>
      </c>
      <c r="AB60" s="343"/>
      <c r="AC60" s="343">
        <f>AA60+1</f>
        <v>139</v>
      </c>
      <c r="AD60" s="343"/>
      <c r="AE60" s="343">
        <f>AC60+1</f>
        <v>140</v>
      </c>
      <c r="AF60" s="343"/>
      <c r="AG60" s="343">
        <f>AE60+1</f>
        <v>141</v>
      </c>
      <c r="AH60" s="356"/>
      <c r="AI60" s="343">
        <f>AG60+1</f>
        <v>142</v>
      </c>
      <c r="AJ60" s="343"/>
      <c r="AK60" s="343">
        <f>AI60+1</f>
        <v>143</v>
      </c>
      <c r="AL60" s="343"/>
      <c r="AM60" s="343">
        <f>AK60+1</f>
        <v>144</v>
      </c>
      <c r="AO60" s="343">
        <f>AM60+1</f>
        <v>145</v>
      </c>
      <c r="AP60" s="343"/>
      <c r="AQ60" s="343">
        <f>AO60+1</f>
        <v>146</v>
      </c>
      <c r="AR60" s="343"/>
      <c r="AS60" s="343">
        <f>AQ60+1</f>
        <v>147</v>
      </c>
      <c r="AT60" s="326"/>
    </row>
    <row r="61" spans="2:48" s="356" customFormat="1" ht="15" customHeight="1">
      <c r="B61" s="346"/>
      <c r="C61" s="356" t="s">
        <v>175</v>
      </c>
      <c r="E61" s="356" t="s">
        <v>176</v>
      </c>
      <c r="G61" s="356" t="s">
        <v>177</v>
      </c>
      <c r="I61" s="356" t="s">
        <v>425</v>
      </c>
      <c r="K61" s="356" t="s">
        <v>426</v>
      </c>
      <c r="M61" s="356" t="s">
        <v>54</v>
      </c>
      <c r="O61" s="356" t="s">
        <v>179</v>
      </c>
      <c r="Q61" s="356" t="s">
        <v>180</v>
      </c>
      <c r="S61" s="356" t="s">
        <v>181</v>
      </c>
      <c r="U61" s="356" t="s">
        <v>182</v>
      </c>
      <c r="W61" s="356" t="s">
        <v>427</v>
      </c>
      <c r="Y61" s="356" t="s">
        <v>55</v>
      </c>
      <c r="AA61" s="356" t="s">
        <v>56</v>
      </c>
      <c r="AC61" s="356" t="s">
        <v>674</v>
      </c>
      <c r="AE61" s="356" t="s">
        <v>57</v>
      </c>
      <c r="AG61" s="356" t="s">
        <v>58</v>
      </c>
      <c r="AI61" s="356" t="s">
        <v>59</v>
      </c>
      <c r="AK61" s="356" t="s">
        <v>60</v>
      </c>
      <c r="AM61" s="356" t="s">
        <v>61</v>
      </c>
      <c r="AO61" s="356" t="s">
        <v>62</v>
      </c>
      <c r="AQ61" s="356" t="s">
        <v>153</v>
      </c>
      <c r="AS61" s="356" t="s">
        <v>155</v>
      </c>
      <c r="AT61" s="357"/>
    </row>
    <row r="62" spans="2:48" ht="15" customHeight="1">
      <c r="B62" s="377"/>
      <c r="T62" s="314"/>
      <c r="V62" s="314"/>
      <c r="X62" s="314"/>
      <c r="Z62" s="363" t="s">
        <v>233</v>
      </c>
      <c r="AB62" s="314"/>
      <c r="AD62" s="314"/>
      <c r="AF62" s="363" t="s">
        <v>232</v>
      </c>
      <c r="AH62" s="314"/>
      <c r="AJ62" s="363" t="s">
        <v>686</v>
      </c>
      <c r="AL62" s="314"/>
      <c r="AN62" s="314"/>
      <c r="AP62" s="314"/>
      <c r="AR62" s="314"/>
      <c r="AT62" s="326"/>
    </row>
    <row r="63" spans="2:48" ht="15" customHeight="1">
      <c r="B63" s="358"/>
      <c r="AT63" s="326"/>
    </row>
    <row r="64" spans="2:48" s="367" customFormat="1" ht="20.25" customHeight="1">
      <c r="B64" s="358"/>
      <c r="C64" s="654">
        <v>3</v>
      </c>
      <c r="D64" s="337">
        <f>VLOOKUP(C61,'Location Summary'!$G$2:$H$604,2,FALSE)</f>
        <v>340</v>
      </c>
      <c r="E64" s="654">
        <v>3</v>
      </c>
      <c r="F64" s="337">
        <f>VLOOKUP(E61,'Location Summary'!$G$2:$H$604,2,FALSE)</f>
        <v>420</v>
      </c>
      <c r="G64" s="654">
        <v>3</v>
      </c>
      <c r="H64" s="337">
        <f>VLOOKUP(G61,'Location Summary'!$G$2:$H$604,2,FALSE)</f>
        <v>396</v>
      </c>
      <c r="I64" s="654">
        <v>3</v>
      </c>
      <c r="J64" s="337">
        <f>VLOOKUP(I61,'Location Summary'!$G$2:$H$604,2,FALSE)</f>
        <v>355</v>
      </c>
      <c r="K64" s="654">
        <v>3</v>
      </c>
      <c r="L64" s="337">
        <f>VLOOKUP(K61,'Location Summary'!$G$2:$H$604,2,FALSE)</f>
        <v>320.65199999999999</v>
      </c>
      <c r="M64" s="654">
        <v>3</v>
      </c>
      <c r="N64" s="337">
        <f>VLOOKUP(M61,'Location Summary'!$G$2:$H$604,2,FALSE)</f>
        <v>326.34800000000001</v>
      </c>
      <c r="O64" s="654">
        <v>3</v>
      </c>
      <c r="P64" s="337">
        <f>VLOOKUP(O61,'Location Summary'!$G$2:$H$604,2,FALSE)</f>
        <v>427</v>
      </c>
      <c r="Q64" s="654">
        <v>3</v>
      </c>
      <c r="R64" s="337">
        <f>VLOOKUP(Q61,'Location Summary'!$G$2:$H$604,2,FALSE)</f>
        <v>410</v>
      </c>
      <c r="S64" s="654">
        <v>3</v>
      </c>
      <c r="T64" s="337">
        <f>VLOOKUP(S61,'Location Summary'!$G$2:$H$604,2,FALSE)</f>
        <v>405</v>
      </c>
      <c r="U64" s="654">
        <v>3</v>
      </c>
      <c r="V64" s="337">
        <f>VLOOKUP(U61,'Location Summary'!$G$2:$H$604,2,FALSE)</f>
        <v>300</v>
      </c>
      <c r="W64" s="654">
        <v>3</v>
      </c>
      <c r="X64" s="337">
        <f>VLOOKUP(W61,'Location Summary'!$G$2:$H$604,2,FALSE)</f>
        <v>415.18700000000001</v>
      </c>
      <c r="Y64" s="336">
        <v>3</v>
      </c>
      <c r="Z64" s="337">
        <f>VLOOKUP(Y61,'Location Summary'!$G$2:$H$604,2,FALSE)</f>
        <v>259.05</v>
      </c>
      <c r="AA64" s="336">
        <v>3</v>
      </c>
      <c r="AB64" s="337">
        <f>VLOOKUP(AA61,'Location Summary'!$G$2:$H$604,2,FALSE)</f>
        <v>440.46</v>
      </c>
      <c r="AC64" s="336">
        <v>3</v>
      </c>
      <c r="AD64" s="337">
        <f>VLOOKUP(AC61,'Location Summary'!$G$2:$H$604,2,FALSE)</f>
        <v>496.69</v>
      </c>
      <c r="AE64" s="336">
        <v>3</v>
      </c>
      <c r="AF64" s="337">
        <f>VLOOKUP(AE61,'Location Summary'!$G$2:$H$604,2,FALSE)</f>
        <v>244.03</v>
      </c>
      <c r="AG64" s="336">
        <v>3</v>
      </c>
      <c r="AH64" s="337">
        <f>VLOOKUP(AG61,'Location Summary'!$G$2:$H$604,2,FALSE)</f>
        <v>237.43</v>
      </c>
      <c r="AI64" s="336">
        <v>3</v>
      </c>
      <c r="AJ64" s="337">
        <f>VLOOKUP(AI61,'Location Summary'!$G$2:$H$604,2,FALSE)</f>
        <v>203.48</v>
      </c>
      <c r="AK64" s="336">
        <v>3</v>
      </c>
      <c r="AL64" s="337">
        <f>VLOOKUP(AK61,'Location Summary'!$G$2:$H$604,2,FALSE)</f>
        <v>453.68799999999999</v>
      </c>
      <c r="AM64" s="336">
        <v>3</v>
      </c>
      <c r="AN64" s="337">
        <f>VLOOKUP(AM61,'Location Summary'!$G$2:$H$604,2,FALSE)</f>
        <v>345</v>
      </c>
      <c r="AO64" s="336">
        <v>3</v>
      </c>
      <c r="AP64" s="337">
        <f>VLOOKUP(AO61,'Location Summary'!$G$2:$H$604,2,FALSE)</f>
        <v>360</v>
      </c>
      <c r="AQ64" s="336">
        <v>3</v>
      </c>
      <c r="AR64" s="337">
        <f>VLOOKUP(AQ61,'Location Summary'!$G$2:$H$604,2,FALSE)</f>
        <v>410</v>
      </c>
      <c r="AS64" s="336">
        <v>3</v>
      </c>
      <c r="AT64" s="338">
        <f>VLOOKUP(AS61,'Location Summary'!$G$2:$H$604,2,FALSE)</f>
        <v>350</v>
      </c>
    </row>
    <row r="65" spans="2:72" s="367" customFormat="1" ht="15" customHeight="1">
      <c r="B65" s="364"/>
      <c r="C65" s="341">
        <v>2</v>
      </c>
      <c r="D65" s="310"/>
      <c r="E65" s="341">
        <v>2</v>
      </c>
      <c r="F65" s="310"/>
      <c r="G65" s="341">
        <v>2</v>
      </c>
      <c r="H65" s="310"/>
      <c r="I65" s="341">
        <v>2</v>
      </c>
      <c r="J65" s="310"/>
      <c r="K65" s="341">
        <v>2</v>
      </c>
      <c r="L65" s="310"/>
      <c r="M65" s="341">
        <v>2</v>
      </c>
      <c r="N65" s="310"/>
      <c r="O65" s="341">
        <v>2</v>
      </c>
      <c r="P65" s="310"/>
      <c r="Q65" s="341">
        <v>2</v>
      </c>
      <c r="R65" s="310"/>
      <c r="S65" s="341">
        <v>2</v>
      </c>
      <c r="T65" s="310"/>
      <c r="U65" s="341">
        <v>2</v>
      </c>
      <c r="V65" s="310"/>
      <c r="W65" s="341">
        <v>2</v>
      </c>
      <c r="X65" s="310"/>
      <c r="Y65" s="341">
        <v>2</v>
      </c>
      <c r="Z65" s="310"/>
      <c r="AA65" s="341">
        <v>2</v>
      </c>
      <c r="AB65" s="310"/>
      <c r="AC65" s="341">
        <v>2</v>
      </c>
      <c r="AD65" s="310"/>
      <c r="AE65" s="341">
        <v>2</v>
      </c>
      <c r="AF65" s="310"/>
      <c r="AG65" s="341">
        <v>2</v>
      </c>
      <c r="AH65" s="310"/>
      <c r="AI65" s="341">
        <v>2</v>
      </c>
      <c r="AJ65" s="310"/>
      <c r="AK65" s="341">
        <v>2</v>
      </c>
      <c r="AL65" s="310"/>
      <c r="AM65" s="341">
        <v>2</v>
      </c>
      <c r="AN65" s="310"/>
      <c r="AO65" s="341">
        <v>2</v>
      </c>
      <c r="AP65" s="310"/>
      <c r="AQ65" s="341">
        <v>2</v>
      </c>
      <c r="AR65" s="310"/>
      <c r="AS65" s="341">
        <v>2</v>
      </c>
      <c r="AT65" s="326"/>
    </row>
    <row r="66" spans="2:72" ht="15" customHeight="1">
      <c r="B66" s="352"/>
      <c r="C66" s="314" t="str">
        <f>VLOOKUP(C61,'Location Summary'!$C$2:$J$604,2,FALSE)</f>
        <v>DA-3</v>
      </c>
      <c r="D66" s="328"/>
      <c r="E66" s="314" t="str">
        <f>VLOOKUP(E61,'Location Summary'!$C$2:$J$604,2,FALSE)</f>
        <v>DA+1.5</v>
      </c>
      <c r="F66" s="328"/>
      <c r="G66" s="314" t="str">
        <f>VLOOKUP(G61,'Location Summary'!$C$2:$J$604,2,FALSE)</f>
        <v>DA+3</v>
      </c>
      <c r="H66" s="328"/>
      <c r="I66" s="314" t="str">
        <f>VLOOKUP(I61,'Location Summary'!$C$2:$J$604,2,FALSE)</f>
        <v>DA+0</v>
      </c>
      <c r="J66" s="328"/>
      <c r="K66" s="314" t="str">
        <f>VLOOKUP(K61,'Location Summary'!$C$2:$J$604,2,FALSE)</f>
        <v>DA-3</v>
      </c>
      <c r="L66" s="328"/>
      <c r="M66" s="314" t="str">
        <f>VLOOKUP(M61,'Location Summary'!$C$2:$J$604,2,FALSE)</f>
        <v>DB1+0</v>
      </c>
      <c r="N66" s="328"/>
      <c r="O66" s="314" t="str">
        <f>VLOOKUP(O61,'Location Summary'!$C$2:$J$604,2,FALSE)</f>
        <v>DA+0</v>
      </c>
      <c r="P66" s="328"/>
      <c r="Q66" s="314" t="str">
        <f>VLOOKUP(Q61,'Location Summary'!$C$2:$J$604,2,FALSE)</f>
        <v>DA+6</v>
      </c>
      <c r="R66" s="328"/>
      <c r="S66" s="314" t="str">
        <f>VLOOKUP(S61,'Location Summary'!$C$2:$J$604,2,FALSE)</f>
        <v>DA+6</v>
      </c>
      <c r="T66" s="342"/>
      <c r="U66" s="314" t="str">
        <f>VLOOKUP(U61,'Location Summary'!$C$2:$J$604,2,FALSE)</f>
        <v>DA+0</v>
      </c>
      <c r="V66" s="342"/>
      <c r="W66" s="314" t="str">
        <f>VLOOKUP(W61,'Location Summary'!$C$2:$J$604,2,FALSE)</f>
        <v>DA+0</v>
      </c>
      <c r="X66" s="342"/>
      <c r="Y66" s="314" t="str">
        <f>VLOOKUP(Y61,'Location Summary'!$C$2:$J$604,2,FALSE)</f>
        <v>DC2+15</v>
      </c>
      <c r="Z66" s="342"/>
      <c r="AA66" s="314" t="str">
        <f>VLOOKUP(AA61,'Location Summary'!$C$2:$J$604,2,FALSE)</f>
        <v>DB2+9</v>
      </c>
      <c r="AB66" s="342"/>
      <c r="AC66" s="314" t="str">
        <f>VLOOKUP(AC61,'Location Summary'!$C$2:$J$604,2,FALSE)</f>
        <v>DB1+9</v>
      </c>
      <c r="AD66" s="342"/>
      <c r="AE66" s="314" t="str">
        <f>VLOOKUP(AE61,'Location Summary'!$C$2:$J$604,2,FALSE)</f>
        <v>DD60+18</v>
      </c>
      <c r="AF66" s="342"/>
      <c r="AG66" s="314" t="str">
        <f>VLOOKUP(AG61,'Location Summary'!$C$2:$J$604,2,FALSE)</f>
        <v>DD60+18</v>
      </c>
      <c r="AH66" s="342"/>
      <c r="AI66" s="314" t="str">
        <f>VLOOKUP(AI61,'Location Summary'!$C$2:$J$604,2,FALSE)</f>
        <v>DD60+35</v>
      </c>
      <c r="AJ66" s="342"/>
      <c r="AK66" s="314" t="str">
        <f>VLOOKUP(AK61,'Location Summary'!$C$2:$J$604,2,FALSE)</f>
        <v>DD60+35</v>
      </c>
      <c r="AL66" s="342"/>
      <c r="AM66" s="314" t="str">
        <f>VLOOKUP(AM61,'Location Summary'!$C$2:$J$604,2,FALSE)</f>
        <v>DA+9</v>
      </c>
      <c r="AN66" s="342"/>
      <c r="AO66" s="314" t="str">
        <f>VLOOKUP(AO61,'Location Summary'!$C$2:$J$604,2,FALSE)</f>
        <v>DA-1.5</v>
      </c>
      <c r="AP66" s="342"/>
      <c r="AQ66" s="314" t="str">
        <f>VLOOKUP(AQ61,'Location Summary'!$C$2:$J$604,2,FALSE)</f>
        <v>DA+1.5</v>
      </c>
      <c r="AS66" s="314" t="str">
        <f>VLOOKUP(AS61,'Location Summary'!$C$2:$J$604,2,FALSE)</f>
        <v>DA+1.5</v>
      </c>
      <c r="AT66" s="326"/>
    </row>
    <row r="67" spans="2:72" ht="15" customHeight="1">
      <c r="B67" s="378"/>
      <c r="C67" s="314"/>
      <c r="D67" s="314"/>
      <c r="E67" s="989"/>
      <c r="F67" s="989"/>
      <c r="G67" s="976"/>
      <c r="H67" s="947"/>
      <c r="I67" s="947"/>
      <c r="J67" s="947"/>
      <c r="K67" s="947"/>
      <c r="L67" s="947"/>
      <c r="M67" s="947"/>
      <c r="N67" s="947"/>
      <c r="O67" s="947"/>
      <c r="P67" s="947"/>
      <c r="Q67" s="947"/>
      <c r="R67" s="314"/>
      <c r="S67" s="343"/>
      <c r="T67" s="314"/>
      <c r="U67" s="314"/>
      <c r="V67" s="314"/>
      <c r="W67" s="314"/>
      <c r="X67" s="314"/>
      <c r="Y67" s="314"/>
      <c r="Z67" s="314"/>
      <c r="AA67" s="314"/>
      <c r="AB67" s="314"/>
      <c r="AC67" s="314"/>
      <c r="AD67" s="314"/>
      <c r="AE67" s="314"/>
      <c r="AF67" s="314"/>
      <c r="AG67" s="314"/>
      <c r="AH67" s="314"/>
      <c r="AI67" s="314"/>
      <c r="AJ67" s="314"/>
      <c r="AK67" s="314"/>
      <c r="AL67" s="314"/>
      <c r="AM67" s="343"/>
      <c r="AN67" s="314"/>
      <c r="AO67" s="314"/>
      <c r="AP67" s="314"/>
      <c r="AQ67" s="343"/>
      <c r="AR67" s="314"/>
      <c r="AS67" s="314"/>
      <c r="AT67" s="326"/>
      <c r="AV67" s="351"/>
    </row>
    <row r="68" spans="2:72" ht="15" customHeight="1">
      <c r="B68" s="345"/>
      <c r="C68" s="343">
        <f>AS60+1</f>
        <v>148</v>
      </c>
      <c r="D68" s="324"/>
      <c r="E68" s="343">
        <f>C68+1</f>
        <v>149</v>
      </c>
      <c r="F68" s="343"/>
      <c r="G68" s="343">
        <f>E68+1</f>
        <v>150</v>
      </c>
      <c r="H68" s="343"/>
      <c r="I68" s="343">
        <f>G68+1</f>
        <v>151</v>
      </c>
      <c r="J68" s="343"/>
      <c r="K68" s="343">
        <f>I68+1</f>
        <v>152</v>
      </c>
      <c r="L68" s="343"/>
      <c r="M68" s="343">
        <f>K68+1</f>
        <v>153</v>
      </c>
      <c r="N68" s="343"/>
      <c r="O68" s="343">
        <f>M68+1</f>
        <v>154</v>
      </c>
      <c r="P68" s="343"/>
      <c r="Q68" s="343">
        <f>O68+1</f>
        <v>155</v>
      </c>
      <c r="R68" s="343"/>
      <c r="S68" s="343">
        <f>Q68+1</f>
        <v>156</v>
      </c>
      <c r="T68" s="343"/>
      <c r="U68" s="343">
        <f>S68+1</f>
        <v>157</v>
      </c>
      <c r="V68" s="343"/>
      <c r="W68" s="343">
        <f>U68+1</f>
        <v>158</v>
      </c>
      <c r="X68" s="343"/>
      <c r="Y68" s="343">
        <f>W68+1</f>
        <v>159</v>
      </c>
      <c r="Z68" s="343"/>
      <c r="AA68" s="343">
        <f>Y68+1</f>
        <v>160</v>
      </c>
      <c r="AB68" s="343"/>
      <c r="AC68" s="343">
        <f>AA68+1</f>
        <v>161</v>
      </c>
      <c r="AD68" s="343"/>
      <c r="AE68" s="343">
        <f>AC68+1</f>
        <v>162</v>
      </c>
      <c r="AF68" s="343"/>
      <c r="AG68" s="343">
        <f>AE68+1</f>
        <v>163</v>
      </c>
      <c r="AH68" s="343"/>
      <c r="AI68" s="343">
        <f>AG68+1</f>
        <v>164</v>
      </c>
      <c r="AJ68" s="343"/>
      <c r="AK68" s="343">
        <f>AI68+1</f>
        <v>165</v>
      </c>
      <c r="AL68" s="343"/>
      <c r="AM68" s="343">
        <f>AK68+1</f>
        <v>166</v>
      </c>
      <c r="AN68" s="314"/>
      <c r="AO68" s="343">
        <f>AM68+1</f>
        <v>167</v>
      </c>
      <c r="AP68" s="343"/>
      <c r="AQ68" s="343">
        <f>AO68+1</f>
        <v>168</v>
      </c>
      <c r="AR68" s="343"/>
      <c r="AS68" s="343">
        <f>AQ68+1</f>
        <v>169</v>
      </c>
      <c r="AT68" s="326"/>
    </row>
    <row r="69" spans="2:72" s="356" customFormat="1" ht="15" customHeight="1">
      <c r="B69" s="346"/>
      <c r="C69" s="356" t="s">
        <v>156</v>
      </c>
      <c r="E69" s="356" t="s">
        <v>162</v>
      </c>
      <c r="G69" s="356" t="s">
        <v>63</v>
      </c>
      <c r="I69" s="356" t="s">
        <v>64</v>
      </c>
      <c r="K69" s="356" t="s">
        <v>430</v>
      </c>
      <c r="M69" s="356" t="s">
        <v>431</v>
      </c>
      <c r="O69" s="356" t="s">
        <v>432</v>
      </c>
      <c r="Q69" s="356" t="s">
        <v>433</v>
      </c>
      <c r="S69" s="356" t="s">
        <v>434</v>
      </c>
      <c r="U69" s="356" t="s">
        <v>898</v>
      </c>
      <c r="W69" s="356" t="s">
        <v>899</v>
      </c>
      <c r="Y69" s="356" t="s">
        <v>900</v>
      </c>
      <c r="AA69" s="356" t="s">
        <v>901</v>
      </c>
      <c r="AC69" s="356" t="s">
        <v>902</v>
      </c>
      <c r="AE69" s="356" t="s">
        <v>903</v>
      </c>
      <c r="AG69" s="356" t="s">
        <v>904</v>
      </c>
      <c r="AI69" s="356" t="s">
        <v>65</v>
      </c>
      <c r="AK69" s="356" t="s">
        <v>26</v>
      </c>
      <c r="AM69" s="356" t="s">
        <v>435</v>
      </c>
      <c r="AN69" s="314"/>
      <c r="AO69" s="356" t="s">
        <v>436</v>
      </c>
      <c r="AQ69" s="356" t="s">
        <v>437</v>
      </c>
      <c r="AS69" s="356" t="s">
        <v>438</v>
      </c>
      <c r="AT69" s="357"/>
    </row>
    <row r="70" spans="2:72" ht="15" customHeight="1">
      <c r="B70" s="352"/>
      <c r="D70" s="356"/>
      <c r="T70" s="314"/>
      <c r="V70" s="314"/>
      <c r="X70" s="314"/>
      <c r="Z70" s="314"/>
      <c r="AB70" s="314"/>
      <c r="AD70" s="314"/>
      <c r="AF70" s="314"/>
      <c r="AH70" s="314"/>
      <c r="AJ70" s="314"/>
      <c r="AL70" s="314"/>
      <c r="AN70" s="314"/>
      <c r="AP70" s="314"/>
      <c r="AR70" s="314"/>
      <c r="AT70" s="326"/>
    </row>
    <row r="71" spans="2:72" ht="15" customHeight="1">
      <c r="B71" s="358"/>
      <c r="AT71" s="326"/>
    </row>
    <row r="72" spans="2:72" s="367" customFormat="1" ht="20.25" customHeight="1">
      <c r="B72" s="358"/>
      <c r="C72" s="336">
        <v>3</v>
      </c>
      <c r="D72" s="337">
        <f>VLOOKUP(C69,'Location Summary'!$G$2:$H$604,2,FALSE)</f>
        <v>355</v>
      </c>
      <c r="E72" s="336">
        <v>3</v>
      </c>
      <c r="F72" s="337">
        <f>VLOOKUP(E69,'Location Summary'!$G$2:$H$604,2,FALSE)</f>
        <v>274.58699999999999</v>
      </c>
      <c r="G72" s="336">
        <v>3</v>
      </c>
      <c r="H72" s="337">
        <f>VLOOKUP(G69,'Location Summary'!$G$2:$H$604,2,FALSE)</f>
        <v>211.21</v>
      </c>
      <c r="I72" s="336">
        <v>3</v>
      </c>
      <c r="J72" s="337">
        <f>VLOOKUP(I69,'Location Summary'!$G$2:$H$604,2,FALSE)</f>
        <v>384.20400000000001</v>
      </c>
      <c r="K72" s="336">
        <v>3</v>
      </c>
      <c r="L72" s="337">
        <f>VLOOKUP(K69,'Location Summary'!$G$2:$H$604,2,FALSE)</f>
        <v>430</v>
      </c>
      <c r="M72" s="336">
        <v>3</v>
      </c>
      <c r="N72" s="337">
        <f>VLOOKUP(M69,'Location Summary'!$G$2:$H$604,2,FALSE)</f>
        <v>370</v>
      </c>
      <c r="O72" s="336">
        <v>3</v>
      </c>
      <c r="P72" s="337">
        <f>VLOOKUP(O69,'Location Summary'!$G$2:$H$604,2,FALSE)</f>
        <v>390</v>
      </c>
      <c r="Q72" s="336">
        <v>3</v>
      </c>
      <c r="R72" s="337">
        <f>VLOOKUP(Q69,'Location Summary'!$G$2:$H$604,2,FALSE)</f>
        <v>435</v>
      </c>
      <c r="S72" s="336">
        <v>3</v>
      </c>
      <c r="T72" s="337">
        <f>VLOOKUP(S69,'Location Summary'!$G$2:$H$604,2,FALSE)</f>
        <v>370</v>
      </c>
      <c r="U72" s="336">
        <v>3</v>
      </c>
      <c r="V72" s="337">
        <f>VLOOKUP(U69,'Location Summary'!$G$2:$H$604,2,FALSE)</f>
        <v>455</v>
      </c>
      <c r="W72" s="336">
        <v>3</v>
      </c>
      <c r="X72" s="337">
        <f>VLOOKUP(W69,'Location Summary'!$G$2:$H$604,2,FALSE)</f>
        <v>325</v>
      </c>
      <c r="Y72" s="336">
        <v>3</v>
      </c>
      <c r="Z72" s="337">
        <f>VLOOKUP(Y69,'Location Summary'!$G$2:$H$604,2,FALSE)</f>
        <v>395</v>
      </c>
      <c r="AA72" s="336">
        <v>3</v>
      </c>
      <c r="AB72" s="337">
        <f>VLOOKUP(AA69,'Location Summary'!$G$2:$H$604,2,FALSE)</f>
        <v>345</v>
      </c>
      <c r="AC72" s="336">
        <v>3</v>
      </c>
      <c r="AD72" s="337">
        <f>VLOOKUP(AC69,'Location Summary'!$G$2:$H$604,2,FALSE)</f>
        <v>345</v>
      </c>
      <c r="AE72" s="336">
        <v>3</v>
      </c>
      <c r="AF72" s="337">
        <f>VLOOKUP(AE69,'Location Summary'!$G$2:$H$604,2,FALSE)</f>
        <v>440</v>
      </c>
      <c r="AG72" s="336">
        <v>3</v>
      </c>
      <c r="AH72" s="337">
        <f>VLOOKUP(AG69,'Location Summary'!$G$2:$H$604,2,FALSE)</f>
        <v>364.00799999999998</v>
      </c>
      <c r="AI72" s="336">
        <v>3</v>
      </c>
      <c r="AJ72" s="337">
        <f>VLOOKUP(AI69,'Location Summary'!$G$2:$H$604,2,FALSE)</f>
        <v>295.99299999999999</v>
      </c>
      <c r="AK72" s="336">
        <v>3</v>
      </c>
      <c r="AL72" s="337">
        <f>VLOOKUP(AK69,'Location Summary'!$G$2:$H$604,2,FALSE)</f>
        <v>425</v>
      </c>
      <c r="AM72" s="336">
        <v>3</v>
      </c>
      <c r="AN72" s="337">
        <f>VLOOKUP(AM69,'Location Summary'!$G$2:$H$604,2,FALSE)</f>
        <v>315</v>
      </c>
      <c r="AO72" s="336">
        <v>3</v>
      </c>
      <c r="AP72" s="337">
        <f>VLOOKUP(AO69,'Location Summary'!$G$2:$H$604,2,FALSE)</f>
        <v>380</v>
      </c>
      <c r="AQ72" s="336">
        <v>3</v>
      </c>
      <c r="AR72" s="337">
        <f>VLOOKUP(AQ69,'Location Summary'!$G$2:$H$604,2,FALSE)</f>
        <v>430</v>
      </c>
      <c r="AS72" s="336">
        <v>3</v>
      </c>
      <c r="AT72" s="338">
        <f>VLOOKUP(AS69,'Location Summary'!$G$2:$H$604,2,FALSE)</f>
        <v>380</v>
      </c>
    </row>
    <row r="73" spans="2:72" s="367" customFormat="1" ht="15" customHeight="1">
      <c r="B73" s="364"/>
      <c r="C73" s="341">
        <v>2</v>
      </c>
      <c r="D73" s="310"/>
      <c r="E73" s="341">
        <v>2</v>
      </c>
      <c r="F73" s="310"/>
      <c r="G73" s="341">
        <v>2</v>
      </c>
      <c r="H73" s="310"/>
      <c r="I73" s="341">
        <v>2</v>
      </c>
      <c r="J73" s="310"/>
      <c r="K73" s="341">
        <v>2</v>
      </c>
      <c r="L73" s="310"/>
      <c r="M73" s="341">
        <v>2</v>
      </c>
      <c r="N73" s="310"/>
      <c r="O73" s="341">
        <v>2</v>
      </c>
      <c r="P73" s="310"/>
      <c r="Q73" s="341">
        <v>2</v>
      </c>
      <c r="R73" s="310"/>
      <c r="S73" s="341">
        <v>2</v>
      </c>
      <c r="T73" s="310"/>
      <c r="U73" s="341">
        <v>2</v>
      </c>
      <c r="V73" s="310"/>
      <c r="W73" s="341">
        <v>2</v>
      </c>
      <c r="X73" s="310"/>
      <c r="Y73" s="341">
        <v>2</v>
      </c>
      <c r="Z73" s="310"/>
      <c r="AA73" s="341">
        <v>2</v>
      </c>
      <c r="AB73" s="310"/>
      <c r="AC73" s="341">
        <v>2</v>
      </c>
      <c r="AD73" s="310"/>
      <c r="AE73" s="341">
        <v>2</v>
      </c>
      <c r="AF73" s="310"/>
      <c r="AG73" s="341">
        <v>2</v>
      </c>
      <c r="AH73" s="310"/>
      <c r="AI73" s="341">
        <v>2</v>
      </c>
      <c r="AJ73" s="310"/>
      <c r="AK73" s="341">
        <v>2</v>
      </c>
      <c r="AL73" s="310"/>
      <c r="AM73" s="341">
        <v>2</v>
      </c>
      <c r="AN73" s="310"/>
      <c r="AO73" s="341">
        <v>2</v>
      </c>
      <c r="AP73" s="310"/>
      <c r="AQ73" s="341">
        <v>2</v>
      </c>
      <c r="AR73" s="310"/>
      <c r="AS73" s="341">
        <v>2</v>
      </c>
      <c r="AT73" s="326"/>
      <c r="BT73" s="380"/>
    </row>
    <row r="74" spans="2:72" s="380" customFormat="1" ht="15" customHeight="1">
      <c r="B74" s="379"/>
      <c r="C74" s="314" t="str">
        <f>VLOOKUP(C69,'Location Summary'!$C$2:$J$604,2,FALSE)</f>
        <v>DA-1.5</v>
      </c>
      <c r="D74" s="328"/>
      <c r="E74" s="314" t="str">
        <f>VLOOKUP(E69,'Location Summary'!$C$2:$J$604,2,FALSE)</f>
        <v>DA-3</v>
      </c>
      <c r="F74" s="328"/>
      <c r="G74" s="369" t="str">
        <f>VLOOKUP(G69,'Location Summary'!$C$2:$J$604,2,FALSE)</f>
        <v>DC2-3</v>
      </c>
      <c r="H74" s="328"/>
      <c r="I74" s="314" t="str">
        <f>VLOOKUP(I69,'Location Summary'!$C$2:$J$604,2,FALSE)</f>
        <v>DC1+0</v>
      </c>
      <c r="J74" s="328"/>
      <c r="K74" s="314" t="str">
        <f>VLOOKUP(K69,'Location Summary'!$C$2:$J$604,2,FALSE)</f>
        <v>DA+6</v>
      </c>
      <c r="L74" s="328"/>
      <c r="M74" s="314" t="str">
        <f>VLOOKUP(M69,'Location Summary'!$C$2:$J$604,2,FALSE)</f>
        <v>DA+0</v>
      </c>
      <c r="N74" s="328"/>
      <c r="O74" s="314" t="str">
        <f>VLOOKUP(O69,'Location Summary'!$C$2:$J$604,2,FALSE)</f>
        <v>DA+0</v>
      </c>
      <c r="P74" s="328"/>
      <c r="Q74" s="314" t="str">
        <f>VLOOKUP(Q69,'Location Summary'!$C$2:$J$604,2,FALSE)</f>
        <v>DA+3</v>
      </c>
      <c r="R74" s="328"/>
      <c r="S74" s="314" t="str">
        <f>VLOOKUP(S69,'Location Summary'!$C$2:$J$604,2,FALSE)</f>
        <v>DA+0</v>
      </c>
      <c r="T74" s="342"/>
      <c r="U74" s="314" t="str">
        <f>VLOOKUP(U69,'Location Summary'!$C$2:$J$604,2,FALSE)</f>
        <v>DB1+0</v>
      </c>
      <c r="V74" s="342"/>
      <c r="W74" s="314" t="str">
        <f>VLOOKUP(W69,'Location Summary'!$C$2:$J$604,2,FALSE)</f>
        <v>DA+6</v>
      </c>
      <c r="X74" s="342"/>
      <c r="Y74" s="314" t="str">
        <f>VLOOKUP(Y69,'Location Summary'!$C$2:$J$604,2,FALSE)</f>
        <v>DA+6</v>
      </c>
      <c r="Z74" s="342"/>
      <c r="AA74" s="314" t="str">
        <f>VLOOKUP(AA69,'Location Summary'!$C$2:$J$604,2,FALSE)</f>
        <v>DA+6</v>
      </c>
      <c r="AB74" s="342"/>
      <c r="AC74" s="314" t="str">
        <f>VLOOKUP(AC69,'Location Summary'!$C$2:$J$604,2,FALSE)</f>
        <v>DA+3</v>
      </c>
      <c r="AD74" s="342"/>
      <c r="AE74" s="314" t="str">
        <f>VLOOKUP(AE69,'Location Summary'!$C$2:$J$604,2,FALSE)</f>
        <v>DA+6</v>
      </c>
      <c r="AF74" s="342"/>
      <c r="AG74" s="314" t="str">
        <f>VLOOKUP(AG69,'Location Summary'!$C$2:$J$604,2,FALSE)</f>
        <v>DA+9</v>
      </c>
      <c r="AH74" s="342"/>
      <c r="AI74" s="314" t="str">
        <f>VLOOKUP(AI69,'Location Summary'!$C$2:$J$604,2,FALSE)</f>
        <v>DB1+0</v>
      </c>
      <c r="AJ74" s="342"/>
      <c r="AK74" s="314" t="str">
        <f>VLOOKUP(AK69,'Location Summary'!$C$2:$J$604,2,FALSE)</f>
        <v>DA+0</v>
      </c>
      <c r="AL74" s="342"/>
      <c r="AM74" s="314" t="str">
        <f>VLOOKUP(AM69,'Location Summary'!$C$2:$J$604,2,FALSE)</f>
        <v>DA+9</v>
      </c>
      <c r="AN74" s="342"/>
      <c r="AO74" s="314" t="str">
        <f>VLOOKUP(AO69,'Location Summary'!$C$2:$J$604,2,FALSE)</f>
        <v>DA+3</v>
      </c>
      <c r="AP74" s="342"/>
      <c r="AQ74" s="314" t="str">
        <f>VLOOKUP(AQ69,'Location Summary'!$C$2:$J$604,2,FALSE)</f>
        <v>DA+9</v>
      </c>
      <c r="AR74" s="310"/>
      <c r="AS74" s="314" t="str">
        <f>VLOOKUP(AS69,'Location Summary'!$C$2:$J$604,2,FALSE)</f>
        <v>DA+0</v>
      </c>
      <c r="AT74" s="326"/>
    </row>
    <row r="75" spans="2:72" ht="15" customHeight="1">
      <c r="B75" s="381"/>
      <c r="C75" s="314"/>
      <c r="D75" s="314"/>
      <c r="E75" s="314"/>
      <c r="F75" s="314"/>
      <c r="G75" s="1525" t="s">
        <v>688</v>
      </c>
      <c r="H75" s="1525"/>
      <c r="I75" s="1525"/>
      <c r="J75" s="314"/>
      <c r="K75" s="314"/>
      <c r="L75" s="314"/>
      <c r="M75" s="343"/>
      <c r="N75" s="314"/>
      <c r="O75" s="314"/>
      <c r="P75" s="314"/>
      <c r="Q75" s="314"/>
      <c r="R75" s="314"/>
      <c r="S75" s="314"/>
      <c r="T75" s="314"/>
      <c r="U75" s="314"/>
      <c r="W75" s="314"/>
      <c r="X75" s="314"/>
      <c r="Y75" s="314"/>
      <c r="Z75" s="314"/>
      <c r="AA75" s="343"/>
      <c r="AB75" s="314"/>
      <c r="AC75" s="314"/>
      <c r="AD75" s="314"/>
      <c r="AE75" s="314"/>
      <c r="AF75" s="314"/>
      <c r="AG75" s="314"/>
      <c r="AH75" s="314"/>
      <c r="AI75" s="314"/>
      <c r="AJ75" s="314"/>
      <c r="AK75" s="314"/>
      <c r="AL75" s="314"/>
      <c r="AM75" s="382"/>
      <c r="AN75" s="314"/>
      <c r="AO75" s="382"/>
      <c r="AP75" s="314"/>
      <c r="AQ75" s="314"/>
      <c r="AR75" s="314"/>
      <c r="AS75" s="343"/>
      <c r="AT75" s="326"/>
      <c r="AV75" s="351"/>
    </row>
    <row r="76" spans="2:72" ht="15" customHeight="1">
      <c r="B76" s="345"/>
      <c r="C76" s="343">
        <f>AS68+1</f>
        <v>170</v>
      </c>
      <c r="D76" s="324"/>
      <c r="E76" s="343">
        <f>C76+1</f>
        <v>171</v>
      </c>
      <c r="F76" s="343"/>
      <c r="G76" s="343">
        <f>E76+1</f>
        <v>172</v>
      </c>
      <c r="H76" s="343"/>
      <c r="I76" s="343">
        <f>G76+1</f>
        <v>173</v>
      </c>
      <c r="J76" s="343"/>
      <c r="K76" s="343">
        <f>I76+1</f>
        <v>174</v>
      </c>
      <c r="L76" s="343"/>
      <c r="M76" s="343">
        <f>K76+1</f>
        <v>175</v>
      </c>
      <c r="N76" s="343"/>
      <c r="O76" s="343">
        <f>M76+1</f>
        <v>176</v>
      </c>
      <c r="P76" s="343"/>
      <c r="Q76" s="343">
        <f>O76+1</f>
        <v>177</v>
      </c>
      <c r="R76" s="343"/>
      <c r="S76" s="343">
        <f>Q76+1</f>
        <v>178</v>
      </c>
      <c r="T76" s="343"/>
      <c r="U76" s="343">
        <f>S76+1</f>
        <v>179</v>
      </c>
      <c r="V76" s="343"/>
      <c r="W76" s="343">
        <f>U76+1</f>
        <v>180</v>
      </c>
      <c r="X76" s="343"/>
      <c r="Y76" s="343">
        <f>W76+1</f>
        <v>181</v>
      </c>
      <c r="Z76" s="343"/>
      <c r="AA76" s="343">
        <f>Y76+1</f>
        <v>182</v>
      </c>
      <c r="AB76" s="343"/>
      <c r="AC76" s="343">
        <f>AA76+1</f>
        <v>183</v>
      </c>
      <c r="AD76" s="343"/>
      <c r="AE76" s="343">
        <f>AC76+1</f>
        <v>184</v>
      </c>
      <c r="AF76" s="343"/>
      <c r="AG76" s="343">
        <f>AE76+1</f>
        <v>185</v>
      </c>
      <c r="AH76" s="343"/>
      <c r="AI76" s="343">
        <f>AG76+1</f>
        <v>186</v>
      </c>
      <c r="AJ76" s="343"/>
      <c r="AK76" s="343">
        <f>AI76+1</f>
        <v>187</v>
      </c>
      <c r="AL76" s="343"/>
      <c r="AM76" s="343">
        <f>AK76+1</f>
        <v>188</v>
      </c>
      <c r="AO76" s="343">
        <f>AM76+1</f>
        <v>189</v>
      </c>
      <c r="AP76" s="343"/>
      <c r="AQ76" s="343">
        <f>AO76+1</f>
        <v>190</v>
      </c>
      <c r="AR76" s="343"/>
      <c r="AS76" s="343">
        <f>AQ76+1</f>
        <v>191</v>
      </c>
      <c r="AT76" s="326"/>
    </row>
    <row r="77" spans="2:72" s="348" customFormat="1" ht="15" customHeight="1">
      <c r="B77" s="362"/>
      <c r="C77" s="356" t="s">
        <v>439</v>
      </c>
      <c r="D77" s="356"/>
      <c r="E77" s="356" t="s">
        <v>440</v>
      </c>
      <c r="F77" s="356"/>
      <c r="G77" s="356" t="s">
        <v>441</v>
      </c>
      <c r="H77" s="356"/>
      <c r="I77" s="356" t="s">
        <v>442</v>
      </c>
      <c r="J77" s="356"/>
      <c r="K77" s="356" t="s">
        <v>443</v>
      </c>
      <c r="L77" s="356"/>
      <c r="M77" s="356" t="s">
        <v>9</v>
      </c>
      <c r="N77" s="356"/>
      <c r="O77" s="356" t="s">
        <v>82</v>
      </c>
      <c r="P77" s="356"/>
      <c r="Q77" s="356" t="s">
        <v>163</v>
      </c>
      <c r="R77" s="356"/>
      <c r="S77" s="356" t="s">
        <v>164</v>
      </c>
      <c r="T77" s="356"/>
      <c r="U77" s="356" t="s">
        <v>444</v>
      </c>
      <c r="V77" s="356"/>
      <c r="W77" s="356" t="s">
        <v>445</v>
      </c>
      <c r="X77" s="356"/>
      <c r="Y77" s="356" t="s">
        <v>446</v>
      </c>
      <c r="Z77" s="356"/>
      <c r="AA77" s="356" t="s">
        <v>447</v>
      </c>
      <c r="AB77" s="356"/>
      <c r="AC77" s="356" t="s">
        <v>448</v>
      </c>
      <c r="AD77" s="356"/>
      <c r="AE77" s="356" t="s">
        <v>449</v>
      </c>
      <c r="AF77" s="356"/>
      <c r="AG77" s="356" t="s">
        <v>450</v>
      </c>
      <c r="AH77" s="356"/>
      <c r="AI77" s="356" t="s">
        <v>10</v>
      </c>
      <c r="AK77" s="354" t="s">
        <v>66</v>
      </c>
      <c r="AM77" s="329" t="s">
        <v>165</v>
      </c>
      <c r="AO77" s="348" t="s">
        <v>873</v>
      </c>
      <c r="AQ77" s="348" t="s">
        <v>874</v>
      </c>
      <c r="AS77" s="348" t="s">
        <v>875</v>
      </c>
      <c r="AT77" s="383"/>
    </row>
    <row r="78" spans="2:72" ht="15" customHeight="1">
      <c r="B78" s="352"/>
      <c r="T78" s="314"/>
      <c r="V78" s="314"/>
      <c r="X78" s="314"/>
      <c r="Z78" s="314"/>
      <c r="AB78" s="314"/>
      <c r="AD78" s="314"/>
      <c r="AF78" s="314"/>
      <c r="AH78" s="314"/>
      <c r="AJ78" s="314"/>
      <c r="AL78" s="314"/>
      <c r="AN78" s="348"/>
      <c r="AP78" s="314"/>
      <c r="AR78" s="314"/>
      <c r="AT78" s="326"/>
    </row>
    <row r="79" spans="2:72" ht="15" customHeight="1">
      <c r="B79" s="358"/>
      <c r="AT79" s="326"/>
    </row>
    <row r="80" spans="2:72" s="367" customFormat="1" ht="20.25" customHeight="1">
      <c r="B80" s="358"/>
      <c r="C80" s="336">
        <v>3</v>
      </c>
      <c r="D80" s="337">
        <f>VLOOKUP(C77,'Location Summary'!$G$2:$H$604,2,FALSE)</f>
        <v>335</v>
      </c>
      <c r="E80" s="336">
        <v>3</v>
      </c>
      <c r="F80" s="337">
        <f>VLOOKUP(E77,'Location Summary'!$G$2:$H$604,2,FALSE)</f>
        <v>395</v>
      </c>
      <c r="G80" s="336">
        <v>3</v>
      </c>
      <c r="H80" s="337">
        <f>VLOOKUP(G77,'Location Summary'!$G$2:$H$604,2,FALSE)</f>
        <v>390</v>
      </c>
      <c r="I80" s="336">
        <v>3</v>
      </c>
      <c r="J80" s="337">
        <f>VLOOKUP(I77,'Location Summary'!$G$2:$H$604,2,FALSE)</f>
        <v>350</v>
      </c>
      <c r="K80" s="336">
        <v>3</v>
      </c>
      <c r="L80" s="337">
        <f>VLOOKUP(K77,'Location Summary'!$G$2:$H$604,2,FALSE)</f>
        <v>428.23899999999998</v>
      </c>
      <c r="M80" s="336">
        <v>3</v>
      </c>
      <c r="N80" s="337">
        <f>VLOOKUP(M77,'Location Summary'!$G$2:$H$604,2,FALSE)</f>
        <v>376.76100000000002</v>
      </c>
      <c r="O80" s="336">
        <v>3</v>
      </c>
      <c r="P80" s="337">
        <f>VLOOKUP(O77,'Location Summary'!$G$2:$H$604,2,FALSE)</f>
        <v>410</v>
      </c>
      <c r="Q80" s="336">
        <v>3</v>
      </c>
      <c r="R80" s="337">
        <f>VLOOKUP(Q77,'Location Summary'!$G$2:$H$604,2,FALSE)</f>
        <v>430</v>
      </c>
      <c r="S80" s="336">
        <v>3</v>
      </c>
      <c r="T80" s="337">
        <f>VLOOKUP(S77,'Location Summary'!$G$2:$H$604,2,FALSE)</f>
        <v>380</v>
      </c>
      <c r="U80" s="336">
        <v>3</v>
      </c>
      <c r="V80" s="337">
        <f>VLOOKUP(U77,'Location Summary'!$G$2:$H$604,2,FALSE)</f>
        <v>445</v>
      </c>
      <c r="W80" s="336">
        <v>3</v>
      </c>
      <c r="X80" s="337">
        <f>VLOOKUP(W77,'Location Summary'!$G$2:$H$604,2,FALSE)</f>
        <v>385</v>
      </c>
      <c r="Y80" s="336">
        <v>3</v>
      </c>
      <c r="Z80" s="337">
        <f>VLOOKUP(Y77,'Location Summary'!$G$2:$H$604,2,FALSE)</f>
        <v>420</v>
      </c>
      <c r="AA80" s="336">
        <v>3</v>
      </c>
      <c r="AB80" s="337">
        <f>VLOOKUP(AA77,'Location Summary'!$G$2:$H$604,2,FALSE)</f>
        <v>415</v>
      </c>
      <c r="AC80" s="336">
        <v>3</v>
      </c>
      <c r="AD80" s="337">
        <f>VLOOKUP(AC77,'Location Summary'!$G$2:$H$604,2,FALSE)</f>
        <v>310</v>
      </c>
      <c r="AE80" s="336">
        <v>3</v>
      </c>
      <c r="AF80" s="337">
        <f>VLOOKUP(AE77,'Location Summary'!$G$2:$H$604,2,FALSE)</f>
        <v>445</v>
      </c>
      <c r="AG80" s="336">
        <v>3</v>
      </c>
      <c r="AH80" s="337">
        <f>VLOOKUP(AG77,'Location Summary'!$G$2:$H$604,2,FALSE)</f>
        <v>316.608</v>
      </c>
      <c r="AI80" s="336">
        <v>3</v>
      </c>
      <c r="AJ80" s="337">
        <f>VLOOKUP(AI77,'Location Summary'!$G$2:$H$604,2,FALSE)</f>
        <v>385.51</v>
      </c>
      <c r="AK80" s="336">
        <v>3</v>
      </c>
      <c r="AL80" s="337">
        <f>VLOOKUP(AK77,'Location Summary'!$G$2:$H$604,2,FALSE)</f>
        <v>410</v>
      </c>
      <c r="AM80" s="336">
        <v>3</v>
      </c>
      <c r="AN80" s="337">
        <f>VLOOKUP(AM77,'Location Summary'!$G$2:$H$604,2,FALSE)</f>
        <v>390</v>
      </c>
      <c r="AO80" s="336">
        <v>3</v>
      </c>
      <c r="AP80" s="337">
        <f>VLOOKUP(AO77,'Location Summary'!$G$2:$H$604,2,FALSE)</f>
        <v>450</v>
      </c>
      <c r="AQ80" s="336">
        <v>3</v>
      </c>
      <c r="AR80" s="337">
        <f>VLOOKUP(AQ77,'Location Summary'!$G$2:$H$604,2,FALSE)</f>
        <v>370</v>
      </c>
      <c r="AS80" s="336">
        <v>3</v>
      </c>
      <c r="AT80" s="338">
        <f>VLOOKUP(AS77,'Location Summary'!$G$2:$H$604,2,FALSE)</f>
        <v>439</v>
      </c>
    </row>
    <row r="81" spans="2:48" s="367" customFormat="1" ht="15" customHeight="1">
      <c r="B81" s="364"/>
      <c r="C81" s="341">
        <v>2</v>
      </c>
      <c r="D81" s="310"/>
      <c r="E81" s="341">
        <v>2</v>
      </c>
      <c r="F81" s="310"/>
      <c r="G81" s="341">
        <v>2</v>
      </c>
      <c r="H81" s="310"/>
      <c r="I81" s="341">
        <v>2</v>
      </c>
      <c r="J81" s="310"/>
      <c r="K81" s="341">
        <v>2</v>
      </c>
      <c r="L81" s="310"/>
      <c r="M81" s="341">
        <v>2</v>
      </c>
      <c r="N81" s="310"/>
      <c r="O81" s="341">
        <v>2</v>
      </c>
      <c r="P81" s="310"/>
      <c r="Q81" s="341">
        <v>2</v>
      </c>
      <c r="R81" s="310"/>
      <c r="S81" s="341">
        <v>2</v>
      </c>
      <c r="T81" s="310"/>
      <c r="U81" s="361">
        <v>2</v>
      </c>
      <c r="V81" s="310"/>
      <c r="W81" s="341">
        <v>2</v>
      </c>
      <c r="X81" s="310"/>
      <c r="Y81" s="341">
        <v>2</v>
      </c>
      <c r="Z81" s="310"/>
      <c r="AA81" s="341">
        <v>2</v>
      </c>
      <c r="AB81" s="310"/>
      <c r="AC81" s="341">
        <v>2</v>
      </c>
      <c r="AD81" s="310"/>
      <c r="AE81" s="341">
        <v>2</v>
      </c>
      <c r="AF81" s="310"/>
      <c r="AG81" s="341">
        <v>2</v>
      </c>
      <c r="AH81" s="310"/>
      <c r="AI81" s="341">
        <v>2</v>
      </c>
      <c r="AJ81" s="310"/>
      <c r="AK81" s="341">
        <v>2</v>
      </c>
      <c r="AL81" s="310"/>
      <c r="AM81" s="341">
        <v>2</v>
      </c>
      <c r="AN81" s="310"/>
      <c r="AO81" s="341">
        <v>2</v>
      </c>
      <c r="AP81" s="310"/>
      <c r="AQ81" s="341">
        <v>2</v>
      </c>
      <c r="AR81" s="310"/>
      <c r="AS81" s="341">
        <v>2</v>
      </c>
      <c r="AT81" s="326"/>
    </row>
    <row r="82" spans="2:48" ht="15" customHeight="1">
      <c r="B82" s="352"/>
      <c r="C82" s="314" t="str">
        <f>VLOOKUP(C77,'Location Summary'!$C$2:$J$604,2,FALSE)</f>
        <v>DA+6</v>
      </c>
      <c r="D82" s="328"/>
      <c r="E82" s="314" t="str">
        <f>VLOOKUP(E77,'Location Summary'!$C$2:$J$604,2,FALSE)</f>
        <v>DA-3</v>
      </c>
      <c r="F82" s="328"/>
      <c r="G82" s="314" t="str">
        <f>VLOOKUP(G77,'Location Summary'!$C$2:$J$604,2,FALSE)</f>
        <v>DA+3</v>
      </c>
      <c r="H82" s="328"/>
      <c r="I82" s="314" t="str">
        <f>VLOOKUP(I77,'Location Summary'!$C$2:$J$604,2,FALSE)</f>
        <v>DA-3</v>
      </c>
      <c r="J82" s="328"/>
      <c r="K82" s="314" t="str">
        <f>VLOOKUP(K77,'Location Summary'!$C$2:$J$604,2,FALSE)</f>
        <v>DA+3</v>
      </c>
      <c r="L82" s="328"/>
      <c r="M82" s="314" t="str">
        <f>VLOOKUP(M77,'Location Summary'!$C$2:$J$604,2,FALSE)</f>
        <v>DB1+0</v>
      </c>
      <c r="N82" s="328"/>
      <c r="O82" s="314" t="str">
        <f>VLOOKUP(O77,'Location Summary'!$C$2:$J$604,2,FALSE)</f>
        <v>DA+3</v>
      </c>
      <c r="P82" s="328"/>
      <c r="Q82" s="314" t="str">
        <f>VLOOKUP(Q77,'Location Summary'!$C$2:$J$604,2,FALSE)</f>
        <v>DA+1.5</v>
      </c>
      <c r="R82" s="328"/>
      <c r="S82" s="314" t="str">
        <f>VLOOKUP(S77,'Location Summary'!$C$2:$J$604,2,FALSE)</f>
        <v>DA+3</v>
      </c>
      <c r="T82" s="342"/>
      <c r="U82" s="314" t="str">
        <f>VLOOKUP(U77,'Location Summary'!$C$2:$J$604,2,FALSE)</f>
        <v>DA-1.5</v>
      </c>
      <c r="V82" s="342"/>
      <c r="W82" s="314" t="str">
        <f>VLOOKUP(W77,'Location Summary'!$C$2:$J$604,2,FALSE)</f>
        <v>DA+6</v>
      </c>
      <c r="X82" s="342"/>
      <c r="Y82" s="314" t="str">
        <f>VLOOKUP(Y77,'Location Summary'!$C$2:$J$604,2,FALSE)</f>
        <v>DA+9</v>
      </c>
      <c r="Z82" s="342"/>
      <c r="AA82" s="314" t="str">
        <f>VLOOKUP(AA77,'Location Summary'!$C$2:$J$604,2,FALSE)</f>
        <v>DA+0</v>
      </c>
      <c r="AB82" s="342"/>
      <c r="AC82" s="314" t="str">
        <f>VLOOKUP(AC77,'Location Summary'!$C$2:$J$604,2,FALSE)</f>
        <v>DA+0</v>
      </c>
      <c r="AD82" s="342"/>
      <c r="AE82" s="314" t="str">
        <f>VLOOKUP(AE77,'Location Summary'!$C$2:$J$604,2,FALSE)</f>
        <v>DA+1.5</v>
      </c>
      <c r="AF82" s="342"/>
      <c r="AG82" s="314" t="str">
        <f>VLOOKUP(AG77,'Location Summary'!$C$2:$J$604,2,FALSE)</f>
        <v>DA+4.5</v>
      </c>
      <c r="AH82" s="342"/>
      <c r="AI82" s="314" t="str">
        <f>VLOOKUP(AI77,'Location Summary'!$C$2:$J$604,2,FALSE)</f>
        <v>DB2+0</v>
      </c>
      <c r="AJ82" s="342"/>
      <c r="AK82" s="314" t="str">
        <f>VLOOKUP(AK77,'Location Summary'!$C$2:$J$604,2,FALSE)</f>
        <v>DA+6</v>
      </c>
      <c r="AL82" s="342"/>
      <c r="AM82" s="314" t="str">
        <f>VLOOKUP(AM77,'Location Summary'!$C$2:$J$604,2,FALSE)</f>
        <v>DA+9</v>
      </c>
      <c r="AN82" s="342"/>
      <c r="AO82" s="314" t="str">
        <f>VLOOKUP(AO77,'Location Summary'!$C$2:$J$604,2,FALSE)</f>
        <v>DA+6</v>
      </c>
      <c r="AP82" s="342"/>
      <c r="AQ82" s="314" t="str">
        <f>VLOOKUP(AQ77,'Location Summary'!$C$2:$J$604,2,FALSE)</f>
        <v>DA+9</v>
      </c>
      <c r="AS82" s="314" t="str">
        <f>VLOOKUP(AS77,'Location Summary'!$C$2:$J$604,2,FALSE)</f>
        <v>DA+9</v>
      </c>
      <c r="AT82" s="326"/>
    </row>
    <row r="83" spans="2:48" ht="15" customHeight="1">
      <c r="B83" s="345"/>
      <c r="C83" s="314"/>
      <c r="D83" s="314"/>
      <c r="E83" s="314"/>
      <c r="F83" s="314"/>
      <c r="G83" s="314"/>
      <c r="H83" s="314"/>
      <c r="I83" s="314"/>
      <c r="J83" s="314"/>
      <c r="K83" s="314"/>
      <c r="L83" s="314"/>
      <c r="M83" s="314"/>
      <c r="N83" s="314"/>
      <c r="O83" s="314"/>
      <c r="P83" s="314"/>
      <c r="Q83" s="314"/>
      <c r="R83" s="314"/>
      <c r="S83" s="314"/>
      <c r="T83" s="314"/>
      <c r="U83" s="314"/>
      <c r="V83" s="314"/>
      <c r="W83" s="343"/>
      <c r="X83" s="314"/>
      <c r="Y83" s="314"/>
      <c r="Z83" s="314"/>
      <c r="AA83" s="314"/>
      <c r="AB83" s="314"/>
      <c r="AC83" s="314"/>
      <c r="AD83" s="314"/>
      <c r="AE83" s="314"/>
      <c r="AF83" s="314"/>
      <c r="AG83" s="314"/>
      <c r="AH83" s="314"/>
      <c r="AI83" s="314"/>
      <c r="AJ83" s="314"/>
      <c r="AK83" s="314"/>
      <c r="AL83" s="314"/>
      <c r="AM83" s="343"/>
      <c r="AN83" s="314"/>
      <c r="AO83" s="382"/>
      <c r="AP83" s="314"/>
      <c r="AQ83" s="314"/>
      <c r="AR83" s="600"/>
      <c r="AS83" s="617" t="s">
        <v>1166</v>
      </c>
      <c r="AT83" s="635"/>
      <c r="AV83" s="351"/>
    </row>
    <row r="84" spans="2:48" ht="15" customHeight="1">
      <c r="B84" s="345"/>
      <c r="C84" s="343">
        <f>AS76+1</f>
        <v>192</v>
      </c>
      <c r="D84" s="324"/>
      <c r="E84" s="343">
        <f>C84+1</f>
        <v>193</v>
      </c>
      <c r="F84" s="343"/>
      <c r="G84" s="343">
        <f>E84+1</f>
        <v>194</v>
      </c>
      <c r="H84" s="343"/>
      <c r="I84" s="343">
        <f>G84+1</f>
        <v>195</v>
      </c>
      <c r="J84" s="343"/>
      <c r="K84" s="343">
        <f>I84+1</f>
        <v>196</v>
      </c>
      <c r="L84" s="343"/>
      <c r="M84" s="343">
        <f>K84+1</f>
        <v>197</v>
      </c>
      <c r="N84" s="343"/>
      <c r="O84" s="343">
        <f>M84+1</f>
        <v>198</v>
      </c>
      <c r="P84" s="343"/>
      <c r="Q84" s="343">
        <f>O84+1</f>
        <v>199</v>
      </c>
      <c r="R84" s="343"/>
      <c r="S84" s="343">
        <f>Q84+1</f>
        <v>200</v>
      </c>
      <c r="T84" s="343"/>
      <c r="U84" s="343">
        <f>S84+1</f>
        <v>201</v>
      </c>
      <c r="W84" s="343">
        <f>U84+1</f>
        <v>202</v>
      </c>
      <c r="X84" s="343"/>
      <c r="Y84" s="343">
        <f>W84+1</f>
        <v>203</v>
      </c>
      <c r="Z84" s="343"/>
      <c r="AA84" s="343">
        <f>Y84+1</f>
        <v>204</v>
      </c>
      <c r="AB84" s="343"/>
      <c r="AC84" s="343">
        <f>AA84+1</f>
        <v>205</v>
      </c>
      <c r="AD84" s="343"/>
      <c r="AE84" s="343">
        <f>AC84+1</f>
        <v>206</v>
      </c>
      <c r="AF84" s="314"/>
      <c r="AG84" s="343">
        <f>AE84+1</f>
        <v>207</v>
      </c>
      <c r="AH84" s="343"/>
      <c r="AI84" s="343">
        <f>AG84+1</f>
        <v>208</v>
      </c>
      <c r="AJ84" s="343"/>
      <c r="AK84" s="343">
        <f>AI84+1</f>
        <v>209</v>
      </c>
      <c r="AL84" s="343"/>
      <c r="AM84" s="343">
        <f>AK84+1</f>
        <v>210</v>
      </c>
      <c r="AO84" s="343">
        <f>AM84+1</f>
        <v>211</v>
      </c>
      <c r="AP84" s="343"/>
      <c r="AQ84" s="343">
        <f>AO84+1</f>
        <v>212</v>
      </c>
      <c r="AR84" s="343"/>
      <c r="AS84" s="343">
        <f>AQ84+1</f>
        <v>213</v>
      </c>
      <c r="AT84" s="326"/>
    </row>
    <row r="85" spans="2:48" s="348" customFormat="1" ht="15" customHeight="1">
      <c r="B85" s="362"/>
      <c r="C85" s="348" t="s">
        <v>876</v>
      </c>
      <c r="E85" s="348" t="s">
        <v>877</v>
      </c>
      <c r="G85" s="348" t="s">
        <v>773</v>
      </c>
      <c r="I85" s="348" t="s">
        <v>774</v>
      </c>
      <c r="K85" s="348" t="s">
        <v>67</v>
      </c>
      <c r="M85" s="348" t="s">
        <v>68</v>
      </c>
      <c r="O85" s="348" t="s">
        <v>69</v>
      </c>
      <c r="Q85" s="348" t="s">
        <v>70</v>
      </c>
      <c r="S85" s="348" t="s">
        <v>187</v>
      </c>
      <c r="U85" s="348" t="s">
        <v>569</v>
      </c>
      <c r="W85" s="348" t="s">
        <v>570</v>
      </c>
      <c r="Y85" s="348" t="s">
        <v>571</v>
      </c>
      <c r="AA85" s="348" t="s">
        <v>572</v>
      </c>
      <c r="AC85" s="348" t="s">
        <v>573</v>
      </c>
      <c r="AE85" s="348" t="s">
        <v>166</v>
      </c>
      <c r="AG85" s="348" t="s">
        <v>575</v>
      </c>
      <c r="AI85" s="348" t="s">
        <v>576</v>
      </c>
      <c r="AJ85" s="314"/>
      <c r="AK85" s="348" t="s">
        <v>577</v>
      </c>
      <c r="AM85" s="348" t="s">
        <v>578</v>
      </c>
      <c r="AO85" s="348" t="s">
        <v>579</v>
      </c>
      <c r="AQ85" s="348" t="s">
        <v>580</v>
      </c>
      <c r="AS85" s="348" t="s">
        <v>581</v>
      </c>
      <c r="AT85" s="1248"/>
    </row>
    <row r="86" spans="2:48" ht="15" customHeight="1">
      <c r="B86" s="352"/>
      <c r="T86" s="314"/>
      <c r="V86" s="314"/>
      <c r="X86" s="314"/>
      <c r="Z86" s="314"/>
      <c r="AB86" s="314"/>
      <c r="AD86" s="314"/>
      <c r="AH86" s="314"/>
      <c r="AJ86" s="343"/>
      <c r="AL86" s="314"/>
      <c r="AN86" s="314"/>
      <c r="AP86" s="314"/>
      <c r="AR86" s="314"/>
      <c r="AT86" s="1248"/>
    </row>
    <row r="87" spans="2:48" ht="15" customHeight="1">
      <c r="B87" s="358"/>
      <c r="AT87" s="326"/>
    </row>
    <row r="88" spans="2:48" s="367" customFormat="1" ht="20.25" customHeight="1">
      <c r="B88" s="358"/>
      <c r="C88" s="336">
        <v>3</v>
      </c>
      <c r="D88" s="337">
        <f>VLOOKUP(C85,'Location Summary'!$G$2:$H$604,2,FALSE)</f>
        <v>360</v>
      </c>
      <c r="E88" s="336">
        <v>3</v>
      </c>
      <c r="F88" s="337">
        <f>VLOOKUP(E85,'Location Summary'!$G$2:$H$604,2,FALSE)</f>
        <v>479</v>
      </c>
      <c r="G88" s="336">
        <v>3</v>
      </c>
      <c r="H88" s="337">
        <f>VLOOKUP(G85,'Location Summary'!$G$2:$H$604,2,FALSE)</f>
        <v>402</v>
      </c>
      <c r="I88" s="727">
        <v>3</v>
      </c>
      <c r="J88" s="337">
        <f>VLOOKUP(I85,'Location Summary'!$G$2:$H$604,2,FALSE)</f>
        <v>438.43900000000002</v>
      </c>
      <c r="K88" s="336">
        <v>3</v>
      </c>
      <c r="L88" s="384">
        <f>VLOOKUP(K85,'Location Summary'!$G$2:$H$604,2,FALSE)</f>
        <v>430.56</v>
      </c>
      <c r="M88" s="336">
        <v>3</v>
      </c>
      <c r="N88" s="384">
        <f>VLOOKUP(M85,'Location Summary'!$G$2:$H$604,2,FALSE)</f>
        <v>406</v>
      </c>
      <c r="O88" s="336">
        <v>3</v>
      </c>
      <c r="P88" s="337">
        <f>VLOOKUP(O85,'Location Summary'!$G$2:$H$604,2,FALSE)</f>
        <v>435</v>
      </c>
      <c r="Q88" s="336">
        <v>3</v>
      </c>
      <c r="R88" s="337">
        <f>VLOOKUP(Q85,'Location Summary'!$G$2:$H$604,2,FALSE)</f>
        <v>405</v>
      </c>
      <c r="S88" s="336">
        <v>3</v>
      </c>
      <c r="T88" s="337">
        <f>VLOOKUP(S85,'Location Summary'!$G$2:$H$604,2,FALSE)</f>
        <v>420</v>
      </c>
      <c r="U88" s="336">
        <v>3</v>
      </c>
      <c r="V88" s="337">
        <f>VLOOKUP(U85,'Location Summary'!$G$2:$H$604,2,FALSE)</f>
        <v>405</v>
      </c>
      <c r="W88" s="336">
        <v>3</v>
      </c>
      <c r="X88" s="337">
        <f>VLOOKUP(W85,'Location Summary'!$G$2:$H$604,2,FALSE)</f>
        <v>415</v>
      </c>
      <c r="Y88" s="336">
        <v>3</v>
      </c>
      <c r="Z88" s="337">
        <f>VLOOKUP(Y85,'Location Summary'!$G$2:$H$604,2,FALSE)</f>
        <v>355</v>
      </c>
      <c r="AA88" s="336">
        <v>3</v>
      </c>
      <c r="AB88" s="337">
        <f>VLOOKUP(AA85,'Location Summary'!$G$2:$H$604,2,FALSE)</f>
        <v>380</v>
      </c>
      <c r="AC88" s="336">
        <v>3</v>
      </c>
      <c r="AD88" s="337">
        <f>VLOOKUP(AC85,'Location Summary'!$G$2:$H$604,2,FALSE)</f>
        <v>398.20299999999997</v>
      </c>
      <c r="AE88" s="336">
        <v>3</v>
      </c>
      <c r="AF88" s="337">
        <f>VLOOKUP(AE85,'Location Summary'!$G$2:$H$604,2,FALSE)</f>
        <v>441.798</v>
      </c>
      <c r="AG88" s="336">
        <v>3</v>
      </c>
      <c r="AH88" s="337">
        <f>VLOOKUP(AG85,'Location Summary'!$G$2:$H$604,2,FALSE)</f>
        <v>395</v>
      </c>
      <c r="AI88" s="336">
        <v>3</v>
      </c>
      <c r="AJ88" s="337">
        <f>VLOOKUP(AI85,'Location Summary'!$G$2:$H$604,2,FALSE)</f>
        <v>375</v>
      </c>
      <c r="AK88" s="336">
        <v>3</v>
      </c>
      <c r="AL88" s="337">
        <f>VLOOKUP(AK85,'Location Summary'!$G$2:$H$604,2,FALSE)</f>
        <v>445</v>
      </c>
      <c r="AM88" s="336">
        <v>3</v>
      </c>
      <c r="AN88" s="337">
        <f>VLOOKUP(AM85,'Location Summary'!$G$2:$H$604,2,FALSE)</f>
        <v>395</v>
      </c>
      <c r="AO88" s="336">
        <v>3</v>
      </c>
      <c r="AP88" s="337">
        <f>VLOOKUP(AO85,'Location Summary'!$G$2:$H$604,2,FALSE)</f>
        <v>435</v>
      </c>
      <c r="AQ88" s="336">
        <v>3</v>
      </c>
      <c r="AR88" s="337">
        <f>VLOOKUP(AQ85,'Location Summary'!$G$2:$H$604,2,FALSE)</f>
        <v>330</v>
      </c>
      <c r="AS88" s="336">
        <v>3</v>
      </c>
      <c r="AT88" s="338">
        <f>VLOOKUP(AS85,'Location Summary'!$G$2:$H$604,2,FALSE)</f>
        <v>330</v>
      </c>
    </row>
    <row r="89" spans="2:48" s="367" customFormat="1" ht="15" customHeight="1">
      <c r="B89" s="364"/>
      <c r="C89" s="341">
        <v>2</v>
      </c>
      <c r="D89" s="310"/>
      <c r="E89" s="341">
        <v>2</v>
      </c>
      <c r="F89" s="310"/>
      <c r="G89" s="341">
        <v>2</v>
      </c>
      <c r="H89" s="310"/>
      <c r="I89" s="361">
        <v>2</v>
      </c>
      <c r="J89" s="310"/>
      <c r="K89" s="341">
        <v>2</v>
      </c>
      <c r="L89" s="310"/>
      <c r="M89" s="341">
        <v>2</v>
      </c>
      <c r="N89" s="310"/>
      <c r="O89" s="341">
        <v>2</v>
      </c>
      <c r="P89" s="310"/>
      <c r="Q89" s="341">
        <v>2</v>
      </c>
      <c r="R89" s="310"/>
      <c r="S89" s="341">
        <v>2</v>
      </c>
      <c r="T89" s="310"/>
      <c r="U89" s="341">
        <v>2</v>
      </c>
      <c r="V89" s="310"/>
      <c r="W89" s="341">
        <v>2</v>
      </c>
      <c r="X89" s="310"/>
      <c r="Y89" s="341">
        <v>2</v>
      </c>
      <c r="Z89" s="310"/>
      <c r="AA89" s="341">
        <v>2</v>
      </c>
      <c r="AB89" s="310"/>
      <c r="AC89" s="341">
        <v>2</v>
      </c>
      <c r="AD89" s="310"/>
      <c r="AE89" s="341">
        <v>2</v>
      </c>
      <c r="AF89" s="310"/>
      <c r="AG89" s="341">
        <v>2</v>
      </c>
      <c r="AH89" s="310"/>
      <c r="AI89" s="341">
        <v>2</v>
      </c>
      <c r="AJ89" s="310"/>
      <c r="AK89" s="341">
        <v>2</v>
      </c>
      <c r="AL89" s="310"/>
      <c r="AM89" s="341">
        <v>2</v>
      </c>
      <c r="AN89" s="310"/>
      <c r="AO89" s="341">
        <v>2</v>
      </c>
      <c r="AP89" s="310"/>
      <c r="AQ89" s="341">
        <v>2</v>
      </c>
      <c r="AR89" s="310"/>
      <c r="AS89" s="341">
        <v>2</v>
      </c>
      <c r="AT89" s="326"/>
    </row>
    <row r="90" spans="2:48" ht="15" customHeight="1">
      <c r="B90" s="352"/>
      <c r="C90" s="314" t="str">
        <f>VLOOKUP(C85,'Location Summary'!$C$2:$J$604,2,FALSE)</f>
        <v>DA+9</v>
      </c>
      <c r="D90" s="328"/>
      <c r="E90" s="314" t="str">
        <f>VLOOKUP(E85,'Location Summary'!$C$2:$J$604,2,FALSE)</f>
        <v>DA+3</v>
      </c>
      <c r="F90" s="328"/>
      <c r="G90" s="314" t="str">
        <f>VLOOKUP(G85,'Location Summary'!$C$2:$J$604,2,FALSE)</f>
        <v>DB1+9</v>
      </c>
      <c r="H90" s="1249"/>
      <c r="I90" s="314" t="str">
        <f>VLOOKUP(I85,'Location Summary'!$C$2:$J$604,2,FALSE)</f>
        <v>DA+6</v>
      </c>
      <c r="J90" s="328"/>
      <c r="K90" s="314" t="str">
        <f>VLOOKUP(K85,'Location Summary'!$C$2:$J$604,2,FALSE)</f>
        <v>DB1+9</v>
      </c>
      <c r="L90" s="328"/>
      <c r="M90" s="314" t="str">
        <f>VLOOKUP(M85,'Location Summary'!$C$2:$J$604,2,FALSE)</f>
        <v>DA+9</v>
      </c>
      <c r="N90" s="328"/>
      <c r="O90" s="314" t="str">
        <f>VLOOKUP(O85,'Location Summary'!$C$2:$J$604,2,FALSE)</f>
        <v>DA+9</v>
      </c>
      <c r="P90" s="328"/>
      <c r="Q90" s="314" t="str">
        <f>VLOOKUP(Q85,'Location Summary'!$C$2:$J$604,2,FALSE)</f>
        <v>DA+3</v>
      </c>
      <c r="R90" s="328"/>
      <c r="S90" s="314" t="str">
        <f>VLOOKUP(S85,'Location Summary'!$C$2:$J$604,2,FALSE)</f>
        <v>DA+3</v>
      </c>
      <c r="T90" s="342"/>
      <c r="U90" s="314" t="str">
        <f>VLOOKUP(U85,'Location Summary'!$C$2:$J$604,2,FALSE)</f>
        <v>DA+0</v>
      </c>
      <c r="V90" s="342"/>
      <c r="W90" s="314" t="str">
        <f>VLOOKUP(W85,'Location Summary'!$C$2:$J$604,2,FALSE)</f>
        <v>DA+6</v>
      </c>
      <c r="X90" s="342"/>
      <c r="Y90" s="314" t="str">
        <f>VLOOKUP(Y85,'Location Summary'!$C$2:$J$604,2,FALSE)</f>
        <v>DA+6</v>
      </c>
      <c r="Z90" s="342"/>
      <c r="AA90" s="314" t="str">
        <f>VLOOKUP(AA85,'Location Summary'!$C$2:$J$604,2,FALSE)</f>
        <v>DA+3</v>
      </c>
      <c r="AB90" s="342"/>
      <c r="AC90" s="314" t="str">
        <f>VLOOKUP(AC85,'Location Summary'!$C$2:$J$604,2,FALSE)</f>
        <v>DA+1.5</v>
      </c>
      <c r="AD90" s="342"/>
      <c r="AE90" s="314" t="str">
        <f>VLOOKUP(AE85,'Location Summary'!$C$2:$J$604,2,FALSE)</f>
        <v>DB1+6</v>
      </c>
      <c r="AF90" s="342"/>
      <c r="AG90" s="314" t="str">
        <f>VLOOKUP(AG85,'Location Summary'!$C$2:$J$604,2,FALSE)</f>
        <v>DA+9</v>
      </c>
      <c r="AH90" s="342"/>
      <c r="AI90" s="314" t="str">
        <f>VLOOKUP(AI85,'Location Summary'!$C$2:$J$604,2,FALSE)</f>
        <v>DA+9</v>
      </c>
      <c r="AJ90" s="342"/>
      <c r="AK90" s="314" t="str">
        <f>VLOOKUP(AK85,'Location Summary'!$C$2:$J$604,2,FALSE)</f>
        <v>DA+1.5</v>
      </c>
      <c r="AL90" s="342"/>
      <c r="AM90" s="314" t="str">
        <f>VLOOKUP(AM85,'Location Summary'!$C$2:$J$604,2,FALSE)</f>
        <v>DA+6</v>
      </c>
      <c r="AN90" s="342"/>
      <c r="AO90" s="314" t="str">
        <f>VLOOKUP(AO85,'Location Summary'!$C$2:$J$604,2,FALSE)</f>
        <v>DA+9</v>
      </c>
      <c r="AP90" s="342"/>
      <c r="AQ90" s="314" t="str">
        <f>VLOOKUP(AQ85,'Location Summary'!$C$2:$J$604,2,FALSE)</f>
        <v>DA+3</v>
      </c>
      <c r="AS90" s="314" t="str">
        <f>VLOOKUP(AS85,'Location Summary'!$C$2:$J$604,2,FALSE)</f>
        <v>DA+0</v>
      </c>
      <c r="AT90" s="326"/>
    </row>
    <row r="91" spans="2:48" ht="15" customHeight="1">
      <c r="B91" s="636"/>
      <c r="C91" s="617" t="s">
        <v>1166</v>
      </c>
      <c r="D91" s="600"/>
      <c r="E91" s="343"/>
      <c r="F91" s="314"/>
      <c r="G91" s="314"/>
      <c r="I91" s="314"/>
      <c r="J91" s="617"/>
      <c r="K91" s="617" t="s">
        <v>1166</v>
      </c>
      <c r="L91" s="617"/>
      <c r="M91" s="617" t="s">
        <v>1166</v>
      </c>
      <c r="N91" s="617"/>
      <c r="O91" s="314"/>
      <c r="P91" s="314"/>
      <c r="Q91" s="314"/>
      <c r="R91" s="314"/>
      <c r="S91" s="314"/>
      <c r="T91" s="314"/>
      <c r="U91" s="314"/>
      <c r="V91" s="314"/>
      <c r="W91" s="314"/>
      <c r="X91" s="314"/>
      <c r="Y91" s="314"/>
      <c r="Z91" s="314"/>
      <c r="AA91" s="314"/>
      <c r="AB91" s="314"/>
      <c r="AC91" s="314"/>
      <c r="AD91" s="314"/>
      <c r="AE91" s="314"/>
      <c r="AF91" s="314"/>
      <c r="AG91" s="314"/>
      <c r="AH91" s="314"/>
      <c r="AI91" s="314"/>
      <c r="AJ91" s="314"/>
      <c r="AK91" s="314"/>
      <c r="AL91" s="314"/>
      <c r="AM91" s="314"/>
      <c r="AN91" s="314"/>
      <c r="AO91" s="314"/>
      <c r="AP91" s="314"/>
      <c r="AQ91" s="314"/>
      <c r="AR91" s="314"/>
      <c r="AS91" s="314"/>
      <c r="AT91" s="326"/>
      <c r="AV91" s="351"/>
    </row>
    <row r="92" spans="2:48" ht="15" customHeight="1">
      <c r="B92" s="345"/>
      <c r="C92" s="343">
        <f>AS84+1</f>
        <v>214</v>
      </c>
      <c r="D92" s="310">
        <v>5</v>
      </c>
      <c r="E92" s="343">
        <f>C92+1</f>
        <v>215</v>
      </c>
      <c r="G92" s="343">
        <f>E92+1</f>
        <v>216</v>
      </c>
      <c r="I92" s="343">
        <f>G92+1</f>
        <v>217</v>
      </c>
      <c r="J92" s="343"/>
      <c r="K92" s="343">
        <f>I92+1</f>
        <v>218</v>
      </c>
      <c r="L92" s="343"/>
      <c r="M92" s="343">
        <f>K92+1</f>
        <v>219</v>
      </c>
      <c r="N92" s="343"/>
      <c r="O92" s="343">
        <f>M92+1</f>
        <v>220</v>
      </c>
      <c r="P92" s="343"/>
      <c r="Q92" s="343">
        <f>O92+1</f>
        <v>221</v>
      </c>
      <c r="R92" s="343"/>
      <c r="S92" s="343">
        <f>Q92+1</f>
        <v>222</v>
      </c>
      <c r="T92" s="343"/>
      <c r="U92" s="343">
        <f>S92+1</f>
        <v>223</v>
      </c>
      <c r="V92" s="343"/>
      <c r="W92" s="343">
        <f>U92+1</f>
        <v>224</v>
      </c>
      <c r="X92" s="343"/>
      <c r="Y92" s="343">
        <f>W92+1</f>
        <v>225</v>
      </c>
      <c r="Z92" s="343"/>
      <c r="AA92" s="343">
        <f>Y92+1</f>
        <v>226</v>
      </c>
      <c r="AB92" s="343"/>
      <c r="AC92" s="343">
        <f>AA92+1</f>
        <v>227</v>
      </c>
      <c r="AD92" s="343"/>
      <c r="AE92" s="343">
        <f>AC92+1</f>
        <v>228</v>
      </c>
      <c r="AF92" s="343"/>
      <c r="AG92" s="343">
        <f>AE92+1</f>
        <v>229</v>
      </c>
      <c r="AH92" s="343"/>
      <c r="AI92" s="343">
        <f>AG92+1</f>
        <v>230</v>
      </c>
      <c r="AJ92" s="343"/>
      <c r="AK92" s="343">
        <f>AI92+1</f>
        <v>231</v>
      </c>
      <c r="AL92" s="343"/>
      <c r="AM92" s="343">
        <f>AK92+1</f>
        <v>232</v>
      </c>
      <c r="AO92" s="343">
        <f>AM92+1</f>
        <v>233</v>
      </c>
      <c r="AP92" s="343"/>
      <c r="AQ92" s="343">
        <f>AO92+1</f>
        <v>234</v>
      </c>
      <c r="AR92" s="343"/>
      <c r="AS92" s="343">
        <f>AQ92+1</f>
        <v>235</v>
      </c>
      <c r="AT92" s="326"/>
    </row>
    <row r="93" spans="2:48" s="348" customFormat="1" ht="15" customHeight="1">
      <c r="B93" s="362"/>
      <c r="C93" s="348" t="s">
        <v>582</v>
      </c>
      <c r="E93" s="348" t="s">
        <v>583</v>
      </c>
      <c r="G93" s="348" t="s">
        <v>584</v>
      </c>
      <c r="I93" s="348" t="s">
        <v>585</v>
      </c>
      <c r="K93" s="348" t="s">
        <v>586</v>
      </c>
      <c r="M93" s="348" t="s">
        <v>71</v>
      </c>
      <c r="O93" s="348" t="s">
        <v>588</v>
      </c>
      <c r="Q93" s="348" t="s">
        <v>589</v>
      </c>
      <c r="S93" s="348" t="s">
        <v>590</v>
      </c>
      <c r="U93" s="348" t="s">
        <v>591</v>
      </c>
      <c r="W93" s="348" t="s">
        <v>592</v>
      </c>
      <c r="Y93" s="348" t="s">
        <v>593</v>
      </c>
      <c r="AA93" s="348" t="s">
        <v>594</v>
      </c>
      <c r="AC93" s="348" t="s">
        <v>595</v>
      </c>
      <c r="AE93" s="348" t="s">
        <v>596</v>
      </c>
      <c r="AG93" s="348" t="s">
        <v>597</v>
      </c>
      <c r="AI93" s="348" t="s">
        <v>598</v>
      </c>
      <c r="AK93" s="348" t="s">
        <v>8</v>
      </c>
      <c r="AM93" s="348" t="s">
        <v>1069</v>
      </c>
      <c r="AO93" s="348" t="s">
        <v>1070</v>
      </c>
      <c r="AQ93" s="348" t="s">
        <v>1781</v>
      </c>
      <c r="AS93" s="348" t="s">
        <v>1782</v>
      </c>
      <c r="AT93" s="326"/>
    </row>
    <row r="94" spans="2:48" ht="15" customHeight="1">
      <c r="B94" s="352"/>
      <c r="J94" s="348"/>
      <c r="T94" s="314"/>
      <c r="V94" s="314"/>
      <c r="X94" s="314"/>
      <c r="Z94" s="314"/>
      <c r="AB94" s="314"/>
      <c r="AD94" s="314"/>
      <c r="AF94" s="314"/>
      <c r="AH94" s="314"/>
      <c r="AJ94" s="314"/>
      <c r="AL94" s="314"/>
      <c r="AN94" s="314"/>
      <c r="AP94" s="314"/>
      <c r="AR94" s="314"/>
      <c r="AT94" s="326"/>
    </row>
    <row r="95" spans="2:48" ht="15" customHeight="1">
      <c r="B95" s="358"/>
      <c r="AT95" s="326"/>
    </row>
    <row r="96" spans="2:48" s="367" customFormat="1" ht="20.25" customHeight="1">
      <c r="B96" s="358"/>
      <c r="C96" s="336">
        <v>3</v>
      </c>
      <c r="D96" s="337">
        <f>VLOOKUP(C93,'Location Summary'!$G$2:$H$604,2,FALSE)</f>
        <v>400</v>
      </c>
      <c r="E96" s="336">
        <v>3</v>
      </c>
      <c r="F96" s="337">
        <f>VLOOKUP(E93,'Location Summary'!$G$2:$H$604,2,FALSE)</f>
        <v>310</v>
      </c>
      <c r="G96" s="336">
        <v>3</v>
      </c>
      <c r="H96" s="337">
        <f>VLOOKUP(G93,'Location Summary'!$G$2:$H$604,2,FALSE)</f>
        <v>325</v>
      </c>
      <c r="I96" s="336">
        <v>3</v>
      </c>
      <c r="J96" s="337">
        <f>VLOOKUP(I93,'Location Summary'!$G$2:$H$604,2,FALSE)</f>
        <v>365</v>
      </c>
      <c r="K96" s="336">
        <v>3</v>
      </c>
      <c r="L96" s="337">
        <f>VLOOKUP(K93,'Location Summary'!$G$2:$H$604,2,FALSE)</f>
        <v>351.79</v>
      </c>
      <c r="M96" s="336">
        <v>3</v>
      </c>
      <c r="N96" s="337">
        <f>VLOOKUP(M93,'Location Summary'!$G$2:$H$604,2,FALSE)</f>
        <v>393.209</v>
      </c>
      <c r="O96" s="336">
        <v>3</v>
      </c>
      <c r="P96" s="337">
        <f>VLOOKUP(O93,'Location Summary'!$G$2:$H$604,2,FALSE)</f>
        <v>435</v>
      </c>
      <c r="Q96" s="654">
        <v>3</v>
      </c>
      <c r="R96" s="337">
        <f>VLOOKUP(Q93,'Location Summary'!$G$2:$H$604,2,FALSE)</f>
        <v>405</v>
      </c>
      <c r="S96" s="654">
        <v>3</v>
      </c>
      <c r="T96" s="337">
        <f>VLOOKUP(S93,'Location Summary'!$G$2:$H$604,2,FALSE)</f>
        <v>405</v>
      </c>
      <c r="U96" s="336">
        <v>3</v>
      </c>
      <c r="V96" s="337">
        <f>VLOOKUP(U93,'Location Summary'!$G$2:$H$604,2,FALSE)</f>
        <v>435</v>
      </c>
      <c r="W96" s="336">
        <v>3</v>
      </c>
      <c r="X96" s="337">
        <f>VLOOKUP(W93,'Location Summary'!$G$2:$H$604,2,FALSE)</f>
        <v>345</v>
      </c>
      <c r="Y96" s="336">
        <v>3</v>
      </c>
      <c r="Z96" s="337">
        <f>VLOOKUP(Y93,'Location Summary'!$G$2:$H$604,2,FALSE)</f>
        <v>395</v>
      </c>
      <c r="AA96" s="336">
        <v>3</v>
      </c>
      <c r="AB96" s="337">
        <f>VLOOKUP(AA93,'Location Summary'!$G$2:$H$604,2,FALSE)</f>
        <v>440</v>
      </c>
      <c r="AC96" s="336">
        <v>3</v>
      </c>
      <c r="AD96" s="337">
        <f>VLOOKUP(AC93,'Location Summary'!$G$2:$H$604,2,FALSE)</f>
        <v>400</v>
      </c>
      <c r="AE96" s="336">
        <v>3</v>
      </c>
      <c r="AF96" s="337">
        <f>VLOOKUP(AE93,'Location Summary'!$G$2:$H$604,2,FALSE)</f>
        <v>440</v>
      </c>
      <c r="AG96" s="654">
        <v>3</v>
      </c>
      <c r="AH96" s="337">
        <f>VLOOKUP(AG93,'Location Summary'!$G$2:$H$604,2,FALSE)</f>
        <v>330</v>
      </c>
      <c r="AI96" s="336">
        <v>3</v>
      </c>
      <c r="AJ96" s="337">
        <f>VLOOKUP(AI93,'Location Summary'!$G$2:$H$604,2,FALSE)</f>
        <v>493.084</v>
      </c>
      <c r="AK96" s="336">
        <v>3</v>
      </c>
      <c r="AL96" s="337">
        <f>VLOOKUP(AK93,'Location Summary'!$G$2:$H$604,2,FALSE)</f>
        <v>454</v>
      </c>
      <c r="AM96" s="336">
        <v>3</v>
      </c>
      <c r="AN96" s="337">
        <f>VLOOKUP(AM93,'Location Summary'!$G$2:$H$604,2,FALSE)</f>
        <v>451</v>
      </c>
      <c r="AO96" s="336">
        <v>3</v>
      </c>
      <c r="AP96" s="337">
        <f>VLOOKUP(AO93,'Location Summary'!$G$2:$H$604,2,FALSE)</f>
        <v>375.7</v>
      </c>
      <c r="AQ96" s="336">
        <v>3</v>
      </c>
      <c r="AR96" s="337">
        <f>VLOOKUP(AQ93,'Location Summary'!$G$2:$H$604,2,FALSE)</f>
        <v>420.81</v>
      </c>
      <c r="AS96" s="336">
        <v>3</v>
      </c>
      <c r="AT96" s="338">
        <f>VLOOKUP(AS93,'Location Summary'!$G$2:$H$604,2,FALSE)</f>
        <v>469.33</v>
      </c>
    </row>
    <row r="97" spans="2:51" s="367" customFormat="1" ht="15" customHeight="1">
      <c r="B97" s="364"/>
      <c r="C97" s="341">
        <v>2</v>
      </c>
      <c r="D97" s="310"/>
      <c r="E97" s="341">
        <v>2</v>
      </c>
      <c r="F97" s="310"/>
      <c r="G97" s="341">
        <v>2</v>
      </c>
      <c r="H97" s="310"/>
      <c r="I97" s="341">
        <v>2</v>
      </c>
      <c r="J97" s="310"/>
      <c r="K97" s="341">
        <v>2</v>
      </c>
      <c r="L97" s="310"/>
      <c r="M97" s="341">
        <v>2</v>
      </c>
      <c r="N97" s="310"/>
      <c r="O97" s="341">
        <v>2</v>
      </c>
      <c r="P97" s="310"/>
      <c r="Q97" s="341">
        <v>2</v>
      </c>
      <c r="R97" s="310"/>
      <c r="S97" s="341">
        <v>2</v>
      </c>
      <c r="T97" s="310"/>
      <c r="U97" s="341">
        <v>2</v>
      </c>
      <c r="V97" s="310"/>
      <c r="W97" s="341">
        <v>2</v>
      </c>
      <c r="X97" s="310"/>
      <c r="Y97" s="341">
        <v>2</v>
      </c>
      <c r="Z97" s="310"/>
      <c r="AA97" s="341">
        <v>2</v>
      </c>
      <c r="AB97" s="310"/>
      <c r="AC97" s="341">
        <v>2</v>
      </c>
      <c r="AD97" s="310"/>
      <c r="AE97" s="341">
        <v>2</v>
      </c>
      <c r="AF97" s="310"/>
      <c r="AG97" s="341">
        <v>2</v>
      </c>
      <c r="AH97" s="310"/>
      <c r="AI97" s="341">
        <v>2</v>
      </c>
      <c r="AJ97" s="310"/>
      <c r="AK97" s="341">
        <v>2</v>
      </c>
      <c r="AL97" s="310"/>
      <c r="AM97" s="341">
        <v>2</v>
      </c>
      <c r="AN97" s="310"/>
      <c r="AO97" s="341">
        <v>2</v>
      </c>
      <c r="AP97" s="310"/>
      <c r="AQ97" s="341">
        <v>2</v>
      </c>
      <c r="AR97" s="310"/>
      <c r="AS97" s="341">
        <v>2</v>
      </c>
      <c r="AT97" s="326"/>
    </row>
    <row r="98" spans="2:51" ht="15" customHeight="1">
      <c r="B98" s="352"/>
      <c r="C98" s="314" t="str">
        <f>VLOOKUP(C93,'Location Summary'!$C$2:$J$604,2,FALSE)</f>
        <v>DA+0</v>
      </c>
      <c r="D98" s="328"/>
      <c r="E98" s="314" t="str">
        <f>VLOOKUP(E93,'Location Summary'!$C$2:$J$604,2,FALSE)</f>
        <v>DA+1.5</v>
      </c>
      <c r="F98" s="328"/>
      <c r="G98" s="314" t="str">
        <f>VLOOKUP(G93,'Location Summary'!$C$2:$J$604,2,FALSE)</f>
        <v>DA-3</v>
      </c>
      <c r="H98" s="328"/>
      <c r="I98" s="314" t="str">
        <f>VLOOKUP(I93,'Location Summary'!$C$2:$J$604,2,FALSE)</f>
        <v>DA+1.5</v>
      </c>
      <c r="J98" s="328"/>
      <c r="K98" s="314" t="str">
        <f>VLOOKUP(K93,'Location Summary'!$C$2:$J$604,2,FALSE)</f>
        <v>DA+3</v>
      </c>
      <c r="L98" s="328"/>
      <c r="M98" s="314" t="str">
        <f>VLOOKUP(M93,'Location Summary'!$C$2:$J$604,2,FALSE)</f>
        <v>DB2+0</v>
      </c>
      <c r="N98" s="328"/>
      <c r="O98" s="314" t="str">
        <f>VLOOKUP(O93,'Location Summary'!$C$2:$J$604,2,FALSE)</f>
        <v>DA+6</v>
      </c>
      <c r="P98" s="328"/>
      <c r="Q98" s="314" t="str">
        <f>VLOOKUP(Q93,'Location Summary'!$C$2:$J$604,2,FALSE)</f>
        <v>DA+6</v>
      </c>
      <c r="R98" s="328"/>
      <c r="S98" s="314" t="str">
        <f>VLOOKUP(S93,'Location Summary'!$C$2:$J$604,2,FALSE)</f>
        <v>DA-3</v>
      </c>
      <c r="T98" s="342"/>
      <c r="U98" s="314" t="str">
        <f>VLOOKUP(U93,'Location Summary'!$C$2:$J$604,2,FALSE)</f>
        <v>DA+9</v>
      </c>
      <c r="V98" s="342"/>
      <c r="W98" s="314" t="str">
        <f>VLOOKUP(W93,'Location Summary'!$C$2:$J$604,2,FALSE)</f>
        <v>DA+9</v>
      </c>
      <c r="X98" s="342"/>
      <c r="Y98" s="314" t="str">
        <f>VLOOKUP(Y93,'Location Summary'!$C$2:$J$604,2,FALSE)</f>
        <v>DA+6</v>
      </c>
      <c r="Z98" s="342"/>
      <c r="AA98" s="314" t="str">
        <f>VLOOKUP(AA93,'Location Summary'!$C$2:$J$604,2,FALSE)</f>
        <v>DA+3</v>
      </c>
      <c r="AB98" s="342"/>
      <c r="AC98" s="314" t="str">
        <f>VLOOKUP(AC93,'Location Summary'!$C$2:$J$604,2,FALSE)</f>
        <v>DA+6</v>
      </c>
      <c r="AD98" s="342"/>
      <c r="AE98" s="314" t="str">
        <f>VLOOKUP(AE93,'Location Summary'!$C$2:$J$604,2,FALSE)</f>
        <v>DA+1.5</v>
      </c>
      <c r="AF98" s="342"/>
      <c r="AG98" s="314" t="str">
        <f>VLOOKUP(AG93,'Location Summary'!$C$2:$J$604,2,FALSE)</f>
        <v>DA+3</v>
      </c>
      <c r="AH98" s="342"/>
      <c r="AI98" s="314" t="str">
        <f>VLOOKUP(AI93,'Location Summary'!$C$2:$J$604,2,FALSE)</f>
        <v>DA+3</v>
      </c>
      <c r="AJ98" s="342"/>
      <c r="AK98" s="314" t="str">
        <f>VLOOKUP(AK93,'Location Summary'!$C$2:$J$604,2,FALSE)</f>
        <v>DB2+3</v>
      </c>
      <c r="AL98" s="342"/>
      <c r="AM98" s="314" t="str">
        <f>VLOOKUP(AM93,'Location Summary'!$C$2:$J$604,2,FALSE)</f>
        <v>DB1+9</v>
      </c>
      <c r="AN98" s="342"/>
      <c r="AO98" s="314" t="str">
        <f>VLOOKUP(AO93,'Location Summary'!$C$2:$J$604,2,FALSE)</f>
        <v>DA+3</v>
      </c>
      <c r="AP98" s="342"/>
      <c r="AQ98" s="314" t="str">
        <f>VLOOKUP(AQ93,'Location Summary'!$C$2:$J$604,2,FALSE)</f>
        <v>DB2+9</v>
      </c>
      <c r="AS98" s="314" t="str">
        <f>VLOOKUP(AS93,'Location Summary'!$C$2:$J$604,2,FALSE)</f>
        <v>DC2+15</v>
      </c>
      <c r="AT98" s="326"/>
    </row>
    <row r="99" spans="2:51" ht="15" customHeight="1" thickBot="1">
      <c r="B99" s="371"/>
      <c r="C99" s="372"/>
      <c r="D99" s="372"/>
      <c r="E99" s="372"/>
      <c r="F99" s="372"/>
      <c r="G99" s="372"/>
      <c r="H99" s="372"/>
      <c r="I99" s="372"/>
      <c r="J99" s="372"/>
      <c r="K99" s="372"/>
      <c r="L99" s="372"/>
      <c r="M99" s="618"/>
      <c r="N99" s="618"/>
      <c r="O99" s="618"/>
      <c r="P99" s="1457"/>
      <c r="Q99" s="1457"/>
      <c r="R99" s="1457"/>
      <c r="S99" s="1078"/>
      <c r="U99" s="721"/>
      <c r="V99" s="618"/>
      <c r="W99" s="618"/>
      <c r="X99" s="618"/>
      <c r="Y99" s="618"/>
      <c r="Z99" s="618"/>
      <c r="AA99" s="618"/>
      <c r="AB99" s="618"/>
      <c r="AC99" s="618"/>
      <c r="AD99" s="618"/>
      <c r="AE99" s="618"/>
      <c r="AF99" s="1078"/>
      <c r="AG99" s="1078"/>
      <c r="AH99" s="1078"/>
      <c r="AI99" s="372"/>
      <c r="AK99" s="1078"/>
      <c r="AL99" s="372"/>
      <c r="AM99" s="372"/>
      <c r="AN99" s="372"/>
      <c r="AO99" s="372"/>
      <c r="AP99" s="372"/>
      <c r="AQ99" s="1523" t="s">
        <v>1451</v>
      </c>
      <c r="AR99" s="1523"/>
      <c r="AS99" s="1523"/>
      <c r="AT99" s="1524"/>
      <c r="AV99" s="351"/>
    </row>
    <row r="100" spans="2:51" ht="15" customHeight="1">
      <c r="B100" s="345"/>
      <c r="C100" s="343">
        <f>AS92+1</f>
        <v>236</v>
      </c>
      <c r="D100" s="324"/>
      <c r="E100" s="343">
        <f>C100+1</f>
        <v>237</v>
      </c>
      <c r="F100" s="343"/>
      <c r="G100" s="343">
        <f>E100+1</f>
        <v>238</v>
      </c>
      <c r="H100" s="343"/>
      <c r="I100" s="343">
        <f>G100+1</f>
        <v>239</v>
      </c>
      <c r="J100" s="343"/>
      <c r="K100" s="343">
        <f>I100+1</f>
        <v>240</v>
      </c>
      <c r="L100" s="343"/>
      <c r="M100" s="343">
        <f>K100+1</f>
        <v>241</v>
      </c>
      <c r="N100" s="343"/>
      <c r="O100" s="343">
        <f>M100+1</f>
        <v>242</v>
      </c>
      <c r="P100" s="343"/>
      <c r="Q100" s="343">
        <f>O100+1</f>
        <v>243</v>
      </c>
      <c r="R100" s="343"/>
      <c r="S100" s="343">
        <f>Q100+1</f>
        <v>244</v>
      </c>
      <c r="T100" s="343"/>
      <c r="U100" s="343">
        <f>S100+1</f>
        <v>245</v>
      </c>
      <c r="V100" s="343"/>
      <c r="W100" s="343">
        <f>U100+1</f>
        <v>246</v>
      </c>
      <c r="X100" s="343"/>
      <c r="Y100" s="343">
        <f>W100+1</f>
        <v>247</v>
      </c>
      <c r="Z100" s="343"/>
      <c r="AA100" s="343">
        <f>Y100+1</f>
        <v>248</v>
      </c>
      <c r="AB100" s="343"/>
      <c r="AC100" s="343">
        <f>AA100+1</f>
        <v>249</v>
      </c>
      <c r="AD100" s="343" t="s">
        <v>33</v>
      </c>
      <c r="AE100" s="343">
        <f>AC100+1</f>
        <v>250</v>
      </c>
      <c r="AF100" s="343"/>
      <c r="AG100" s="343">
        <f>AE100+1</f>
        <v>251</v>
      </c>
      <c r="AH100" s="343"/>
      <c r="AI100" s="343">
        <f>AG100+1</f>
        <v>252</v>
      </c>
      <c r="AJ100" s="343"/>
      <c r="AK100" s="343">
        <f>AI100+1</f>
        <v>253</v>
      </c>
      <c r="AL100" s="343"/>
      <c r="AM100" s="343">
        <f>AK100+1</f>
        <v>254</v>
      </c>
      <c r="AO100" s="343">
        <f>AM100+1</f>
        <v>255</v>
      </c>
      <c r="AP100" s="343"/>
      <c r="AQ100" s="343">
        <f>AO100+1</f>
        <v>256</v>
      </c>
      <c r="AR100" s="343"/>
      <c r="AS100" s="343">
        <f>AQ100+1</f>
        <v>257</v>
      </c>
      <c r="AT100" s="326"/>
    </row>
    <row r="101" spans="2:51" s="348" customFormat="1" ht="15" customHeight="1">
      <c r="B101" s="362"/>
      <c r="C101" s="348" t="s">
        <v>1783</v>
      </c>
      <c r="E101" s="348" t="s">
        <v>602</v>
      </c>
      <c r="G101" s="348" t="s">
        <v>603</v>
      </c>
      <c r="I101" s="348" t="s">
        <v>604</v>
      </c>
      <c r="K101" s="348" t="s">
        <v>605</v>
      </c>
      <c r="M101" s="348" t="s">
        <v>775</v>
      </c>
      <c r="O101" s="348" t="s">
        <v>776</v>
      </c>
      <c r="Q101" s="348" t="s">
        <v>777</v>
      </c>
      <c r="S101" s="348" t="s">
        <v>778</v>
      </c>
      <c r="U101" s="348" t="s">
        <v>779</v>
      </c>
      <c r="W101" s="348" t="s">
        <v>780</v>
      </c>
      <c r="Y101" s="348" t="s">
        <v>781</v>
      </c>
      <c r="AA101" s="348" t="s">
        <v>72</v>
      </c>
      <c r="AC101" s="348" t="s">
        <v>607</v>
      </c>
      <c r="AE101" s="348" t="s">
        <v>608</v>
      </c>
      <c r="AG101" s="348" t="s">
        <v>609</v>
      </c>
      <c r="AI101" s="348" t="s">
        <v>610</v>
      </c>
      <c r="AK101" s="348" t="s">
        <v>611</v>
      </c>
      <c r="AM101" s="348" t="s">
        <v>612</v>
      </c>
      <c r="AO101" s="348" t="s">
        <v>613</v>
      </c>
      <c r="AQ101" s="348" t="s">
        <v>614</v>
      </c>
      <c r="AS101" s="348" t="s">
        <v>615</v>
      </c>
      <c r="AT101" s="326"/>
    </row>
    <row r="102" spans="2:51" ht="15" customHeight="1">
      <c r="B102" s="352"/>
      <c r="T102" s="314"/>
      <c r="V102" s="314"/>
      <c r="X102" s="314"/>
      <c r="Z102" s="314"/>
      <c r="AB102" s="314"/>
      <c r="AD102" s="314"/>
      <c r="AF102" s="314"/>
      <c r="AH102" s="314"/>
      <c r="AJ102" s="314"/>
      <c r="AL102" s="314"/>
      <c r="AN102" s="314"/>
      <c r="AP102" s="314"/>
      <c r="AR102" s="314"/>
      <c r="AT102" s="326"/>
    </row>
    <row r="103" spans="2:51" ht="15" customHeight="1">
      <c r="B103" s="358"/>
      <c r="AT103" s="326"/>
    </row>
    <row r="104" spans="2:51" s="367" customFormat="1" ht="20.25" customHeight="1">
      <c r="B104" s="358"/>
      <c r="C104" s="336">
        <v>3</v>
      </c>
      <c r="D104" s="337">
        <f>VLOOKUP(C101,'Location Summary'!$G$2:$H$604,2,FALSE)</f>
        <v>411.28</v>
      </c>
      <c r="E104" s="336">
        <v>3</v>
      </c>
      <c r="F104" s="337">
        <f>VLOOKUP(E101,'Location Summary'!$G$2:$H$604,2,FALSE)</f>
        <v>405</v>
      </c>
      <c r="G104" s="336">
        <v>3</v>
      </c>
      <c r="H104" s="337">
        <f>VLOOKUP(G101,'Location Summary'!$G$2:$H$604,2,FALSE)</f>
        <v>430</v>
      </c>
      <c r="I104" s="336">
        <v>3</v>
      </c>
      <c r="J104" s="337">
        <f>VLOOKUP(I101,'Location Summary'!$G$2:$H$604,2,FALSE)</f>
        <v>410</v>
      </c>
      <c r="K104" s="336">
        <v>3</v>
      </c>
      <c r="L104" s="337">
        <f>VLOOKUP(K101,'Location Summary'!$G$2:$H$604,2,FALSE)</f>
        <v>420</v>
      </c>
      <c r="M104" s="336">
        <v>3</v>
      </c>
      <c r="N104" s="337">
        <f>VLOOKUP(M101,'Location Summary'!$G$2:$H$604,2,FALSE)</f>
        <v>280</v>
      </c>
      <c r="O104" s="336">
        <v>3</v>
      </c>
      <c r="P104" s="337">
        <f>VLOOKUP(O101,'Location Summary'!$G$2:$H$604,2,FALSE)</f>
        <v>345</v>
      </c>
      <c r="Q104" s="336">
        <v>3</v>
      </c>
      <c r="R104" s="337">
        <f>VLOOKUP(Q101,'Location Summary'!$G$2:$H$604,2,FALSE)</f>
        <v>330</v>
      </c>
      <c r="S104" s="336">
        <v>3</v>
      </c>
      <c r="T104" s="337">
        <f>VLOOKUP(S101,'Location Summary'!$G$2:$H$604,2,FALSE)</f>
        <v>455</v>
      </c>
      <c r="U104" s="336">
        <v>3</v>
      </c>
      <c r="V104" s="337">
        <f>VLOOKUP(U101,'Location Summary'!$G$2:$H$604,2,FALSE)</f>
        <v>340</v>
      </c>
      <c r="W104" s="336">
        <v>3</v>
      </c>
      <c r="X104" s="337">
        <f>VLOOKUP(W101,'Location Summary'!$G$2:$H$604,2,FALSE)</f>
        <v>435</v>
      </c>
      <c r="Y104" s="336">
        <v>3</v>
      </c>
      <c r="Z104" s="337">
        <f>VLOOKUP(Y101,'Location Summary'!$G$2:$H$604,2,FALSE)</f>
        <v>398.589</v>
      </c>
      <c r="AA104" s="336">
        <v>3</v>
      </c>
      <c r="AB104" s="337">
        <f>VLOOKUP(AA101,'Location Summary'!$G$2:$H$604,2,FALSE)</f>
        <v>426.411</v>
      </c>
      <c r="AC104" s="336">
        <v>3</v>
      </c>
      <c r="AD104" s="337">
        <f>VLOOKUP(AC101,'Location Summary'!$G$2:$H$604,2,FALSE)</f>
        <v>390</v>
      </c>
      <c r="AE104" s="336">
        <v>3</v>
      </c>
      <c r="AF104" s="337">
        <f>VLOOKUP(AE101,'Location Summary'!$G$2:$H$604,2,FALSE)</f>
        <v>335</v>
      </c>
      <c r="AG104" s="336">
        <v>3</v>
      </c>
      <c r="AH104" s="337">
        <f>VLOOKUP(AG101,'Location Summary'!$G$2:$H$604,2,FALSE)</f>
        <v>440</v>
      </c>
      <c r="AI104" s="336">
        <v>3</v>
      </c>
      <c r="AJ104" s="337">
        <f>VLOOKUP(AI101,'Location Summary'!$G$2:$H$604,2,FALSE)</f>
        <v>280</v>
      </c>
      <c r="AK104" s="336">
        <v>3</v>
      </c>
      <c r="AL104" s="337">
        <f>VLOOKUP(AK101,'Location Summary'!$G$2:$H$604,2,FALSE)</f>
        <v>450</v>
      </c>
      <c r="AM104" s="336">
        <v>3</v>
      </c>
      <c r="AN104" s="337">
        <f>VLOOKUP(AM101,'Location Summary'!$G$2:$H$604,2,FALSE)</f>
        <v>285</v>
      </c>
      <c r="AO104" s="336">
        <v>3</v>
      </c>
      <c r="AP104" s="337">
        <f>VLOOKUP(AO101,'Location Summary'!$G$2:$H$604,2,FALSE)</f>
        <v>445</v>
      </c>
      <c r="AQ104" s="336">
        <v>3</v>
      </c>
      <c r="AR104" s="337">
        <f>VLOOKUP(AQ101,'Location Summary'!$G$2:$H$604,2,FALSE)</f>
        <v>360</v>
      </c>
      <c r="AS104" s="336">
        <v>3</v>
      </c>
      <c r="AT104" s="338">
        <f>VLOOKUP(AS101,'Location Summary'!$G$2:$H$604,2,FALSE)</f>
        <v>430</v>
      </c>
    </row>
    <row r="105" spans="2:51" s="367" customFormat="1" ht="15" customHeight="1">
      <c r="B105" s="364"/>
      <c r="C105" s="341">
        <v>2</v>
      </c>
      <c r="D105" s="310"/>
      <c r="E105" s="341">
        <v>2</v>
      </c>
      <c r="F105" s="310"/>
      <c r="G105" s="341">
        <v>2</v>
      </c>
      <c r="H105" s="310"/>
      <c r="I105" s="341">
        <v>2</v>
      </c>
      <c r="J105" s="310"/>
      <c r="K105" s="341">
        <v>2</v>
      </c>
      <c r="L105" s="310"/>
      <c r="M105" s="341">
        <v>2</v>
      </c>
      <c r="N105" s="310"/>
      <c r="O105" s="341">
        <v>2</v>
      </c>
      <c r="P105" s="310"/>
      <c r="Q105" s="341">
        <v>2</v>
      </c>
      <c r="R105" s="310"/>
      <c r="S105" s="341">
        <v>2</v>
      </c>
      <c r="T105" s="310"/>
      <c r="U105" s="341">
        <v>2</v>
      </c>
      <c r="V105" s="310"/>
      <c r="W105" s="341">
        <v>2</v>
      </c>
      <c r="X105" s="310"/>
      <c r="Y105" s="341">
        <v>2</v>
      </c>
      <c r="Z105" s="310"/>
      <c r="AA105" s="341">
        <v>2</v>
      </c>
      <c r="AB105" s="310"/>
      <c r="AC105" s="341">
        <v>2</v>
      </c>
      <c r="AD105" s="310"/>
      <c r="AE105" s="341">
        <v>2</v>
      </c>
      <c r="AF105" s="310"/>
      <c r="AG105" s="341">
        <v>2</v>
      </c>
      <c r="AH105" s="310"/>
      <c r="AI105" s="341">
        <v>2</v>
      </c>
      <c r="AJ105" s="310"/>
      <c r="AK105" s="341">
        <v>2</v>
      </c>
      <c r="AL105" s="310"/>
      <c r="AM105" s="341">
        <v>2</v>
      </c>
      <c r="AN105" s="310"/>
      <c r="AO105" s="341">
        <v>2</v>
      </c>
      <c r="AP105" s="310"/>
      <c r="AQ105" s="341">
        <v>2</v>
      </c>
      <c r="AR105" s="310"/>
      <c r="AS105" s="341">
        <v>2</v>
      </c>
      <c r="AT105" s="326"/>
    </row>
    <row r="106" spans="2:51" ht="15" customHeight="1">
      <c r="B106" s="352"/>
      <c r="C106" s="314" t="str">
        <f>VLOOKUP(C101,'Location Summary'!$C$2:$J$604,2,FALSE)</f>
        <v>DB2+9</v>
      </c>
      <c r="D106" s="328"/>
      <c r="E106" s="314" t="str">
        <f>VLOOKUP(E101,'Location Summary'!$C$2:$J$604,2,FALSE)</f>
        <v>DA+3</v>
      </c>
      <c r="F106" s="328"/>
      <c r="G106" s="314" t="str">
        <f>VLOOKUP(G101,'Location Summary'!$C$2:$J$604,2,FALSE)</f>
        <v>DA-1.5</v>
      </c>
      <c r="H106" s="328"/>
      <c r="I106" s="314" t="str">
        <f>VLOOKUP(I101,'Location Summary'!$C$2:$J$604,2,FALSE)</f>
        <v>DA+9</v>
      </c>
      <c r="J106" s="328"/>
      <c r="K106" s="314" t="str">
        <f>VLOOKUP(K101,'Location Summary'!$C$2:$J$604,2,FALSE)</f>
        <v>DA+3</v>
      </c>
      <c r="L106" s="328"/>
      <c r="M106" s="314" t="str">
        <f>VLOOKUP(M101,'Location Summary'!$C$2:$J$604,2,FALSE)</f>
        <v>DB1+0</v>
      </c>
      <c r="N106" s="328"/>
      <c r="O106" s="314" t="str">
        <f>VLOOKUP(O101,'Location Summary'!$C$2:$J$604,2,FALSE)</f>
        <v>DA+3</v>
      </c>
      <c r="P106" s="328"/>
      <c r="Q106" s="314" t="str">
        <f>VLOOKUP(Q101,'Location Summary'!$C$2:$J$604,2,FALSE)</f>
        <v>DA+1.5</v>
      </c>
      <c r="R106" s="328"/>
      <c r="S106" s="314" t="str">
        <f>VLOOKUP(S101,'Location Summary'!$C$2:$J$604,2,FALSE)</f>
        <v>DA+3</v>
      </c>
      <c r="T106" s="342"/>
      <c r="U106" s="314" t="str">
        <f>VLOOKUP(U101,'Location Summary'!$C$2:$J$604,2,FALSE)</f>
        <v>DA+9</v>
      </c>
      <c r="V106" s="342"/>
      <c r="W106" s="314" t="str">
        <f>VLOOKUP(W101,'Location Summary'!$C$2:$J$604,2,FALSE)</f>
        <v>DA+3</v>
      </c>
      <c r="X106" s="342"/>
      <c r="Y106" s="314" t="str">
        <f>VLOOKUP(Y101,'Location Summary'!$C$2:$J$604,2,FALSE)</f>
        <v>DA+3</v>
      </c>
      <c r="Z106" s="342"/>
      <c r="AA106" s="314" t="str">
        <f>VLOOKUP(AA101,'Location Summary'!$C$2:$J$604,2,FALSE)</f>
        <v>DB1+3</v>
      </c>
      <c r="AB106" s="342"/>
      <c r="AC106" s="314" t="str">
        <f>VLOOKUP(AC101,'Location Summary'!$C$2:$J$604,2,FALSE)</f>
        <v>DA+0</v>
      </c>
      <c r="AD106" s="342"/>
      <c r="AE106" s="314" t="str">
        <f>VLOOKUP(AE101,'Location Summary'!$C$2:$J$604,2,FALSE)</f>
        <v>DA+0</v>
      </c>
      <c r="AF106" s="342"/>
      <c r="AG106" s="314" t="str">
        <f>VLOOKUP(AG101,'Location Summary'!$C$2:$J$604,2,FALSE)</f>
        <v>DA+3</v>
      </c>
      <c r="AH106" s="342"/>
      <c r="AI106" s="314" t="str">
        <f>VLOOKUP(AI101,'Location Summary'!$C$2:$J$604,2,FALSE)</f>
        <v>DA+1.5</v>
      </c>
      <c r="AJ106" s="342"/>
      <c r="AK106" s="314" t="str">
        <f>VLOOKUP(AK101,'Location Summary'!$C$2:$J$604,2,FALSE)</f>
        <v>DA+3</v>
      </c>
      <c r="AL106" s="342"/>
      <c r="AM106" s="314" t="str">
        <f>VLOOKUP(AM101,'Location Summary'!$C$2:$J$604,2,FALSE)</f>
        <v>DA+6</v>
      </c>
      <c r="AN106" s="342"/>
      <c r="AO106" s="314" t="str">
        <f>VLOOKUP(AO101,'Location Summary'!$C$2:$J$604,2,FALSE)</f>
        <v>DA+9</v>
      </c>
      <c r="AP106" s="342"/>
      <c r="AQ106" s="314" t="str">
        <f>VLOOKUP(AQ101,'Location Summary'!$C$2:$J$604,2,FALSE)</f>
        <v>DA+1.5</v>
      </c>
      <c r="AS106" s="314" t="str">
        <f>VLOOKUP(AS101,'Location Summary'!$C$2:$J$604,2,FALSE)</f>
        <v>DA+0</v>
      </c>
      <c r="AT106" s="326"/>
    </row>
    <row r="107" spans="2:51" ht="15" customHeight="1">
      <c r="B107" s="345"/>
      <c r="C107" s="314"/>
      <c r="D107" s="314"/>
      <c r="E107" s="314"/>
      <c r="F107" s="314"/>
      <c r="G107" s="314"/>
      <c r="H107" s="314"/>
      <c r="I107" s="314"/>
      <c r="J107" s="314"/>
      <c r="K107" s="314"/>
      <c r="L107" s="314"/>
      <c r="M107" s="314"/>
      <c r="N107" s="314"/>
      <c r="O107" s="314"/>
      <c r="P107" s="314"/>
      <c r="Q107" s="314"/>
      <c r="R107" s="314"/>
      <c r="S107" s="314"/>
      <c r="T107" s="314"/>
      <c r="U107" s="314"/>
      <c r="V107" s="314"/>
      <c r="W107" s="314"/>
      <c r="X107" s="314"/>
      <c r="Y107" s="343"/>
      <c r="Z107" s="314"/>
      <c r="AA107" s="314"/>
      <c r="AB107" s="314"/>
      <c r="AC107" s="314"/>
      <c r="AD107" s="314"/>
      <c r="AE107" s="314"/>
      <c r="AF107" s="314"/>
      <c r="AG107" s="314"/>
      <c r="AH107" s="314"/>
      <c r="AI107" s="314"/>
      <c r="AJ107" s="314"/>
      <c r="AK107" s="314"/>
      <c r="AL107" s="314"/>
      <c r="AM107" s="314"/>
      <c r="AN107" s="314"/>
      <c r="AO107" s="314"/>
      <c r="AP107" s="314"/>
      <c r="AQ107" s="314"/>
      <c r="AR107" s="314"/>
      <c r="AS107" s="314"/>
      <c r="AT107" s="326"/>
      <c r="AV107" s="351"/>
    </row>
    <row r="108" spans="2:51" ht="15" customHeight="1">
      <c r="B108" s="345"/>
      <c r="C108" s="343">
        <f>AS100+1</f>
        <v>258</v>
      </c>
      <c r="D108" s="324"/>
      <c r="E108" s="343">
        <f>C108+1</f>
        <v>259</v>
      </c>
      <c r="F108" s="343"/>
      <c r="G108" s="343">
        <f>E108+1</f>
        <v>260</v>
      </c>
      <c r="H108" s="343"/>
      <c r="I108" s="343">
        <f>G108+1</f>
        <v>261</v>
      </c>
      <c r="J108" s="343"/>
      <c r="K108" s="343">
        <f>I108+1</f>
        <v>262</v>
      </c>
      <c r="L108" s="343"/>
      <c r="M108" s="343">
        <f>K108+1</f>
        <v>263</v>
      </c>
      <c r="N108" s="343"/>
      <c r="O108" s="343">
        <f>M108+1</f>
        <v>264</v>
      </c>
      <c r="P108" s="343"/>
      <c r="Q108" s="343">
        <f>O108+1</f>
        <v>265</v>
      </c>
      <c r="R108" s="343"/>
      <c r="S108" s="343">
        <f>Q108+1</f>
        <v>266</v>
      </c>
      <c r="T108" s="343"/>
      <c r="U108" s="343">
        <f>S108+1</f>
        <v>267</v>
      </c>
      <c r="V108" s="343"/>
      <c r="W108" s="343">
        <f>U108+1</f>
        <v>268</v>
      </c>
      <c r="X108" s="343"/>
      <c r="Y108" s="343">
        <f>W108+1</f>
        <v>269</v>
      </c>
      <c r="Z108" s="343"/>
      <c r="AA108" s="343">
        <f>Y108+1</f>
        <v>270</v>
      </c>
      <c r="AB108" s="343"/>
      <c r="AC108" s="343">
        <f>AA108+1</f>
        <v>271</v>
      </c>
      <c r="AD108" s="343"/>
      <c r="AE108" s="343">
        <f>AC108+1</f>
        <v>272</v>
      </c>
      <c r="AF108" s="343"/>
      <c r="AG108" s="343">
        <f>AE108+1</f>
        <v>273</v>
      </c>
      <c r="AH108" s="343"/>
      <c r="AI108" s="343">
        <f>AG108+1</f>
        <v>274</v>
      </c>
      <c r="AJ108" s="343"/>
      <c r="AK108" s="343">
        <f>AI108+1</f>
        <v>275</v>
      </c>
      <c r="AL108" s="343"/>
      <c r="AM108" s="343">
        <f>AK108+1</f>
        <v>276</v>
      </c>
      <c r="AO108" s="343">
        <f>AM108+1</f>
        <v>277</v>
      </c>
      <c r="AP108" s="343"/>
      <c r="AQ108" s="343">
        <f>AO108+1</f>
        <v>278</v>
      </c>
      <c r="AR108" s="343"/>
      <c r="AS108" s="343">
        <f>AQ108+1</f>
        <v>279</v>
      </c>
      <c r="AT108" s="326"/>
    </row>
    <row r="109" spans="2:51" s="356" customFormat="1" ht="15" customHeight="1">
      <c r="B109" s="346"/>
      <c r="C109" s="348" t="s">
        <v>616</v>
      </c>
      <c r="D109" s="348"/>
      <c r="E109" s="348" t="s">
        <v>73</v>
      </c>
      <c r="F109" s="348"/>
      <c r="G109" s="348" t="s">
        <v>618</v>
      </c>
      <c r="H109" s="348"/>
      <c r="I109" s="348" t="s">
        <v>619</v>
      </c>
      <c r="J109" s="348"/>
      <c r="K109" s="348" t="s">
        <v>620</v>
      </c>
      <c r="L109" s="348"/>
      <c r="M109" s="348" t="s">
        <v>621</v>
      </c>
      <c r="N109" s="348"/>
      <c r="O109" s="348" t="s">
        <v>622</v>
      </c>
      <c r="P109" s="348"/>
      <c r="Q109" s="348" t="s">
        <v>623</v>
      </c>
      <c r="R109" s="348"/>
      <c r="S109" s="348" t="s">
        <v>624</v>
      </c>
      <c r="T109" s="348"/>
      <c r="U109" s="348" t="s">
        <v>625</v>
      </c>
      <c r="V109" s="348"/>
      <c r="W109" s="348" t="s">
        <v>626</v>
      </c>
      <c r="X109" s="348"/>
      <c r="Y109" s="348" t="s">
        <v>627</v>
      </c>
      <c r="Z109" s="348"/>
      <c r="AA109" s="348" t="s">
        <v>628</v>
      </c>
      <c r="AB109" s="348"/>
      <c r="AC109" s="348" t="s">
        <v>74</v>
      </c>
      <c r="AD109" s="348"/>
      <c r="AE109" s="348" t="s">
        <v>206</v>
      </c>
      <c r="AF109" s="348"/>
      <c r="AG109" s="348" t="s">
        <v>207</v>
      </c>
      <c r="AH109" s="348"/>
      <c r="AI109" s="348" t="s">
        <v>5</v>
      </c>
      <c r="AJ109" s="348"/>
      <c r="AK109" s="348" t="s">
        <v>6</v>
      </c>
      <c r="AL109" s="348"/>
      <c r="AM109" s="348" t="s">
        <v>630</v>
      </c>
      <c r="AN109" s="348"/>
      <c r="AO109" s="348" t="s">
        <v>631</v>
      </c>
      <c r="AP109" s="348"/>
      <c r="AQ109" s="348" t="s">
        <v>632</v>
      </c>
      <c r="AR109" s="348"/>
      <c r="AS109" s="348" t="s">
        <v>633</v>
      </c>
      <c r="AT109" s="357"/>
      <c r="AY109" s="356" t="s">
        <v>33</v>
      </c>
    </row>
    <row r="110" spans="2:51" ht="15" customHeight="1">
      <c r="B110" s="352"/>
      <c r="T110" s="314"/>
      <c r="V110" s="314"/>
      <c r="X110" s="314"/>
      <c r="Z110" s="314"/>
      <c r="AB110" s="314"/>
      <c r="AD110" s="314"/>
      <c r="AF110" s="314"/>
      <c r="AH110" s="314"/>
      <c r="AJ110" s="314"/>
      <c r="AL110" s="314"/>
      <c r="AN110" s="314"/>
      <c r="AP110" s="314"/>
      <c r="AR110" s="314"/>
      <c r="AT110" s="326"/>
    </row>
    <row r="111" spans="2:51" ht="15" customHeight="1">
      <c r="B111" s="358"/>
      <c r="AT111" s="326"/>
    </row>
    <row r="112" spans="2:51" s="367" customFormat="1" ht="20.25" customHeight="1">
      <c r="B112" s="358"/>
      <c r="C112" s="336">
        <v>3</v>
      </c>
      <c r="D112" s="337">
        <f>VLOOKUP(C109,'Location Summary'!$G$2:$H$604,2,FALSE)</f>
        <v>322.26600000000002</v>
      </c>
      <c r="E112" s="336">
        <v>3</v>
      </c>
      <c r="F112" s="337">
        <f>VLOOKUP(E109,'Location Summary'!$G$2:$H$604,2,FALSE)</f>
        <v>392.73</v>
      </c>
      <c r="G112" s="336">
        <v>3</v>
      </c>
      <c r="H112" s="337">
        <f>VLOOKUP(G109,'Location Summary'!$G$2:$H$604,2,FALSE)</f>
        <v>395</v>
      </c>
      <c r="I112" s="336">
        <v>3</v>
      </c>
      <c r="J112" s="337">
        <f>VLOOKUP(I109,'Location Summary'!$G$2:$H$604,2,FALSE)</f>
        <v>385</v>
      </c>
      <c r="K112" s="336">
        <v>3</v>
      </c>
      <c r="L112" s="337">
        <f>VLOOKUP(K109,'Location Summary'!$G$2:$H$604,2,FALSE)</f>
        <v>340</v>
      </c>
      <c r="M112" s="336">
        <v>3</v>
      </c>
      <c r="N112" s="337">
        <f>VLOOKUP(M109,'Location Summary'!$G$2:$H$604,2,FALSE)</f>
        <v>395</v>
      </c>
      <c r="O112" s="336">
        <v>3</v>
      </c>
      <c r="P112" s="337">
        <f>VLOOKUP(O109,'Location Summary'!$G$2:$H$604,2,FALSE)</f>
        <v>410</v>
      </c>
      <c r="Q112" s="336">
        <v>3</v>
      </c>
      <c r="R112" s="337">
        <f>VLOOKUP(Q109,'Location Summary'!$G$2:$H$604,2,FALSE)</f>
        <v>415</v>
      </c>
      <c r="S112" s="336">
        <v>3</v>
      </c>
      <c r="T112" s="337">
        <f>VLOOKUP(S109,'Location Summary'!$G$2:$H$604,2,FALSE)</f>
        <v>415</v>
      </c>
      <c r="U112" s="336">
        <v>3</v>
      </c>
      <c r="V112" s="337">
        <f>VLOOKUP(U109,'Location Summary'!$G$2:$H$604,2,FALSE)</f>
        <v>350</v>
      </c>
      <c r="W112" s="336">
        <v>3</v>
      </c>
      <c r="X112" s="337">
        <f>VLOOKUP(W109,'Location Summary'!$G$2:$H$604,2,FALSE)</f>
        <v>425</v>
      </c>
      <c r="Y112" s="336">
        <v>3</v>
      </c>
      <c r="Z112" s="337">
        <f>VLOOKUP(Y109,'Location Summary'!$G$2:$H$604,2,FALSE)</f>
        <v>350</v>
      </c>
      <c r="AA112" s="336">
        <v>3</v>
      </c>
      <c r="AB112" s="337">
        <f>VLOOKUP(AA109,'Location Summary'!$G$2:$H$604,2,FALSE)</f>
        <v>444.08100000000002</v>
      </c>
      <c r="AC112" s="336">
        <v>3</v>
      </c>
      <c r="AD112" s="337">
        <f>VLOOKUP(AC109,'Location Summary'!$G$2:$H$604,2,FALSE)</f>
        <v>260.91800000000001</v>
      </c>
      <c r="AE112" s="336">
        <v>3</v>
      </c>
      <c r="AF112" s="337">
        <f>VLOOKUP(AE109,'Location Summary'!$G$2:$H$604,2,FALSE)</f>
        <v>385</v>
      </c>
      <c r="AG112" s="336">
        <v>3</v>
      </c>
      <c r="AH112" s="337">
        <f>VLOOKUP(AG109,'Location Summary'!$G$2:$H$604,2,FALSE)</f>
        <v>435</v>
      </c>
      <c r="AI112" s="336">
        <v>3</v>
      </c>
      <c r="AJ112" s="337">
        <f>VLOOKUP(AI109,'Location Summary'!$G$2:$H$604,2,FALSE)</f>
        <v>385</v>
      </c>
      <c r="AK112" s="336">
        <v>3</v>
      </c>
      <c r="AL112" s="337">
        <f>VLOOKUP(AK109,'Location Summary'!$G$2:$H$604,2,FALSE)</f>
        <v>455</v>
      </c>
      <c r="AM112" s="336">
        <v>3</v>
      </c>
      <c r="AN112" s="337">
        <f>VLOOKUP(AM109,'Location Summary'!$G$2:$H$604,2,FALSE)</f>
        <v>370</v>
      </c>
      <c r="AO112" s="336">
        <v>3</v>
      </c>
      <c r="AP112" s="337">
        <f>VLOOKUP(AO109,'Location Summary'!$G$2:$H$604,2,FALSE)</f>
        <v>400</v>
      </c>
      <c r="AQ112" s="336">
        <v>3</v>
      </c>
      <c r="AR112" s="337">
        <f>VLOOKUP(AQ109,'Location Summary'!$G$2:$H$604,2,FALSE)</f>
        <v>350</v>
      </c>
      <c r="AS112" s="336">
        <v>3</v>
      </c>
      <c r="AT112" s="338">
        <f>VLOOKUP(AS109,'Location Summary'!$G$2:$H$604,2,FALSE)</f>
        <v>470</v>
      </c>
    </row>
    <row r="113" spans="2:48" s="367" customFormat="1" ht="15" customHeight="1">
      <c r="B113" s="364"/>
      <c r="C113" s="341">
        <v>2</v>
      </c>
      <c r="D113" s="310"/>
      <c r="E113" s="341">
        <v>2</v>
      </c>
      <c r="F113" s="310"/>
      <c r="G113" s="341">
        <v>2</v>
      </c>
      <c r="H113" s="310"/>
      <c r="I113" s="341">
        <v>2</v>
      </c>
      <c r="J113" s="310"/>
      <c r="K113" s="341">
        <v>2</v>
      </c>
      <c r="L113" s="310"/>
      <c r="M113" s="341">
        <v>2</v>
      </c>
      <c r="N113" s="310"/>
      <c r="O113" s="341">
        <v>2</v>
      </c>
      <c r="P113" s="310"/>
      <c r="Q113" s="341">
        <v>2</v>
      </c>
      <c r="R113" s="310"/>
      <c r="S113" s="341">
        <v>2</v>
      </c>
      <c r="T113" s="310"/>
      <c r="U113" s="341">
        <v>2</v>
      </c>
      <c r="V113" s="310"/>
      <c r="W113" s="341">
        <v>2</v>
      </c>
      <c r="X113" s="310"/>
      <c r="Y113" s="341">
        <v>2</v>
      </c>
      <c r="Z113" s="310"/>
      <c r="AA113" s="341">
        <v>2</v>
      </c>
      <c r="AB113" s="310"/>
      <c r="AC113" s="341">
        <v>2</v>
      </c>
      <c r="AD113" s="310"/>
      <c r="AE113" s="341">
        <v>2</v>
      </c>
      <c r="AF113" s="310"/>
      <c r="AG113" s="341">
        <v>2</v>
      </c>
      <c r="AH113" s="310"/>
      <c r="AI113" s="341">
        <v>2</v>
      </c>
      <c r="AJ113" s="310"/>
      <c r="AK113" s="341">
        <v>2</v>
      </c>
      <c r="AL113" s="310"/>
      <c r="AM113" s="341">
        <v>2</v>
      </c>
      <c r="AN113" s="310"/>
      <c r="AO113" s="341">
        <v>2</v>
      </c>
      <c r="AP113" s="310"/>
      <c r="AQ113" s="341">
        <v>2</v>
      </c>
      <c r="AR113" s="310"/>
      <c r="AS113" s="341">
        <v>2</v>
      </c>
      <c r="AT113" s="326"/>
    </row>
    <row r="114" spans="2:48" ht="15" customHeight="1">
      <c r="B114" s="352"/>
      <c r="C114" s="314" t="str">
        <f>VLOOKUP(C109,'Location Summary'!$C$2:$J$604,2,FALSE)</f>
        <v>DA+3</v>
      </c>
      <c r="D114" s="328"/>
      <c r="E114" s="314" t="str">
        <f>VLOOKUP(E109,'Location Summary'!$C$2:$J$604,2,FALSE)</f>
        <v>DB2+0</v>
      </c>
      <c r="F114" s="328"/>
      <c r="G114" s="314" t="str">
        <f>VLOOKUP(G109,'Location Summary'!$C$2:$J$604,2,FALSE)</f>
        <v>DA-1.5</v>
      </c>
      <c r="H114" s="328"/>
      <c r="I114" s="314" t="str">
        <f>VLOOKUP(I109,'Location Summary'!$C$2:$J$604,2,FALSE)</f>
        <v>DA+3</v>
      </c>
      <c r="J114" s="328"/>
      <c r="K114" s="314" t="str">
        <f>VLOOKUP(K109,'Location Summary'!$C$2:$J$604,2,FALSE)</f>
        <v>DA+1.5</v>
      </c>
      <c r="L114" s="328"/>
      <c r="M114" s="314" t="str">
        <f>VLOOKUP(M109,'Location Summary'!$C$2:$J$604,2,FALSE)</f>
        <v>DA+3</v>
      </c>
      <c r="N114" s="328"/>
      <c r="O114" s="314" t="str">
        <f>VLOOKUP(O109,'Location Summary'!$C$2:$J$604,2,FALSE)</f>
        <v>DA+1.5</v>
      </c>
      <c r="P114" s="328"/>
      <c r="Q114" s="314" t="str">
        <f>VLOOKUP(Q109,'Location Summary'!$C$2:$J$604,2,FALSE)</f>
        <v>DA+1.5</v>
      </c>
      <c r="R114" s="328"/>
      <c r="S114" s="314" t="str">
        <f>VLOOKUP(S109,'Location Summary'!$C$2:$J$604,2,FALSE)</f>
        <v>DA+3</v>
      </c>
      <c r="T114" s="342"/>
      <c r="U114" s="314" t="str">
        <f>VLOOKUP(U109,'Location Summary'!$C$2:$J$604,2,FALSE)</f>
        <v>DA+1.5</v>
      </c>
      <c r="V114" s="342"/>
      <c r="W114" s="314" t="str">
        <f>VLOOKUP(W109,'Location Summary'!$C$2:$J$604,2,FALSE)</f>
        <v>DA+6</v>
      </c>
      <c r="X114" s="342"/>
      <c r="Y114" s="314" t="str">
        <f>VLOOKUP(Y109,'Location Summary'!$C$2:$J$604,2,FALSE)</f>
        <v>DA+3</v>
      </c>
      <c r="Z114" s="342"/>
      <c r="AA114" s="314" t="str">
        <f>VLOOKUP(AA109,'Location Summary'!$C$2:$J$604,2,FALSE)</f>
        <v>DA+6</v>
      </c>
      <c r="AB114" s="342"/>
      <c r="AC114" s="314" t="str">
        <f>VLOOKUP(AC109,'Location Summary'!$C$2:$J$604,2,FALSE)</f>
        <v>DB1+6</v>
      </c>
      <c r="AD114" s="342"/>
      <c r="AE114" s="314" t="str">
        <f>VLOOKUP(AE109,'Location Summary'!$C$2:$J$604,2,FALSE)</f>
        <v>DA+9</v>
      </c>
      <c r="AF114" s="342"/>
      <c r="AG114" s="314" t="str">
        <f>VLOOKUP(AG109,'Location Summary'!$C$2:$J$604,2,FALSE)</f>
        <v>DA+6</v>
      </c>
      <c r="AH114" s="342"/>
      <c r="AI114" s="314" t="str">
        <f>VLOOKUP(AI109,'Location Summary'!$C$2:$J$604,2,FALSE)</f>
        <v>DA+3</v>
      </c>
      <c r="AJ114" s="342"/>
      <c r="AK114" s="314" t="str">
        <f>VLOOKUP(AK109,'Location Summary'!$C$2:$J$604,2,FALSE)</f>
        <v>DA+6</v>
      </c>
      <c r="AL114" s="342"/>
      <c r="AM114" s="314" t="str">
        <f>VLOOKUP(AM109,'Location Summary'!$C$2:$J$604,2,FALSE)</f>
        <v>DA+9</v>
      </c>
      <c r="AN114" s="342"/>
      <c r="AO114" s="314" t="str">
        <f>VLOOKUP(AO109,'Location Summary'!$C$2:$J$604,2,FALSE)</f>
        <v>DA+9</v>
      </c>
      <c r="AP114" s="342"/>
      <c r="AQ114" s="314" t="str">
        <f>VLOOKUP(AQ109,'Location Summary'!$C$2:$J$604,2,FALSE)</f>
        <v>DA+3</v>
      </c>
      <c r="AS114" s="314" t="str">
        <f>VLOOKUP(AS109,'Location Summary'!$C$2:$J$604,2,FALSE)</f>
        <v>DA-1.5</v>
      </c>
      <c r="AT114" s="326"/>
    </row>
    <row r="115" spans="2:48" ht="15" customHeight="1">
      <c r="B115" s="345"/>
      <c r="C115" s="314"/>
      <c r="D115" s="314"/>
      <c r="E115" s="314"/>
      <c r="F115" s="314"/>
      <c r="G115" s="314"/>
      <c r="H115" s="314"/>
      <c r="I115" s="314"/>
      <c r="J115" s="314"/>
      <c r="K115" s="314"/>
      <c r="L115" s="314"/>
      <c r="M115" s="314"/>
      <c r="N115" s="314"/>
      <c r="O115" s="314"/>
      <c r="P115" s="314"/>
      <c r="Q115" s="314"/>
      <c r="R115" s="314"/>
      <c r="S115" s="314"/>
      <c r="T115" s="314"/>
      <c r="U115" s="314"/>
      <c r="V115" s="314"/>
      <c r="W115" s="314"/>
      <c r="X115" s="314"/>
      <c r="Y115" s="314"/>
      <c r="Z115" s="314"/>
      <c r="AA115" s="314"/>
      <c r="AB115" s="314"/>
      <c r="AC115" s="314"/>
      <c r="AD115" s="600"/>
      <c r="AE115" s="617" t="s">
        <v>1166</v>
      </c>
      <c r="AF115" s="600"/>
      <c r="AG115" s="314"/>
      <c r="AH115" s="314"/>
      <c r="AI115" s="314"/>
      <c r="AJ115" s="314"/>
      <c r="AK115" s="343"/>
      <c r="AL115" s="314"/>
      <c r="AM115" s="343"/>
      <c r="AN115" s="314"/>
      <c r="AO115" s="343"/>
      <c r="AP115" s="314"/>
      <c r="AQ115" s="314"/>
      <c r="AR115" s="314"/>
      <c r="AS115" s="343"/>
      <c r="AT115" s="326"/>
      <c r="AV115" s="351"/>
    </row>
    <row r="116" spans="2:48" ht="15" customHeight="1">
      <c r="B116" s="345"/>
      <c r="C116" s="343">
        <f>AS108+1</f>
        <v>280</v>
      </c>
      <c r="D116" s="324"/>
      <c r="E116" s="343">
        <f>C116+1</f>
        <v>281</v>
      </c>
      <c r="F116" s="343"/>
      <c r="G116" s="343">
        <f>E116+1</f>
        <v>282</v>
      </c>
      <c r="H116" s="343"/>
      <c r="I116" s="343">
        <f>G116+1</f>
        <v>283</v>
      </c>
      <c r="J116" s="343"/>
      <c r="K116" s="343">
        <f>I116+1</f>
        <v>284</v>
      </c>
      <c r="L116" s="343"/>
      <c r="M116" s="343">
        <f>K116+1</f>
        <v>285</v>
      </c>
      <c r="N116" s="343"/>
      <c r="O116" s="343">
        <f>M116+1</f>
        <v>286</v>
      </c>
      <c r="P116" s="324"/>
      <c r="Q116" s="325">
        <f>O116+1</f>
        <v>287</v>
      </c>
      <c r="R116" s="324"/>
      <c r="S116" s="325">
        <f>Q116+1</f>
        <v>288</v>
      </c>
      <c r="T116" s="324"/>
      <c r="U116" s="325">
        <f>S116+1</f>
        <v>289</v>
      </c>
      <c r="V116" s="324"/>
      <c r="W116" s="325">
        <f>U116+1</f>
        <v>290</v>
      </c>
      <c r="X116" s="324"/>
      <c r="Y116" s="325">
        <f>W116+1</f>
        <v>291</v>
      </c>
      <c r="Z116" s="324"/>
      <c r="AA116" s="325">
        <f>Y116+1</f>
        <v>292</v>
      </c>
      <c r="AB116" s="324"/>
      <c r="AC116" s="325">
        <f>AA116+1</f>
        <v>293</v>
      </c>
      <c r="AD116" s="324"/>
      <c r="AE116" s="325">
        <f>AC116+1</f>
        <v>294</v>
      </c>
      <c r="AF116" s="324"/>
      <c r="AG116" s="325">
        <f>AE116+1</f>
        <v>295</v>
      </c>
      <c r="AH116" s="324"/>
      <c r="AI116" s="325">
        <f>AG116+1</f>
        <v>296</v>
      </c>
      <c r="AJ116" s="324"/>
      <c r="AK116" s="325">
        <f>AI116+1</f>
        <v>297</v>
      </c>
      <c r="AL116" s="324"/>
      <c r="AM116" s="343">
        <f>AK116+1</f>
        <v>298</v>
      </c>
      <c r="AO116" s="343">
        <f>AM116+1</f>
        <v>299</v>
      </c>
      <c r="AP116" s="343"/>
      <c r="AQ116" s="343">
        <v>300</v>
      </c>
      <c r="AR116" s="343"/>
      <c r="AS116" s="343">
        <v>301</v>
      </c>
      <c r="AT116" s="326"/>
    </row>
    <row r="117" spans="2:48" s="356" customFormat="1" ht="15" customHeight="1">
      <c r="B117" s="346"/>
      <c r="C117" s="348" t="s">
        <v>634</v>
      </c>
      <c r="D117" s="348"/>
      <c r="E117" s="348" t="s">
        <v>635</v>
      </c>
      <c r="F117" s="348"/>
      <c r="G117" s="348" t="s">
        <v>636</v>
      </c>
      <c r="H117" s="348"/>
      <c r="I117" s="348" t="s">
        <v>638</v>
      </c>
      <c r="J117" s="348"/>
      <c r="K117" s="348" t="s">
        <v>75</v>
      </c>
      <c r="L117" s="348"/>
      <c r="M117" s="348" t="s">
        <v>76</v>
      </c>
      <c r="N117" s="348"/>
      <c r="O117" s="348" t="s">
        <v>77</v>
      </c>
      <c r="P117" s="348"/>
      <c r="Q117" s="348" t="s">
        <v>171</v>
      </c>
      <c r="R117" s="348"/>
      <c r="S117" s="348" t="s">
        <v>172</v>
      </c>
      <c r="T117" s="348"/>
      <c r="U117" s="348" t="s">
        <v>1784</v>
      </c>
      <c r="V117" s="348"/>
      <c r="W117" s="348" t="s">
        <v>78</v>
      </c>
      <c r="X117" s="348"/>
      <c r="Y117" s="348" t="s">
        <v>642</v>
      </c>
      <c r="Z117" s="348"/>
      <c r="AA117" s="348" t="s">
        <v>643</v>
      </c>
      <c r="AB117" s="348"/>
      <c r="AC117" s="348" t="s">
        <v>644</v>
      </c>
      <c r="AD117" s="314"/>
      <c r="AE117" s="348" t="s">
        <v>645</v>
      </c>
      <c r="AF117" s="348"/>
      <c r="AG117" s="348" t="s">
        <v>1785</v>
      </c>
      <c r="AH117" s="348"/>
      <c r="AI117" s="348" t="s">
        <v>647</v>
      </c>
      <c r="AJ117" s="348"/>
      <c r="AK117" s="348" t="s">
        <v>648</v>
      </c>
      <c r="AL117" s="348"/>
      <c r="AM117" s="348" t="s">
        <v>649</v>
      </c>
      <c r="AN117" s="348"/>
      <c r="AO117" s="348" t="s">
        <v>7</v>
      </c>
      <c r="AP117" s="348"/>
      <c r="AQ117" s="348" t="s">
        <v>1238</v>
      </c>
      <c r="AR117" s="348"/>
      <c r="AS117" s="348" t="s">
        <v>1240</v>
      </c>
      <c r="AT117" s="357"/>
    </row>
    <row r="118" spans="2:48" ht="15" customHeight="1">
      <c r="B118" s="352"/>
      <c r="T118" s="314"/>
      <c r="V118" s="314"/>
      <c r="X118" s="314"/>
      <c r="Z118" s="314"/>
      <c r="AB118" s="314"/>
      <c r="AF118" s="314"/>
      <c r="AH118" s="314"/>
      <c r="AJ118" s="314"/>
      <c r="AL118" s="314"/>
      <c r="AN118" s="314"/>
      <c r="AP118" s="314"/>
      <c r="AR118" s="314"/>
      <c r="AT118" s="326"/>
    </row>
    <row r="119" spans="2:48" ht="15" customHeight="1">
      <c r="B119" s="358"/>
      <c r="AT119" s="326"/>
    </row>
    <row r="120" spans="2:48" s="367" customFormat="1" ht="20.25" customHeight="1">
      <c r="B120" s="358"/>
      <c r="C120" s="336">
        <v>3</v>
      </c>
      <c r="D120" s="337">
        <f>VLOOKUP(C117,'Location Summary'!$G$2:$H$604,2,FALSE)</f>
        <v>355</v>
      </c>
      <c r="E120" s="336">
        <v>3</v>
      </c>
      <c r="F120" s="337">
        <f>VLOOKUP(E117,'Location Summary'!$G$2:$H$604,2,FALSE)</f>
        <v>485</v>
      </c>
      <c r="G120" s="336">
        <v>3</v>
      </c>
      <c r="H120" s="337">
        <f>VLOOKUP(G117,'Location Summary'!$G$2:$H$604,2,FALSE)</f>
        <v>315</v>
      </c>
      <c r="I120" s="336">
        <v>3</v>
      </c>
      <c r="J120" s="337">
        <f>VLOOKUP(I117,'Location Summary'!$G$2:$H$604,2,FALSE)</f>
        <v>410.61</v>
      </c>
      <c r="K120" s="336">
        <v>3</v>
      </c>
      <c r="L120" s="337">
        <f>VLOOKUP(K117,'Location Summary'!$G$2:$H$604,2,FALSE)</f>
        <v>358</v>
      </c>
      <c r="M120" s="336">
        <v>3</v>
      </c>
      <c r="N120" s="337">
        <f>VLOOKUP(M117,'Location Summary'!$G$2:$H$604,2,FALSE)</f>
        <v>465.78199999999998</v>
      </c>
      <c r="O120" s="336">
        <v>3</v>
      </c>
      <c r="P120" s="337">
        <f>VLOOKUP(O117,'Location Summary'!$G$2:$H$604,2,FALSE)</f>
        <v>419.99799999999999</v>
      </c>
      <c r="Q120" s="654">
        <v>3</v>
      </c>
      <c r="R120" s="337">
        <f>VLOOKUP(Q117,'Location Summary'!$G$2:$H$604,2,FALSE)</f>
        <v>375</v>
      </c>
      <c r="S120" s="336">
        <v>3</v>
      </c>
      <c r="T120" s="337">
        <f>VLOOKUP(S117,'Location Summary'!$G$2:$H$604,2,FALSE)</f>
        <v>464</v>
      </c>
      <c r="U120" s="336">
        <v>3</v>
      </c>
      <c r="V120" s="337">
        <f>VLOOKUP(U117,'Location Summary'!$G$2:$H$604,2,FALSE)</f>
        <v>424.89100000000002</v>
      </c>
      <c r="W120" s="336">
        <v>3</v>
      </c>
      <c r="X120" s="337">
        <f>VLOOKUP(W117,'Location Summary'!$G$2:$H$604,2,FALSE)</f>
        <v>341.86599999999999</v>
      </c>
      <c r="Y120" s="360">
        <v>3</v>
      </c>
      <c r="Z120" s="337">
        <f>VLOOKUP(Y117,'Location Summary'!$G$2:$H$604,2,FALSE)</f>
        <v>375</v>
      </c>
      <c r="AA120" s="360">
        <v>3</v>
      </c>
      <c r="AB120" s="337">
        <f>VLOOKUP(AA117,'Location Summary'!$G$2:$H$604,2,FALSE)</f>
        <v>375</v>
      </c>
      <c r="AC120" s="336">
        <v>3</v>
      </c>
      <c r="AD120" s="337">
        <f>VLOOKUP(AC117,'Location Summary'!$G$2:$H$604,2,FALSE)</f>
        <v>355</v>
      </c>
      <c r="AE120" s="336">
        <v>3</v>
      </c>
      <c r="AF120" s="337">
        <f>VLOOKUP(AE117,'Location Summary'!$G$2:$H$604,2,FALSE)</f>
        <v>405</v>
      </c>
      <c r="AG120" s="336">
        <v>3</v>
      </c>
      <c r="AH120" s="337">
        <f>VLOOKUP(AG117,'Location Summary'!$G$2:$H$604,2,FALSE)</f>
        <v>375</v>
      </c>
      <c r="AI120" s="336">
        <v>3</v>
      </c>
      <c r="AJ120" s="337">
        <f>VLOOKUP(AI117,'Location Summary'!$G$2:$H$604,2,FALSE)</f>
        <v>385</v>
      </c>
      <c r="AK120" s="336">
        <v>3</v>
      </c>
      <c r="AL120" s="337">
        <f>VLOOKUP(AK117,'Location Summary'!$G$2:$H$604,2,FALSE)</f>
        <v>415</v>
      </c>
      <c r="AM120" s="336">
        <v>3</v>
      </c>
      <c r="AN120" s="337">
        <f>VLOOKUP(AM117,'Location Summary'!$G$2:$H$604,2,FALSE)</f>
        <v>409.54599999999999</v>
      </c>
      <c r="AO120" s="336">
        <v>3</v>
      </c>
      <c r="AP120" s="337">
        <f>VLOOKUP(AO117,'Location Summary'!$G$2:$H$604,2,FALSE)</f>
        <v>400</v>
      </c>
      <c r="AQ120" s="727">
        <v>3</v>
      </c>
      <c r="AR120" s="337">
        <f>VLOOKUP(AQ117,'Location Summary'!$G$2:$H$678,2,FALSE)</f>
        <v>427</v>
      </c>
      <c r="AS120" s="727">
        <v>3</v>
      </c>
      <c r="AT120" s="337">
        <f>VLOOKUP(AS117,'Location Summary'!$G$2:$H$678,2,FALSE)</f>
        <v>366</v>
      </c>
    </row>
    <row r="121" spans="2:48" s="367" customFormat="1" ht="15" customHeight="1">
      <c r="B121" s="364"/>
      <c r="C121" s="341">
        <v>2</v>
      </c>
      <c r="D121" s="310"/>
      <c r="E121" s="341">
        <v>2</v>
      </c>
      <c r="F121" s="310"/>
      <c r="G121" s="341">
        <v>2</v>
      </c>
      <c r="H121" s="310"/>
      <c r="I121" s="341">
        <v>2</v>
      </c>
      <c r="J121" s="310"/>
      <c r="K121" s="341">
        <v>2</v>
      </c>
      <c r="L121" s="310"/>
      <c r="M121" s="341">
        <v>2</v>
      </c>
      <c r="N121" s="310"/>
      <c r="O121" s="341">
        <v>2</v>
      </c>
      <c r="P121" s="310"/>
      <c r="Q121" s="341">
        <v>2</v>
      </c>
      <c r="R121" s="310"/>
      <c r="S121" s="341">
        <v>2</v>
      </c>
      <c r="T121" s="310"/>
      <c r="U121" s="341">
        <v>2</v>
      </c>
      <c r="V121" s="310"/>
      <c r="W121" s="341">
        <v>2</v>
      </c>
      <c r="X121" s="310"/>
      <c r="Y121" s="341">
        <v>2</v>
      </c>
      <c r="Z121" s="310"/>
      <c r="AA121" s="341">
        <v>2</v>
      </c>
      <c r="AB121" s="310"/>
      <c r="AC121" s="341">
        <v>2</v>
      </c>
      <c r="AD121" s="310"/>
      <c r="AE121" s="341">
        <v>2</v>
      </c>
      <c r="AF121" s="310"/>
      <c r="AG121" s="341">
        <v>2</v>
      </c>
      <c r="AH121" s="310"/>
      <c r="AI121" s="341">
        <v>2</v>
      </c>
      <c r="AJ121" s="310"/>
      <c r="AK121" s="341">
        <v>2</v>
      </c>
      <c r="AL121" s="310"/>
      <c r="AM121" s="341">
        <v>2</v>
      </c>
      <c r="AN121" s="310"/>
      <c r="AO121" s="341">
        <v>2</v>
      </c>
      <c r="AP121" s="310"/>
      <c r="AQ121" s="361">
        <v>2</v>
      </c>
      <c r="AR121" s="310"/>
      <c r="AS121" s="361">
        <v>2</v>
      </c>
      <c r="AT121" s="326"/>
    </row>
    <row r="122" spans="2:48" ht="15" customHeight="1">
      <c r="B122" s="352"/>
      <c r="C122" s="314" t="str">
        <f>VLOOKUP(C117,'Location Summary'!$C$2:$J$604,2,FALSE)</f>
        <v>DA+9</v>
      </c>
      <c r="D122" s="328"/>
      <c r="E122" s="314" t="str">
        <f>VLOOKUP(E117,'Location Summary'!$C$2:$J$604,2,FALSE)</f>
        <v>DA+3</v>
      </c>
      <c r="F122" s="328"/>
      <c r="G122" s="314" t="str">
        <f>VLOOKUP(G117,'Location Summary'!$C$2:$J$604,2,FALSE)</f>
        <v>DA+9</v>
      </c>
      <c r="H122" s="328"/>
      <c r="I122" s="314" t="str">
        <f>VLOOKUP(I117,'Location Summary'!$C$2:$J$604,2,FALSE)</f>
        <v>DB1+9</v>
      </c>
      <c r="J122" s="328"/>
      <c r="K122" s="314" t="str">
        <f>VLOOKUP(K117,'Location Summary'!$C$2:$J$604,2,FALSE)</f>
        <v>DB1+9</v>
      </c>
      <c r="L122" s="328"/>
      <c r="M122" s="314" t="str">
        <f>VLOOKUP(M117,'Location Summary'!$C$2:$J$604,2,FALSE)</f>
        <v>DA+9</v>
      </c>
      <c r="N122" s="328"/>
      <c r="O122" s="314" t="str">
        <f>VLOOKUP(O117,'Location Summary'!$C$2:$J$604,2,FALSE)</f>
        <v>DB2+0</v>
      </c>
      <c r="P122" s="328"/>
      <c r="Q122" s="314" t="str">
        <f>VLOOKUP(Q117,'Location Summary'!$C$2:$J$604,2,FALSE)</f>
        <v>DA+3</v>
      </c>
      <c r="R122" s="328"/>
      <c r="S122" s="314" t="str">
        <f>VLOOKUP(S117,'Location Summary'!$C$2:$J$604,2,FALSE)</f>
        <v>DA+9</v>
      </c>
      <c r="T122" s="342"/>
      <c r="U122" s="314" t="str">
        <f>VLOOKUP(U117,'Location Summary'!$C$2:$J$604,2,FALSE)</f>
        <v>DB1+9</v>
      </c>
      <c r="V122" s="342"/>
      <c r="W122" s="314" t="str">
        <f>VLOOKUP(W117,'Location Summary'!$C$2:$J$604,2,FALSE)</f>
        <v>DB1+0</v>
      </c>
      <c r="X122" s="342"/>
      <c r="Y122" s="314" t="str">
        <f>VLOOKUP(Y117,'Location Summary'!$C$2:$J$604,2,FALSE)</f>
        <v>DA-1.5</v>
      </c>
      <c r="Z122" s="342"/>
      <c r="AA122" s="314" t="str">
        <f>VLOOKUP(AA117,'Location Summary'!$C$2:$J$604,2,FALSE)</f>
        <v>DA+6</v>
      </c>
      <c r="AB122" s="342"/>
      <c r="AC122" s="314" t="str">
        <f>VLOOKUP(AC117,'Location Summary'!$C$2:$J$604,2,FALSE)</f>
        <v>DA-1.5</v>
      </c>
      <c r="AD122" s="342"/>
      <c r="AE122" s="314" t="str">
        <f>VLOOKUP(AE117,'Location Summary'!$C$2:$J$604,2,FALSE)</f>
        <v>DA+0</v>
      </c>
      <c r="AF122" s="342"/>
      <c r="AG122" s="314" t="str">
        <f>VLOOKUP(AG117,'Location Summary'!$C$2:$J$604,2,FALSE)</f>
        <v>DC2+0</v>
      </c>
      <c r="AH122" s="342"/>
      <c r="AI122" s="314" t="str">
        <f>VLOOKUP(AI117,'Location Summary'!$C$2:$J$604,2,FALSE)</f>
        <v>DA+3</v>
      </c>
      <c r="AJ122" s="342"/>
      <c r="AK122" s="314" t="str">
        <f>VLOOKUP(AK117,'Location Summary'!$C$2:$J$604,2,FALSE)</f>
        <v>DA+0</v>
      </c>
      <c r="AL122" s="342"/>
      <c r="AM122" s="314" t="str">
        <f>VLOOKUP(AM117,'Location Summary'!$C$2:$J$604,2,FALSE)</f>
        <v>DA+9</v>
      </c>
      <c r="AN122" s="342"/>
      <c r="AO122" s="314" t="str">
        <f>VLOOKUP(AO117,'Location Summary'!$C$2:$J$604,2,FALSE)</f>
        <v>DB1+6</v>
      </c>
      <c r="AP122" s="342"/>
      <c r="AQ122" s="314" t="str">
        <f>VLOOKUP(AQ117,'Location Summary'!$C$2:$J$604,2,FALSE)</f>
        <v>DA+3</v>
      </c>
      <c r="AS122" s="314" t="str">
        <f>VLOOKUP(AS117,'Location Summary'!$C$2:$J$678,2,FALSE)</f>
        <v>DA+3</v>
      </c>
      <c r="AT122" s="326"/>
    </row>
    <row r="123" spans="2:48" ht="15" customHeight="1">
      <c r="B123" s="352"/>
      <c r="C123" s="314"/>
      <c r="D123" s="328"/>
      <c r="E123" s="314"/>
      <c r="F123" s="328"/>
      <c r="G123" s="343"/>
      <c r="H123" s="328"/>
      <c r="I123" s="343" t="s">
        <v>1541</v>
      </c>
      <c r="J123" s="328"/>
      <c r="K123" s="314"/>
      <c r="L123" s="328"/>
      <c r="M123" s="314"/>
      <c r="N123" s="328"/>
      <c r="O123" s="314"/>
      <c r="P123" s="328"/>
      <c r="Q123" s="314"/>
      <c r="R123" s="328"/>
      <c r="S123" s="314"/>
      <c r="T123" s="342"/>
      <c r="U123" s="314"/>
      <c r="V123" s="342"/>
      <c r="W123" s="343"/>
      <c r="X123" s="342"/>
      <c r="Y123" s="343"/>
      <c r="Z123" s="342"/>
      <c r="AA123" s="314"/>
      <c r="AB123" s="342"/>
      <c r="AC123" s="314"/>
      <c r="AD123" s="342"/>
      <c r="AE123" s="314"/>
      <c r="AF123" s="1520" t="s">
        <v>1274</v>
      </c>
      <c r="AG123" s="1520"/>
      <c r="AH123" s="1520"/>
      <c r="AI123" s="314"/>
      <c r="AJ123" s="342"/>
      <c r="AK123" s="343"/>
      <c r="AL123" s="342"/>
      <c r="AM123" s="314"/>
      <c r="AN123" s="342"/>
      <c r="AO123" s="943"/>
      <c r="AP123" s="342"/>
      <c r="AQ123" s="342"/>
      <c r="AR123" s="342"/>
      <c r="AS123" s="342"/>
      <c r="AT123" s="326"/>
      <c r="AV123" s="351"/>
    </row>
    <row r="124" spans="2:48" ht="15" customHeight="1">
      <c r="B124" s="345"/>
      <c r="C124" s="343">
        <v>302</v>
      </c>
      <c r="D124" s="343"/>
      <c r="E124" s="343">
        <v>303</v>
      </c>
      <c r="F124" s="343"/>
      <c r="G124" s="343">
        <v>304</v>
      </c>
      <c r="H124" s="343"/>
      <c r="I124" s="343">
        <v>305</v>
      </c>
      <c r="J124" s="343"/>
      <c r="K124" s="343">
        <v>306</v>
      </c>
      <c r="L124" s="343"/>
      <c r="M124" s="343" t="s">
        <v>689</v>
      </c>
      <c r="P124" s="324"/>
      <c r="Q124" s="325"/>
      <c r="R124" s="324"/>
      <c r="S124" s="325"/>
      <c r="T124" s="324"/>
      <c r="U124" s="325"/>
      <c r="V124" s="324"/>
      <c r="W124" s="325"/>
      <c r="X124" s="324"/>
      <c r="Y124" s="325"/>
      <c r="Z124" s="324"/>
      <c r="AA124" s="325"/>
      <c r="AB124" s="324"/>
      <c r="AC124" s="325"/>
      <c r="AD124" s="324"/>
      <c r="AE124" s="325"/>
      <c r="AF124" s="324"/>
      <c r="AG124" s="325"/>
      <c r="AH124" s="324"/>
      <c r="AI124" s="325"/>
      <c r="AJ124" s="324"/>
      <c r="AK124" s="325"/>
      <c r="AL124" s="324"/>
      <c r="AM124" s="343"/>
      <c r="AO124" s="343"/>
      <c r="AP124" s="343"/>
      <c r="AR124" s="343"/>
      <c r="AS124" s="343"/>
      <c r="AT124" s="326"/>
    </row>
    <row r="125" spans="2:48" s="356" customFormat="1" ht="15" customHeight="1">
      <c r="B125" s="346"/>
      <c r="C125" s="348" t="s">
        <v>1241</v>
      </c>
      <c r="D125" s="348"/>
      <c r="E125" s="348" t="s">
        <v>1242</v>
      </c>
      <c r="F125" s="348"/>
      <c r="G125" s="348" t="s">
        <v>1243</v>
      </c>
      <c r="H125" s="348"/>
      <c r="I125" s="348" t="s">
        <v>1244</v>
      </c>
      <c r="J125" s="348"/>
      <c r="K125" s="348" t="s">
        <v>1245</v>
      </c>
      <c r="L125" s="348"/>
      <c r="P125" s="348"/>
      <c r="Q125" s="348"/>
      <c r="R125" s="348"/>
      <c r="S125" s="348"/>
      <c r="T125" s="348"/>
      <c r="U125" s="348"/>
      <c r="V125" s="348"/>
      <c r="W125" s="348"/>
      <c r="X125" s="348"/>
      <c r="Y125" s="348"/>
      <c r="Z125" s="348"/>
      <c r="AA125" s="348"/>
      <c r="AB125" s="348"/>
      <c r="AC125" s="348"/>
      <c r="AD125" s="348"/>
      <c r="AE125" s="348"/>
      <c r="AF125" s="348"/>
      <c r="AG125" s="348"/>
      <c r="AH125" s="348"/>
      <c r="AI125" s="348"/>
      <c r="AJ125" s="348"/>
      <c r="AK125" s="348"/>
      <c r="AL125" s="348"/>
      <c r="AM125" s="348"/>
      <c r="AN125" s="348"/>
      <c r="AO125" s="348"/>
      <c r="AP125" s="348"/>
      <c r="AQ125" s="348"/>
      <c r="AR125" s="348"/>
      <c r="AS125" s="348"/>
      <c r="AT125" s="357"/>
    </row>
    <row r="126" spans="2:48" ht="15" customHeight="1">
      <c r="B126" s="352"/>
      <c r="J126" s="741" t="s">
        <v>1247</v>
      </c>
      <c r="T126" s="314"/>
      <c r="V126" s="314"/>
      <c r="X126" s="314"/>
      <c r="Z126" s="314"/>
      <c r="AB126" s="314"/>
      <c r="AD126" s="314"/>
      <c r="AF126" s="314"/>
      <c r="AH126" s="314"/>
      <c r="AJ126" s="314"/>
      <c r="AL126" s="314"/>
      <c r="AN126" s="314"/>
      <c r="AP126" s="314"/>
      <c r="AR126" s="314"/>
      <c r="AT126" s="326"/>
    </row>
    <row r="127" spans="2:48" ht="15" customHeight="1">
      <c r="B127" s="358"/>
      <c r="AT127" s="326"/>
    </row>
    <row r="128" spans="2:48" s="367" customFormat="1" ht="20.25" customHeight="1">
      <c r="B128" s="358"/>
      <c r="C128" s="336">
        <v>3</v>
      </c>
      <c r="D128" s="337">
        <f>VLOOKUP(C125,'Location Summary'!$G$2:$H$678,2,FALSE)</f>
        <v>350</v>
      </c>
      <c r="E128" s="336">
        <v>3</v>
      </c>
      <c r="F128" s="337">
        <f>VLOOKUP(E125,'Location Summary'!$G$2:$H$678,2,FALSE)</f>
        <v>383</v>
      </c>
      <c r="G128" s="336">
        <v>3</v>
      </c>
      <c r="H128" s="337">
        <f>VLOOKUP(G125,'Location Summary'!$G$2:$H$678,2,FALSE)</f>
        <v>457.15499999999997</v>
      </c>
      <c r="I128" s="336">
        <v>3</v>
      </c>
      <c r="J128" s="337">
        <f>VLOOKUP(I125,'Location Summary'!$G$2:$H$678,2,FALSE)</f>
        <v>208.53</v>
      </c>
      <c r="K128" s="336">
        <v>3</v>
      </c>
      <c r="L128" s="337"/>
      <c r="M128" s="752"/>
      <c r="P128" s="337"/>
      <c r="Q128" s="738"/>
      <c r="R128" s="337"/>
      <c r="S128" s="385"/>
      <c r="T128" s="337"/>
      <c r="U128" s="385"/>
      <c r="V128" s="337"/>
      <c r="W128" s="385"/>
      <c r="X128" s="337"/>
      <c r="Y128" s="739"/>
      <c r="Z128" s="337"/>
      <c r="AA128" s="739"/>
      <c r="AB128" s="337"/>
      <c r="AC128" s="385"/>
      <c r="AD128" s="337"/>
      <c r="AE128" s="385"/>
      <c r="AF128" s="337"/>
      <c r="AG128" s="385"/>
      <c r="AH128" s="337"/>
      <c r="AI128" s="385"/>
      <c r="AJ128" s="337"/>
      <c r="AK128" s="385"/>
      <c r="AL128" s="337"/>
      <c r="AM128" s="385"/>
      <c r="AN128" s="337"/>
      <c r="AO128" s="385"/>
      <c r="AP128" s="337"/>
      <c r="AQ128" s="740"/>
      <c r="AR128" s="337"/>
      <c r="AS128" s="385"/>
      <c r="AT128" s="338"/>
    </row>
    <row r="129" spans="2:50" s="367" customFormat="1" ht="15" customHeight="1">
      <c r="B129" s="364"/>
      <c r="C129" s="341">
        <v>2</v>
      </c>
      <c r="D129" s="310"/>
      <c r="E129" s="341">
        <v>2</v>
      </c>
      <c r="F129" s="310"/>
      <c r="G129" s="341">
        <v>2</v>
      </c>
      <c r="H129" s="310"/>
      <c r="I129" s="341">
        <v>2</v>
      </c>
      <c r="J129" s="310"/>
      <c r="K129" s="341">
        <v>2</v>
      </c>
      <c r="L129" s="310"/>
      <c r="M129" s="753"/>
      <c r="P129" s="310"/>
      <c r="Q129" s="385"/>
      <c r="R129" s="310"/>
      <c r="S129" s="385"/>
      <c r="T129" s="310"/>
      <c r="U129" s="385"/>
      <c r="V129" s="310"/>
      <c r="W129" s="385"/>
      <c r="X129" s="310"/>
      <c r="Y129" s="385"/>
      <c r="Z129" s="310"/>
      <c r="AA129" s="385"/>
      <c r="AB129" s="310"/>
      <c r="AC129" s="385"/>
      <c r="AD129" s="310"/>
      <c r="AE129" s="385"/>
      <c r="AF129" s="310"/>
      <c r="AG129" s="385"/>
      <c r="AH129" s="310"/>
      <c r="AI129" s="385"/>
      <c r="AJ129" s="310"/>
      <c r="AK129" s="385"/>
      <c r="AL129" s="310"/>
      <c r="AM129" s="385"/>
      <c r="AN129" s="310"/>
      <c r="AO129" s="385"/>
      <c r="AP129" s="310"/>
      <c r="AQ129" s="740"/>
      <c r="AR129" s="310"/>
      <c r="AS129" s="385"/>
      <c r="AT129" s="326"/>
    </row>
    <row r="130" spans="2:50" ht="15" customHeight="1">
      <c r="B130" s="352"/>
      <c r="C130" s="314" t="str">
        <f>VLOOKUP(C125,'Location Summary'!$C$2:$J$678,2,FALSE)</f>
        <v>DA+3</v>
      </c>
      <c r="D130" s="328"/>
      <c r="E130" s="314" t="str">
        <f>VLOOKUP(E125,'Location Summary'!$C$2:$J$678,2,FALSE)</f>
        <v>DA+0</v>
      </c>
      <c r="F130" s="328"/>
      <c r="G130" s="314" t="str">
        <f>VLOOKUP(G125,'Location Summary'!$C$2:$J$678,2,FALSE)</f>
        <v>DA+0</v>
      </c>
      <c r="H130" s="328"/>
      <c r="I130" s="314" t="str">
        <f>VLOOKUP(I125,'Location Summary'!$C$2:$J$678,2,FALSE)</f>
        <v>DB1+9</v>
      </c>
      <c r="J130" s="328"/>
      <c r="K130" s="314" t="str">
        <f>VLOOKUP(K125,'Location Summary'!$C$2:$J$678,2,FALSE)</f>
        <v>DB1+12</v>
      </c>
      <c r="L130" s="328"/>
      <c r="M130" s="314"/>
      <c r="P130" s="328"/>
      <c r="Q130" s="314"/>
      <c r="R130" s="328"/>
      <c r="S130" s="314"/>
      <c r="T130" s="342"/>
      <c r="U130" s="314"/>
      <c r="V130" s="342"/>
      <c r="W130" s="314"/>
      <c r="X130" s="342"/>
      <c r="Y130" s="314"/>
      <c r="Z130" s="342"/>
      <c r="AA130" s="314"/>
      <c r="AB130" s="342"/>
      <c r="AC130" s="314"/>
      <c r="AD130" s="342"/>
      <c r="AE130" s="314"/>
      <c r="AF130" s="342"/>
      <c r="AG130" s="314"/>
      <c r="AH130" s="342"/>
      <c r="AI130" s="314"/>
      <c r="AJ130" s="342"/>
      <c r="AK130" s="314"/>
      <c r="AL130" s="342"/>
      <c r="AM130" s="314"/>
      <c r="AN130" s="342"/>
      <c r="AO130" s="314"/>
      <c r="AP130" s="342"/>
      <c r="AQ130" s="314"/>
      <c r="AS130" s="314"/>
      <c r="AT130" s="326"/>
    </row>
    <row r="131" spans="2:50" ht="16.5" customHeight="1" thickBot="1">
      <c r="B131" s="656"/>
      <c r="C131" s="343"/>
      <c r="D131" s="372"/>
      <c r="E131" s="372"/>
      <c r="F131" s="372"/>
      <c r="G131" s="372"/>
      <c r="H131" s="372"/>
      <c r="I131" s="343"/>
      <c r="J131" s="372"/>
      <c r="K131" s="974" t="s">
        <v>1429</v>
      </c>
      <c r="L131" s="372"/>
      <c r="M131" s="372"/>
      <c r="N131" s="372"/>
      <c r="O131" s="372"/>
      <c r="P131" s="372"/>
      <c r="Q131" s="372"/>
      <c r="R131" s="372"/>
      <c r="S131" s="372"/>
      <c r="T131" s="372"/>
      <c r="U131" s="372"/>
      <c r="V131" s="372"/>
      <c r="W131" s="372"/>
      <c r="X131" s="372"/>
      <c r="Y131" s="372"/>
      <c r="Z131" s="372"/>
      <c r="AA131" s="372"/>
      <c r="AB131" s="386"/>
      <c r="AC131" s="372"/>
      <c r="AD131" s="387"/>
      <c r="AE131" s="372"/>
      <c r="AF131" s="386"/>
      <c r="AH131" s="372"/>
      <c r="AI131" s="372"/>
      <c r="AJ131" s="372"/>
      <c r="AK131" s="372"/>
      <c r="AL131" s="388"/>
      <c r="AM131" s="372"/>
      <c r="AN131" s="388"/>
      <c r="AO131" s="372"/>
      <c r="AP131" s="388"/>
      <c r="AQ131" s="372"/>
      <c r="AR131" s="388"/>
      <c r="AS131" s="386"/>
      <c r="AT131" s="373"/>
      <c r="AV131" s="351"/>
    </row>
    <row r="132" spans="2:50" ht="16.5" customHeight="1">
      <c r="C132" s="1476" t="s">
        <v>951</v>
      </c>
      <c r="D132" s="1476"/>
      <c r="E132" s="1476"/>
      <c r="F132" s="1476"/>
      <c r="G132" s="1476"/>
      <c r="H132" s="1476"/>
      <c r="I132" s="1476"/>
      <c r="J132" s="1476"/>
      <c r="K132" s="1476"/>
      <c r="L132" s="1476"/>
      <c r="M132" s="1476"/>
      <c r="N132" s="391"/>
      <c r="O132" s="391"/>
      <c r="P132" s="391"/>
      <c r="Q132" s="391"/>
      <c r="R132" s="391"/>
      <c r="S132" s="391"/>
      <c r="T132" s="391"/>
      <c r="U132" s="391"/>
      <c r="V132" s="391"/>
      <c r="W132" s="389"/>
      <c r="X132" s="389"/>
      <c r="Y132" s="390"/>
      <c r="Z132" s="390"/>
      <c r="AA132" s="390"/>
      <c r="AB132" s="390"/>
      <c r="AC132" s="390"/>
      <c r="AD132" s="390"/>
      <c r="AE132" s="390"/>
      <c r="AF132" s="390"/>
      <c r="AG132" s="390"/>
      <c r="AH132" s="392"/>
    </row>
    <row r="133" spans="2:50">
      <c r="C133" s="1477" t="s">
        <v>952</v>
      </c>
      <c r="D133" s="1478"/>
      <c r="E133" s="1481" t="s">
        <v>953</v>
      </c>
      <c r="F133" s="1482"/>
      <c r="G133" s="1471" t="s">
        <v>954</v>
      </c>
      <c r="H133" s="1472"/>
      <c r="I133" s="1473"/>
      <c r="J133" s="1471" t="s">
        <v>297</v>
      </c>
      <c r="K133" s="1472"/>
      <c r="L133" s="1472"/>
      <c r="M133" s="1473"/>
      <c r="O133" s="645"/>
    </row>
    <row r="134" spans="2:50" ht="15.75" customHeight="1">
      <c r="C134" s="1479"/>
      <c r="D134" s="1480"/>
      <c r="E134" s="1483"/>
      <c r="F134" s="1484"/>
      <c r="G134" s="1489" t="s">
        <v>955</v>
      </c>
      <c r="H134" s="1490"/>
      <c r="I134" s="393" t="s">
        <v>971</v>
      </c>
      <c r="J134" s="1489" t="s">
        <v>955</v>
      </c>
      <c r="K134" s="1490"/>
      <c r="L134" s="1489" t="s">
        <v>0</v>
      </c>
      <c r="M134" s="1490"/>
      <c r="P134" s="1464" t="s">
        <v>1270</v>
      </c>
      <c r="Q134" s="1464"/>
      <c r="R134" s="1464"/>
      <c r="S134" s="1464"/>
      <c r="T134" s="1464"/>
      <c r="U134" s="1464"/>
      <c r="V134" s="1464"/>
      <c r="W134" s="1464"/>
      <c r="X134" s="1464"/>
      <c r="Y134" s="1464"/>
      <c r="Z134" s="1464"/>
      <c r="AA134" s="1464"/>
      <c r="AB134" s="1464"/>
      <c r="AC134" s="1464"/>
      <c r="AD134" s="1464"/>
      <c r="AE134" s="1464"/>
      <c r="AG134" s="1464" t="s">
        <v>1601</v>
      </c>
      <c r="AH134" s="1464"/>
      <c r="AI134" s="1464"/>
      <c r="AJ134" s="1464"/>
      <c r="AK134" s="1464"/>
      <c r="AL134" s="1464"/>
      <c r="AM134" s="1464"/>
      <c r="AN134" s="1464"/>
      <c r="AO134" s="1464"/>
      <c r="AP134" s="1464"/>
      <c r="AQ134" s="1464"/>
      <c r="AR134" s="1464"/>
      <c r="AS134" s="1464"/>
      <c r="AT134" s="1464"/>
    </row>
    <row r="135" spans="2:50" ht="17.25" customHeight="1">
      <c r="C135" s="1474" t="s">
        <v>4</v>
      </c>
      <c r="D135" s="1475"/>
      <c r="E135" s="1487">
        <f>+COUNTIF('Location Summary'!$D$4:$D$616,'Visual Chart'!C135)</f>
        <v>12</v>
      </c>
      <c r="F135" s="1488"/>
      <c r="G135" s="1515">
        <f>+COUNTIFS('Location Summary'!$D$4:$D$616,'Visual Chart'!C135,'Location Summary'!$K$4:$K$616,"Completed")</f>
        <v>12</v>
      </c>
      <c r="H135" s="1516"/>
      <c r="I135" s="923">
        <f>E135-G135</f>
        <v>0</v>
      </c>
      <c r="J135" s="1517">
        <f>+COUNTIFS('Location Summary'!$D$4:$D$616,'Visual Chart'!C135,'Location Summary'!$M$4:$M$616,"Completed")</f>
        <v>12</v>
      </c>
      <c r="K135" s="1516"/>
      <c r="L135" s="1517">
        <f>G135-J135</f>
        <v>0</v>
      </c>
      <c r="M135" s="1516"/>
      <c r="AI135" s="1430" t="s">
        <v>1602</v>
      </c>
      <c r="AJ135" s="1430"/>
      <c r="AK135" s="1430"/>
      <c r="AL135" s="1430"/>
      <c r="AM135" s="1430"/>
      <c r="AN135" s="1430"/>
      <c r="AP135" s="1430" t="s">
        <v>1603</v>
      </c>
      <c r="AQ135" s="1430"/>
      <c r="AR135" s="1430"/>
      <c r="AS135" s="1430"/>
      <c r="AT135" s="1430"/>
    </row>
    <row r="136" spans="2:50" ht="21" customHeight="1">
      <c r="C136" s="1467" t="s">
        <v>154</v>
      </c>
      <c r="D136" s="1468"/>
      <c r="E136" s="1469">
        <f>+COUNTIF('Location Summary'!$D$4:$D$616,'Visual Chart'!C136)</f>
        <v>12</v>
      </c>
      <c r="F136" s="1470"/>
      <c r="G136" s="1485">
        <f>+COUNTIFS('Location Summary'!$D$4:$D$616,'Visual Chart'!C136,'Location Summary'!$K$4:$K$616,"Completed")</f>
        <v>12</v>
      </c>
      <c r="H136" s="1486"/>
      <c r="I136" s="394">
        <f t="shared" ref="I136:I164" si="0">E136-G136</f>
        <v>0</v>
      </c>
      <c r="J136" s="1433">
        <f>+COUNTIFS('Location Summary'!$D$4:$D$616,'Visual Chart'!C136,'Location Summary'!$M$4:$M$616,"Completed")</f>
        <v>12</v>
      </c>
      <c r="K136" s="1434"/>
      <c r="L136" s="1433">
        <f t="shared" ref="L136:L164" si="1">G136-J136</f>
        <v>0</v>
      </c>
      <c r="M136" s="1434"/>
      <c r="P136" s="1461" t="s">
        <v>1236</v>
      </c>
      <c r="Q136" s="1462"/>
      <c r="R136" s="1462"/>
      <c r="S136" s="1462"/>
      <c r="T136" s="1462"/>
      <c r="U136" s="1462"/>
      <c r="V136" s="1463"/>
      <c r="W136" s="735"/>
      <c r="X136" s="1465" t="s">
        <v>1237</v>
      </c>
      <c r="Y136" s="1465"/>
      <c r="Z136" s="1465"/>
      <c r="AA136" s="1465"/>
      <c r="AB136" s="1465"/>
      <c r="AC136" s="1465"/>
      <c r="AD136" s="1465"/>
      <c r="AE136" s="1465"/>
      <c r="AI136" s="1431" t="s">
        <v>1605</v>
      </c>
      <c r="AJ136" s="1431"/>
      <c r="AK136" s="1521" t="s">
        <v>1604</v>
      </c>
      <c r="AL136" s="1522"/>
      <c r="AM136" s="1431" t="s">
        <v>956</v>
      </c>
      <c r="AN136" s="1431"/>
      <c r="AP136" s="1431" t="s">
        <v>1605</v>
      </c>
      <c r="AQ136" s="1431"/>
      <c r="AR136" s="1431" t="s">
        <v>1604</v>
      </c>
      <c r="AS136" s="1431"/>
      <c r="AT136" s="1431" t="s">
        <v>956</v>
      </c>
      <c r="AU136" s="1431"/>
    </row>
    <row r="137" spans="2:50" ht="14.25" customHeight="1">
      <c r="C137" s="1467" t="s">
        <v>3</v>
      </c>
      <c r="D137" s="1468"/>
      <c r="E137" s="1469">
        <f>+COUNTIF('Location Summary'!$D$4:$D$616,'Visual Chart'!C137)</f>
        <v>33</v>
      </c>
      <c r="F137" s="1470"/>
      <c r="G137" s="1435">
        <f>+COUNTIFS('Location Summary'!$D$4:$D$616,'Visual Chart'!C137,'Location Summary'!$K$4:$K$616,"Completed")</f>
        <v>33</v>
      </c>
      <c r="H137" s="1434"/>
      <c r="I137" s="394">
        <f t="shared" si="0"/>
        <v>0</v>
      </c>
      <c r="J137" s="1433">
        <f>+COUNTIFS('Location Summary'!$D$4:$D$616,'Visual Chart'!C137,'Location Summary'!$M$4:$M$616,"Completed")</f>
        <v>33</v>
      </c>
      <c r="K137" s="1434"/>
      <c r="L137" s="1433">
        <f t="shared" si="1"/>
        <v>0</v>
      </c>
      <c r="M137" s="1434"/>
      <c r="P137" s="1466" t="s">
        <v>1234</v>
      </c>
      <c r="Q137" s="1459"/>
      <c r="R137" s="1459"/>
      <c r="S137" s="1459"/>
      <c r="T137" s="1459"/>
      <c r="U137" s="1459">
        <v>15</v>
      </c>
      <c r="V137" s="1460"/>
      <c r="W137" s="735"/>
      <c r="X137" s="1458" t="s">
        <v>1234</v>
      </c>
      <c r="Y137" s="1458"/>
      <c r="Z137" s="1458"/>
      <c r="AA137" s="1458"/>
      <c r="AB137" s="1458"/>
      <c r="AC137" s="1458"/>
      <c r="AD137" s="1458">
        <v>15</v>
      </c>
      <c r="AE137" s="1458"/>
      <c r="AI137" s="1432" t="s">
        <v>1070</v>
      </c>
      <c r="AJ137" s="1432"/>
      <c r="AK137" s="1432" t="s">
        <v>2</v>
      </c>
      <c r="AL137" s="1432"/>
      <c r="AM137" s="1432"/>
      <c r="AN137" s="1432"/>
      <c r="AP137" s="1432" t="s">
        <v>1070</v>
      </c>
      <c r="AQ137" s="1432"/>
      <c r="AR137" s="1432" t="s">
        <v>2</v>
      </c>
      <c r="AS137" s="1432"/>
      <c r="AT137" s="1432"/>
      <c r="AU137" s="1432"/>
    </row>
    <row r="138" spans="2:50" ht="14.25" customHeight="1">
      <c r="C138" s="1467" t="s">
        <v>170</v>
      </c>
      <c r="D138" s="1468"/>
      <c r="E138" s="1469">
        <f>+COUNTIF('Location Summary'!$D$4:$D$616,'Visual Chart'!C138)</f>
        <v>24</v>
      </c>
      <c r="F138" s="1470"/>
      <c r="G138" s="1435">
        <f>+COUNTIFS('Location Summary'!$D$4:$D$616,'Visual Chart'!C138,'Location Summary'!$K$4:$K$616,"Completed")</f>
        <v>24</v>
      </c>
      <c r="H138" s="1434"/>
      <c r="I138" s="394">
        <f t="shared" si="0"/>
        <v>0</v>
      </c>
      <c r="J138" s="1433">
        <f>+COUNTIFS('Location Summary'!$D$4:$D$616,'Visual Chart'!C138,'Location Summary'!$M$4:$M$616,"Completed")</f>
        <v>24</v>
      </c>
      <c r="K138" s="1434"/>
      <c r="L138" s="1433">
        <f t="shared" si="1"/>
        <v>0</v>
      </c>
      <c r="M138" s="1434"/>
      <c r="P138" s="1466" t="s">
        <v>389</v>
      </c>
      <c r="Q138" s="1459"/>
      <c r="R138" s="1459"/>
      <c r="S138" s="1459"/>
      <c r="T138" s="1459"/>
      <c r="U138" s="1459">
        <v>1</v>
      </c>
      <c r="V138" s="1460"/>
      <c r="W138" s="735"/>
      <c r="X138" s="1458" t="s">
        <v>389</v>
      </c>
      <c r="Y138" s="1458"/>
      <c r="Z138" s="1458"/>
      <c r="AA138" s="1458"/>
      <c r="AB138" s="1458"/>
      <c r="AC138" s="1458"/>
      <c r="AD138" s="1458">
        <v>1</v>
      </c>
      <c r="AE138" s="1458"/>
      <c r="AI138" s="1432"/>
      <c r="AJ138" s="1432"/>
      <c r="AK138" s="1432"/>
      <c r="AL138" s="1432"/>
      <c r="AM138" s="1432">
        <v>389</v>
      </c>
      <c r="AN138" s="1432"/>
      <c r="AP138" s="1432"/>
      <c r="AQ138" s="1432"/>
      <c r="AR138" s="1432"/>
      <c r="AS138" s="1432"/>
      <c r="AT138" s="1432">
        <v>375.69</v>
      </c>
      <c r="AU138" s="1432"/>
      <c r="AV138" s="1091"/>
      <c r="AW138" s="1091"/>
      <c r="AX138" s="1091"/>
    </row>
    <row r="139" spans="2:50" ht="14.25" customHeight="1">
      <c r="C139" s="1467" t="s">
        <v>2</v>
      </c>
      <c r="D139" s="1468"/>
      <c r="E139" s="1469">
        <f>+COUNTIF('Location Summary'!$D$4:$D$616,'Visual Chart'!C139)</f>
        <v>69</v>
      </c>
      <c r="F139" s="1470"/>
      <c r="G139" s="1435">
        <f>+COUNTIFS('Location Summary'!$D$4:$D$616,'Visual Chart'!C139,'Location Summary'!$K$4:$K$616,"Completed")</f>
        <v>69</v>
      </c>
      <c r="H139" s="1434"/>
      <c r="I139" s="394">
        <f t="shared" si="0"/>
        <v>0</v>
      </c>
      <c r="J139" s="1433">
        <f>+COUNTIFS('Location Summary'!$D$4:$D$616,'Visual Chart'!C139,'Location Summary'!$M$4:$M$616,"Completed")</f>
        <v>69</v>
      </c>
      <c r="K139" s="1434"/>
      <c r="L139" s="1433">
        <f t="shared" si="1"/>
        <v>0</v>
      </c>
      <c r="M139" s="1434"/>
      <c r="P139" s="1466" t="s">
        <v>388</v>
      </c>
      <c r="Q139" s="1459"/>
      <c r="R139" s="1459"/>
      <c r="S139" s="1459"/>
      <c r="T139" s="1459"/>
      <c r="U139" s="1459">
        <v>1</v>
      </c>
      <c r="V139" s="1460"/>
      <c r="W139" s="735"/>
      <c r="X139" s="1458" t="s">
        <v>388</v>
      </c>
      <c r="Y139" s="1458"/>
      <c r="Z139" s="1458"/>
      <c r="AA139" s="1458"/>
      <c r="AB139" s="1458"/>
      <c r="AC139" s="1458"/>
      <c r="AD139" s="1458">
        <v>1</v>
      </c>
      <c r="AE139" s="1458"/>
      <c r="AI139" s="1432" t="s">
        <v>1071</v>
      </c>
      <c r="AJ139" s="1432"/>
      <c r="AK139" s="1432" t="s">
        <v>49</v>
      </c>
      <c r="AL139" s="1432"/>
      <c r="AM139" s="1432"/>
      <c r="AN139" s="1432"/>
      <c r="AP139" s="1432" t="s">
        <v>1600</v>
      </c>
      <c r="AQ139" s="1432"/>
      <c r="AR139" s="1432" t="s">
        <v>215</v>
      </c>
      <c r="AS139" s="1432"/>
      <c r="AT139" s="1432"/>
      <c r="AU139" s="1432"/>
    </row>
    <row r="140" spans="2:50" ht="14.25" customHeight="1">
      <c r="C140" s="1467" t="s">
        <v>987</v>
      </c>
      <c r="D140" s="1468"/>
      <c r="E140" s="1469">
        <f>+COUNTIF('Location Summary'!$D$4:$D$616,'Visual Chart'!C140)</f>
        <v>1</v>
      </c>
      <c r="F140" s="1470"/>
      <c r="G140" s="1435">
        <f>+COUNTIFS('Location Summary'!$D$4:$D$616,'Visual Chart'!C140,'Location Summary'!$K$4:$K$616,"Completed")</f>
        <v>1</v>
      </c>
      <c r="H140" s="1434"/>
      <c r="I140" s="394">
        <f t="shared" si="0"/>
        <v>0</v>
      </c>
      <c r="J140" s="1433">
        <f>+COUNTIFS('Location Summary'!$D$4:$D$616,'Visual Chart'!C140,'Location Summary'!$M$4:$M$616,"Completed")</f>
        <v>1</v>
      </c>
      <c r="K140" s="1434"/>
      <c r="L140" s="1433">
        <f t="shared" si="1"/>
        <v>0</v>
      </c>
      <c r="M140" s="1434"/>
      <c r="P140" s="1466" t="s">
        <v>1235</v>
      </c>
      <c r="Q140" s="1459"/>
      <c r="R140" s="1459"/>
      <c r="S140" s="1459"/>
      <c r="T140" s="1459"/>
      <c r="U140" s="1459">
        <v>0</v>
      </c>
      <c r="V140" s="1460"/>
      <c r="W140" s="735"/>
      <c r="X140" s="1458" t="s">
        <v>1235</v>
      </c>
      <c r="Y140" s="1458"/>
      <c r="Z140" s="1458"/>
      <c r="AA140" s="1458"/>
      <c r="AB140" s="1458"/>
      <c r="AC140" s="1458"/>
      <c r="AD140" s="1458">
        <v>0</v>
      </c>
      <c r="AE140" s="1458"/>
      <c r="AG140" s="1093"/>
      <c r="AH140" s="1093"/>
      <c r="AI140" s="1432"/>
      <c r="AJ140" s="1432"/>
      <c r="AK140" s="1432"/>
      <c r="AL140" s="1432"/>
      <c r="AM140" s="1432">
        <v>451.52</v>
      </c>
      <c r="AN140" s="1432"/>
      <c r="AO140" s="1093"/>
      <c r="AP140" s="1432"/>
      <c r="AQ140" s="1432"/>
      <c r="AR140" s="1432"/>
      <c r="AS140" s="1432"/>
      <c r="AT140" s="1432">
        <v>420.81</v>
      </c>
      <c r="AU140" s="1432"/>
    </row>
    <row r="141" spans="2:50" ht="14.25" customHeight="1">
      <c r="C141" s="1467" t="s">
        <v>79</v>
      </c>
      <c r="D141" s="1468"/>
      <c r="E141" s="1469">
        <f>+COUNTIF('Location Summary'!$D$4:$D$616,'Visual Chart'!C141)</f>
        <v>47</v>
      </c>
      <c r="F141" s="1470"/>
      <c r="G141" s="1435">
        <f>+COUNTIFS('Location Summary'!$D$4:$D$616,'Visual Chart'!C141,'Location Summary'!$K$4:$K$616,"Completed")</f>
        <v>47</v>
      </c>
      <c r="H141" s="1434"/>
      <c r="I141" s="394">
        <f t="shared" si="0"/>
        <v>0</v>
      </c>
      <c r="J141" s="1433">
        <f>+COUNTIFS('Location Summary'!$D$4:$D$616,'Visual Chart'!C141,'Location Summary'!$M$4:$M$616,"Completed")</f>
        <v>47</v>
      </c>
      <c r="K141" s="1434"/>
      <c r="L141" s="1433">
        <f t="shared" si="1"/>
        <v>0</v>
      </c>
      <c r="M141" s="1434"/>
      <c r="P141" s="1466" t="s">
        <v>497</v>
      </c>
      <c r="Q141" s="1459"/>
      <c r="R141" s="1459"/>
      <c r="S141" s="1459"/>
      <c r="T141" s="1459"/>
      <c r="U141" s="1459">
        <v>0</v>
      </c>
      <c r="V141" s="1460"/>
      <c r="W141" s="735"/>
      <c r="X141" s="1458" t="s">
        <v>497</v>
      </c>
      <c r="Y141" s="1458"/>
      <c r="Z141" s="1458"/>
      <c r="AA141" s="1458"/>
      <c r="AB141" s="1458"/>
      <c r="AC141" s="1458"/>
      <c r="AD141" s="1458">
        <v>0</v>
      </c>
      <c r="AE141" s="1458"/>
      <c r="AG141" s="1092"/>
      <c r="AH141" s="1092"/>
      <c r="AI141" s="1432" t="s">
        <v>168</v>
      </c>
      <c r="AJ141" s="1432"/>
      <c r="AK141" s="1432" t="s">
        <v>228</v>
      </c>
      <c r="AL141" s="1432"/>
      <c r="AM141" s="1432"/>
      <c r="AN141" s="1432"/>
      <c r="AO141" s="1092"/>
      <c r="AP141" s="1432" t="s">
        <v>168</v>
      </c>
      <c r="AQ141" s="1432"/>
      <c r="AR141" s="1432" t="s">
        <v>428</v>
      </c>
      <c r="AS141" s="1432"/>
      <c r="AT141" s="1432"/>
      <c r="AU141" s="1432"/>
    </row>
    <row r="142" spans="2:50" ht="14.25" customHeight="1">
      <c r="C142" s="1467" t="s">
        <v>49</v>
      </c>
      <c r="D142" s="1468"/>
      <c r="E142" s="1469">
        <f>+COUNTIF('Location Summary'!$D$4:$D$616,'Visual Chart'!C142)</f>
        <v>46</v>
      </c>
      <c r="F142" s="1470"/>
      <c r="G142" s="1435">
        <f>+COUNTIFS('Location Summary'!$D$4:$D$616,'Visual Chart'!C142,'Location Summary'!$K$4:$K$616,"Completed")</f>
        <v>46</v>
      </c>
      <c r="H142" s="1434"/>
      <c r="I142" s="394">
        <f t="shared" si="0"/>
        <v>0</v>
      </c>
      <c r="J142" s="1433">
        <f>+COUNTIFS('Location Summary'!$D$4:$D$616,'Visual Chart'!C142,'Location Summary'!$M$4:$M$616,"Completed")</f>
        <v>46</v>
      </c>
      <c r="K142" s="1434"/>
      <c r="L142" s="1433">
        <f t="shared" si="1"/>
        <v>0</v>
      </c>
      <c r="M142" s="1434"/>
      <c r="P142" s="1466" t="s">
        <v>498</v>
      </c>
      <c r="Q142" s="1459"/>
      <c r="R142" s="1459"/>
      <c r="S142" s="1459"/>
      <c r="T142" s="1459"/>
      <c r="U142" s="1459">
        <v>1</v>
      </c>
      <c r="V142" s="1460"/>
      <c r="W142" s="735"/>
      <c r="X142" s="1458" t="s">
        <v>498</v>
      </c>
      <c r="Y142" s="1458"/>
      <c r="Z142" s="1458"/>
      <c r="AA142" s="1458"/>
      <c r="AB142" s="1458"/>
      <c r="AC142" s="1458"/>
      <c r="AD142" s="1458">
        <v>2</v>
      </c>
      <c r="AE142" s="1458"/>
      <c r="AG142" s="1092"/>
      <c r="AH142" s="1092"/>
      <c r="AI142" s="1432"/>
      <c r="AJ142" s="1432"/>
      <c r="AK142" s="1432"/>
      <c r="AL142" s="1432"/>
      <c r="AM142" s="1432">
        <v>401.39</v>
      </c>
      <c r="AN142" s="1432"/>
      <c r="AO142" s="1092"/>
      <c r="AP142" s="1432"/>
      <c r="AQ142" s="1432"/>
      <c r="AR142" s="1432"/>
      <c r="AS142" s="1432"/>
      <c r="AT142" s="1432">
        <v>469.33</v>
      </c>
      <c r="AU142" s="1432"/>
    </row>
    <row r="143" spans="2:50" ht="14.25" customHeight="1">
      <c r="C143" s="1467" t="s">
        <v>197</v>
      </c>
      <c r="D143" s="1468"/>
      <c r="E143" s="1469">
        <f>+COUNTIF('Location Summary'!$D$4:$D$616,'Visual Chart'!C143)</f>
        <v>7</v>
      </c>
      <c r="F143" s="1470"/>
      <c r="G143" s="1435">
        <f>+COUNTIFS('Location Summary'!$D$4:$D$616,'Visual Chart'!C143,'Location Summary'!$K$4:$K$616,"Completed")</f>
        <v>7</v>
      </c>
      <c r="H143" s="1434"/>
      <c r="I143" s="394">
        <f t="shared" si="0"/>
        <v>0</v>
      </c>
      <c r="J143" s="1433">
        <f>+COUNTIFS('Location Summary'!$D$4:$D$616,'Visual Chart'!C143,'Location Summary'!$M$4:$M$616,"Completed")</f>
        <v>7</v>
      </c>
      <c r="K143" s="1434"/>
      <c r="L143" s="1433">
        <f t="shared" si="1"/>
        <v>0</v>
      </c>
      <c r="M143" s="1434"/>
      <c r="P143" s="1466" t="s">
        <v>387</v>
      </c>
      <c r="Q143" s="1459"/>
      <c r="R143" s="1459"/>
      <c r="S143" s="1459"/>
      <c r="T143" s="1459"/>
      <c r="U143" s="1459">
        <v>1</v>
      </c>
      <c r="V143" s="1460"/>
      <c r="W143" s="735"/>
      <c r="X143" s="1458" t="s">
        <v>387</v>
      </c>
      <c r="Y143" s="1458"/>
      <c r="Z143" s="1458"/>
      <c r="AA143" s="1458"/>
      <c r="AB143" s="1458"/>
      <c r="AC143" s="1458"/>
      <c r="AD143" s="1458">
        <v>1</v>
      </c>
      <c r="AE143" s="1458"/>
      <c r="AG143" s="1092"/>
      <c r="AH143" s="1092"/>
      <c r="AI143" s="1432" t="s">
        <v>601</v>
      </c>
      <c r="AJ143" s="1432"/>
      <c r="AK143" s="1432" t="s">
        <v>2</v>
      </c>
      <c r="AL143" s="1432"/>
      <c r="AM143" s="1432"/>
      <c r="AN143" s="1432"/>
      <c r="AO143" s="1092"/>
      <c r="AP143" s="1432" t="s">
        <v>775</v>
      </c>
      <c r="AQ143" s="1432"/>
      <c r="AR143" s="1432" t="s">
        <v>215</v>
      </c>
      <c r="AS143" s="1432"/>
      <c r="AT143" s="1432"/>
      <c r="AU143" s="1432"/>
    </row>
    <row r="144" spans="2:50" ht="17.25" customHeight="1">
      <c r="C144" s="1467" t="s">
        <v>226</v>
      </c>
      <c r="D144" s="1468"/>
      <c r="E144" s="1469">
        <f>+COUNTIF('Location Summary'!$D$4:$D$616,'Visual Chart'!C144)</f>
        <v>2</v>
      </c>
      <c r="F144" s="1470"/>
      <c r="G144" s="1435">
        <f>+COUNTIFS('Location Summary'!$D$4:$D$616,'Visual Chart'!C144,'Location Summary'!$K$4:$K$616,"Completed")</f>
        <v>2</v>
      </c>
      <c r="H144" s="1434"/>
      <c r="I144" s="394">
        <f t="shared" si="0"/>
        <v>0</v>
      </c>
      <c r="J144" s="1433">
        <f>+COUNTIFS('Location Summary'!$D$4:$D$616,'Visual Chart'!C144,'Location Summary'!$M$4:$M$616,"Completed")</f>
        <v>2</v>
      </c>
      <c r="K144" s="1434"/>
      <c r="L144" s="1433">
        <f t="shared" si="1"/>
        <v>0</v>
      </c>
      <c r="M144" s="1434"/>
      <c r="P144" s="1528" t="s">
        <v>81</v>
      </c>
      <c r="Q144" s="1529"/>
      <c r="R144" s="1529"/>
      <c r="S144" s="1529"/>
      <c r="T144" s="1529"/>
      <c r="U144" s="1529">
        <f>SUM(U137:V143)</f>
        <v>19</v>
      </c>
      <c r="V144" s="1530"/>
      <c r="W144" s="736"/>
      <c r="X144" s="1526" t="s">
        <v>81</v>
      </c>
      <c r="Y144" s="1526"/>
      <c r="Z144" s="1526"/>
      <c r="AA144" s="1526"/>
      <c r="AB144" s="1526"/>
      <c r="AC144" s="1526"/>
      <c r="AD144" s="1526">
        <f>SUM(AD137:AE143)</f>
        <v>20</v>
      </c>
      <c r="AE144" s="1526"/>
      <c r="AG144" s="1094"/>
      <c r="AH144" s="1094"/>
      <c r="AI144" s="1432"/>
      <c r="AJ144" s="1432"/>
      <c r="AK144" s="1432"/>
      <c r="AL144" s="1432"/>
      <c r="AM144" s="1432">
        <v>430</v>
      </c>
      <c r="AN144" s="1432"/>
      <c r="AO144" s="1094"/>
      <c r="AP144" s="1432"/>
      <c r="AQ144" s="1432"/>
      <c r="AR144" s="1432"/>
      <c r="AS144" s="1432"/>
      <c r="AT144" s="1432">
        <v>411.28</v>
      </c>
      <c r="AU144" s="1432"/>
    </row>
    <row r="145" spans="3:47" ht="15.5">
      <c r="C145" s="1467" t="s">
        <v>227</v>
      </c>
      <c r="D145" s="1468"/>
      <c r="E145" s="1469">
        <f>+COUNTIF('Location Summary'!$D$4:$D$616,'Visual Chart'!C145)</f>
        <v>6</v>
      </c>
      <c r="F145" s="1470"/>
      <c r="G145" s="1435">
        <f>+COUNTIFS('Location Summary'!$D$4:$D$616,'Visual Chart'!C145,'Location Summary'!$K$4:$K$616,"Completed")</f>
        <v>6</v>
      </c>
      <c r="H145" s="1434"/>
      <c r="I145" s="394">
        <f t="shared" si="0"/>
        <v>0</v>
      </c>
      <c r="J145" s="1433">
        <f>+COUNTIFS('Location Summary'!$D$4:$D$616,'Visual Chart'!C145,'Location Summary'!$M$4:$M$616,"Completed")</f>
        <v>6</v>
      </c>
      <c r="K145" s="1434"/>
      <c r="L145" s="1433">
        <f t="shared" si="1"/>
        <v>0</v>
      </c>
      <c r="M145" s="1434"/>
      <c r="AI145" s="1432" t="s">
        <v>602</v>
      </c>
      <c r="AJ145" s="1432"/>
      <c r="AK145" s="1432" t="s">
        <v>2</v>
      </c>
      <c r="AL145" s="1432"/>
      <c r="AM145" s="1432"/>
      <c r="AN145" s="1432"/>
      <c r="AP145" s="1432" t="s">
        <v>602</v>
      </c>
      <c r="AQ145" s="1432"/>
      <c r="AR145" s="1432" t="s">
        <v>2</v>
      </c>
      <c r="AS145" s="1432"/>
      <c r="AT145" s="1429"/>
      <c r="AU145" s="1429"/>
    </row>
    <row r="146" spans="3:47" ht="15.5">
      <c r="C146" s="1467" t="s">
        <v>211</v>
      </c>
      <c r="D146" s="1468"/>
      <c r="E146" s="1469">
        <f>+COUNTIF('Location Summary'!$D$4:$D$616,'Visual Chart'!C146)</f>
        <v>12</v>
      </c>
      <c r="F146" s="1470"/>
      <c r="G146" s="1435">
        <f>+COUNTIFS('Location Summary'!$D$4:$D$616,'Visual Chart'!C146,'Location Summary'!$K$4:$K$616,"Completed")</f>
        <v>12</v>
      </c>
      <c r="H146" s="1434"/>
      <c r="I146" s="394">
        <f t="shared" si="0"/>
        <v>0</v>
      </c>
      <c r="J146" s="1433">
        <f>+COUNTIFS('Location Summary'!$D$4:$D$616,'Visual Chart'!C146,'Location Summary'!$M$4:$M$616,"Completed")</f>
        <v>12</v>
      </c>
      <c r="K146" s="1434"/>
      <c r="L146" s="1433">
        <f>G146-J146</f>
        <v>0</v>
      </c>
      <c r="M146" s="1434"/>
      <c r="Q146" s="748" t="s">
        <v>1271</v>
      </c>
      <c r="R146" s="735"/>
      <c r="S146" s="735"/>
      <c r="T146" s="735"/>
      <c r="U146" s="735"/>
      <c r="V146" s="735"/>
      <c r="W146" s="735"/>
      <c r="X146" s="735"/>
    </row>
    <row r="147" spans="3:47">
      <c r="C147" s="1467" t="s">
        <v>401</v>
      </c>
      <c r="D147" s="1468"/>
      <c r="E147" s="1469">
        <f>+COUNTIF('Location Summary'!$D$4:$D$616,'Visual Chart'!C147)</f>
        <v>4</v>
      </c>
      <c r="F147" s="1470"/>
      <c r="G147" s="1435">
        <f>+COUNTIFS('Location Summary'!$D$4:$D$616,'Visual Chart'!C147,'Location Summary'!$K$4:$K$616,"Completed")</f>
        <v>4</v>
      </c>
      <c r="H147" s="1434"/>
      <c r="I147" s="394">
        <f t="shared" si="0"/>
        <v>0</v>
      </c>
      <c r="J147" s="1433">
        <f>+COUNTIFS('Location Summary'!$D$4:$D$616,'Visual Chart'!C147,'Location Summary'!$M$4:$M$616,"Completed")</f>
        <v>4</v>
      </c>
      <c r="K147" s="1434"/>
      <c r="L147" s="1433">
        <f t="shared" si="1"/>
        <v>0</v>
      </c>
      <c r="M147" s="1434"/>
      <c r="R147" s="749"/>
      <c r="S147" s="749"/>
      <c r="T147" s="749"/>
      <c r="U147" s="749"/>
      <c r="V147" s="749"/>
    </row>
    <row r="148" spans="3:47">
      <c r="C148" s="1467" t="s">
        <v>184</v>
      </c>
      <c r="D148" s="1468"/>
      <c r="E148" s="1469">
        <f>+COUNTIF('Location Summary'!$D$4:$D$616,'Visual Chart'!C148)</f>
        <v>5</v>
      </c>
      <c r="F148" s="1470"/>
      <c r="G148" s="1435">
        <f>+COUNTIFS('Location Summary'!$D$4:$D$616,'Visual Chart'!C148,'Location Summary'!$K$4:$K$616,"Completed")</f>
        <v>5</v>
      </c>
      <c r="H148" s="1434"/>
      <c r="I148" s="394">
        <f t="shared" si="0"/>
        <v>0</v>
      </c>
      <c r="J148" s="1433">
        <f>+COUNTIFS('Location Summary'!$D$4:$D$616,'Visual Chart'!C148,'Location Summary'!$M$4:$M$616,"Completed")</f>
        <v>5</v>
      </c>
      <c r="K148" s="1434"/>
      <c r="L148" s="1433">
        <f t="shared" si="1"/>
        <v>0</v>
      </c>
      <c r="M148" s="1434"/>
      <c r="Q148" s="324"/>
      <c r="R148" s="324">
        <v>1</v>
      </c>
      <c r="S148" s="750" t="s">
        <v>529</v>
      </c>
      <c r="T148" s="324" t="s">
        <v>79</v>
      </c>
      <c r="V148" s="749" t="s">
        <v>1272</v>
      </c>
      <c r="W148" s="749"/>
      <c r="X148" s="749"/>
      <c r="Y148" s="749"/>
      <c r="Z148" s="749"/>
      <c r="AA148" s="749"/>
      <c r="AB148" s="749"/>
      <c r="AG148" s="351" t="s">
        <v>1606</v>
      </c>
    </row>
    <row r="149" spans="3:47">
      <c r="C149" s="1467" t="s">
        <v>228</v>
      </c>
      <c r="D149" s="1468"/>
      <c r="E149" s="1469">
        <f>+COUNTIF('Location Summary'!$D$4:$D$616,'Visual Chart'!C149)</f>
        <v>1</v>
      </c>
      <c r="F149" s="1470"/>
      <c r="G149" s="1435">
        <f>+COUNTIFS('Location Summary'!$D$4:$D$616,'Visual Chart'!C149,'Location Summary'!$K$4:$K$616,"Completed")</f>
        <v>1</v>
      </c>
      <c r="H149" s="1434"/>
      <c r="I149" s="394">
        <f t="shared" si="0"/>
        <v>0</v>
      </c>
      <c r="J149" s="1433">
        <f>+COUNTIFS('Location Summary'!$D$4:$D$616,'Visual Chart'!C149,'Location Summary'!$M$4:$M$616,"Completed")</f>
        <v>1</v>
      </c>
      <c r="K149" s="1434"/>
      <c r="L149" s="1433">
        <f t="shared" si="1"/>
        <v>0</v>
      </c>
      <c r="M149" s="1434"/>
      <c r="Q149" s="324"/>
      <c r="R149" s="324">
        <v>2</v>
      </c>
      <c r="S149" s="751" t="s">
        <v>531</v>
      </c>
      <c r="T149" s="324" t="s">
        <v>2</v>
      </c>
      <c r="V149" s="749" t="s">
        <v>1272</v>
      </c>
    </row>
    <row r="150" spans="3:47">
      <c r="C150" s="1467" t="s">
        <v>229</v>
      </c>
      <c r="D150" s="1468"/>
      <c r="E150" s="1469">
        <f>+COUNTIF('Location Summary'!$D$4:$D$616,'Visual Chart'!C150)</f>
        <v>1</v>
      </c>
      <c r="F150" s="1470"/>
      <c r="G150" s="1435">
        <f>+COUNTIFS('Location Summary'!$D$4:$D$616,'Visual Chart'!C150,'Location Summary'!$K$4:$K$616,"Completed")</f>
        <v>1</v>
      </c>
      <c r="H150" s="1434"/>
      <c r="I150" s="394">
        <f t="shared" si="0"/>
        <v>0</v>
      </c>
      <c r="J150" s="1433">
        <f>+COUNTIFS('Location Summary'!$D$4:$D$616,'Visual Chart'!C150,'Location Summary'!$M$4:$M$616,"Completed")</f>
        <v>1</v>
      </c>
      <c r="K150" s="1434"/>
      <c r="L150" s="1433">
        <f t="shared" si="1"/>
        <v>0</v>
      </c>
      <c r="M150" s="1434"/>
      <c r="Q150" s="324"/>
      <c r="R150" s="324">
        <v>3</v>
      </c>
      <c r="S150" s="751" t="s">
        <v>532</v>
      </c>
      <c r="T150" s="324" t="s">
        <v>2</v>
      </c>
      <c r="V150" s="749" t="s">
        <v>1272</v>
      </c>
      <c r="AG150" s="351" t="s">
        <v>1607</v>
      </c>
    </row>
    <row r="151" spans="3:47">
      <c r="C151" s="1467" t="s">
        <v>215</v>
      </c>
      <c r="D151" s="1468"/>
      <c r="E151" s="1469">
        <f>+COUNTIF('Location Summary'!$D$4:$D$616,'Visual Chart'!C151)</f>
        <v>4</v>
      </c>
      <c r="F151" s="1470"/>
      <c r="G151" s="1435">
        <f>+COUNTIFS('Location Summary'!$D$4:$D$616,'Visual Chart'!C151,'Location Summary'!$K$4:$K$616,"Completed")</f>
        <v>4</v>
      </c>
      <c r="H151" s="1434"/>
      <c r="I151" s="394">
        <f t="shared" si="0"/>
        <v>0</v>
      </c>
      <c r="J151" s="1433">
        <f>+COUNTIFS('Location Summary'!$D$4:$D$616,'Visual Chart'!C151,'Location Summary'!$M$4:$M$616,"Completed")</f>
        <v>3</v>
      </c>
      <c r="K151" s="1434"/>
      <c r="L151" s="1433">
        <f t="shared" si="1"/>
        <v>1</v>
      </c>
      <c r="M151" s="1434"/>
      <c r="Q151" s="324"/>
      <c r="R151" s="324">
        <v>4</v>
      </c>
      <c r="S151" s="751" t="s">
        <v>533</v>
      </c>
      <c r="T151" s="324" t="s">
        <v>3</v>
      </c>
      <c r="V151" s="749" t="s">
        <v>1272</v>
      </c>
    </row>
    <row r="152" spans="3:47">
      <c r="C152" s="1467" t="s">
        <v>185</v>
      </c>
      <c r="D152" s="1468"/>
      <c r="E152" s="1469">
        <f>+COUNTIF('Location Summary'!$D$4:$D$616,'Visual Chart'!C152)</f>
        <v>1</v>
      </c>
      <c r="F152" s="1470"/>
      <c r="G152" s="1435">
        <f>+COUNTIFS('Location Summary'!$D$4:$D$616,'Visual Chart'!C152,'Location Summary'!$K$4:$K$616,"Completed")</f>
        <v>1</v>
      </c>
      <c r="H152" s="1434"/>
      <c r="I152" s="394">
        <f t="shared" si="0"/>
        <v>0</v>
      </c>
      <c r="J152" s="1433">
        <f>+COUNTIFS('Location Summary'!$D$4:$D$616,'Visual Chart'!C152,'Location Summary'!$M$4:$M$616,"Completed")</f>
        <v>1</v>
      </c>
      <c r="K152" s="1434"/>
      <c r="L152" s="1433">
        <f t="shared" si="1"/>
        <v>0</v>
      </c>
      <c r="M152" s="1434"/>
      <c r="Q152" s="324"/>
      <c r="R152" s="324">
        <v>5</v>
      </c>
      <c r="S152" s="751" t="s">
        <v>534</v>
      </c>
      <c r="T152" s="324" t="s">
        <v>3</v>
      </c>
      <c r="V152" s="749" t="s">
        <v>1272</v>
      </c>
      <c r="AG152" s="351" t="s">
        <v>1608</v>
      </c>
    </row>
    <row r="153" spans="3:47">
      <c r="C153" s="1467" t="s">
        <v>217</v>
      </c>
      <c r="D153" s="1468"/>
      <c r="E153" s="1469">
        <f>+COUNTIF('Location Summary'!$D$4:$D$616,'Visual Chart'!C153)</f>
        <v>1</v>
      </c>
      <c r="F153" s="1470"/>
      <c r="G153" s="1435">
        <f>+COUNTIFS('Location Summary'!$D$4:$D$616,'Visual Chart'!C153,'Location Summary'!$K$4:$K$616,"Completed")</f>
        <v>1</v>
      </c>
      <c r="H153" s="1434"/>
      <c r="I153" s="394">
        <f t="shared" si="0"/>
        <v>0</v>
      </c>
      <c r="J153" s="1433">
        <f>+COUNTIFS('Location Summary'!$D$4:$D$616,'Visual Chart'!C153,'Location Summary'!$M$4:$M$616,"Completed")</f>
        <v>1</v>
      </c>
      <c r="K153" s="1434"/>
      <c r="L153" s="1433">
        <f t="shared" si="1"/>
        <v>0</v>
      </c>
      <c r="M153" s="1434"/>
      <c r="Q153" s="324"/>
      <c r="R153" s="324">
        <v>6</v>
      </c>
      <c r="S153" s="751" t="s">
        <v>535</v>
      </c>
      <c r="T153" s="324" t="s">
        <v>49</v>
      </c>
      <c r="V153" s="749" t="s">
        <v>1272</v>
      </c>
    </row>
    <row r="154" spans="3:47">
      <c r="C154" s="1467" t="s">
        <v>173</v>
      </c>
      <c r="D154" s="1468"/>
      <c r="E154" s="1469">
        <f>+COUNTIF('Location Summary'!$D$4:$D$616,'Visual Chart'!C154)</f>
        <v>2</v>
      </c>
      <c r="F154" s="1470"/>
      <c r="G154" s="1435">
        <f>+COUNTIFS('Location Summary'!$D$4:$D$616,'Visual Chart'!C154,'Location Summary'!$K$4:$K$616,"Completed")</f>
        <v>2</v>
      </c>
      <c r="H154" s="1434"/>
      <c r="I154" s="394">
        <f t="shared" si="0"/>
        <v>0</v>
      </c>
      <c r="J154" s="1433">
        <f>+COUNTIFS('Location Summary'!$D$4:$D$616,'Visual Chart'!C154,'Location Summary'!$M$4:$M$616,"Completed")</f>
        <v>2</v>
      </c>
      <c r="K154" s="1434"/>
      <c r="L154" s="1433">
        <f t="shared" si="1"/>
        <v>0</v>
      </c>
      <c r="M154" s="1434"/>
      <c r="Q154" s="324"/>
      <c r="R154" s="324">
        <v>7</v>
      </c>
      <c r="S154" s="751" t="s">
        <v>536</v>
      </c>
      <c r="T154" s="324" t="s">
        <v>3</v>
      </c>
      <c r="V154" s="749" t="s">
        <v>1272</v>
      </c>
    </row>
    <row r="155" spans="3:47">
      <c r="C155" s="575" t="s">
        <v>250</v>
      </c>
      <c r="D155" s="922"/>
      <c r="E155" s="1469">
        <f>+COUNTIF('Location Summary'!$D$4:$D$616,'Visual Chart'!C155)</f>
        <v>1</v>
      </c>
      <c r="F155" s="1470"/>
      <c r="G155" s="1435">
        <f>+COUNTIFS('Location Summary'!$D$4:$D$616,'Visual Chart'!C155,'Location Summary'!$K$4:$K$616,"Completed")</f>
        <v>1</v>
      </c>
      <c r="H155" s="1434"/>
      <c r="I155" s="394">
        <f t="shared" si="0"/>
        <v>0</v>
      </c>
      <c r="J155" s="1433">
        <f>+COUNTIFS('Location Summary'!$D$4:$D$616,'Visual Chart'!C155,'Location Summary'!$M$4:$M$616,"Completed")</f>
        <v>1</v>
      </c>
      <c r="K155" s="1434"/>
      <c r="L155" s="1433">
        <f t="shared" si="1"/>
        <v>0</v>
      </c>
      <c r="M155" s="1434"/>
    </row>
    <row r="156" spans="3:47">
      <c r="C156" s="1467" t="s">
        <v>428</v>
      </c>
      <c r="D156" s="1468"/>
      <c r="E156" s="1469">
        <f>+COUNTIF('Location Summary'!$D$4:$D$616,'Visual Chart'!C156)</f>
        <v>2</v>
      </c>
      <c r="F156" s="1470"/>
      <c r="G156" s="1435">
        <f>+COUNTIFS('Location Summary'!$D$4:$D$616,'Visual Chart'!C156,'Location Summary'!$K$4:$K$616,"Completed")</f>
        <v>2</v>
      </c>
      <c r="H156" s="1434"/>
      <c r="I156" s="394">
        <f t="shared" si="0"/>
        <v>0</v>
      </c>
      <c r="J156" s="1433">
        <f>+COUNTIFS('Location Summary'!$D$4:$D$616,'Visual Chart'!C156,'Location Summary'!$M$4:$M$616,"Completed")</f>
        <v>1</v>
      </c>
      <c r="K156" s="1434"/>
      <c r="L156" s="1433">
        <f t="shared" si="1"/>
        <v>1</v>
      </c>
      <c r="M156" s="1434"/>
    </row>
    <row r="157" spans="3:47">
      <c r="C157" s="1467" t="s">
        <v>178</v>
      </c>
      <c r="D157" s="1468"/>
      <c r="E157" s="1469">
        <f>+COUNTIF('Location Summary'!$D$4:$D$616,'Visual Chart'!C157)</f>
        <v>2</v>
      </c>
      <c r="F157" s="1470"/>
      <c r="G157" s="1435">
        <f>+COUNTIFS('Location Summary'!$D$4:$D$616,'Visual Chart'!C157,'Location Summary'!$K$4:$K$616,"Completed")</f>
        <v>2</v>
      </c>
      <c r="H157" s="1434"/>
      <c r="I157" s="394">
        <f t="shared" si="0"/>
        <v>0</v>
      </c>
      <c r="J157" s="1433">
        <f>+COUNTIFS('Location Summary'!$D$4:$D$616,'Visual Chart'!C157,'Location Summary'!$M$4:$M$616,"Completed")</f>
        <v>2</v>
      </c>
      <c r="K157" s="1434"/>
      <c r="L157" s="1433">
        <f t="shared" si="1"/>
        <v>0</v>
      </c>
      <c r="M157" s="1434"/>
    </row>
    <row r="158" spans="3:47" ht="15" customHeight="1">
      <c r="C158" s="575" t="s">
        <v>183</v>
      </c>
      <c r="D158" s="922"/>
      <c r="E158" s="1469">
        <f>+COUNTIF('Location Summary'!$D$4:$D$616,'Visual Chart'!C158)</f>
        <v>1</v>
      </c>
      <c r="F158" s="1470"/>
      <c r="G158" s="1435">
        <f>+COUNTIFS('Location Summary'!$D$4:$D$616,'Visual Chart'!C158,'Location Summary'!$K$4:$K$616,"Completed")</f>
        <v>1</v>
      </c>
      <c r="H158" s="1434"/>
      <c r="I158" s="394">
        <f t="shared" si="0"/>
        <v>0</v>
      </c>
      <c r="J158" s="1433">
        <f>+COUNTIFS('Location Summary'!$D$4:$D$616,'Visual Chart'!C158,'Location Summary'!$M$4:$M$616,"Completed")</f>
        <v>1</v>
      </c>
      <c r="K158" s="1434"/>
      <c r="L158" s="1433">
        <f>G158-J158</f>
        <v>0</v>
      </c>
      <c r="M158" s="1434"/>
    </row>
    <row r="159" spans="3:47">
      <c r="C159" s="1513" t="s">
        <v>188</v>
      </c>
      <c r="D159" s="1514"/>
      <c r="E159" s="1507">
        <f>+COUNTIF('Location Summary'!$D$4:$D$616,'Visual Chart'!C159)</f>
        <v>1</v>
      </c>
      <c r="F159" s="1508"/>
      <c r="G159" s="1435">
        <f>+COUNTIFS('Location Summary'!$D$4:$D$616,'Visual Chart'!C159,'Location Summary'!$K$4:$K$616,"Completed")</f>
        <v>1</v>
      </c>
      <c r="H159" s="1434"/>
      <c r="I159" s="1045">
        <f t="shared" si="0"/>
        <v>0</v>
      </c>
      <c r="J159" s="1433">
        <f>+COUNTIFS('Location Summary'!$D$4:$D$616,'Visual Chart'!C159,'Location Summary'!$M$4:$M$616,"Completed")</f>
        <v>1</v>
      </c>
      <c r="K159" s="1434"/>
      <c r="L159" s="1433">
        <f t="shared" si="1"/>
        <v>0</v>
      </c>
      <c r="M159" s="1434"/>
    </row>
    <row r="160" spans="3:47">
      <c r="C160" s="1513" t="s">
        <v>213</v>
      </c>
      <c r="D160" s="1514"/>
      <c r="E160" s="1507">
        <f>+COUNTIF('Location Summary'!$D$4:$D$616,'Visual Chart'!C160)</f>
        <v>2</v>
      </c>
      <c r="F160" s="1508"/>
      <c r="G160" s="1435">
        <f>+COUNTIFS('Location Summary'!$D$4:$D$616,'Visual Chart'!C160,'Location Summary'!$K$4:$K$616,"Completed")</f>
        <v>2</v>
      </c>
      <c r="H160" s="1434"/>
      <c r="I160" s="1045">
        <f t="shared" si="0"/>
        <v>0</v>
      </c>
      <c r="J160" s="1433">
        <f>+COUNTIFS('Location Summary'!$D$4:$D$616,'Visual Chart'!C160,'Location Summary'!$M$4:$M$616,"Completed")</f>
        <v>2</v>
      </c>
      <c r="K160" s="1434"/>
      <c r="L160" s="1433">
        <f t="shared" si="1"/>
        <v>0</v>
      </c>
      <c r="M160" s="1434"/>
    </row>
    <row r="161" spans="3:41">
      <c r="C161" s="1513" t="s">
        <v>209</v>
      </c>
      <c r="D161" s="1514"/>
      <c r="E161" s="1507">
        <f>+COUNTIF('Location Summary'!$D$4:$D$616,'Visual Chart'!C161)</f>
        <v>1</v>
      </c>
      <c r="F161" s="1508"/>
      <c r="G161" s="1435">
        <f>+COUNTIFS('Location Summary'!$D$4:$D$616,'Visual Chart'!C161,'Location Summary'!$K$4:$K$616,"Completed")</f>
        <v>1</v>
      </c>
      <c r="H161" s="1434"/>
      <c r="I161" s="1045">
        <f t="shared" si="0"/>
        <v>0</v>
      </c>
      <c r="J161" s="1433">
        <f>+COUNTIFS('Location Summary'!$D$4:$D$616,'Visual Chart'!C161,'Location Summary'!$M$4:$M$616,"Completed")</f>
        <v>1</v>
      </c>
      <c r="K161" s="1434"/>
      <c r="L161" s="1433">
        <f t="shared" si="1"/>
        <v>0</v>
      </c>
      <c r="M161" s="1434"/>
    </row>
    <row r="162" spans="3:41">
      <c r="C162" s="1513" t="s">
        <v>186</v>
      </c>
      <c r="D162" s="1514"/>
      <c r="E162" s="1507">
        <f>+COUNTIF('Location Summary'!$D$4:$D$616,'Visual Chart'!C162)</f>
        <v>3</v>
      </c>
      <c r="F162" s="1508"/>
      <c r="G162" s="1435">
        <f>+COUNTIFS('Location Summary'!$D$4:$D$616,'Visual Chart'!C162,'Location Summary'!$K$4:$K$616,"Completed")</f>
        <v>3</v>
      </c>
      <c r="H162" s="1434"/>
      <c r="I162" s="1045">
        <f t="shared" si="0"/>
        <v>0</v>
      </c>
      <c r="J162" s="1433">
        <f>+COUNTIFS('Location Summary'!$D$4:$D$616,'Visual Chart'!C162,'Location Summary'!$M$4:$M$616,"Completed")</f>
        <v>3</v>
      </c>
      <c r="K162" s="1434"/>
      <c r="L162" s="1433">
        <f t="shared" si="1"/>
        <v>0</v>
      </c>
      <c r="M162" s="1434"/>
    </row>
    <row r="163" spans="3:41">
      <c r="C163" s="1513" t="s">
        <v>218</v>
      </c>
      <c r="D163" s="1514"/>
      <c r="E163" s="1507">
        <f>+COUNTIF('Location Summary'!$D$4:$D$616,'Visual Chart'!C163)</f>
        <v>1</v>
      </c>
      <c r="F163" s="1508"/>
      <c r="G163" s="1435">
        <f>+COUNTIFS('Location Summary'!$D$4:$D$616,'Visual Chart'!C163,'Location Summary'!$K$4:$K$616,"Completed")</f>
        <v>1</v>
      </c>
      <c r="H163" s="1434"/>
      <c r="I163" s="1045">
        <f t="shared" si="0"/>
        <v>0</v>
      </c>
      <c r="J163" s="1433">
        <f>+COUNTIFS('Location Summary'!$D$4:$D$616,'Visual Chart'!C163,'Location Summary'!$M$4:$M$616,"Completed")</f>
        <v>1</v>
      </c>
      <c r="K163" s="1434"/>
      <c r="L163" s="1433">
        <f t="shared" si="1"/>
        <v>0</v>
      </c>
      <c r="M163" s="1434"/>
    </row>
    <row r="164" spans="3:41">
      <c r="C164" s="1511" t="s">
        <v>429</v>
      </c>
      <c r="D164" s="1512"/>
      <c r="E164" s="1509">
        <f>+COUNTIF('Location Summary'!$D$4:$D$616,'Visual Chart'!C164)</f>
        <v>2</v>
      </c>
      <c r="F164" s="1510"/>
      <c r="G164" s="1435">
        <f>+COUNTIFS('Location Summary'!$D$4:$D$616,'Visual Chart'!C164,'Location Summary'!$K$4:$K$616,"Completed")</f>
        <v>2</v>
      </c>
      <c r="H164" s="1434"/>
      <c r="I164" s="1046">
        <f t="shared" si="0"/>
        <v>0</v>
      </c>
      <c r="J164" s="1433">
        <f>+COUNTIFS('Location Summary'!$D$4:$D$616,'Visual Chart'!C164,'Location Summary'!$M$4:$M$616,"Completed")</f>
        <v>2</v>
      </c>
      <c r="K164" s="1434"/>
      <c r="L164" s="1433">
        <f t="shared" si="1"/>
        <v>0</v>
      </c>
      <c r="M164" s="1434"/>
      <c r="AO164" s="409"/>
    </row>
    <row r="165" spans="3:41">
      <c r="C165" s="1501" t="s">
        <v>81</v>
      </c>
      <c r="D165" s="1502"/>
      <c r="E165" s="1503">
        <f>SUM(E135:E164)</f>
        <v>306</v>
      </c>
      <c r="F165" s="1504"/>
      <c r="G165" s="1505">
        <f>SUM(G135:G164)</f>
        <v>306</v>
      </c>
      <c r="H165" s="1506"/>
      <c r="I165" s="395">
        <f>SUM(I135:I164)</f>
        <v>0</v>
      </c>
      <c r="J165" s="1505">
        <f>SUM(J135:J164)</f>
        <v>304</v>
      </c>
      <c r="K165" s="1506"/>
      <c r="L165" s="1505">
        <f>SUM(L135:L164)</f>
        <v>2</v>
      </c>
      <c r="M165" s="1506"/>
    </row>
  </sheetData>
  <mergeCells count="325">
    <mergeCell ref="G75:I75"/>
    <mergeCell ref="J134:K134"/>
    <mergeCell ref="L134:M134"/>
    <mergeCell ref="X144:AC144"/>
    <mergeCell ref="K59:M59"/>
    <mergeCell ref="AC51:AE51"/>
    <mergeCell ref="AD144:AE144"/>
    <mergeCell ref="J133:M133"/>
    <mergeCell ref="AD143:AE143"/>
    <mergeCell ref="AD140:AE140"/>
    <mergeCell ref="P140:T140"/>
    <mergeCell ref="U143:V143"/>
    <mergeCell ref="P143:T143"/>
    <mergeCell ref="P144:T144"/>
    <mergeCell ref="U144:V144"/>
    <mergeCell ref="X143:AC143"/>
    <mergeCell ref="AJ51:AL51"/>
    <mergeCell ref="X138:AC138"/>
    <mergeCell ref="X139:AC139"/>
    <mergeCell ref="AD138:AE138"/>
    <mergeCell ref="AD139:AE139"/>
    <mergeCell ref="U138:V138"/>
    <mergeCell ref="U139:V139"/>
    <mergeCell ref="AN59:AQ59"/>
    <mergeCell ref="AF123:AH123"/>
    <mergeCell ref="AG134:AT134"/>
    <mergeCell ref="AI136:AJ136"/>
    <mergeCell ref="AI137:AJ137"/>
    <mergeCell ref="AI138:AJ138"/>
    <mergeCell ref="AI139:AJ139"/>
    <mergeCell ref="AI135:AN135"/>
    <mergeCell ref="AP136:AQ136"/>
    <mergeCell ref="AP137:AQ137"/>
    <mergeCell ref="AP138:AQ138"/>
    <mergeCell ref="AP139:AQ139"/>
    <mergeCell ref="AK136:AL136"/>
    <mergeCell ref="AK137:AL137"/>
    <mergeCell ref="AK138:AL138"/>
    <mergeCell ref="AK139:AL139"/>
    <mergeCell ref="AQ99:AT99"/>
    <mergeCell ref="L154:M154"/>
    <mergeCell ref="G142:H142"/>
    <mergeCell ref="J142:K142"/>
    <mergeCell ref="G135:H135"/>
    <mergeCell ref="J135:K135"/>
    <mergeCell ref="L135:M135"/>
    <mergeCell ref="L148:M148"/>
    <mergeCell ref="L147:M147"/>
    <mergeCell ref="G160:H160"/>
    <mergeCell ref="J160:K160"/>
    <mergeCell ref="L160:M160"/>
    <mergeCell ref="G157:H157"/>
    <mergeCell ref="J157:K157"/>
    <mergeCell ref="L157:M157"/>
    <mergeCell ref="G159:H159"/>
    <mergeCell ref="J159:K159"/>
    <mergeCell ref="L159:M159"/>
    <mergeCell ref="E161:F161"/>
    <mergeCell ref="C160:D160"/>
    <mergeCell ref="E157:F157"/>
    <mergeCell ref="E159:F159"/>
    <mergeCell ref="E158:F158"/>
    <mergeCell ref="E156:F156"/>
    <mergeCell ref="C161:D161"/>
    <mergeCell ref="C159:D159"/>
    <mergeCell ref="C157:D157"/>
    <mergeCell ref="C156:D156"/>
    <mergeCell ref="E160:F160"/>
    <mergeCell ref="C154:D154"/>
    <mergeCell ref="E155:F155"/>
    <mergeCell ref="E154:F154"/>
    <mergeCell ref="C149:D149"/>
    <mergeCell ref="E148:F148"/>
    <mergeCell ref="J155:K155"/>
    <mergeCell ref="G149:H149"/>
    <mergeCell ref="C150:D150"/>
    <mergeCell ref="C151:D151"/>
    <mergeCell ref="E153:F153"/>
    <mergeCell ref="E150:F150"/>
    <mergeCell ref="E151:F151"/>
    <mergeCell ref="E149:F149"/>
    <mergeCell ref="E152:F152"/>
    <mergeCell ref="C153:D153"/>
    <mergeCell ref="C152:D152"/>
    <mergeCell ref="G148:H148"/>
    <mergeCell ref="J148:K148"/>
    <mergeCell ref="G155:H155"/>
    <mergeCell ref="G154:H154"/>
    <mergeCell ref="J154:K154"/>
    <mergeCell ref="C165:D165"/>
    <mergeCell ref="E165:F165"/>
    <mergeCell ref="G165:H165"/>
    <mergeCell ref="J165:K165"/>
    <mergeCell ref="L165:M165"/>
    <mergeCell ref="G162:H162"/>
    <mergeCell ref="J162:K162"/>
    <mergeCell ref="L162:M162"/>
    <mergeCell ref="E163:F163"/>
    <mergeCell ref="G163:H163"/>
    <mergeCell ref="J163:K163"/>
    <mergeCell ref="L163:M163"/>
    <mergeCell ref="E162:F162"/>
    <mergeCell ref="E164:F164"/>
    <mergeCell ref="G164:H164"/>
    <mergeCell ref="J164:K164"/>
    <mergeCell ref="L164:M164"/>
    <mergeCell ref="C164:D164"/>
    <mergeCell ref="C162:D162"/>
    <mergeCell ref="C163:D163"/>
    <mergeCell ref="B23:B25"/>
    <mergeCell ref="AL9:AQ9"/>
    <mergeCell ref="M6:O6"/>
    <mergeCell ref="P6:Q6"/>
    <mergeCell ref="Z6:Z9"/>
    <mergeCell ref="AC10:AF10"/>
    <mergeCell ref="AL10:AQ10"/>
    <mergeCell ref="AC5:AF5"/>
    <mergeCell ref="AL5:AQ5"/>
    <mergeCell ref="K6:L6"/>
    <mergeCell ref="P8:Q8"/>
    <mergeCell ref="AB6:AB9"/>
    <mergeCell ref="AL6:AQ6"/>
    <mergeCell ref="M9:O9"/>
    <mergeCell ref="P9:Q9"/>
    <mergeCell ref="M7:O7"/>
    <mergeCell ref="P7:Q7"/>
    <mergeCell ref="AA7:AA8"/>
    <mergeCell ref="B15:B17"/>
    <mergeCell ref="I8:J8"/>
    <mergeCell ref="K8:L8"/>
    <mergeCell ref="M5:O5"/>
    <mergeCell ref="P11:Q11"/>
    <mergeCell ref="C5:D5"/>
    <mergeCell ref="B1:AT1"/>
    <mergeCell ref="AQ2:AS2"/>
    <mergeCell ref="C4:D4"/>
    <mergeCell ref="E4:H4"/>
    <mergeCell ref="I4:J4"/>
    <mergeCell ref="K4:L4"/>
    <mergeCell ref="M4:O4"/>
    <mergeCell ref="P4:Q4"/>
    <mergeCell ref="AC4:AF4"/>
    <mergeCell ref="AL4:AQ4"/>
    <mergeCell ref="C137:D137"/>
    <mergeCell ref="C132:M132"/>
    <mergeCell ref="C133:D134"/>
    <mergeCell ref="E133:F134"/>
    <mergeCell ref="G141:H141"/>
    <mergeCell ref="J141:K141"/>
    <mergeCell ref="L141:M141"/>
    <mergeCell ref="E140:F140"/>
    <mergeCell ref="G140:H140"/>
    <mergeCell ref="J140:K140"/>
    <mergeCell ref="L140:M140"/>
    <mergeCell ref="G138:H138"/>
    <mergeCell ref="J138:K138"/>
    <mergeCell ref="L138:M138"/>
    <mergeCell ref="E139:F139"/>
    <mergeCell ref="E137:F137"/>
    <mergeCell ref="L137:M137"/>
    <mergeCell ref="J136:K136"/>
    <mergeCell ref="L136:M136"/>
    <mergeCell ref="G137:H137"/>
    <mergeCell ref="G136:H136"/>
    <mergeCell ref="E135:F135"/>
    <mergeCell ref="E136:F136"/>
    <mergeCell ref="G134:H134"/>
    <mergeCell ref="C147:D147"/>
    <mergeCell ref="C141:D141"/>
    <mergeCell ref="C142:D142"/>
    <mergeCell ref="C148:D148"/>
    <mergeCell ref="L145:M145"/>
    <mergeCell ref="L146:M146"/>
    <mergeCell ref="L144:M144"/>
    <mergeCell ref="C138:D138"/>
    <mergeCell ref="C139:D139"/>
    <mergeCell ref="E141:F141"/>
    <mergeCell ref="E143:F143"/>
    <mergeCell ref="L139:M139"/>
    <mergeCell ref="L142:M142"/>
    <mergeCell ref="L143:M143"/>
    <mergeCell ref="G139:H139"/>
    <mergeCell ref="J139:K139"/>
    <mergeCell ref="G146:H146"/>
    <mergeCell ref="J146:K146"/>
    <mergeCell ref="C146:D146"/>
    <mergeCell ref="E146:F146"/>
    <mergeCell ref="G147:H147"/>
    <mergeCell ref="J147:K147"/>
    <mergeCell ref="E147:F147"/>
    <mergeCell ref="E5:H5"/>
    <mergeCell ref="I5:J5"/>
    <mergeCell ref="C143:D143"/>
    <mergeCell ref="C144:D144"/>
    <mergeCell ref="C145:D145"/>
    <mergeCell ref="C8:D8"/>
    <mergeCell ref="E8:H8"/>
    <mergeCell ref="E144:F144"/>
    <mergeCell ref="C136:D136"/>
    <mergeCell ref="J137:K137"/>
    <mergeCell ref="E138:F138"/>
    <mergeCell ref="G143:H143"/>
    <mergeCell ref="J143:K143"/>
    <mergeCell ref="K5:L5"/>
    <mergeCell ref="C6:D6"/>
    <mergeCell ref="G133:I133"/>
    <mergeCell ref="E142:F142"/>
    <mergeCell ref="G144:H144"/>
    <mergeCell ref="J144:K144"/>
    <mergeCell ref="C140:D140"/>
    <mergeCell ref="E145:F145"/>
    <mergeCell ref="G145:H145"/>
    <mergeCell ref="J145:K145"/>
    <mergeCell ref="C135:D135"/>
    <mergeCell ref="P5:Q5"/>
    <mergeCell ref="P99:R99"/>
    <mergeCell ref="X140:AC140"/>
    <mergeCell ref="X141:AC141"/>
    <mergeCell ref="X142:AC142"/>
    <mergeCell ref="U140:V140"/>
    <mergeCell ref="U141:V141"/>
    <mergeCell ref="U142:V142"/>
    <mergeCell ref="P136:V136"/>
    <mergeCell ref="P134:AE134"/>
    <mergeCell ref="X136:AE136"/>
    <mergeCell ref="X137:AC137"/>
    <mergeCell ref="P139:T139"/>
    <mergeCell ref="AD137:AE137"/>
    <mergeCell ref="AD141:AE141"/>
    <mergeCell ref="AD142:AE142"/>
    <mergeCell ref="U137:V137"/>
    <mergeCell ref="P141:T141"/>
    <mergeCell ref="P142:T142"/>
    <mergeCell ref="P137:T137"/>
    <mergeCell ref="P138:T138"/>
    <mergeCell ref="AL7:AQ8"/>
    <mergeCell ref="AC7:AF8"/>
    <mergeCell ref="M8:O8"/>
    <mergeCell ref="C9:D9"/>
    <mergeCell ref="E9:H9"/>
    <mergeCell ref="I9:J9"/>
    <mergeCell ref="K9:L9"/>
    <mergeCell ref="C7:D7"/>
    <mergeCell ref="E7:H7"/>
    <mergeCell ref="I7:J7"/>
    <mergeCell ref="K7:L7"/>
    <mergeCell ref="AK6:AK9"/>
    <mergeCell ref="AC6:AF6"/>
    <mergeCell ref="AI6:AI9"/>
    <mergeCell ref="AC9:AF9"/>
    <mergeCell ref="E6:H6"/>
    <mergeCell ref="I6:J6"/>
    <mergeCell ref="L161:M161"/>
    <mergeCell ref="J158:K158"/>
    <mergeCell ref="L158:M158"/>
    <mergeCell ref="J152:K152"/>
    <mergeCell ref="J149:K149"/>
    <mergeCell ref="L149:M149"/>
    <mergeCell ref="L156:M156"/>
    <mergeCell ref="G152:H152"/>
    <mergeCell ref="G153:H153"/>
    <mergeCell ref="J153:K153"/>
    <mergeCell ref="L153:M153"/>
    <mergeCell ref="G150:H150"/>
    <mergeCell ref="J150:K150"/>
    <mergeCell ref="L150:M150"/>
    <mergeCell ref="G151:H151"/>
    <mergeCell ref="L152:M152"/>
    <mergeCell ref="J151:K151"/>
    <mergeCell ref="L151:M151"/>
    <mergeCell ref="G156:H156"/>
    <mergeCell ref="J156:K156"/>
    <mergeCell ref="L155:M155"/>
    <mergeCell ref="G161:H161"/>
    <mergeCell ref="J161:K161"/>
    <mergeCell ref="G158:H158"/>
    <mergeCell ref="AR143:AS143"/>
    <mergeCell ref="AR144:AS144"/>
    <mergeCell ref="AR145:AS145"/>
    <mergeCell ref="AK140:AL140"/>
    <mergeCell ref="AK145:AL145"/>
    <mergeCell ref="AM136:AN136"/>
    <mergeCell ref="AM137:AN137"/>
    <mergeCell ref="AM138:AN138"/>
    <mergeCell ref="AM139:AN139"/>
    <mergeCell ref="AM140:AN140"/>
    <mergeCell ref="AM141:AN141"/>
    <mergeCell ref="AM142:AN142"/>
    <mergeCell ref="AM143:AN143"/>
    <mergeCell ref="AM144:AN144"/>
    <mergeCell ref="AM145:AN145"/>
    <mergeCell ref="AK144:AL144"/>
    <mergeCell ref="AI140:AJ140"/>
    <mergeCell ref="AI141:AJ141"/>
    <mergeCell ref="AI142:AJ142"/>
    <mergeCell ref="AI143:AJ143"/>
    <mergeCell ref="AK143:AL143"/>
    <mergeCell ref="AK141:AL141"/>
    <mergeCell ref="AK142:AL142"/>
    <mergeCell ref="AI145:AJ145"/>
    <mergeCell ref="AI144:AJ144"/>
    <mergeCell ref="AT145:AU145"/>
    <mergeCell ref="AP135:AT135"/>
    <mergeCell ref="AT136:AU136"/>
    <mergeCell ref="AT137:AU137"/>
    <mergeCell ref="AT138:AU138"/>
    <mergeCell ref="AT139:AU139"/>
    <mergeCell ref="AT140:AU140"/>
    <mergeCell ref="AT141:AU141"/>
    <mergeCell ref="AT142:AU142"/>
    <mergeCell ref="AT143:AU143"/>
    <mergeCell ref="AT144:AU144"/>
    <mergeCell ref="AP143:AQ143"/>
    <mergeCell ref="AP144:AQ144"/>
    <mergeCell ref="AP145:AQ145"/>
    <mergeCell ref="AR136:AS136"/>
    <mergeCell ref="AR137:AS137"/>
    <mergeCell ref="AR138:AS138"/>
    <mergeCell ref="AR139:AS139"/>
    <mergeCell ref="AR140:AS140"/>
    <mergeCell ref="AP140:AQ140"/>
    <mergeCell ref="AP141:AQ141"/>
    <mergeCell ref="AP142:AQ142"/>
    <mergeCell ref="AR141:AS141"/>
    <mergeCell ref="AR142:AS142"/>
  </mergeCells>
  <conditionalFormatting sqref="A14:XFD18 A19:Q19 V19:XFD19 A20:XFD20 A21:W21 Y21:XFD21 A22:XFD35 A36:S36 U36:XFD36 A37:XFD42 A43:H43 P43:XFD43 A44:AG44 AI44:XFD44 A45:AI45 AK45:XFD45 A46:AG46 AI46:XFD46 A47:XFD50 A51:AC51 AF51:AJ51 AM51:XFD51 A52:XFD52 A53:AK53 AM53:XFD53 A54:T54 V54:XFD54 A55:XFD58 A59:K59 N59:R59 T59:AN59 AR59:XFD59 A60:XFD60 A61:AG61 AI61:XFD61 A62:XFD66 A67:E67 R67:XFD67 A68:XFD73 A74:BS74 BU74:XFD74 A75:G75 J75:XFD75 A76:XFD83 A84:U84 W84:XFD84 A85:AE86 AG85:XFD86 A87:XFD91 A92:G92 I92:XFD92 I93 K93:XFD93 A93:C94 E93:E94 G93:G94 I94:XFD94 A95:XFD98 A99:P99 S99 U99:AF99 AI99 AK99:AQ99 AU99:XFD99 A100:XFD117 A118:AC118 AE118:XFD118 A119:XFD122 A123:AF123 AI123:AQ123 AT123:XFD123 A124:M124 P124:AP124 AR124:XFD124 A125:L125 P125:XFD130 A126:M126 A127:I127 K127:M127 A128:M130">
    <cfRule type="cellIs" dxfId="225" priority="17" operator="equal">
      <formula>5</formula>
    </cfRule>
    <cfRule type="cellIs" dxfId="224" priority="18" operator="equal">
      <formula>3</formula>
    </cfRule>
    <cfRule type="cellIs" dxfId="223" priority="19" operator="equal">
      <formula>2</formula>
    </cfRule>
    <cfRule type="cellIs" dxfId="222" priority="20" operator="equal">
      <formula>1</formula>
    </cfRule>
  </conditionalFormatting>
  <conditionalFormatting sqref="C131">
    <cfRule type="cellIs" dxfId="221" priority="13" operator="equal">
      <formula>5</formula>
    </cfRule>
    <cfRule type="cellIs" dxfId="220" priority="14" operator="equal">
      <formula>3</formula>
    </cfRule>
    <cfRule type="cellIs" dxfId="219" priority="15" operator="equal">
      <formula>2</formula>
    </cfRule>
    <cfRule type="cellIs" dxfId="218" priority="16" operator="equal">
      <formula>1</formula>
    </cfRule>
  </conditionalFormatting>
  <conditionalFormatting sqref="I131">
    <cfRule type="cellIs" dxfId="217" priority="9" operator="equal">
      <formula>5</formula>
    </cfRule>
    <cfRule type="cellIs" dxfId="216" priority="10" operator="equal">
      <formula>3</formula>
    </cfRule>
    <cfRule type="cellIs" dxfId="215" priority="11" operator="equal">
      <formula>2</formula>
    </cfRule>
    <cfRule type="cellIs" dxfId="214" priority="12" operator="equal">
      <formula>1</formula>
    </cfRule>
  </conditionalFormatting>
  <conditionalFormatting sqref="AV131">
    <cfRule type="cellIs" dxfId="213" priority="1" operator="equal">
      <formula>5</formula>
    </cfRule>
    <cfRule type="cellIs" dxfId="212" priority="2" operator="equal">
      <formula>3</formula>
    </cfRule>
    <cfRule type="cellIs" dxfId="211" priority="3" operator="equal">
      <formula>2</formula>
    </cfRule>
    <cfRule type="cellIs" dxfId="210" priority="4" operator="equal">
      <formula>1</formula>
    </cfRule>
  </conditionalFormatting>
  <printOptions horizontalCentered="1"/>
  <pageMargins left="0" right="0" top="0" bottom="0" header="0" footer="0"/>
  <pageSetup paperSize="9" scale="64" fitToHeight="0" orientation="landscape" r:id="rId1"/>
  <headerFooter>
    <oddFooter>Page &amp;P of &amp;N</oddFooter>
  </headerFooter>
  <rowBreaks count="3" manualBreakCount="3">
    <brk id="51" max="45" man="1"/>
    <brk id="99" max="45" man="1"/>
    <brk id="131" max="45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rgb="FF00B050"/>
  </sheetPr>
  <dimension ref="A1:Z48"/>
  <sheetViews>
    <sheetView showGridLines="0" zoomScaleNormal="100" workbookViewId="0">
      <pane xSplit="6" ySplit="5" topLeftCell="G39" activePane="bottomRight" state="frozen"/>
      <selection pane="topRight" activeCell="G1" sqref="G1"/>
      <selection pane="bottomLeft" activeCell="A6" sqref="A6"/>
      <selection pane="bottomRight" activeCell="E44" sqref="E44"/>
    </sheetView>
  </sheetViews>
  <sheetFormatPr defaultColWidth="9.1796875" defaultRowHeight="14.5"/>
  <cols>
    <col min="1" max="1" width="7.7265625" style="613" customWidth="1"/>
    <col min="2" max="2" width="8.1796875" style="613" customWidth="1"/>
    <col min="3" max="3" width="9.1796875" style="613"/>
    <col min="4" max="4" width="9.54296875" style="613" customWidth="1"/>
    <col min="5" max="5" width="11.7265625" style="613" customWidth="1"/>
    <col min="6" max="6" width="10.7265625" style="613" customWidth="1"/>
    <col min="7" max="7" width="11.26953125" style="613" customWidth="1"/>
    <col min="8" max="8" width="10.54296875" style="613" bestFit="1" customWidth="1"/>
    <col min="9" max="10" width="11.7265625" style="613" customWidth="1"/>
    <col min="11" max="11" width="11" style="613" bestFit="1" customWidth="1"/>
    <col min="12" max="12" width="11" style="613" customWidth="1"/>
    <col min="13" max="13" width="10" style="613" bestFit="1" customWidth="1"/>
    <col min="14" max="14" width="10.26953125" style="613" bestFit="1" customWidth="1"/>
    <col min="15" max="17" width="10.26953125" style="613" customWidth="1"/>
    <col min="18" max="18" width="13" style="613" bestFit="1" customWidth="1"/>
    <col min="19" max="19" width="14.7265625" style="613" customWidth="1"/>
    <col min="20" max="20" width="18.7265625" style="613" customWidth="1"/>
    <col min="21" max="21" width="56.90625" style="613" customWidth="1"/>
    <col min="22" max="22" width="14.54296875" style="613" bestFit="1" customWidth="1"/>
    <col min="23" max="23" width="9.1796875" style="613"/>
    <col min="24" max="24" width="12.453125" style="613" bestFit="1" customWidth="1"/>
    <col min="25" max="16384" width="9.1796875" style="613"/>
  </cols>
  <sheetData>
    <row r="1" spans="1:25" ht="16" thickBot="1">
      <c r="A1" s="1532" t="str">
        <f>Erection!A1</f>
        <v>KEC International Limited</v>
      </c>
      <c r="B1" s="1533"/>
      <c r="C1" s="1533"/>
      <c r="D1" s="1533"/>
      <c r="E1" s="1533"/>
      <c r="F1" s="1533"/>
      <c r="G1" s="1533"/>
      <c r="H1" s="1533"/>
      <c r="I1" s="1533"/>
      <c r="J1" s="1533"/>
      <c r="K1" s="1533"/>
      <c r="L1" s="1533"/>
      <c r="M1" s="1533"/>
      <c r="N1" s="1533"/>
      <c r="O1" s="1533"/>
      <c r="P1" s="1533"/>
      <c r="Q1" s="1533"/>
      <c r="R1" s="1533"/>
      <c r="S1" s="1533"/>
      <c r="T1" s="1533"/>
      <c r="U1" s="1534"/>
    </row>
    <row r="2" spans="1:25" ht="15.5">
      <c r="A2" s="1535" t="str">
        <f>Erection!A2</f>
        <v xml:space="preserve"> TA413 : 765 KV D/C Bikaner III - Neemrana II TL02</v>
      </c>
      <c r="B2" s="1536"/>
      <c r="C2" s="1536"/>
      <c r="D2" s="1536"/>
      <c r="E2" s="1536"/>
      <c r="F2" s="1536"/>
      <c r="G2" s="1536"/>
      <c r="H2" s="1536"/>
      <c r="I2" s="1536"/>
      <c r="J2" s="1536"/>
      <c r="K2" s="1536"/>
      <c r="L2" s="1536"/>
      <c r="M2" s="1536"/>
      <c r="N2" s="1536"/>
      <c r="O2" s="1536"/>
      <c r="P2" s="1536"/>
      <c r="Q2" s="1536"/>
      <c r="R2" s="1536"/>
      <c r="S2" s="1536"/>
      <c r="T2" s="1536"/>
      <c r="U2" s="1537"/>
    </row>
    <row r="3" spans="1:25" ht="16" thickBot="1">
      <c r="A3" s="1538" t="s">
        <v>107</v>
      </c>
      <c r="B3" s="1539"/>
      <c r="C3" s="1539"/>
      <c r="D3" s="1539"/>
      <c r="E3" s="1539"/>
      <c r="F3" s="1539"/>
      <c r="G3" s="1539"/>
      <c r="H3" s="1539"/>
      <c r="I3" s="1539"/>
      <c r="J3" s="1539"/>
      <c r="K3" s="1539"/>
      <c r="L3" s="1539"/>
      <c r="M3" s="1539"/>
      <c r="N3" s="1539"/>
      <c r="O3" s="1539"/>
      <c r="P3" s="1539"/>
      <c r="Q3" s="1539"/>
      <c r="R3" s="1539"/>
      <c r="S3" s="1539"/>
      <c r="T3" s="1539"/>
      <c r="U3" s="1301" t="str">
        <f>TA413_PBNTL!M1</f>
        <v>17.07.2026</v>
      </c>
    </row>
    <row r="4" spans="1:25" ht="15.65" customHeight="1">
      <c r="A4" s="1540" t="s">
        <v>41</v>
      </c>
      <c r="B4" s="1542" t="s">
        <v>42</v>
      </c>
      <c r="C4" s="1544" t="s">
        <v>94</v>
      </c>
      <c r="D4" s="1544"/>
      <c r="E4" s="1544"/>
      <c r="F4" s="1302"/>
      <c r="G4" s="1302"/>
      <c r="H4" s="1302"/>
      <c r="I4" s="1302"/>
      <c r="J4" s="1302"/>
      <c r="K4" s="1302"/>
      <c r="L4" s="1302"/>
      <c r="M4" s="1302"/>
      <c r="N4" s="1302"/>
      <c r="O4" s="1302"/>
      <c r="P4" s="1302"/>
      <c r="Q4" s="1302"/>
      <c r="R4" s="1303">
        <f>SUM(R6:R35)/10^7</f>
        <v>7.484585479944454</v>
      </c>
      <c r="S4" s="1303"/>
      <c r="T4" s="1302"/>
      <c r="U4" s="1304"/>
    </row>
    <row r="5" spans="1:25" ht="53.25" customHeight="1" thickBot="1">
      <c r="A5" s="1541"/>
      <c r="B5" s="1543"/>
      <c r="C5" s="1305" t="s">
        <v>95</v>
      </c>
      <c r="D5" s="1306" t="s">
        <v>96</v>
      </c>
      <c r="E5" s="1305" t="s">
        <v>97</v>
      </c>
      <c r="F5" s="1305" t="s">
        <v>98</v>
      </c>
      <c r="G5" s="1305" t="s">
        <v>1658</v>
      </c>
      <c r="H5" s="1305" t="s">
        <v>1575</v>
      </c>
      <c r="I5" s="1305" t="s">
        <v>1576</v>
      </c>
      <c r="J5" s="1305" t="s">
        <v>102</v>
      </c>
      <c r="K5" s="1305" t="s">
        <v>103</v>
      </c>
      <c r="L5" s="1305" t="s">
        <v>1622</v>
      </c>
      <c r="M5" s="1305" t="s">
        <v>288</v>
      </c>
      <c r="N5" s="1305" t="s">
        <v>1464</v>
      </c>
      <c r="O5" s="1305" t="s">
        <v>1619</v>
      </c>
      <c r="P5" s="1305" t="s">
        <v>1618</v>
      </c>
      <c r="Q5" s="1305" t="s">
        <v>1620</v>
      </c>
      <c r="R5" s="1305" t="s">
        <v>272</v>
      </c>
      <c r="S5" s="1305" t="s">
        <v>1653</v>
      </c>
      <c r="T5" s="1307" t="s">
        <v>87</v>
      </c>
      <c r="U5" s="1308" t="s">
        <v>1</v>
      </c>
    </row>
    <row r="6" spans="1:25">
      <c r="A6" s="1309">
        <v>1</v>
      </c>
      <c r="B6" s="1310">
        <v>1</v>
      </c>
      <c r="C6" s="1310" t="s">
        <v>574</v>
      </c>
      <c r="D6" s="1310" t="s">
        <v>587</v>
      </c>
      <c r="E6" s="1311">
        <v>4.8985880000000002</v>
      </c>
      <c r="F6" s="1311">
        <f>E6</f>
        <v>4.8985880000000002</v>
      </c>
      <c r="G6" s="1311" t="s">
        <v>1280</v>
      </c>
      <c r="H6" s="1312">
        <f>I6-2</f>
        <v>45694</v>
      </c>
      <c r="I6" s="1313">
        <v>45696</v>
      </c>
      <c r="J6" s="1313">
        <v>45709</v>
      </c>
      <c r="K6" s="1313">
        <v>45714</v>
      </c>
      <c r="L6" s="1312">
        <f>M6-3</f>
        <v>45717</v>
      </c>
      <c r="M6" s="1313">
        <v>45720</v>
      </c>
      <c r="N6" s="1313">
        <v>45721</v>
      </c>
      <c r="O6" s="96" t="s">
        <v>1676</v>
      </c>
      <c r="P6" s="96" t="s">
        <v>1676</v>
      </c>
      <c r="Q6" s="96" t="s">
        <v>1676</v>
      </c>
      <c r="R6" s="1314">
        <f t="shared" ref="R6:R15" si="0">958667.19*E6</f>
        <v>4696115.5929277195</v>
      </c>
      <c r="S6" s="1314" t="s">
        <v>1654</v>
      </c>
      <c r="T6" s="1310" t="s">
        <v>1195</v>
      </c>
      <c r="U6" s="1315" t="s">
        <v>962</v>
      </c>
      <c r="V6" s="1531" t="s">
        <v>1196</v>
      </c>
      <c r="W6" s="1531"/>
      <c r="X6" s="1531"/>
      <c r="Y6" s="1531"/>
    </row>
    <row r="7" spans="1:25">
      <c r="A7" s="1257">
        <v>2</v>
      </c>
      <c r="B7" s="608">
        <v>1</v>
      </c>
      <c r="C7" s="608" t="s">
        <v>775</v>
      </c>
      <c r="D7" s="608" t="s">
        <v>1275</v>
      </c>
      <c r="E7" s="933">
        <f>2583.589/1000</f>
        <v>2.5835889999999999</v>
      </c>
      <c r="F7" s="933">
        <f t="shared" ref="F7:F47" si="1">E7+F6</f>
        <v>7.4821770000000001</v>
      </c>
      <c r="G7" s="933" t="s">
        <v>1280</v>
      </c>
      <c r="H7" s="96">
        <f t="shared" ref="H7:H18" si="2">I7-2</f>
        <v>45727</v>
      </c>
      <c r="I7" s="96">
        <v>45729</v>
      </c>
      <c r="J7" s="96">
        <v>45733</v>
      </c>
      <c r="K7" s="96">
        <v>45736</v>
      </c>
      <c r="L7" s="96">
        <f>M7-3</f>
        <v>45760</v>
      </c>
      <c r="M7" s="96">
        <v>45763</v>
      </c>
      <c r="N7" s="96">
        <v>45764</v>
      </c>
      <c r="O7" s="96">
        <v>45768</v>
      </c>
      <c r="P7" s="96">
        <v>45783</v>
      </c>
      <c r="Q7" s="96" t="s">
        <v>1676</v>
      </c>
      <c r="R7" s="1289">
        <f t="shared" si="0"/>
        <v>2476802.0067449096</v>
      </c>
      <c r="S7" s="1289" t="s">
        <v>1654</v>
      </c>
      <c r="T7" s="608" t="s">
        <v>1195</v>
      </c>
      <c r="U7" s="1156" t="s">
        <v>962</v>
      </c>
    </row>
    <row r="8" spans="1:25" s="308" customFormat="1">
      <c r="A8" s="986">
        <v>3</v>
      </c>
      <c r="B8" s="62">
        <v>2</v>
      </c>
      <c r="C8" s="62" t="s">
        <v>606</v>
      </c>
      <c r="D8" s="62" t="s">
        <v>617</v>
      </c>
      <c r="E8" s="554">
        <v>4.1636769999999999</v>
      </c>
      <c r="F8" s="554">
        <f t="shared" si="1"/>
        <v>11.645854</v>
      </c>
      <c r="G8" s="554" t="s">
        <v>1280</v>
      </c>
      <c r="H8" s="96">
        <f t="shared" si="2"/>
        <v>45742</v>
      </c>
      <c r="I8" s="722">
        <v>45744</v>
      </c>
      <c r="J8" s="722">
        <v>45745</v>
      </c>
      <c r="K8" s="722">
        <v>45752</v>
      </c>
      <c r="L8" s="96">
        <f t="shared" ref="L8:L17" si="3">M8-1</f>
        <v>45762</v>
      </c>
      <c r="M8" s="722">
        <v>45763</v>
      </c>
      <c r="N8" s="96">
        <v>45764</v>
      </c>
      <c r="O8" s="96" t="s">
        <v>1676</v>
      </c>
      <c r="P8" s="96" t="s">
        <v>1676</v>
      </c>
      <c r="Q8" s="96" t="s">
        <v>1676</v>
      </c>
      <c r="R8" s="1117">
        <f t="shared" si="0"/>
        <v>3991580.5296576298</v>
      </c>
      <c r="S8" s="1117" t="s">
        <v>1654</v>
      </c>
      <c r="T8" s="62" t="s">
        <v>1195</v>
      </c>
      <c r="U8" s="1156" t="s">
        <v>962</v>
      </c>
      <c r="V8" s="1316">
        <f>R10+R11</f>
        <v>4921849.1214882601</v>
      </c>
      <c r="X8" s="1316">
        <f>V8/10^7</f>
        <v>0.49218491214882604</v>
      </c>
    </row>
    <row r="9" spans="1:25">
      <c r="A9" s="1257">
        <v>4</v>
      </c>
      <c r="B9" s="62">
        <v>3</v>
      </c>
      <c r="C9" s="608" t="s">
        <v>617</v>
      </c>
      <c r="D9" s="608" t="s">
        <v>629</v>
      </c>
      <c r="E9" s="933">
        <v>4.7160000000000002</v>
      </c>
      <c r="F9" s="933">
        <f t="shared" si="1"/>
        <v>16.361854000000001</v>
      </c>
      <c r="G9" s="554" t="s">
        <v>1280</v>
      </c>
      <c r="H9" s="96">
        <f t="shared" si="2"/>
        <v>45751</v>
      </c>
      <c r="I9" s="96">
        <v>45753</v>
      </c>
      <c r="J9" s="96">
        <v>45772</v>
      </c>
      <c r="K9" s="96">
        <v>45776</v>
      </c>
      <c r="L9" s="96">
        <f t="shared" si="3"/>
        <v>45776</v>
      </c>
      <c r="M9" s="96">
        <v>45777</v>
      </c>
      <c r="N9" s="96">
        <v>45804</v>
      </c>
      <c r="O9" s="96" t="s">
        <v>1676</v>
      </c>
      <c r="P9" s="96">
        <v>46014</v>
      </c>
      <c r="Q9" s="96">
        <v>46014</v>
      </c>
      <c r="R9" s="1289">
        <f t="shared" si="0"/>
        <v>4521074.4680399997</v>
      </c>
      <c r="S9" s="1289" t="s">
        <v>1654</v>
      </c>
      <c r="T9" s="608" t="s">
        <v>1195</v>
      </c>
      <c r="U9" s="1156" t="s">
        <v>962</v>
      </c>
      <c r="V9" s="1157"/>
      <c r="W9" s="1158"/>
    </row>
    <row r="10" spans="1:25">
      <c r="A10" s="986">
        <v>5</v>
      </c>
      <c r="B10" s="62">
        <v>4</v>
      </c>
      <c r="C10" s="62" t="s">
        <v>540</v>
      </c>
      <c r="D10" s="62" t="s">
        <v>541</v>
      </c>
      <c r="E10" s="554">
        <f>2699.284/1000</f>
        <v>2.699284</v>
      </c>
      <c r="F10" s="554">
        <f t="shared" si="1"/>
        <v>19.061138</v>
      </c>
      <c r="G10" s="554" t="s">
        <v>1280</v>
      </c>
      <c r="H10" s="96">
        <f t="shared" si="2"/>
        <v>45890</v>
      </c>
      <c r="I10" s="722">
        <v>45892</v>
      </c>
      <c r="J10" s="722">
        <v>45896</v>
      </c>
      <c r="K10" s="722">
        <v>45904</v>
      </c>
      <c r="L10" s="96">
        <f t="shared" si="3"/>
        <v>45917</v>
      </c>
      <c r="M10" s="722">
        <v>45918</v>
      </c>
      <c r="N10" s="722">
        <v>45918</v>
      </c>
      <c r="O10" s="722" t="s">
        <v>1676</v>
      </c>
      <c r="P10" s="722" t="s">
        <v>1676</v>
      </c>
      <c r="Q10" s="96" t="s">
        <v>1676</v>
      </c>
      <c r="R10" s="1117">
        <f t="shared" si="0"/>
        <v>2587715.0072919601</v>
      </c>
      <c r="S10" s="1117" t="s">
        <v>1654</v>
      </c>
      <c r="T10" s="62" t="s">
        <v>1503</v>
      </c>
      <c r="U10" s="1156" t="s">
        <v>962</v>
      </c>
      <c r="V10" s="1317" t="s">
        <v>1504</v>
      </c>
      <c r="W10" s="1317"/>
      <c r="X10" s="1317"/>
      <c r="Y10" s="1317"/>
    </row>
    <row r="11" spans="1:25">
      <c r="A11" s="1257">
        <v>6</v>
      </c>
      <c r="B11" s="62">
        <v>4</v>
      </c>
      <c r="C11" s="62" t="s">
        <v>541</v>
      </c>
      <c r="D11" s="62" t="s">
        <v>542</v>
      </c>
      <c r="E11" s="1153">
        <f>2434.77/1000</f>
        <v>2.4347699999999999</v>
      </c>
      <c r="F11" s="554">
        <f t="shared" si="1"/>
        <v>21.495908</v>
      </c>
      <c r="G11" s="554" t="s">
        <v>1280</v>
      </c>
      <c r="H11" s="96">
        <f t="shared" si="2"/>
        <v>45908</v>
      </c>
      <c r="I11" s="722">
        <v>45910</v>
      </c>
      <c r="J11" s="722">
        <v>45912</v>
      </c>
      <c r="K11" s="722">
        <v>45916</v>
      </c>
      <c r="L11" s="96">
        <f t="shared" si="3"/>
        <v>45924</v>
      </c>
      <c r="M11" s="722">
        <v>45925</v>
      </c>
      <c r="N11" s="722">
        <v>45925</v>
      </c>
      <c r="O11" s="722" t="s">
        <v>1676</v>
      </c>
      <c r="P11" s="722" t="s">
        <v>1676</v>
      </c>
      <c r="Q11" s="96" t="s">
        <v>1676</v>
      </c>
      <c r="R11" s="1117">
        <f t="shared" si="0"/>
        <v>2334134.1141962996</v>
      </c>
      <c r="S11" s="1117" t="s">
        <v>1654</v>
      </c>
      <c r="T11" s="62" t="s">
        <v>1503</v>
      </c>
      <c r="U11" s="1156" t="s">
        <v>962</v>
      </c>
    </row>
    <row r="12" spans="1:25" s="308" customFormat="1">
      <c r="A12" s="986">
        <v>7</v>
      </c>
      <c r="B12" s="62">
        <v>5</v>
      </c>
      <c r="C12" s="62" t="s">
        <v>542</v>
      </c>
      <c r="D12" s="62" t="s">
        <v>543</v>
      </c>
      <c r="E12" s="1153">
        <f>4455/1000</f>
        <v>4.4550000000000001</v>
      </c>
      <c r="F12" s="554">
        <f t="shared" si="1"/>
        <v>25.950907999999998</v>
      </c>
      <c r="G12" s="554" t="s">
        <v>1280</v>
      </c>
      <c r="H12" s="96">
        <f t="shared" si="2"/>
        <v>45929</v>
      </c>
      <c r="I12" s="722">
        <v>45931</v>
      </c>
      <c r="J12" s="722">
        <v>45935</v>
      </c>
      <c r="K12" s="722">
        <v>45945</v>
      </c>
      <c r="L12" s="96">
        <f t="shared" si="3"/>
        <v>45951</v>
      </c>
      <c r="M12" s="722">
        <v>45952</v>
      </c>
      <c r="N12" s="722">
        <v>45952</v>
      </c>
      <c r="O12" s="722">
        <v>45958</v>
      </c>
      <c r="P12" s="722" t="s">
        <v>1676</v>
      </c>
      <c r="Q12" s="96" t="s">
        <v>1676</v>
      </c>
      <c r="R12" s="1117">
        <f t="shared" si="0"/>
        <v>4270862.3314499995</v>
      </c>
      <c r="S12" s="1117" t="s">
        <v>1654</v>
      </c>
      <c r="T12" s="62" t="s">
        <v>1503</v>
      </c>
      <c r="U12" s="987" t="s">
        <v>962</v>
      </c>
    </row>
    <row r="13" spans="1:25" s="308" customFormat="1" ht="14.25" customHeight="1">
      <c r="A13" s="1257">
        <v>8</v>
      </c>
      <c r="B13" s="62">
        <v>6</v>
      </c>
      <c r="C13" s="62" t="s">
        <v>543</v>
      </c>
      <c r="D13" s="62" t="s">
        <v>1537</v>
      </c>
      <c r="E13" s="1153">
        <f>466.629/1000</f>
        <v>0.46662900000000002</v>
      </c>
      <c r="F13" s="554">
        <f t="shared" si="1"/>
        <v>26.417536999999999</v>
      </c>
      <c r="G13" s="554" t="s">
        <v>1279</v>
      </c>
      <c r="H13" s="96">
        <f t="shared" si="2"/>
        <v>45929</v>
      </c>
      <c r="I13" s="722">
        <v>45931</v>
      </c>
      <c r="J13" s="722">
        <v>45933</v>
      </c>
      <c r="K13" s="722">
        <v>45935</v>
      </c>
      <c r="L13" s="96">
        <f t="shared" si="3"/>
        <v>45956</v>
      </c>
      <c r="M13" s="722">
        <v>45957</v>
      </c>
      <c r="N13" s="722">
        <v>45957</v>
      </c>
      <c r="O13" s="722" t="s">
        <v>1679</v>
      </c>
      <c r="P13" s="722" t="s">
        <v>1676</v>
      </c>
      <c r="Q13" s="96" t="s">
        <v>1676</v>
      </c>
      <c r="R13" s="1117">
        <f t="shared" si="0"/>
        <v>447341.91220250999</v>
      </c>
      <c r="S13" s="1117" t="s">
        <v>1654</v>
      </c>
      <c r="T13" s="62" t="s">
        <v>1503</v>
      </c>
      <c r="U13" s="987" t="s">
        <v>962</v>
      </c>
    </row>
    <row r="14" spans="1:25">
      <c r="A14" s="986">
        <v>9</v>
      </c>
      <c r="B14" s="62">
        <v>7</v>
      </c>
      <c r="C14" s="62" t="s">
        <v>539</v>
      </c>
      <c r="D14" s="62" t="s">
        <v>540</v>
      </c>
      <c r="E14" s="554">
        <f>4901.236/1000</f>
        <v>4.9012359999999999</v>
      </c>
      <c r="F14" s="554">
        <f t="shared" si="1"/>
        <v>31.318773</v>
      </c>
      <c r="G14" s="554" t="s">
        <v>1280</v>
      </c>
      <c r="H14" s="96">
        <f t="shared" si="2"/>
        <v>45973</v>
      </c>
      <c r="I14" s="722">
        <v>45975</v>
      </c>
      <c r="J14" s="722">
        <v>45980</v>
      </c>
      <c r="K14" s="722">
        <v>45984</v>
      </c>
      <c r="L14" s="96">
        <f t="shared" si="3"/>
        <v>45988</v>
      </c>
      <c r="M14" s="722">
        <v>45989</v>
      </c>
      <c r="N14" s="722">
        <v>45991</v>
      </c>
      <c r="O14" s="722">
        <v>46015</v>
      </c>
      <c r="P14" s="722">
        <v>46010</v>
      </c>
      <c r="Q14" s="96" t="s">
        <v>1676</v>
      </c>
      <c r="R14" s="1117">
        <f t="shared" si="0"/>
        <v>4698654.14364684</v>
      </c>
      <c r="S14" s="1117" t="s">
        <v>1654</v>
      </c>
      <c r="T14" s="62" t="s">
        <v>1503</v>
      </c>
      <c r="U14" s="1154" t="s">
        <v>962</v>
      </c>
      <c r="V14" s="613" t="s">
        <v>1527</v>
      </c>
    </row>
    <row r="15" spans="1:25" s="308" customFormat="1" ht="16.5" customHeight="1">
      <c r="A15" s="1257">
        <v>10</v>
      </c>
      <c r="B15" s="62">
        <v>8</v>
      </c>
      <c r="C15" s="62" t="s">
        <v>671</v>
      </c>
      <c r="D15" s="62" t="s">
        <v>539</v>
      </c>
      <c r="E15" s="1153">
        <f>419.48/1000</f>
        <v>0.41948000000000002</v>
      </c>
      <c r="F15" s="554">
        <f t="shared" si="1"/>
        <v>31.738253</v>
      </c>
      <c r="G15" s="554" t="s">
        <v>1279</v>
      </c>
      <c r="H15" s="96">
        <f t="shared" si="2"/>
        <v>45986</v>
      </c>
      <c r="I15" s="722">
        <v>45988</v>
      </c>
      <c r="J15" s="722">
        <v>45966</v>
      </c>
      <c r="K15" s="722">
        <v>45970</v>
      </c>
      <c r="L15" s="96">
        <f t="shared" si="3"/>
        <v>46002</v>
      </c>
      <c r="M15" s="722">
        <v>46003</v>
      </c>
      <c r="N15" s="722">
        <f>M15</f>
        <v>46003</v>
      </c>
      <c r="O15" s="722">
        <v>46033</v>
      </c>
      <c r="P15" s="722">
        <v>46010</v>
      </c>
      <c r="Q15" s="96" t="s">
        <v>1676</v>
      </c>
      <c r="R15" s="1117">
        <f t="shared" si="0"/>
        <v>402141.71286119998</v>
      </c>
      <c r="S15" s="1117" t="s">
        <v>1654</v>
      </c>
      <c r="T15" s="62" t="s">
        <v>1503</v>
      </c>
      <c r="U15" s="1154" t="s">
        <v>962</v>
      </c>
    </row>
    <row r="16" spans="1:25" s="308" customFormat="1">
      <c r="A16" s="986">
        <v>11</v>
      </c>
      <c r="B16" s="62">
        <v>9</v>
      </c>
      <c r="C16" s="62" t="s">
        <v>538</v>
      </c>
      <c r="D16" s="62" t="s">
        <v>671</v>
      </c>
      <c r="E16" s="554">
        <f>4418.389/1000</f>
        <v>4.4183890000000003</v>
      </c>
      <c r="F16" s="554">
        <f t="shared" si="1"/>
        <v>36.156641999999998</v>
      </c>
      <c r="G16" s="554" t="s">
        <v>1280</v>
      </c>
      <c r="H16" s="722">
        <v>45985</v>
      </c>
      <c r="I16" s="722">
        <v>45996</v>
      </c>
      <c r="J16" s="722">
        <v>45998</v>
      </c>
      <c r="K16" s="722">
        <v>46003</v>
      </c>
      <c r="L16" s="96">
        <f t="shared" si="3"/>
        <v>46012</v>
      </c>
      <c r="M16" s="722">
        <v>46013</v>
      </c>
      <c r="N16" s="722">
        <v>46027</v>
      </c>
      <c r="O16" s="722">
        <v>46069</v>
      </c>
      <c r="P16" s="722">
        <v>46031</v>
      </c>
      <c r="Q16" s="96" t="s">
        <v>1676</v>
      </c>
      <c r="R16" s="1117">
        <f t="shared" ref="R16:R43" si="4">958667.19*E16</f>
        <v>4235764.5669569103</v>
      </c>
      <c r="S16" s="1117" t="s">
        <v>1654</v>
      </c>
      <c r="T16" s="62" t="s">
        <v>1503</v>
      </c>
      <c r="U16" s="1154" t="s">
        <v>962</v>
      </c>
    </row>
    <row r="17" spans="1:22" s="308" customFormat="1">
      <c r="A17" s="1257">
        <v>12</v>
      </c>
      <c r="B17" s="62">
        <v>10</v>
      </c>
      <c r="C17" s="62" t="s">
        <v>1592</v>
      </c>
      <c r="D17" s="62" t="s">
        <v>1591</v>
      </c>
      <c r="E17" s="554">
        <f>2681.611/1000</f>
        <v>2.6816109999999997</v>
      </c>
      <c r="F17" s="554">
        <f t="shared" si="1"/>
        <v>38.838252999999995</v>
      </c>
      <c r="G17" s="554" t="s">
        <v>1280</v>
      </c>
      <c r="H17" s="96">
        <f t="shared" si="2"/>
        <v>46003</v>
      </c>
      <c r="I17" s="722">
        <v>46005</v>
      </c>
      <c r="J17" s="722">
        <v>46006</v>
      </c>
      <c r="K17" s="722">
        <v>46013</v>
      </c>
      <c r="L17" s="96">
        <f t="shared" si="3"/>
        <v>46021</v>
      </c>
      <c r="M17" s="722">
        <v>46022</v>
      </c>
      <c r="N17" s="722">
        <v>46024</v>
      </c>
      <c r="O17" s="722">
        <v>46074</v>
      </c>
      <c r="P17" s="722">
        <v>46041</v>
      </c>
      <c r="Q17" s="722">
        <v>46033</v>
      </c>
      <c r="R17" s="1117">
        <f t="shared" si="4"/>
        <v>2570772.4820430898</v>
      </c>
      <c r="S17" s="1117" t="s">
        <v>1654</v>
      </c>
      <c r="T17" s="62" t="s">
        <v>1503</v>
      </c>
      <c r="U17" s="1154" t="s">
        <v>962</v>
      </c>
    </row>
    <row r="18" spans="1:22" s="308" customFormat="1">
      <c r="A18" s="986">
        <v>13</v>
      </c>
      <c r="B18" s="62">
        <v>1</v>
      </c>
      <c r="C18" s="62" t="s">
        <v>537</v>
      </c>
      <c r="D18" s="62" t="s">
        <v>1596</v>
      </c>
      <c r="E18" s="554">
        <f>709.163/1000</f>
        <v>0.70916299999999999</v>
      </c>
      <c r="F18" s="554">
        <f t="shared" si="1"/>
        <v>39.547415999999991</v>
      </c>
      <c r="G18" s="1318" t="s">
        <v>1280</v>
      </c>
      <c r="H18" s="1313">
        <f t="shared" si="2"/>
        <v>46014</v>
      </c>
      <c r="I18" s="722">
        <v>46016</v>
      </c>
      <c r="J18" s="722">
        <v>46018</v>
      </c>
      <c r="K18" s="722">
        <v>46022</v>
      </c>
      <c r="L18" s="722">
        <v>46036</v>
      </c>
      <c r="M18" s="722">
        <v>46040</v>
      </c>
      <c r="N18" s="722">
        <v>46040</v>
      </c>
      <c r="O18" s="722" t="s">
        <v>1676</v>
      </c>
      <c r="P18" s="722" t="s">
        <v>1676</v>
      </c>
      <c r="Q18" s="722" t="s">
        <v>1676</v>
      </c>
      <c r="R18" s="1117">
        <f t="shared" si="4"/>
        <v>679851.30046196992</v>
      </c>
      <c r="S18" s="1117" t="s">
        <v>1654</v>
      </c>
      <c r="T18" s="62" t="s">
        <v>1503</v>
      </c>
      <c r="U18" s="987" t="s">
        <v>962</v>
      </c>
    </row>
    <row r="19" spans="1:22" s="308" customFormat="1">
      <c r="A19" s="1257">
        <v>14</v>
      </c>
      <c r="B19" s="62">
        <v>2</v>
      </c>
      <c r="C19" s="62" t="str">
        <f>D21</f>
        <v>AP-33</v>
      </c>
      <c r="D19" s="62" t="s">
        <v>574</v>
      </c>
      <c r="E19" s="554">
        <f>4049.764/1000</f>
        <v>4.0497639999999997</v>
      </c>
      <c r="F19" s="554">
        <f t="shared" si="1"/>
        <v>43.597179999999994</v>
      </c>
      <c r="G19" s="554" t="s">
        <v>1280</v>
      </c>
      <c r="H19" s="722">
        <f>I19-5</f>
        <v>46021</v>
      </c>
      <c r="I19" s="722">
        <v>46026</v>
      </c>
      <c r="J19" s="722">
        <v>46029</v>
      </c>
      <c r="K19" s="722">
        <v>46035</v>
      </c>
      <c r="L19" s="722">
        <v>46043</v>
      </c>
      <c r="M19" s="722">
        <v>46046</v>
      </c>
      <c r="N19" s="722">
        <v>46047</v>
      </c>
      <c r="O19" s="722" t="s">
        <v>1676</v>
      </c>
      <c r="P19" s="722" t="s">
        <v>1676</v>
      </c>
      <c r="Q19" s="722" t="s">
        <v>1676</v>
      </c>
      <c r="R19" s="1117">
        <f>958667.19*E19</f>
        <v>3882375.8740431597</v>
      </c>
      <c r="S19" s="1117" t="s">
        <v>1654</v>
      </c>
      <c r="T19" s="62" t="s">
        <v>1195</v>
      </c>
      <c r="U19" s="987" t="s">
        <v>962</v>
      </c>
      <c r="V19" s="308" t="s">
        <v>1621</v>
      </c>
    </row>
    <row r="20" spans="1:22" s="308" customFormat="1">
      <c r="A20" s="986">
        <v>15</v>
      </c>
      <c r="B20" s="62">
        <v>3</v>
      </c>
      <c r="C20" s="62" t="s">
        <v>1612</v>
      </c>
      <c r="D20" s="62" t="s">
        <v>1613</v>
      </c>
      <c r="E20" s="554">
        <v>1.627</v>
      </c>
      <c r="F20" s="554">
        <f t="shared" si="1"/>
        <v>45.224179999999997</v>
      </c>
      <c r="G20" s="554" t="s">
        <v>1280</v>
      </c>
      <c r="H20" s="722">
        <v>46032</v>
      </c>
      <c r="I20" s="722">
        <v>46034</v>
      </c>
      <c r="J20" s="722">
        <v>46036</v>
      </c>
      <c r="K20" s="722">
        <v>46039</v>
      </c>
      <c r="L20" s="722">
        <v>46046</v>
      </c>
      <c r="M20" s="722">
        <v>46049</v>
      </c>
      <c r="N20" s="722">
        <v>46050</v>
      </c>
      <c r="O20" s="722" t="s">
        <v>1676</v>
      </c>
      <c r="P20" s="722" t="s">
        <v>1676</v>
      </c>
      <c r="Q20" s="722">
        <v>46054</v>
      </c>
      <c r="R20" s="1117">
        <f t="shared" si="4"/>
        <v>1559751.51813</v>
      </c>
      <c r="S20" s="1117" t="s">
        <v>1654</v>
      </c>
      <c r="T20" s="62" t="s">
        <v>1503</v>
      </c>
      <c r="U20" s="1118" t="s">
        <v>962</v>
      </c>
    </row>
    <row r="21" spans="1:22">
      <c r="A21" s="1257">
        <v>16</v>
      </c>
      <c r="B21" s="62">
        <v>4</v>
      </c>
      <c r="C21" s="62" t="s">
        <v>1548</v>
      </c>
      <c r="D21" s="62" t="s">
        <v>568</v>
      </c>
      <c r="E21" s="554">
        <v>0.84</v>
      </c>
      <c r="F21" s="554">
        <f t="shared" si="1"/>
        <v>46.06418</v>
      </c>
      <c r="G21" s="554" t="s">
        <v>1280</v>
      </c>
      <c r="H21" s="722">
        <f>I21-3</f>
        <v>46038</v>
      </c>
      <c r="I21" s="722">
        <f>J21+3</f>
        <v>46041</v>
      </c>
      <c r="J21" s="722">
        <v>46038</v>
      </c>
      <c r="K21" s="722">
        <v>46041</v>
      </c>
      <c r="L21" s="722">
        <v>46053</v>
      </c>
      <c r="M21" s="722">
        <v>46059</v>
      </c>
      <c r="N21" s="722">
        <f>M21+1</f>
        <v>46060</v>
      </c>
      <c r="O21" s="722" t="s">
        <v>1676</v>
      </c>
      <c r="P21" s="722" t="s">
        <v>1676</v>
      </c>
      <c r="Q21" s="722" t="s">
        <v>1676</v>
      </c>
      <c r="R21" s="1117">
        <f t="shared" si="4"/>
        <v>805280.43959999993</v>
      </c>
      <c r="S21" s="1117" t="s">
        <v>1654</v>
      </c>
      <c r="T21" s="62" t="s">
        <v>1195</v>
      </c>
      <c r="U21" s="1118" t="s">
        <v>962</v>
      </c>
    </row>
    <row r="22" spans="1:22">
      <c r="A22" s="986">
        <v>17</v>
      </c>
      <c r="B22" s="62">
        <v>5</v>
      </c>
      <c r="C22" s="62" t="s">
        <v>1623</v>
      </c>
      <c r="D22" s="62" t="s">
        <v>1624</v>
      </c>
      <c r="E22" s="554">
        <v>3.2839999999999998</v>
      </c>
      <c r="F22" s="554">
        <f t="shared" si="1"/>
        <v>49.348179999999999</v>
      </c>
      <c r="G22" s="554" t="s">
        <v>1280</v>
      </c>
      <c r="H22" s="722">
        <f>J22-4</f>
        <v>46043</v>
      </c>
      <c r="I22" s="722">
        <f>H22+3</f>
        <v>46046</v>
      </c>
      <c r="J22" s="722">
        <v>46047</v>
      </c>
      <c r="K22" s="722">
        <v>46052</v>
      </c>
      <c r="L22" s="722">
        <v>46053</v>
      </c>
      <c r="M22" s="722">
        <v>46059</v>
      </c>
      <c r="N22" s="722">
        <f>M22+1</f>
        <v>46060</v>
      </c>
      <c r="O22" s="722" t="s">
        <v>1676</v>
      </c>
      <c r="P22" s="722" t="s">
        <v>1676</v>
      </c>
      <c r="Q22" s="722" t="s">
        <v>1676</v>
      </c>
      <c r="R22" s="1117">
        <f t="shared" si="4"/>
        <v>3148263.0519599998</v>
      </c>
      <c r="S22" s="1117" t="s">
        <v>1654</v>
      </c>
      <c r="T22" s="62" t="s">
        <v>1195</v>
      </c>
      <c r="U22" s="1118" t="s">
        <v>962</v>
      </c>
    </row>
    <row r="23" spans="1:22" s="308" customFormat="1">
      <c r="A23" s="1257">
        <v>18</v>
      </c>
      <c r="B23" s="62">
        <v>1</v>
      </c>
      <c r="C23" s="62" t="s">
        <v>1248</v>
      </c>
      <c r="D23" s="62" t="s">
        <v>1256</v>
      </c>
      <c r="E23" s="554">
        <v>2.8370000000000002</v>
      </c>
      <c r="F23" s="554">
        <f t="shared" si="1"/>
        <v>52.185180000000003</v>
      </c>
      <c r="G23" s="554" t="s">
        <v>1280</v>
      </c>
      <c r="H23" s="722">
        <v>46062</v>
      </c>
      <c r="I23" s="722">
        <f>J23-3</f>
        <v>46068</v>
      </c>
      <c r="J23" s="722">
        <v>46071</v>
      </c>
      <c r="K23" s="722">
        <v>46079</v>
      </c>
      <c r="L23" s="722">
        <v>46080</v>
      </c>
      <c r="M23" s="722">
        <v>46084</v>
      </c>
      <c r="N23" s="722">
        <v>46086</v>
      </c>
      <c r="O23" s="722" t="s">
        <v>1677</v>
      </c>
      <c r="P23" s="722" t="s">
        <v>1676</v>
      </c>
      <c r="Q23" s="722" t="s">
        <v>1676</v>
      </c>
      <c r="R23" s="1117">
        <f>958667.19*E23</f>
        <v>2719738.8180300002</v>
      </c>
      <c r="S23" s="1117" t="s">
        <v>1654</v>
      </c>
      <c r="T23" s="62" t="s">
        <v>1503</v>
      </c>
      <c r="U23" s="1258" t="s">
        <v>962</v>
      </c>
    </row>
    <row r="24" spans="1:22" s="308" customFormat="1">
      <c r="A24" s="986">
        <v>19</v>
      </c>
      <c r="B24" s="62">
        <v>2</v>
      </c>
      <c r="C24" s="62" t="s">
        <v>1256</v>
      </c>
      <c r="D24" s="62" t="s">
        <v>1263</v>
      </c>
      <c r="E24" s="554">
        <f>2691.467/1000</f>
        <v>2.6914670000000003</v>
      </c>
      <c r="F24" s="554">
        <f t="shared" si="1"/>
        <v>54.876647000000006</v>
      </c>
      <c r="G24" s="554" t="s">
        <v>1280</v>
      </c>
      <c r="H24" s="722">
        <v>46053</v>
      </c>
      <c r="I24" s="722">
        <f>J24-2</f>
        <v>46059</v>
      </c>
      <c r="J24" s="722">
        <v>46061</v>
      </c>
      <c r="K24" s="722">
        <v>46066</v>
      </c>
      <c r="L24" s="722">
        <v>46080</v>
      </c>
      <c r="M24" s="722">
        <v>46084</v>
      </c>
      <c r="N24" s="722">
        <v>46086</v>
      </c>
      <c r="O24" s="722" t="s">
        <v>1676</v>
      </c>
      <c r="P24" s="722" t="s">
        <v>1676</v>
      </c>
      <c r="Q24" s="722" t="s">
        <v>1676</v>
      </c>
      <c r="R24" s="1117">
        <f t="shared" si="4"/>
        <v>2580221.10586773</v>
      </c>
      <c r="S24" s="1117" t="s">
        <v>1654</v>
      </c>
      <c r="T24" s="62" t="s">
        <v>1503</v>
      </c>
      <c r="U24" s="1258" t="s">
        <v>962</v>
      </c>
    </row>
    <row r="25" spans="1:22" s="308" customFormat="1">
      <c r="A25" s="1257">
        <v>20</v>
      </c>
      <c r="B25" s="62">
        <v>4</v>
      </c>
      <c r="C25" s="62" t="s">
        <v>268</v>
      </c>
      <c r="D25" s="62" t="s">
        <v>1248</v>
      </c>
      <c r="E25" s="554">
        <v>0.28999999999999998</v>
      </c>
      <c r="F25" s="554">
        <f t="shared" si="1"/>
        <v>55.166647000000005</v>
      </c>
      <c r="G25" s="554" t="s">
        <v>1279</v>
      </c>
      <c r="H25" s="722">
        <f>I25-2</f>
        <v>46063</v>
      </c>
      <c r="I25" s="722">
        <f>J25-2</f>
        <v>46065</v>
      </c>
      <c r="J25" s="722">
        <v>46067</v>
      </c>
      <c r="K25" s="722">
        <v>46071</v>
      </c>
      <c r="L25" s="722">
        <v>46090</v>
      </c>
      <c r="M25" s="722">
        <v>46094</v>
      </c>
      <c r="N25" s="722">
        <f>M25+1</f>
        <v>46095</v>
      </c>
      <c r="O25" s="722" t="s">
        <v>1678</v>
      </c>
      <c r="P25" s="722" t="s">
        <v>1676</v>
      </c>
      <c r="Q25" s="722" t="s">
        <v>1676</v>
      </c>
      <c r="R25" s="1117">
        <f>958667.19*E25</f>
        <v>278013.48509999999</v>
      </c>
      <c r="S25" s="1117" t="s">
        <v>1654</v>
      </c>
      <c r="T25" s="62" t="s">
        <v>1503</v>
      </c>
      <c r="U25" s="1258" t="s">
        <v>962</v>
      </c>
    </row>
    <row r="26" spans="1:22" s="308" customFormat="1">
      <c r="A26" s="986">
        <v>21</v>
      </c>
      <c r="B26" s="62">
        <v>3</v>
      </c>
      <c r="C26" s="62" t="s">
        <v>9</v>
      </c>
      <c r="D26" s="62" t="s">
        <v>10</v>
      </c>
      <c r="E26" s="554">
        <v>4.3330000000000002</v>
      </c>
      <c r="F26" s="554">
        <f t="shared" si="1"/>
        <v>59.499647000000003</v>
      </c>
      <c r="G26" s="554" t="s">
        <v>1280</v>
      </c>
      <c r="H26" s="722">
        <v>46024</v>
      </c>
      <c r="I26" s="722">
        <f>J26-2</f>
        <v>46061</v>
      </c>
      <c r="J26" s="722">
        <v>46063</v>
      </c>
      <c r="K26" s="722">
        <v>46068</v>
      </c>
      <c r="L26" s="722">
        <v>46083</v>
      </c>
      <c r="M26" s="722">
        <v>46091</v>
      </c>
      <c r="N26" s="722">
        <f>M26+1</f>
        <v>46092</v>
      </c>
      <c r="O26" s="722" t="s">
        <v>1676</v>
      </c>
      <c r="P26" s="722" t="s">
        <v>1676</v>
      </c>
      <c r="Q26" s="722" t="s">
        <v>1676</v>
      </c>
      <c r="R26" s="1117">
        <f t="shared" si="4"/>
        <v>4153904.9342700001</v>
      </c>
      <c r="S26" s="1117" t="s">
        <v>1654</v>
      </c>
      <c r="T26" s="62" t="s">
        <v>1195</v>
      </c>
      <c r="U26" s="1258" t="s">
        <v>962</v>
      </c>
    </row>
    <row r="27" spans="1:22" s="308" customFormat="1">
      <c r="A27" s="1257">
        <v>22</v>
      </c>
      <c r="B27" s="62">
        <v>1</v>
      </c>
      <c r="C27" s="62" t="s">
        <v>65</v>
      </c>
      <c r="D27" s="62" t="s">
        <v>9</v>
      </c>
      <c r="E27" s="554">
        <v>4.1239999999999997</v>
      </c>
      <c r="F27" s="554">
        <f t="shared" si="1"/>
        <v>63.623647000000005</v>
      </c>
      <c r="G27" s="554" t="s">
        <v>1280</v>
      </c>
      <c r="H27" s="722">
        <v>46069</v>
      </c>
      <c r="I27" s="722">
        <f>J27-2</f>
        <v>46078</v>
      </c>
      <c r="J27" s="722">
        <v>46080</v>
      </c>
      <c r="K27" s="722">
        <v>46087</v>
      </c>
      <c r="L27" s="722">
        <v>46093</v>
      </c>
      <c r="M27" s="722">
        <v>46097</v>
      </c>
      <c r="N27" s="722">
        <f>M27+1</f>
        <v>46098</v>
      </c>
      <c r="O27" s="722" t="s">
        <v>1676</v>
      </c>
      <c r="P27" s="722" t="s">
        <v>1676</v>
      </c>
      <c r="Q27" s="722" t="s">
        <v>1676</v>
      </c>
      <c r="R27" s="1117">
        <f t="shared" si="4"/>
        <v>3953543.4915599995</v>
      </c>
      <c r="S27" s="1117" t="s">
        <v>1654</v>
      </c>
      <c r="T27" s="62" t="s">
        <v>1195</v>
      </c>
      <c r="U27" s="1258" t="s">
        <v>962</v>
      </c>
    </row>
    <row r="28" spans="1:22">
      <c r="A28" s="986">
        <v>23</v>
      </c>
      <c r="B28" s="62">
        <v>1</v>
      </c>
      <c r="C28" s="72" t="s">
        <v>263</v>
      </c>
      <c r="D28" s="72" t="s">
        <v>264</v>
      </c>
      <c r="E28" s="554">
        <f>4964.92/1000</f>
        <v>4.9649200000000002</v>
      </c>
      <c r="F28" s="554">
        <f t="shared" si="1"/>
        <v>68.588567000000012</v>
      </c>
      <c r="G28" s="554" t="s">
        <v>1280</v>
      </c>
      <c r="H28" s="716">
        <v>46084</v>
      </c>
      <c r="I28" s="722">
        <v>46101</v>
      </c>
      <c r="J28" s="722">
        <v>46109</v>
      </c>
      <c r="K28" s="722">
        <v>46114</v>
      </c>
      <c r="L28" s="722">
        <v>46118</v>
      </c>
      <c r="M28" s="722">
        <v>46122</v>
      </c>
      <c r="N28" s="722">
        <v>46122</v>
      </c>
      <c r="O28" s="722" t="s">
        <v>1676</v>
      </c>
      <c r="P28" s="722" t="s">
        <v>1676</v>
      </c>
      <c r="Q28" s="722" t="s">
        <v>1676</v>
      </c>
      <c r="R28" s="1117">
        <f t="shared" si="4"/>
        <v>4759705.9049747996</v>
      </c>
      <c r="S28" s="1117" t="s">
        <v>1654</v>
      </c>
      <c r="T28" s="62" t="s">
        <v>1503</v>
      </c>
      <c r="U28" s="1258" t="s">
        <v>962</v>
      </c>
    </row>
    <row r="29" spans="1:22" s="308" customFormat="1" ht="15.5" customHeight="1">
      <c r="A29" s="1257">
        <v>24</v>
      </c>
      <c r="B29" s="62">
        <v>1</v>
      </c>
      <c r="C29" s="62" t="s">
        <v>898</v>
      </c>
      <c r="D29" s="62" t="s">
        <v>65</v>
      </c>
      <c r="E29" s="554">
        <f>2669.007/1000</f>
        <v>2.6690070000000001</v>
      </c>
      <c r="F29" s="554">
        <f t="shared" si="1"/>
        <v>71.257574000000005</v>
      </c>
      <c r="G29" s="554" t="s">
        <v>1280</v>
      </c>
      <c r="H29" s="722">
        <f>I29-3</f>
        <v>46118</v>
      </c>
      <c r="I29" s="722">
        <v>46121</v>
      </c>
      <c r="J29" s="722">
        <v>46134</v>
      </c>
      <c r="K29" s="722">
        <v>46140</v>
      </c>
      <c r="L29" s="722">
        <v>46142</v>
      </c>
      <c r="M29" s="722">
        <v>46145</v>
      </c>
      <c r="N29" s="722">
        <v>46146</v>
      </c>
      <c r="O29" s="722" t="s">
        <v>1676</v>
      </c>
      <c r="P29" s="722" t="s">
        <v>1676</v>
      </c>
      <c r="Q29" s="722" t="s">
        <v>1676</v>
      </c>
      <c r="R29" s="1117">
        <f>958667.19*E29</f>
        <v>2558689.44078033</v>
      </c>
      <c r="S29" s="62" t="s">
        <v>1654</v>
      </c>
      <c r="T29" s="62" t="s">
        <v>1195</v>
      </c>
      <c r="U29" s="1258" t="s">
        <v>962</v>
      </c>
    </row>
    <row r="30" spans="1:22">
      <c r="A30" s="986">
        <v>25</v>
      </c>
      <c r="B30" s="62">
        <v>2</v>
      </c>
      <c r="C30" s="72" t="s">
        <v>264</v>
      </c>
      <c r="D30" s="72" t="s">
        <v>265</v>
      </c>
      <c r="E30" s="554">
        <f>1004.183/1000</f>
        <v>1.004183</v>
      </c>
      <c r="F30" s="554">
        <f t="shared" si="1"/>
        <v>72.261757000000003</v>
      </c>
      <c r="G30" s="554" t="s">
        <v>1280</v>
      </c>
      <c r="H30" s="722">
        <f>I30-4</f>
        <v>46112</v>
      </c>
      <c r="I30" s="722">
        <f>J30-3</f>
        <v>46116</v>
      </c>
      <c r="J30" s="722">
        <v>46119</v>
      </c>
      <c r="K30" s="722">
        <v>46121</v>
      </c>
      <c r="L30" s="722">
        <v>46154</v>
      </c>
      <c r="M30" s="722">
        <v>46158</v>
      </c>
      <c r="N30" s="722">
        <v>46158</v>
      </c>
      <c r="O30" s="722"/>
      <c r="P30" s="722" t="s">
        <v>1676</v>
      </c>
      <c r="Q30" s="722" t="s">
        <v>1676</v>
      </c>
      <c r="R30" s="1117">
        <f t="shared" si="4"/>
        <v>962677.29485576996</v>
      </c>
      <c r="S30" s="1117" t="s">
        <v>1654</v>
      </c>
      <c r="T30" s="62" t="s">
        <v>1503</v>
      </c>
      <c r="U30" s="1258" t="s">
        <v>962</v>
      </c>
    </row>
    <row r="31" spans="1:22">
      <c r="A31" s="986">
        <v>26</v>
      </c>
      <c r="B31" s="62">
        <v>3</v>
      </c>
      <c r="C31" s="62" t="s">
        <v>64</v>
      </c>
      <c r="D31" s="62" t="s">
        <v>898</v>
      </c>
      <c r="E31" s="554">
        <f>2379.204/1000</f>
        <v>2.3792040000000001</v>
      </c>
      <c r="F31" s="554">
        <f t="shared" si="1"/>
        <v>74.640961000000004</v>
      </c>
      <c r="G31" s="554" t="s">
        <v>1280</v>
      </c>
      <c r="H31" s="722">
        <f>I31-4</f>
        <v>46140</v>
      </c>
      <c r="I31" s="722">
        <f>J31-6</f>
        <v>46144</v>
      </c>
      <c r="J31" s="722">
        <v>46150</v>
      </c>
      <c r="K31" s="722">
        <v>46154</v>
      </c>
      <c r="L31" s="722">
        <v>46155</v>
      </c>
      <c r="M31" s="722">
        <v>46158</v>
      </c>
      <c r="N31" s="722">
        <v>46158</v>
      </c>
      <c r="O31" s="722" t="s">
        <v>1676</v>
      </c>
      <c r="P31" s="722" t="s">
        <v>1676</v>
      </c>
      <c r="Q31" s="722" t="s">
        <v>1676</v>
      </c>
      <c r="R31" s="1117">
        <f>958667.19*E31</f>
        <v>2280864.81311676</v>
      </c>
      <c r="S31" s="62" t="s">
        <v>1654</v>
      </c>
      <c r="T31" s="62" t="s">
        <v>1195</v>
      </c>
      <c r="U31" s="1258" t="s">
        <v>962</v>
      </c>
    </row>
    <row r="32" spans="1:22" s="308" customFormat="1">
      <c r="A32" s="986">
        <v>27</v>
      </c>
      <c r="B32" s="62">
        <v>4</v>
      </c>
      <c r="C32" s="62" t="s">
        <v>60</v>
      </c>
      <c r="D32" s="72" t="s">
        <v>63</v>
      </c>
      <c r="E32" s="554">
        <f>2548.275/1000</f>
        <v>2.5482750000000003</v>
      </c>
      <c r="F32" s="554">
        <f t="shared" si="1"/>
        <v>77.189236000000008</v>
      </c>
      <c r="G32" s="62" t="s">
        <v>1280</v>
      </c>
      <c r="H32" s="722">
        <v>46159</v>
      </c>
      <c r="I32" s="722">
        <v>46162</v>
      </c>
      <c r="J32" s="722">
        <v>46162</v>
      </c>
      <c r="K32" s="722">
        <v>46165</v>
      </c>
      <c r="L32" s="722">
        <v>46166</v>
      </c>
      <c r="M32" s="722">
        <v>46169</v>
      </c>
      <c r="N32" s="722">
        <f>M32+1</f>
        <v>46170</v>
      </c>
      <c r="O32" s="722"/>
      <c r="P32" s="722" t="s">
        <v>1676</v>
      </c>
      <c r="Q32" s="722" t="s">
        <v>1676</v>
      </c>
      <c r="R32" s="1117">
        <f>958667.19*E32</f>
        <v>2442947.6335972501</v>
      </c>
      <c r="S32" s="62" t="s">
        <v>1654</v>
      </c>
      <c r="T32" s="62" t="s">
        <v>1195</v>
      </c>
      <c r="U32" s="1258" t="s">
        <v>962</v>
      </c>
    </row>
    <row r="33" spans="1:26" s="308" customFormat="1">
      <c r="A33" s="62">
        <v>28</v>
      </c>
      <c r="B33" s="62">
        <v>1</v>
      </c>
      <c r="C33" s="72" t="s">
        <v>265</v>
      </c>
      <c r="D33" s="72" t="s">
        <v>266</v>
      </c>
      <c r="E33" s="554">
        <f>242.89/1000</f>
        <v>0.24288999999999999</v>
      </c>
      <c r="F33" s="554">
        <f t="shared" si="1"/>
        <v>77.432126000000011</v>
      </c>
      <c r="G33" s="62" t="s">
        <v>1279</v>
      </c>
      <c r="H33" s="722">
        <f>I33-2</f>
        <v>46174</v>
      </c>
      <c r="I33" s="722">
        <f>J33-2</f>
        <v>46176</v>
      </c>
      <c r="J33" s="722">
        <v>46178</v>
      </c>
      <c r="K33" s="722">
        <v>46178</v>
      </c>
      <c r="L33" s="722">
        <v>46178</v>
      </c>
      <c r="M33" s="722">
        <v>46179</v>
      </c>
      <c r="N33" s="722">
        <v>46179</v>
      </c>
      <c r="O33" s="722"/>
      <c r="P33" s="722" t="s">
        <v>1676</v>
      </c>
      <c r="Q33" s="722" t="s">
        <v>1676</v>
      </c>
      <c r="R33" s="1117">
        <f t="shared" si="4"/>
        <v>232850.67377909998</v>
      </c>
      <c r="S33" s="62" t="s">
        <v>1654</v>
      </c>
      <c r="T33" s="62" t="s">
        <v>1503</v>
      </c>
      <c r="U33" s="1319" t="s">
        <v>962</v>
      </c>
    </row>
    <row r="34" spans="1:26" s="308" customFormat="1">
      <c r="A34" s="986">
        <v>29</v>
      </c>
      <c r="B34" s="62">
        <v>2</v>
      </c>
      <c r="C34" s="62" t="s">
        <v>11</v>
      </c>
      <c r="D34" s="62" t="s">
        <v>167</v>
      </c>
      <c r="E34" s="554">
        <f>223.82/1000</f>
        <v>0.22381999999999999</v>
      </c>
      <c r="F34" s="554">
        <f t="shared" si="1"/>
        <v>77.655946000000014</v>
      </c>
      <c r="G34" s="62" t="s">
        <v>1279</v>
      </c>
      <c r="H34" s="722">
        <f>I34-2</f>
        <v>46174</v>
      </c>
      <c r="I34" s="722">
        <f>J34-4</f>
        <v>46176</v>
      </c>
      <c r="J34" s="722">
        <v>46180</v>
      </c>
      <c r="K34" s="722">
        <v>46185</v>
      </c>
      <c r="L34" s="722">
        <v>46180</v>
      </c>
      <c r="M34" s="722">
        <v>46185</v>
      </c>
      <c r="N34" s="722">
        <v>46185</v>
      </c>
      <c r="O34" s="722"/>
      <c r="P34" s="722" t="s">
        <v>1676</v>
      </c>
      <c r="Q34" s="722"/>
      <c r="R34" s="1117">
        <f t="shared" si="4"/>
        <v>214568.89046579998</v>
      </c>
      <c r="S34" s="62" t="s">
        <v>1850</v>
      </c>
      <c r="T34" s="62" t="s">
        <v>1776</v>
      </c>
      <c r="U34" s="1319" t="s">
        <v>1793</v>
      </c>
    </row>
    <row r="35" spans="1:26" s="308" customFormat="1">
      <c r="A35" s="62">
        <v>30</v>
      </c>
      <c r="B35" s="62">
        <v>3</v>
      </c>
      <c r="C35" s="72" t="s">
        <v>267</v>
      </c>
      <c r="D35" s="72" t="s">
        <v>483</v>
      </c>
      <c r="E35" s="554">
        <f>416.878/1000</f>
        <v>0.41687799999999997</v>
      </c>
      <c r="F35" s="554">
        <f t="shared" si="1"/>
        <v>78.072824000000011</v>
      </c>
      <c r="G35" s="62" t="s">
        <v>1279</v>
      </c>
      <c r="H35" s="722">
        <v>46082</v>
      </c>
      <c r="I35" s="722">
        <v>46087</v>
      </c>
      <c r="J35" s="722">
        <v>46192</v>
      </c>
      <c r="K35" s="722">
        <v>46196</v>
      </c>
      <c r="L35" s="722">
        <v>46192</v>
      </c>
      <c r="M35" s="722">
        <v>46196</v>
      </c>
      <c r="N35" s="722">
        <v>46196</v>
      </c>
      <c r="O35" s="722"/>
      <c r="P35" s="722" t="s">
        <v>1676</v>
      </c>
      <c r="Q35" s="722"/>
      <c r="R35" s="1117">
        <f t="shared" si="4"/>
        <v>399647.26083281997</v>
      </c>
      <c r="S35" s="62" t="s">
        <v>1654</v>
      </c>
      <c r="T35" s="62" t="s">
        <v>1503</v>
      </c>
      <c r="U35" s="1319" t="s">
        <v>962</v>
      </c>
      <c r="V35" s="308" t="s">
        <v>1651</v>
      </c>
      <c r="W35" s="308" t="s">
        <v>1683</v>
      </c>
      <c r="Z35" s="308" t="s">
        <v>1823</v>
      </c>
    </row>
    <row r="36" spans="1:26" s="308" customFormat="1">
      <c r="A36" s="62">
        <v>31</v>
      </c>
      <c r="B36" s="62">
        <v>4</v>
      </c>
      <c r="C36" s="72" t="s">
        <v>483</v>
      </c>
      <c r="D36" s="72" t="s">
        <v>11</v>
      </c>
      <c r="E36" s="554">
        <f>480.27/1000</f>
        <v>0.48026999999999997</v>
      </c>
      <c r="F36" s="554">
        <f t="shared" si="1"/>
        <v>78.553094000000016</v>
      </c>
      <c r="G36" s="62" t="s">
        <v>1279</v>
      </c>
      <c r="H36" s="722">
        <v>46082</v>
      </c>
      <c r="I36" s="722">
        <v>46087</v>
      </c>
      <c r="J36" s="722">
        <v>46192</v>
      </c>
      <c r="K36" s="722">
        <v>46196</v>
      </c>
      <c r="L36" s="722">
        <v>46192</v>
      </c>
      <c r="M36" s="722">
        <v>46196</v>
      </c>
      <c r="N36" s="722">
        <v>46196</v>
      </c>
      <c r="O36" s="722"/>
      <c r="P36" s="722" t="s">
        <v>1676</v>
      </c>
      <c r="Q36" s="722"/>
      <c r="R36" s="1117">
        <f t="shared" si="4"/>
        <v>460419.09134129994</v>
      </c>
      <c r="S36" s="62" t="s">
        <v>1654</v>
      </c>
      <c r="T36" s="62" t="s">
        <v>1503</v>
      </c>
      <c r="U36" s="1319" t="s">
        <v>962</v>
      </c>
    </row>
    <row r="37" spans="1:26" s="308" customFormat="1">
      <c r="A37" s="62">
        <v>32</v>
      </c>
      <c r="B37" s="62">
        <v>5</v>
      </c>
      <c r="C37" s="72" t="s">
        <v>51</v>
      </c>
      <c r="D37" s="72" t="s">
        <v>52</v>
      </c>
      <c r="E37" s="554">
        <f>3030.029/1000</f>
        <v>3.0300289999999999</v>
      </c>
      <c r="F37" s="554">
        <f t="shared" si="1"/>
        <v>81.583123000000015</v>
      </c>
      <c r="G37" s="62" t="s">
        <v>1280</v>
      </c>
      <c r="H37" s="722">
        <f>I37-4</f>
        <v>46180</v>
      </c>
      <c r="I37" s="722">
        <f>J37-2</f>
        <v>46184</v>
      </c>
      <c r="J37" s="722">
        <v>46186</v>
      </c>
      <c r="K37" s="722">
        <v>46191</v>
      </c>
      <c r="L37" s="722">
        <v>46198</v>
      </c>
      <c r="M37" s="722">
        <v>46201</v>
      </c>
      <c r="N37" s="722">
        <v>46201</v>
      </c>
      <c r="O37" s="722"/>
      <c r="P37" s="722"/>
      <c r="Q37" s="722" t="s">
        <v>1676</v>
      </c>
      <c r="R37" s="1117">
        <f t="shared" si="4"/>
        <v>2904789.3870485099</v>
      </c>
      <c r="S37" s="62" t="s">
        <v>1654</v>
      </c>
      <c r="T37" s="62" t="s">
        <v>1503</v>
      </c>
      <c r="U37" s="1319" t="s">
        <v>962</v>
      </c>
    </row>
    <row r="38" spans="1:26" s="308" customFormat="1">
      <c r="A38" s="62">
        <v>33</v>
      </c>
      <c r="B38" s="62">
        <v>6</v>
      </c>
      <c r="C38" s="72" t="s">
        <v>71</v>
      </c>
      <c r="D38" s="72" t="s">
        <v>8</v>
      </c>
      <c r="E38" s="554">
        <f>4916.293/1000</f>
        <v>4.9162929999999996</v>
      </c>
      <c r="F38" s="554">
        <f t="shared" si="1"/>
        <v>86.499416000000011</v>
      </c>
      <c r="G38" s="62" t="s">
        <v>1280</v>
      </c>
      <c r="H38" s="722">
        <f>I38-5</f>
        <v>46175</v>
      </c>
      <c r="I38" s="722">
        <f>J38-6</f>
        <v>46180</v>
      </c>
      <c r="J38" s="722">
        <v>46186</v>
      </c>
      <c r="K38" s="722">
        <v>46199</v>
      </c>
      <c r="L38" s="722">
        <v>46199</v>
      </c>
      <c r="M38" s="722">
        <v>46200</v>
      </c>
      <c r="N38" s="722">
        <v>46200</v>
      </c>
      <c r="O38" s="722"/>
      <c r="P38" s="722"/>
      <c r="Q38" s="722" t="s">
        <v>1849</v>
      </c>
      <c r="R38" s="1117">
        <f t="shared" si="4"/>
        <v>4713088.7955266694</v>
      </c>
      <c r="S38" s="62" t="s">
        <v>1850</v>
      </c>
      <c r="T38" s="62" t="s">
        <v>1195</v>
      </c>
      <c r="U38" s="1319" t="s">
        <v>962</v>
      </c>
    </row>
    <row r="39" spans="1:26" s="308" customFormat="1">
      <c r="A39" s="62">
        <v>34</v>
      </c>
      <c r="B39" s="1023">
        <v>7</v>
      </c>
      <c r="C39" s="1023" t="s">
        <v>57</v>
      </c>
      <c r="D39" s="1274" t="s">
        <v>58</v>
      </c>
      <c r="E39" s="1323">
        <f>'Stretch readiness '!C42/1000</f>
        <v>0.24403</v>
      </c>
      <c r="F39" s="554">
        <f t="shared" si="1"/>
        <v>86.743446000000006</v>
      </c>
      <c r="G39" s="62" t="s">
        <v>1279</v>
      </c>
      <c r="H39" s="1324">
        <v>46190</v>
      </c>
      <c r="I39" s="1324">
        <v>46191</v>
      </c>
      <c r="J39" s="1324">
        <v>46194</v>
      </c>
      <c r="K39" s="1324">
        <v>46199</v>
      </c>
      <c r="L39" s="1324">
        <v>46195</v>
      </c>
      <c r="M39" s="1324">
        <v>46199</v>
      </c>
      <c r="N39" s="1324">
        <v>46199</v>
      </c>
      <c r="O39" s="1324"/>
      <c r="P39" s="1324" t="s">
        <v>1676</v>
      </c>
      <c r="Q39" s="1324"/>
      <c r="R39" s="1117">
        <f t="shared" si="4"/>
        <v>233943.55437569998</v>
      </c>
      <c r="S39" s="62" t="s">
        <v>1850</v>
      </c>
      <c r="T39" s="1023" t="s">
        <v>1776</v>
      </c>
      <c r="U39" s="445" t="s">
        <v>962</v>
      </c>
    </row>
    <row r="40" spans="1:26" s="308" customFormat="1">
      <c r="A40" s="62">
        <v>35</v>
      </c>
      <c r="B40" s="1023">
        <v>8</v>
      </c>
      <c r="C40" s="1023" t="s">
        <v>674</v>
      </c>
      <c r="D40" s="1274" t="s">
        <v>57</v>
      </c>
      <c r="E40" s="1323">
        <f>496.69/1000</f>
        <v>0.49669000000000002</v>
      </c>
      <c r="F40" s="554">
        <f t="shared" si="1"/>
        <v>87.240136000000007</v>
      </c>
      <c r="G40" s="62" t="s">
        <v>1279</v>
      </c>
      <c r="H40" s="1324">
        <v>46192</v>
      </c>
      <c r="I40" s="1324">
        <v>46193</v>
      </c>
      <c r="J40" s="1324">
        <v>46195</v>
      </c>
      <c r="K40" s="1324">
        <v>46199</v>
      </c>
      <c r="L40" s="1324">
        <v>46195</v>
      </c>
      <c r="M40" s="1324">
        <v>46199</v>
      </c>
      <c r="N40" s="1324">
        <v>46208</v>
      </c>
      <c r="O40" s="1324"/>
      <c r="P40" s="1324" t="s">
        <v>1676</v>
      </c>
      <c r="Q40" s="1324"/>
      <c r="R40" s="1117">
        <f t="shared" si="4"/>
        <v>476160.4066011</v>
      </c>
      <c r="S40" s="62" t="s">
        <v>1850</v>
      </c>
      <c r="T40" s="1023" t="s">
        <v>1830</v>
      </c>
      <c r="U40" s="445" t="s">
        <v>962</v>
      </c>
    </row>
    <row r="41" spans="1:26" s="308" customFormat="1">
      <c r="A41" s="62">
        <v>36</v>
      </c>
      <c r="B41" s="1023">
        <v>1</v>
      </c>
      <c r="C41" s="1023" t="s">
        <v>63</v>
      </c>
      <c r="D41" s="1274" t="s">
        <v>64</v>
      </c>
      <c r="E41" s="1323">
        <v>0.21121000000000001</v>
      </c>
      <c r="F41" s="554">
        <f t="shared" si="1"/>
        <v>87.451346000000001</v>
      </c>
      <c r="G41" s="62" t="s">
        <v>1279</v>
      </c>
      <c r="H41" s="1324">
        <v>45835</v>
      </c>
      <c r="I41" s="1324">
        <f>J41-3</f>
        <v>46201</v>
      </c>
      <c r="J41" s="1324">
        <v>46204</v>
      </c>
      <c r="K41" s="1324">
        <v>46205</v>
      </c>
      <c r="L41" s="1324">
        <v>46204</v>
      </c>
      <c r="M41" s="1324">
        <v>46205</v>
      </c>
      <c r="N41" s="1324">
        <v>46205</v>
      </c>
      <c r="O41" s="1324" t="s">
        <v>1676</v>
      </c>
      <c r="P41" s="1324" t="s">
        <v>1676</v>
      </c>
      <c r="Q41" s="1324"/>
      <c r="R41" s="1117">
        <f t="shared" si="4"/>
        <v>202480.09719989999</v>
      </c>
      <c r="S41" s="62" t="s">
        <v>1850</v>
      </c>
      <c r="T41" s="1023" t="s">
        <v>1195</v>
      </c>
      <c r="U41" s="445" t="s">
        <v>962</v>
      </c>
    </row>
    <row r="42" spans="1:26">
      <c r="A42" s="62">
        <v>37</v>
      </c>
      <c r="B42" s="1023">
        <v>2</v>
      </c>
      <c r="C42" s="1023" t="s">
        <v>56</v>
      </c>
      <c r="D42" s="1274" t="s">
        <v>674</v>
      </c>
      <c r="E42" s="1323">
        <f>440.46/1000</f>
        <v>0.44045999999999996</v>
      </c>
      <c r="F42" s="554">
        <f t="shared" si="1"/>
        <v>87.891806000000003</v>
      </c>
      <c r="G42" s="62" t="s">
        <v>1279</v>
      </c>
      <c r="H42" s="1324">
        <v>46201</v>
      </c>
      <c r="I42" s="1324">
        <f>J42-2</f>
        <v>46202</v>
      </c>
      <c r="J42" s="1324">
        <v>46204</v>
      </c>
      <c r="K42" s="1324">
        <v>46207</v>
      </c>
      <c r="L42" s="1324">
        <v>46204</v>
      </c>
      <c r="M42" s="1324">
        <v>46207</v>
      </c>
      <c r="N42" s="1324">
        <v>46208</v>
      </c>
      <c r="O42" s="1324"/>
      <c r="P42" s="1324" t="s">
        <v>1676</v>
      </c>
      <c r="Q42" s="1324"/>
      <c r="R42" s="1117">
        <f t="shared" si="4"/>
        <v>422254.55050739995</v>
      </c>
      <c r="S42" s="62" t="s">
        <v>1850</v>
      </c>
      <c r="T42" s="1023" t="s">
        <v>1830</v>
      </c>
      <c r="U42" s="445" t="s">
        <v>962</v>
      </c>
    </row>
    <row r="43" spans="1:26">
      <c r="A43" s="1391">
        <v>38</v>
      </c>
      <c r="B43" s="1023">
        <v>3</v>
      </c>
      <c r="C43" s="1274" t="s">
        <v>8</v>
      </c>
      <c r="D43" s="1274" t="s">
        <v>1069</v>
      </c>
      <c r="E43" s="1323">
        <v>0.45400000000000001</v>
      </c>
      <c r="F43" s="1323">
        <f t="shared" si="1"/>
        <v>88.345805999999996</v>
      </c>
      <c r="G43" s="1023" t="s">
        <v>1279</v>
      </c>
      <c r="H43" s="1324">
        <v>46210</v>
      </c>
      <c r="I43" s="1324">
        <f>H43+1</f>
        <v>46211</v>
      </c>
      <c r="J43" s="1324">
        <v>46212</v>
      </c>
      <c r="K43" s="1324">
        <v>46214</v>
      </c>
      <c r="L43" s="1324">
        <v>46212</v>
      </c>
      <c r="M43" s="1324">
        <v>46214</v>
      </c>
      <c r="N43" s="1324">
        <v>46215</v>
      </c>
      <c r="O43" s="1324"/>
      <c r="P43" s="1324" t="s">
        <v>1676</v>
      </c>
      <c r="Q43" s="1324"/>
      <c r="R43" s="1117">
        <f t="shared" si="4"/>
        <v>435234.90425999998</v>
      </c>
      <c r="S43" s="1023" t="s">
        <v>1850</v>
      </c>
      <c r="T43" s="1023" t="s">
        <v>1195</v>
      </c>
      <c r="U43" s="1392" t="s">
        <v>962</v>
      </c>
    </row>
    <row r="44" spans="1:26" s="308" customFormat="1">
      <c r="A44" s="1391">
        <v>39</v>
      </c>
      <c r="B44" s="1023">
        <v>4</v>
      </c>
      <c r="C44" s="1274" t="s">
        <v>58</v>
      </c>
      <c r="D44" s="1274" t="s">
        <v>59</v>
      </c>
      <c r="E44" s="1323">
        <f>237.43/1000</f>
        <v>0.23743</v>
      </c>
      <c r="F44" s="1323">
        <f t="shared" si="1"/>
        <v>88.583235999999999</v>
      </c>
      <c r="G44" s="1023" t="s">
        <v>1279</v>
      </c>
      <c r="H44" s="1324">
        <v>46210</v>
      </c>
      <c r="I44" s="1324">
        <v>46210</v>
      </c>
      <c r="J44" s="1324">
        <v>46204</v>
      </c>
      <c r="K44" s="1324">
        <v>46219</v>
      </c>
      <c r="L44" s="1324">
        <v>46217</v>
      </c>
      <c r="M44" s="1324">
        <v>46219</v>
      </c>
      <c r="N44" s="1324">
        <v>46219</v>
      </c>
      <c r="O44" s="1324"/>
      <c r="P44" s="1324"/>
      <c r="Q44" s="1324"/>
      <c r="R44" s="1023"/>
      <c r="S44" s="1023"/>
      <c r="T44" s="1023" t="s">
        <v>1830</v>
      </c>
      <c r="U44" s="1392" t="s">
        <v>962</v>
      </c>
    </row>
    <row r="45" spans="1:26">
      <c r="A45" s="1383">
        <v>40</v>
      </c>
      <c r="B45" s="1384"/>
      <c r="C45" s="1385" t="s">
        <v>167</v>
      </c>
      <c r="D45" s="1385" t="s">
        <v>12</v>
      </c>
      <c r="E45" s="1386">
        <f>5019.34/1000</f>
        <v>5.0193400000000006</v>
      </c>
      <c r="F45" s="1386">
        <f t="shared" si="1"/>
        <v>93.602575999999999</v>
      </c>
      <c r="G45" s="1384" t="s">
        <v>1280</v>
      </c>
      <c r="H45" s="1387">
        <f>I45-8</f>
        <v>46179</v>
      </c>
      <c r="I45" s="1387">
        <f>J45-25</f>
        <v>46187</v>
      </c>
      <c r="J45" s="1387">
        <v>46212</v>
      </c>
      <c r="K45" s="1387">
        <v>46220</v>
      </c>
      <c r="L45" s="1387">
        <f>K45</f>
        <v>46220</v>
      </c>
      <c r="M45" s="1387"/>
      <c r="N45" s="1387"/>
      <c r="O45" s="1387"/>
      <c r="P45" s="1387"/>
      <c r="Q45" s="1387"/>
      <c r="R45" s="1384"/>
      <c r="S45" s="1384"/>
      <c r="T45" s="1384" t="s">
        <v>1503</v>
      </c>
      <c r="U45" s="1388" t="s">
        <v>1857</v>
      </c>
    </row>
    <row r="46" spans="1:26">
      <c r="A46" s="1383">
        <v>41</v>
      </c>
      <c r="B46" s="1384"/>
      <c r="C46" s="1385" t="s">
        <v>74</v>
      </c>
      <c r="D46" s="1385" t="s">
        <v>638</v>
      </c>
      <c r="E46" s="1386">
        <f>4665.918/1000</f>
        <v>4.6659179999999996</v>
      </c>
      <c r="F46" s="1386">
        <f t="shared" si="1"/>
        <v>98.268494000000004</v>
      </c>
      <c r="G46" s="1384" t="s">
        <v>1280</v>
      </c>
      <c r="H46" s="1387">
        <v>46194</v>
      </c>
      <c r="I46" s="1387">
        <f>J46-4</f>
        <v>46214</v>
      </c>
      <c r="J46" s="1387">
        <v>46218</v>
      </c>
      <c r="K46" s="1387"/>
      <c r="L46" s="1387"/>
      <c r="M46" s="1387"/>
      <c r="N46" s="1387"/>
      <c r="O46" s="1387"/>
      <c r="P46" s="1387"/>
      <c r="Q46" s="1387"/>
      <c r="R46" s="1384"/>
      <c r="S46" s="1384"/>
      <c r="T46" s="1384" t="s">
        <v>1195</v>
      </c>
      <c r="U46" s="1388" t="s">
        <v>1856</v>
      </c>
    </row>
    <row r="47" spans="1:26">
      <c r="A47" s="1383">
        <v>42</v>
      </c>
      <c r="B47" s="1384"/>
      <c r="C47" s="1385" t="s">
        <v>53</v>
      </c>
      <c r="D47" s="1385" t="s">
        <v>54</v>
      </c>
      <c r="E47" s="1386">
        <f>'Stretch readiness '!C37/1000</f>
        <v>2.5501670000000001</v>
      </c>
      <c r="F47" s="1386">
        <f t="shared" si="1"/>
        <v>100.81866100000001</v>
      </c>
      <c r="G47" s="1384" t="s">
        <v>1280</v>
      </c>
      <c r="H47" s="1384"/>
      <c r="I47" s="1387"/>
      <c r="J47" s="1387"/>
      <c r="K47" s="1387"/>
      <c r="L47" s="1387"/>
      <c r="M47" s="1387"/>
      <c r="N47" s="1387"/>
      <c r="O47" s="1387"/>
      <c r="P47" s="1387"/>
      <c r="Q47" s="1387"/>
      <c r="R47" s="1384"/>
      <c r="S47" s="1384"/>
      <c r="T47" s="1384" t="s">
        <v>1503</v>
      </c>
      <c r="U47" s="1388" t="s">
        <v>1858</v>
      </c>
    </row>
    <row r="48" spans="1:26" ht="15" thickBot="1">
      <c r="A48" s="1320"/>
      <c r="B48" s="1321"/>
      <c r="C48" s="1321"/>
      <c r="D48" s="1321"/>
      <c r="E48" s="1321"/>
      <c r="F48" s="1321"/>
      <c r="G48" s="1321"/>
      <c r="H48" s="1321"/>
      <c r="I48" s="1321"/>
      <c r="J48" s="1321"/>
      <c r="K48" s="1321"/>
      <c r="L48" s="1321"/>
      <c r="M48" s="1321"/>
      <c r="N48" s="1321"/>
      <c r="O48" s="1321"/>
      <c r="P48" s="1321"/>
      <c r="Q48" s="1321"/>
      <c r="R48" s="1321"/>
      <c r="S48" s="1321"/>
      <c r="T48" s="1321"/>
      <c r="U48" s="1322"/>
    </row>
  </sheetData>
  <autoFilter ref="A5:Y46" xr:uid="{00000000-0001-0000-0900-000000000000}"/>
  <mergeCells count="7">
    <mergeCell ref="V6:Y6"/>
    <mergeCell ref="A1:U1"/>
    <mergeCell ref="A2:U2"/>
    <mergeCell ref="A3:T3"/>
    <mergeCell ref="A4:A5"/>
    <mergeCell ref="B4:B5"/>
    <mergeCell ref="C4:E4"/>
  </mergeCells>
  <conditionalFormatting sqref="C13 C15">
    <cfRule type="duplicateValues" dxfId="209" priority="1"/>
  </conditionalFormatting>
  <conditionalFormatting sqref="D6:D13 D15">
    <cfRule type="duplicateValues" dxfId="208" priority="205"/>
  </conditionalFormatting>
  <pageMargins left="0.7" right="0.7" top="0.75" bottom="0.75" header="0.3" footer="0.3"/>
  <pageSetup scale="52" orientation="portrait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24A3E-6370-44F2-9D93-9172DD40BE9C}">
  <sheetPr>
    <tabColor rgb="FFFFFF00"/>
    <pageSetUpPr fitToPage="1"/>
  </sheetPr>
  <dimension ref="A1:N298"/>
  <sheetViews>
    <sheetView showGridLines="0" tabSelected="1" zoomScale="85" zoomScaleNormal="85" zoomScaleSheetLayoutView="89" workbookViewId="0">
      <pane ySplit="10" topLeftCell="A69" activePane="bottomLeft" state="frozen"/>
      <selection activeCell="C296" sqref="C296"/>
      <selection pane="bottomLeft" activeCell="B69" sqref="B69"/>
    </sheetView>
  </sheetViews>
  <sheetFormatPr defaultColWidth="9.1796875" defaultRowHeight="13"/>
  <cols>
    <col min="1" max="1" width="8.54296875" style="819" customWidth="1"/>
    <col min="2" max="2" width="29.6328125" style="819" customWidth="1"/>
    <col min="3" max="3" width="17.54296875" style="819" customWidth="1"/>
    <col min="4" max="4" width="15.453125" style="819" customWidth="1"/>
    <col min="5" max="5" width="13.90625" style="819" customWidth="1"/>
    <col min="6" max="6" width="15.36328125" style="819" customWidth="1"/>
    <col min="7" max="7" width="12.08984375" style="819" customWidth="1"/>
    <col min="8" max="8" width="13.7265625" style="819" customWidth="1"/>
    <col min="9" max="9" width="13.26953125" style="819" customWidth="1"/>
    <col min="10" max="10" width="12.81640625" style="819" bestFit="1" customWidth="1"/>
    <col min="11" max="11" width="12.1796875" style="819" hidden="1" customWidth="1"/>
    <col min="12" max="12" width="36.54296875" style="819" customWidth="1"/>
    <col min="13" max="16384" width="9.1796875" style="819"/>
  </cols>
  <sheetData>
    <row r="1" spans="1:14" ht="9.75" customHeight="1"/>
    <row r="2" spans="1:14" ht="16.5" customHeight="1">
      <c r="A2" s="1551" t="s">
        <v>1340</v>
      </c>
      <c r="B2" s="1551"/>
      <c r="C2" s="1551"/>
      <c r="D2" s="1551"/>
      <c r="E2" s="1551"/>
      <c r="F2" s="1551"/>
      <c r="G2" s="1551"/>
      <c r="H2" s="1551"/>
      <c r="I2" s="1551"/>
      <c r="J2" s="1551"/>
      <c r="K2" s="1551"/>
      <c r="L2" s="1551"/>
    </row>
    <row r="3" spans="1:14" ht="16.5" customHeight="1">
      <c r="A3" s="831"/>
      <c r="B3" s="831"/>
      <c r="C3" s="831"/>
      <c r="D3" s="831"/>
      <c r="E3" s="831"/>
      <c r="F3" s="831"/>
      <c r="G3" s="831"/>
      <c r="H3" s="831"/>
      <c r="I3" s="831"/>
      <c r="J3" s="831"/>
      <c r="K3" s="831"/>
    </row>
    <row r="4" spans="1:14" ht="28.5" customHeight="1">
      <c r="A4" s="831"/>
      <c r="B4" s="841" t="s">
        <v>131</v>
      </c>
      <c r="C4" s="841" t="s">
        <v>1417</v>
      </c>
      <c r="D4" s="945" t="s">
        <v>1351</v>
      </c>
      <c r="E4" s="1081" t="s">
        <v>1595</v>
      </c>
      <c r="F4" s="1264" t="s">
        <v>1418</v>
      </c>
      <c r="G4" s="941" t="s">
        <v>1419</v>
      </c>
      <c r="H4" s="941" t="s">
        <v>1747</v>
      </c>
      <c r="K4" s="1101"/>
    </row>
    <row r="5" spans="1:14" ht="16.5" customHeight="1">
      <c r="A5" s="831"/>
      <c r="B5" s="842" t="s">
        <v>1344</v>
      </c>
      <c r="C5" s="946">
        <v>62</v>
      </c>
      <c r="D5" s="138">
        <f>SUM(C11:C72)/1000</f>
        <v>117.85605400000003</v>
      </c>
      <c r="E5" s="1265">
        <f>SUM(E6:E7)</f>
        <v>39</v>
      </c>
      <c r="F5" s="1082">
        <f>SUM(F6:F7)</f>
        <v>88.58487199999999</v>
      </c>
      <c r="G5" s="138">
        <f>D5-F5</f>
        <v>29.271182000000039</v>
      </c>
      <c r="H5" s="138"/>
      <c r="I5" s="819" t="s">
        <v>1789</v>
      </c>
      <c r="J5" s="819" t="s">
        <v>1790</v>
      </c>
      <c r="K5" s="1102"/>
    </row>
    <row r="6" spans="1:14" ht="16.5" customHeight="1">
      <c r="A6" s="831"/>
      <c r="B6" s="842" t="s">
        <v>1403</v>
      </c>
      <c r="C6" s="946">
        <v>37</v>
      </c>
      <c r="D6" s="138">
        <f>D5-D7</f>
        <v>109.28515900000002</v>
      </c>
      <c r="E6" s="946">
        <f>COUNTIFS($D$11:$D$72,"TSE",$L$11:$L$72,"Completed")</f>
        <v>26</v>
      </c>
      <c r="F6" s="1082">
        <f>SUMIFS($C$11:$C$72,$D$11:$D$72,"TSE",$L$11:$L$72,"Completed")/1000</f>
        <v>83.960871999999995</v>
      </c>
      <c r="G6" s="138">
        <f>D6-F6</f>
        <v>25.324287000000027</v>
      </c>
      <c r="H6" s="1106">
        <v>2</v>
      </c>
      <c r="I6" s="834">
        <f>SUMIFS($C$11:$C$72,$D$11:$D$72,"TSE",$L$11:$L$72,"&lt;&gt;Completed")/1000</f>
        <v>25.324287000000002</v>
      </c>
      <c r="J6" s="819">
        <f>C6-E6</f>
        <v>11</v>
      </c>
      <c r="K6" s="1102"/>
      <c r="M6" s="819">
        <f>C6-E6</f>
        <v>11</v>
      </c>
      <c r="N6" s="834">
        <f>D6-F6</f>
        <v>25.324287000000027</v>
      </c>
    </row>
    <row r="7" spans="1:14" ht="16.5" customHeight="1">
      <c r="A7" s="831"/>
      <c r="B7" s="842" t="s">
        <v>1279</v>
      </c>
      <c r="C7" s="946">
        <v>25</v>
      </c>
      <c r="D7" s="138">
        <f>ROUNDUP(SUMIF($D$11:$D$72,$B7,$C$11:$C$72),3)/1000</f>
        <v>8.5708950000000002</v>
      </c>
      <c r="E7" s="946">
        <f>COUNTIFS($D$11:$D$72,"Manual",$L$11:$L$72,"Completed")</f>
        <v>13</v>
      </c>
      <c r="F7" s="1082">
        <f>SUMIFS($C$11:$C$72,$D$11:$D$72,"Manual",$L$11:$L$72,"Completed")/1000</f>
        <v>4.6239999999999997</v>
      </c>
      <c r="G7" s="138">
        <f>D7-F7</f>
        <v>3.9468950000000005</v>
      </c>
      <c r="H7" s="1106">
        <v>0</v>
      </c>
      <c r="I7" s="834">
        <f>SUMIFS($C$11:$C$72,$D$11:$D$72,"Manual",$L$11:$L$72,"&lt;&gt;Completed")/1000</f>
        <v>3.9468950000000005</v>
      </c>
      <c r="J7" s="819">
        <f>C7-E7</f>
        <v>12</v>
      </c>
      <c r="K7" s="1102"/>
      <c r="M7" s="819">
        <f>C7-E7</f>
        <v>12</v>
      </c>
      <c r="N7" s="834">
        <f>D7-F7</f>
        <v>3.9468950000000005</v>
      </c>
    </row>
    <row r="8" spans="1:14" ht="16.5" customHeight="1" thickBot="1">
      <c r="A8" s="831"/>
      <c r="B8" s="831"/>
      <c r="C8" s="831"/>
      <c r="D8" s="831"/>
      <c r="E8" s="831"/>
      <c r="F8" s="831"/>
      <c r="G8" s="831"/>
      <c r="H8" s="831"/>
    </row>
    <row r="9" spans="1:14" ht="25.5" customHeight="1">
      <c r="A9" s="1552" t="s">
        <v>1453</v>
      </c>
      <c r="B9" s="1545" t="s">
        <v>94</v>
      </c>
      <c r="C9" s="1545" t="s">
        <v>1420</v>
      </c>
      <c r="D9" s="1545" t="s">
        <v>1277</v>
      </c>
      <c r="E9" s="1545" t="s">
        <v>1278</v>
      </c>
      <c r="F9" s="1545" t="s">
        <v>1348</v>
      </c>
      <c r="G9" s="1547" t="s">
        <v>99</v>
      </c>
      <c r="H9" s="1548"/>
      <c r="I9" s="1547" t="s">
        <v>1343</v>
      </c>
      <c r="J9" s="1548"/>
      <c r="K9" s="1097"/>
      <c r="L9" s="1047" t="s">
        <v>1344</v>
      </c>
    </row>
    <row r="10" spans="1:14" ht="16.5" customHeight="1" thickBot="1">
      <c r="A10" s="1553"/>
      <c r="B10" s="1546"/>
      <c r="C10" s="1546"/>
      <c r="D10" s="1546"/>
      <c r="E10" s="1546"/>
      <c r="F10" s="1546"/>
      <c r="G10" s="22" t="s">
        <v>255</v>
      </c>
      <c r="H10" s="22" t="s">
        <v>0</v>
      </c>
      <c r="I10" s="22" t="s">
        <v>255</v>
      </c>
      <c r="J10" s="22" t="s">
        <v>0</v>
      </c>
      <c r="K10" s="22" t="s">
        <v>1577</v>
      </c>
      <c r="L10" s="22" t="s">
        <v>1</v>
      </c>
    </row>
    <row r="11" spans="1:14" s="1057" customFormat="1" ht="18.5">
      <c r="A11" s="1054">
        <f>IF(B11="","",SUBTOTAL(3,$B$11:B11))</f>
        <v>1</v>
      </c>
      <c r="B11" s="1055" t="s">
        <v>1350</v>
      </c>
      <c r="C11" s="1168">
        <v>150.01400000000001</v>
      </c>
      <c r="D11" s="1056" t="s">
        <v>1279</v>
      </c>
      <c r="E11" s="1056"/>
      <c r="F11" s="1056">
        <v>1</v>
      </c>
      <c r="G11" s="1056">
        <v>1</v>
      </c>
      <c r="H11" s="1056">
        <f>F11-G11</f>
        <v>0</v>
      </c>
      <c r="I11" s="1056">
        <v>1</v>
      </c>
      <c r="J11" s="1056">
        <f t="shared" ref="J11:J72" si="0">F11-I11</f>
        <v>0</v>
      </c>
      <c r="K11" s="1103" t="s">
        <v>1611</v>
      </c>
      <c r="L11" s="1068"/>
    </row>
    <row r="12" spans="1:14" s="1069" customFormat="1" ht="18.5">
      <c r="A12" s="1150">
        <f>IF(B12="","",SUBTOTAL(3,$B$11:B12))</f>
        <v>2</v>
      </c>
      <c r="B12" s="1151" t="s">
        <v>1376</v>
      </c>
      <c r="C12" s="1073">
        <v>290.20999999999998</v>
      </c>
      <c r="D12" s="1074" t="s">
        <v>1279</v>
      </c>
      <c r="E12" s="1074"/>
      <c r="F12" s="1074">
        <v>1</v>
      </c>
      <c r="G12" s="1074">
        <v>1</v>
      </c>
      <c r="H12" s="1074">
        <f t="shared" ref="H12:H72" si="1">F12-G12</f>
        <v>0</v>
      </c>
      <c r="I12" s="1074">
        <v>1</v>
      </c>
      <c r="J12" s="1074">
        <f t="shared" si="0"/>
        <v>0</v>
      </c>
      <c r="K12" s="1152" t="s">
        <v>1609</v>
      </c>
      <c r="L12" s="1080" t="s">
        <v>255</v>
      </c>
      <c r="M12" s="1116"/>
    </row>
    <row r="13" spans="1:14" s="1057" customFormat="1" ht="18.5">
      <c r="A13" s="1059">
        <f>IF(B13="","",SUBTOTAL(3,$B$11:B13))</f>
        <v>3</v>
      </c>
      <c r="B13" s="1079" t="s">
        <v>1377</v>
      </c>
      <c r="C13" s="1061">
        <v>2836.9920000000002</v>
      </c>
      <c r="D13" s="1062" t="s">
        <v>1280</v>
      </c>
      <c r="E13" s="1062"/>
      <c r="F13" s="1062">
        <v>7</v>
      </c>
      <c r="G13" s="1062">
        <v>7</v>
      </c>
      <c r="H13" s="1062">
        <f t="shared" si="1"/>
        <v>0</v>
      </c>
      <c r="I13" s="1062">
        <v>7</v>
      </c>
      <c r="J13" s="1062">
        <f t="shared" si="0"/>
        <v>0</v>
      </c>
      <c r="K13" s="1104" t="s">
        <v>1609</v>
      </c>
      <c r="L13" s="1080" t="s">
        <v>255</v>
      </c>
      <c r="M13" s="1058"/>
    </row>
    <row r="14" spans="1:14" s="1057" customFormat="1" ht="18.5">
      <c r="A14" s="1059">
        <f>IF(B14="","",SUBTOTAL(3,$B$11:B14))</f>
        <v>4</v>
      </c>
      <c r="B14" s="1079" t="s">
        <v>1379</v>
      </c>
      <c r="C14" s="1061">
        <v>2691.4670000000001</v>
      </c>
      <c r="D14" s="1062" t="s">
        <v>1280</v>
      </c>
      <c r="E14" s="1062"/>
      <c r="F14" s="1062">
        <v>7</v>
      </c>
      <c r="G14" s="1062">
        <v>7</v>
      </c>
      <c r="H14" s="1062">
        <f t="shared" si="1"/>
        <v>0</v>
      </c>
      <c r="I14" s="1062">
        <v>7</v>
      </c>
      <c r="J14" s="1062">
        <f t="shared" si="0"/>
        <v>0</v>
      </c>
      <c r="K14" s="1104" t="s">
        <v>1609</v>
      </c>
      <c r="L14" s="1080" t="s">
        <v>255</v>
      </c>
      <c r="M14" s="1058"/>
    </row>
    <row r="15" spans="1:14" s="1057" customFormat="1" ht="18.5">
      <c r="A15" s="1059">
        <f>IF(B15="","",SUBTOTAL(3,$B$11:B15))</f>
        <v>5</v>
      </c>
      <c r="B15" s="1079" t="s">
        <v>1381</v>
      </c>
      <c r="C15" s="1061">
        <v>1627.07</v>
      </c>
      <c r="D15" s="1062" t="s">
        <v>1280</v>
      </c>
      <c r="E15" s="1062"/>
      <c r="F15" s="1062">
        <v>4</v>
      </c>
      <c r="G15" s="1062">
        <v>4</v>
      </c>
      <c r="H15" s="1062">
        <f t="shared" si="1"/>
        <v>0</v>
      </c>
      <c r="I15" s="1062">
        <v>4</v>
      </c>
      <c r="J15" s="1062">
        <f t="shared" si="0"/>
        <v>0</v>
      </c>
      <c r="K15" s="1104" t="s">
        <v>1609</v>
      </c>
      <c r="L15" s="1080" t="s">
        <v>255</v>
      </c>
      <c r="M15" s="1058" t="s">
        <v>1597</v>
      </c>
    </row>
    <row r="16" spans="1:14" s="1099" customFormat="1" ht="18.5">
      <c r="A16" s="1059">
        <f>IF(B16="","",SUBTOTAL(3,$B$11:B16))</f>
        <v>6</v>
      </c>
      <c r="B16" s="1079" t="s">
        <v>1288</v>
      </c>
      <c r="C16" s="1061">
        <v>709.16300000000001</v>
      </c>
      <c r="D16" s="1062" t="s">
        <v>1280</v>
      </c>
      <c r="E16" s="1062"/>
      <c r="F16" s="1062">
        <v>2</v>
      </c>
      <c r="G16" s="1062">
        <v>2</v>
      </c>
      <c r="H16" s="1062">
        <f t="shared" si="1"/>
        <v>0</v>
      </c>
      <c r="I16" s="1062">
        <v>2</v>
      </c>
      <c r="J16" s="1062">
        <f t="shared" si="0"/>
        <v>0</v>
      </c>
      <c r="K16" s="1104" t="s">
        <v>1617</v>
      </c>
      <c r="L16" s="1080" t="s">
        <v>255</v>
      </c>
      <c r="M16" s="1098"/>
    </row>
    <row r="17" spans="1:13" s="1099" customFormat="1" ht="18.5">
      <c r="A17" s="1059">
        <f>IF(B17="","",SUBTOTAL(3,$B$11:B17))</f>
        <v>7</v>
      </c>
      <c r="B17" s="1079" t="s">
        <v>1289</v>
      </c>
      <c r="C17" s="1061">
        <v>2681.6109999999999</v>
      </c>
      <c r="D17" s="1062" t="s">
        <v>1280</v>
      </c>
      <c r="E17" s="1062"/>
      <c r="F17" s="1062">
        <v>7</v>
      </c>
      <c r="G17" s="1062">
        <v>7</v>
      </c>
      <c r="H17" s="1062">
        <f t="shared" si="1"/>
        <v>0</v>
      </c>
      <c r="I17" s="1062">
        <v>7</v>
      </c>
      <c r="J17" s="1062">
        <f t="shared" si="0"/>
        <v>0</v>
      </c>
      <c r="K17" s="1104" t="s">
        <v>1617</v>
      </c>
      <c r="L17" s="1080" t="s">
        <v>255</v>
      </c>
      <c r="M17" s="1098"/>
    </row>
    <row r="18" spans="1:13" s="1057" customFormat="1" ht="18.5">
      <c r="A18" s="1059">
        <f>IF(B18="","",SUBTOTAL(3,$B$11:B18))</f>
        <v>8</v>
      </c>
      <c r="B18" s="1079" t="s">
        <v>1290</v>
      </c>
      <c r="C18" s="1061">
        <v>4418.3890000000001</v>
      </c>
      <c r="D18" s="1062" t="s">
        <v>1280</v>
      </c>
      <c r="E18" s="1062"/>
      <c r="F18" s="1062">
        <v>11</v>
      </c>
      <c r="G18" s="1062">
        <v>11</v>
      </c>
      <c r="H18" s="1062">
        <f t="shared" si="1"/>
        <v>0</v>
      </c>
      <c r="I18" s="1062">
        <v>11</v>
      </c>
      <c r="J18" s="1062">
        <f t="shared" si="0"/>
        <v>0</v>
      </c>
      <c r="K18" s="1104" t="s">
        <v>1617</v>
      </c>
      <c r="L18" s="1111" t="s">
        <v>255</v>
      </c>
      <c r="M18" s="1058"/>
    </row>
    <row r="19" spans="1:13" s="1084" customFormat="1" ht="18.5">
      <c r="A19" s="1059">
        <f>IF(B19="","",SUBTOTAL(3,$B$11:B19))</f>
        <v>9</v>
      </c>
      <c r="B19" s="1079" t="s">
        <v>1291</v>
      </c>
      <c r="C19" s="1061">
        <v>419.48</v>
      </c>
      <c r="D19" s="1062" t="s">
        <v>1279</v>
      </c>
      <c r="E19" s="1062"/>
      <c r="F19" s="1062">
        <v>1</v>
      </c>
      <c r="G19" s="1062">
        <v>1</v>
      </c>
      <c r="H19" s="1062">
        <f t="shared" si="1"/>
        <v>0</v>
      </c>
      <c r="I19" s="1062">
        <v>1</v>
      </c>
      <c r="J19" s="1062">
        <f t="shared" si="0"/>
        <v>0</v>
      </c>
      <c r="K19" s="1104" t="s">
        <v>1617</v>
      </c>
      <c r="L19" s="1080" t="s">
        <v>255</v>
      </c>
      <c r="M19" s="1083"/>
    </row>
    <row r="20" spans="1:13" s="1057" customFormat="1" ht="18.5">
      <c r="A20" s="1059">
        <f>IF(B20="","",SUBTOTAL(3,$B$11:B20))</f>
        <v>10</v>
      </c>
      <c r="B20" s="1079" t="s">
        <v>1292</v>
      </c>
      <c r="C20" s="1061">
        <v>4901.2360000000008</v>
      </c>
      <c r="D20" s="1062" t="s">
        <v>1280</v>
      </c>
      <c r="E20" s="1062"/>
      <c r="F20" s="1062">
        <v>13</v>
      </c>
      <c r="G20" s="1062">
        <v>13</v>
      </c>
      <c r="H20" s="1062">
        <f t="shared" si="1"/>
        <v>0</v>
      </c>
      <c r="I20" s="1062">
        <v>13</v>
      </c>
      <c r="J20" s="1062">
        <f t="shared" si="0"/>
        <v>0</v>
      </c>
      <c r="K20" s="1104" t="s">
        <v>1617</v>
      </c>
      <c r="L20" s="1080" t="s">
        <v>255</v>
      </c>
      <c r="M20" s="1058"/>
    </row>
    <row r="21" spans="1:13" s="1057" customFormat="1" ht="18.5">
      <c r="A21" s="1059">
        <f>IF(B21="","",SUBTOTAL(3,$B$11:B21))</f>
        <v>11</v>
      </c>
      <c r="B21" s="1060" t="s">
        <v>1293</v>
      </c>
      <c r="C21" s="1061">
        <v>2699.2840000000001</v>
      </c>
      <c r="D21" s="1062" t="s">
        <v>1280</v>
      </c>
      <c r="E21" s="1062"/>
      <c r="F21" s="1062">
        <v>7</v>
      </c>
      <c r="G21" s="1062">
        <v>7</v>
      </c>
      <c r="H21" s="1062">
        <f t="shared" si="1"/>
        <v>0</v>
      </c>
      <c r="I21" s="1062">
        <v>7</v>
      </c>
      <c r="J21" s="1062">
        <f t="shared" si="0"/>
        <v>0</v>
      </c>
      <c r="K21" s="1104" t="s">
        <v>1617</v>
      </c>
      <c r="L21" s="1063" t="s">
        <v>255</v>
      </c>
    </row>
    <row r="22" spans="1:13" s="1057" customFormat="1" ht="18.5">
      <c r="A22" s="1059">
        <f>IF(B22="","",SUBTOTAL(3,$B$11:B22))</f>
        <v>12</v>
      </c>
      <c r="B22" s="1060" t="s">
        <v>1294</v>
      </c>
      <c r="C22" s="1061">
        <v>2434.77</v>
      </c>
      <c r="D22" s="1062" t="s">
        <v>1280</v>
      </c>
      <c r="E22" s="1062"/>
      <c r="F22" s="1062">
        <v>6</v>
      </c>
      <c r="G22" s="1062">
        <v>6</v>
      </c>
      <c r="H22" s="1062">
        <f t="shared" si="1"/>
        <v>0</v>
      </c>
      <c r="I22" s="1062">
        <v>6</v>
      </c>
      <c r="J22" s="1062">
        <f t="shared" si="0"/>
        <v>0</v>
      </c>
      <c r="K22" s="1104" t="s">
        <v>1617</v>
      </c>
      <c r="L22" s="1063" t="s">
        <v>255</v>
      </c>
    </row>
    <row r="23" spans="1:13" s="1057" customFormat="1" ht="18.5">
      <c r="A23" s="1059">
        <f>IF(B23="","",SUBTOTAL(3,$B$11:B23))</f>
        <v>13</v>
      </c>
      <c r="B23" s="1060" t="s">
        <v>1295</v>
      </c>
      <c r="C23" s="1061">
        <v>4455</v>
      </c>
      <c r="D23" s="1062" t="s">
        <v>1280</v>
      </c>
      <c r="E23" s="1062"/>
      <c r="F23" s="1062">
        <v>12</v>
      </c>
      <c r="G23" s="1062">
        <v>12</v>
      </c>
      <c r="H23" s="1062">
        <f t="shared" si="1"/>
        <v>0</v>
      </c>
      <c r="I23" s="1062">
        <v>12</v>
      </c>
      <c r="J23" s="1062">
        <f t="shared" si="0"/>
        <v>0</v>
      </c>
      <c r="K23" s="1104" t="s">
        <v>1617</v>
      </c>
      <c r="L23" s="1063" t="s">
        <v>255</v>
      </c>
    </row>
    <row r="24" spans="1:13" s="1057" customFormat="1" ht="18.5">
      <c r="A24" s="1059">
        <f>IF(B24="","",SUBTOTAL(3,$B$11:B24))</f>
        <v>14</v>
      </c>
      <c r="B24" s="1060" t="s">
        <v>1296</v>
      </c>
      <c r="C24" s="1061">
        <v>466.63</v>
      </c>
      <c r="D24" s="1062" t="s">
        <v>1279</v>
      </c>
      <c r="E24" s="1062"/>
      <c r="F24" s="1062">
        <v>1</v>
      </c>
      <c r="G24" s="1062">
        <v>1</v>
      </c>
      <c r="H24" s="1062">
        <f t="shared" si="1"/>
        <v>0</v>
      </c>
      <c r="I24" s="1062">
        <v>1</v>
      </c>
      <c r="J24" s="1062">
        <f t="shared" si="0"/>
        <v>0</v>
      </c>
      <c r="K24" s="1104" t="s">
        <v>1617</v>
      </c>
      <c r="L24" s="1063" t="s">
        <v>255</v>
      </c>
    </row>
    <row r="25" spans="1:13" s="1057" customFormat="1" ht="18.5">
      <c r="A25" s="1059">
        <f>IF(B25="","",SUBTOTAL(3,$B$11:B25))</f>
        <v>15</v>
      </c>
      <c r="B25" s="1060" t="s">
        <v>1297</v>
      </c>
      <c r="C25" s="1061">
        <v>4964.92</v>
      </c>
      <c r="D25" s="1062" t="s">
        <v>1280</v>
      </c>
      <c r="E25" s="1062"/>
      <c r="F25" s="1062">
        <v>12</v>
      </c>
      <c r="G25" s="1062">
        <v>12</v>
      </c>
      <c r="H25" s="1062">
        <f t="shared" si="1"/>
        <v>0</v>
      </c>
      <c r="I25" s="1062">
        <v>12</v>
      </c>
      <c r="J25" s="1062">
        <f t="shared" si="0"/>
        <v>0</v>
      </c>
      <c r="K25" s="1104" t="s">
        <v>1609</v>
      </c>
      <c r="L25" s="1063" t="s">
        <v>255</v>
      </c>
    </row>
    <row r="26" spans="1:13" s="1057" customFormat="1" ht="18.5">
      <c r="A26" s="1059">
        <f>IF(B26="","",SUBTOTAL(3,$B$11:B26))</f>
        <v>16</v>
      </c>
      <c r="B26" s="1060" t="s">
        <v>1298</v>
      </c>
      <c r="C26" s="1061">
        <v>1004.183</v>
      </c>
      <c r="D26" s="1062" t="s">
        <v>1280</v>
      </c>
      <c r="E26" s="1062"/>
      <c r="F26" s="1062">
        <v>3</v>
      </c>
      <c r="G26" s="1062">
        <v>3</v>
      </c>
      <c r="H26" s="1062">
        <f t="shared" si="1"/>
        <v>0</v>
      </c>
      <c r="I26" s="1062">
        <v>3</v>
      </c>
      <c r="J26" s="1062">
        <f t="shared" si="0"/>
        <v>0</v>
      </c>
      <c r="K26" s="1104" t="s">
        <v>1610</v>
      </c>
      <c r="L26" s="1063" t="s">
        <v>255</v>
      </c>
    </row>
    <row r="27" spans="1:13" s="1239" customFormat="1" ht="18.5">
      <c r="A27" s="1071">
        <f>IF(B27="","",SUBTOTAL(3,$B$11:B27))</f>
        <v>17</v>
      </c>
      <c r="B27" s="1072" t="s">
        <v>1299</v>
      </c>
      <c r="C27" s="1073">
        <v>242.89</v>
      </c>
      <c r="D27" s="1074" t="s">
        <v>1279</v>
      </c>
      <c r="E27" s="1074" t="s">
        <v>687</v>
      </c>
      <c r="F27" s="1074">
        <v>1</v>
      </c>
      <c r="G27" s="1074">
        <v>1</v>
      </c>
      <c r="H27" s="1074">
        <f t="shared" si="1"/>
        <v>0</v>
      </c>
      <c r="I27" s="1074">
        <v>1</v>
      </c>
      <c r="J27" s="1074">
        <f t="shared" si="0"/>
        <v>0</v>
      </c>
      <c r="K27" s="1152" t="s">
        <v>1610</v>
      </c>
      <c r="L27" s="1276" t="s">
        <v>255</v>
      </c>
      <c r="M27" s="1239" t="s">
        <v>1597</v>
      </c>
    </row>
    <row r="28" spans="1:13" s="1069" customFormat="1" ht="18.5">
      <c r="A28" s="1070">
        <f>IF(B28="","",SUBTOTAL(3,$B$11:B28))</f>
        <v>18</v>
      </c>
      <c r="B28" s="1065" t="s">
        <v>1300</v>
      </c>
      <c r="C28" s="1066">
        <v>329.73</v>
      </c>
      <c r="D28" s="1067" t="s">
        <v>1279</v>
      </c>
      <c r="E28" s="1067" t="s">
        <v>1281</v>
      </c>
      <c r="F28" s="1067">
        <v>1</v>
      </c>
      <c r="G28" s="1067">
        <v>1</v>
      </c>
      <c r="H28" s="1067">
        <f t="shared" si="1"/>
        <v>0</v>
      </c>
      <c r="I28" s="1067">
        <v>1</v>
      </c>
      <c r="J28" s="1067">
        <f t="shared" si="0"/>
        <v>0</v>
      </c>
      <c r="K28" s="1105" t="s">
        <v>1610</v>
      </c>
      <c r="L28" s="1148" t="s">
        <v>1649</v>
      </c>
    </row>
    <row r="29" spans="1:13" s="1069" customFormat="1" ht="18.5">
      <c r="A29" s="1071">
        <f>IF(B29="","",SUBTOTAL(3,$B$11:B29))</f>
        <v>19</v>
      </c>
      <c r="B29" s="1072" t="s">
        <v>1301</v>
      </c>
      <c r="C29" s="1073">
        <v>416.88</v>
      </c>
      <c r="D29" s="1074" t="s">
        <v>1279</v>
      </c>
      <c r="E29" s="1074"/>
      <c r="F29" s="1074">
        <v>1</v>
      </c>
      <c r="G29" s="1074">
        <v>1</v>
      </c>
      <c r="H29" s="1074">
        <f t="shared" si="1"/>
        <v>0</v>
      </c>
      <c r="I29" s="1074">
        <v>1</v>
      </c>
      <c r="J29" s="1074">
        <f t="shared" si="0"/>
        <v>0</v>
      </c>
      <c r="K29" s="1152" t="s">
        <v>1610</v>
      </c>
      <c r="L29" s="1215" t="s">
        <v>255</v>
      </c>
    </row>
    <row r="30" spans="1:13" s="1069" customFormat="1" ht="18.5">
      <c r="A30" s="1150">
        <f>IF(B30="","",SUBTOTAL(3,$B$11:B30))</f>
        <v>20</v>
      </c>
      <c r="B30" s="1072" t="s">
        <v>1302</v>
      </c>
      <c r="C30" s="1073">
        <v>480.27</v>
      </c>
      <c r="D30" s="1074" t="s">
        <v>1279</v>
      </c>
      <c r="E30" s="1074"/>
      <c r="F30" s="1074">
        <v>1</v>
      </c>
      <c r="G30" s="1074">
        <v>1</v>
      </c>
      <c r="H30" s="1074">
        <f t="shared" si="1"/>
        <v>0</v>
      </c>
      <c r="I30" s="1074">
        <v>1</v>
      </c>
      <c r="J30" s="1074">
        <f t="shared" si="0"/>
        <v>0</v>
      </c>
      <c r="K30" s="1152" t="s">
        <v>1610</v>
      </c>
      <c r="L30" s="1215" t="s">
        <v>255</v>
      </c>
    </row>
    <row r="31" spans="1:13" s="1069" customFormat="1" ht="18.5">
      <c r="A31" s="1290">
        <f>IF(B31="","",SUBTOTAL(3,$B$11:B31))</f>
        <v>21</v>
      </c>
      <c r="B31" s="1291" t="s">
        <v>1303</v>
      </c>
      <c r="C31" s="1073">
        <v>223.82</v>
      </c>
      <c r="D31" s="1074" t="s">
        <v>1279</v>
      </c>
      <c r="E31" s="1074" t="s">
        <v>1282</v>
      </c>
      <c r="F31" s="1074">
        <v>1</v>
      </c>
      <c r="G31" s="1074">
        <v>1</v>
      </c>
      <c r="H31" s="1074">
        <f t="shared" si="1"/>
        <v>0</v>
      </c>
      <c r="I31" s="1074">
        <v>1</v>
      </c>
      <c r="J31" s="1074">
        <f t="shared" si="0"/>
        <v>0</v>
      </c>
      <c r="K31" s="1152" t="s">
        <v>1610</v>
      </c>
      <c r="L31" s="1215" t="s">
        <v>255</v>
      </c>
    </row>
    <row r="32" spans="1:13" s="1069" customFormat="1" ht="18.5">
      <c r="A32" s="1279">
        <f>IF(B32="","",SUBTOTAL(3,$B$11:B32))</f>
        <v>22</v>
      </c>
      <c r="B32" s="1142" t="s">
        <v>1304</v>
      </c>
      <c r="C32" s="1131">
        <v>5019.34</v>
      </c>
      <c r="D32" s="1132" t="s">
        <v>1280</v>
      </c>
      <c r="E32" s="1132"/>
      <c r="F32" s="1132">
        <v>13</v>
      </c>
      <c r="G32" s="1132">
        <v>13</v>
      </c>
      <c r="H32" s="1132">
        <f t="shared" si="1"/>
        <v>0</v>
      </c>
      <c r="I32" s="1132">
        <v>12</v>
      </c>
      <c r="J32" s="1132">
        <f t="shared" si="0"/>
        <v>1</v>
      </c>
      <c r="K32" s="1133" t="s">
        <v>1610</v>
      </c>
      <c r="L32" s="1134" t="s">
        <v>1777</v>
      </c>
    </row>
    <row r="33" spans="1:12" s="1069" customFormat="1" ht="18.5">
      <c r="A33" s="1064">
        <f>IF(B33="","",SUBTOTAL(3,$B$11:B33))</f>
        <v>23</v>
      </c>
      <c r="B33" s="1065" t="s">
        <v>1305</v>
      </c>
      <c r="C33" s="1066">
        <v>392.69</v>
      </c>
      <c r="D33" s="1067" t="s">
        <v>1279</v>
      </c>
      <c r="E33" s="1067"/>
      <c r="F33" s="1067">
        <v>1</v>
      </c>
      <c r="G33" s="1067">
        <v>1</v>
      </c>
      <c r="H33" s="1067">
        <f t="shared" si="1"/>
        <v>0</v>
      </c>
      <c r="I33" s="1067">
        <v>1</v>
      </c>
      <c r="J33" s="1067">
        <f t="shared" si="0"/>
        <v>0</v>
      </c>
      <c r="K33" s="1105" t="s">
        <v>1610</v>
      </c>
      <c r="L33" s="1068"/>
    </row>
    <row r="34" spans="1:12" s="1069" customFormat="1" ht="18.5">
      <c r="A34" s="1064">
        <f>IF(B34="","",SUBTOTAL(3,$B$11:B34))</f>
        <v>24</v>
      </c>
      <c r="B34" s="1065" t="s">
        <v>1306</v>
      </c>
      <c r="C34" s="1066">
        <v>398.4</v>
      </c>
      <c r="D34" s="1067" t="s">
        <v>1279</v>
      </c>
      <c r="E34" s="1067"/>
      <c r="F34" s="1067">
        <v>1</v>
      </c>
      <c r="G34" s="1067">
        <v>1</v>
      </c>
      <c r="H34" s="1067">
        <f t="shared" si="1"/>
        <v>0</v>
      </c>
      <c r="I34" s="1067">
        <v>1</v>
      </c>
      <c r="J34" s="1067">
        <f t="shared" si="0"/>
        <v>0</v>
      </c>
      <c r="K34" s="1105" t="s">
        <v>1610</v>
      </c>
      <c r="L34" s="1124"/>
    </row>
    <row r="35" spans="1:12" s="1069" customFormat="1" ht="18.5">
      <c r="A35" s="1059">
        <f>IF(B35="","",SUBTOTAL(3,$B$11:B35))</f>
        <v>25</v>
      </c>
      <c r="B35" s="1079" t="s">
        <v>1307</v>
      </c>
      <c r="C35" s="1061">
        <v>3030.0290000000005</v>
      </c>
      <c r="D35" s="1062" t="s">
        <v>1280</v>
      </c>
      <c r="E35" s="1062"/>
      <c r="F35" s="1062">
        <v>8</v>
      </c>
      <c r="G35" s="1062">
        <v>8</v>
      </c>
      <c r="H35" s="1062">
        <f t="shared" si="1"/>
        <v>0</v>
      </c>
      <c r="I35" s="1062">
        <v>8</v>
      </c>
      <c r="J35" s="1062">
        <f t="shared" si="0"/>
        <v>0</v>
      </c>
      <c r="K35" s="1104" t="s">
        <v>1610</v>
      </c>
      <c r="L35" s="1080" t="s">
        <v>255</v>
      </c>
    </row>
    <row r="36" spans="1:12" s="1069" customFormat="1" ht="18.5">
      <c r="A36" s="1125">
        <f>IF(B36="","",SUBTOTAL(3,$B$11:B36))</f>
        <v>26</v>
      </c>
      <c r="B36" s="1126" t="s">
        <v>1308</v>
      </c>
      <c r="C36" s="1127">
        <v>279.36</v>
      </c>
      <c r="D36" s="1128" t="s">
        <v>1279</v>
      </c>
      <c r="E36" s="1128" t="s">
        <v>1349</v>
      </c>
      <c r="F36" s="1128">
        <v>1</v>
      </c>
      <c r="G36" s="1128">
        <v>1</v>
      </c>
      <c r="H36" s="1128">
        <f t="shared" si="1"/>
        <v>0</v>
      </c>
      <c r="I36" s="1128">
        <v>1</v>
      </c>
      <c r="J36" s="1128">
        <f t="shared" si="0"/>
        <v>0</v>
      </c>
      <c r="K36" s="1129" t="s">
        <v>1610</v>
      </c>
      <c r="L36" s="1124"/>
    </row>
    <row r="37" spans="1:12" s="1069" customFormat="1" ht="18.5">
      <c r="A37" s="1393">
        <f>IF(B37="","",SUBTOTAL(3,$B$11:B37))</f>
        <v>27</v>
      </c>
      <c r="B37" s="1394" t="s">
        <v>1309</v>
      </c>
      <c r="C37" s="1395">
        <v>2550.1669999999999</v>
      </c>
      <c r="D37" s="1396" t="s">
        <v>1280</v>
      </c>
      <c r="E37" s="1396"/>
      <c r="F37" s="1396">
        <v>7</v>
      </c>
      <c r="G37" s="1396">
        <v>7</v>
      </c>
      <c r="H37" s="1396">
        <f t="shared" si="1"/>
        <v>0</v>
      </c>
      <c r="I37" s="1396">
        <v>7</v>
      </c>
      <c r="J37" s="1396">
        <f t="shared" si="0"/>
        <v>0</v>
      </c>
      <c r="K37" s="1397" t="s">
        <v>1611</v>
      </c>
      <c r="L37" s="1398"/>
    </row>
    <row r="38" spans="1:12" s="1069" customFormat="1" ht="18.5">
      <c r="A38" s="1125">
        <f>IF(B38="","",SUBTOTAL(3,$B$11:B38))</f>
        <v>28</v>
      </c>
      <c r="B38" s="1126" t="s">
        <v>1310</v>
      </c>
      <c r="C38" s="1127">
        <v>2283.5349999999999</v>
      </c>
      <c r="D38" s="1128" t="s">
        <v>1280</v>
      </c>
      <c r="E38" s="1128"/>
      <c r="F38" s="1128">
        <v>6</v>
      </c>
      <c r="G38" s="1128">
        <v>6</v>
      </c>
      <c r="H38" s="1128">
        <f t="shared" si="1"/>
        <v>0</v>
      </c>
      <c r="I38" s="1128">
        <v>6</v>
      </c>
      <c r="J38" s="1128">
        <f t="shared" si="0"/>
        <v>0</v>
      </c>
      <c r="K38" s="1129" t="s">
        <v>1611</v>
      </c>
      <c r="L38" s="1124"/>
    </row>
    <row r="39" spans="1:12" s="1069" customFormat="1" ht="18.5">
      <c r="A39" s="1125">
        <f>IF(B39="","",SUBTOTAL(3,$B$11:B39))</f>
        <v>29</v>
      </c>
      <c r="B39" s="1126" t="s">
        <v>1311</v>
      </c>
      <c r="C39" s="1127">
        <v>259.05</v>
      </c>
      <c r="D39" s="1128" t="s">
        <v>1279</v>
      </c>
      <c r="E39" s="1128" t="s">
        <v>1283</v>
      </c>
      <c r="F39" s="1128">
        <v>1</v>
      </c>
      <c r="G39" s="1128">
        <v>1</v>
      </c>
      <c r="H39" s="1128">
        <f t="shared" si="1"/>
        <v>0</v>
      </c>
      <c r="I39" s="1128">
        <v>1</v>
      </c>
      <c r="J39" s="1128">
        <f t="shared" si="0"/>
        <v>0</v>
      </c>
      <c r="K39" s="1129" t="s">
        <v>1611</v>
      </c>
      <c r="L39" s="1124"/>
    </row>
    <row r="40" spans="1:12" s="1069" customFormat="1" ht="18.5">
      <c r="A40" s="1071">
        <f>IF(B40="","",SUBTOTAL(3,$B$11:B40))</f>
        <v>30</v>
      </c>
      <c r="B40" s="1072" t="s">
        <v>1312</v>
      </c>
      <c r="C40" s="1073">
        <v>440.46</v>
      </c>
      <c r="D40" s="1074" t="s">
        <v>1279</v>
      </c>
      <c r="E40" s="1074"/>
      <c r="F40" s="1074">
        <v>1</v>
      </c>
      <c r="G40" s="1074">
        <v>1</v>
      </c>
      <c r="H40" s="1074">
        <f t="shared" si="1"/>
        <v>0</v>
      </c>
      <c r="I40" s="1074">
        <v>1</v>
      </c>
      <c r="J40" s="1074">
        <f t="shared" si="0"/>
        <v>0</v>
      </c>
      <c r="K40" s="1152" t="s">
        <v>1611</v>
      </c>
      <c r="L40" s="1080" t="s">
        <v>255</v>
      </c>
    </row>
    <row r="41" spans="1:12" s="1069" customFormat="1" ht="18.5">
      <c r="A41" s="1071">
        <f>IF(B41="","",SUBTOTAL(3,$B$11:B41))</f>
        <v>31</v>
      </c>
      <c r="B41" s="1072" t="s">
        <v>1313</v>
      </c>
      <c r="C41" s="1073">
        <v>496.69</v>
      </c>
      <c r="D41" s="1074" t="s">
        <v>1279</v>
      </c>
      <c r="E41" s="1074"/>
      <c r="F41" s="1074">
        <v>1</v>
      </c>
      <c r="G41" s="1074">
        <v>1</v>
      </c>
      <c r="H41" s="1074">
        <f t="shared" si="1"/>
        <v>0</v>
      </c>
      <c r="I41" s="1074">
        <v>1</v>
      </c>
      <c r="J41" s="1074">
        <f t="shared" si="0"/>
        <v>0</v>
      </c>
      <c r="K41" s="1152" t="s">
        <v>1611</v>
      </c>
      <c r="L41" s="1080" t="s">
        <v>255</v>
      </c>
    </row>
    <row r="42" spans="1:12" s="1069" customFormat="1" ht="18.5">
      <c r="A42" s="1071">
        <f>IF(B42="","",SUBTOTAL(3,$B$11:B42))</f>
        <v>32</v>
      </c>
      <c r="B42" s="1072" t="s">
        <v>1314</v>
      </c>
      <c r="C42" s="1073">
        <v>244.03</v>
      </c>
      <c r="D42" s="1074" t="s">
        <v>1279</v>
      </c>
      <c r="E42" s="1074" t="s">
        <v>1282</v>
      </c>
      <c r="F42" s="1074">
        <v>1</v>
      </c>
      <c r="G42" s="1074">
        <v>1</v>
      </c>
      <c r="H42" s="1074">
        <f t="shared" si="1"/>
        <v>0</v>
      </c>
      <c r="I42" s="1074">
        <v>1</v>
      </c>
      <c r="J42" s="1074">
        <f t="shared" si="0"/>
        <v>0</v>
      </c>
      <c r="K42" s="1152" t="s">
        <v>1611</v>
      </c>
      <c r="L42" s="1080" t="s">
        <v>255</v>
      </c>
    </row>
    <row r="43" spans="1:12" s="1069" customFormat="1" ht="18.5">
      <c r="A43" s="1071">
        <f>IF(B43="","",SUBTOTAL(3,$B$11:B43))</f>
        <v>33</v>
      </c>
      <c r="B43" s="1072" t="s">
        <v>1315</v>
      </c>
      <c r="C43" s="1073">
        <v>237.43</v>
      </c>
      <c r="D43" s="1074" t="s">
        <v>1279</v>
      </c>
      <c r="E43" s="1074"/>
      <c r="F43" s="1074">
        <v>1</v>
      </c>
      <c r="G43" s="1074">
        <v>1</v>
      </c>
      <c r="H43" s="1074">
        <f t="shared" si="1"/>
        <v>0</v>
      </c>
      <c r="I43" s="1074">
        <v>1</v>
      </c>
      <c r="J43" s="1074">
        <f t="shared" si="0"/>
        <v>0</v>
      </c>
      <c r="K43" s="1152" t="s">
        <v>1611</v>
      </c>
      <c r="L43" s="1080" t="s">
        <v>255</v>
      </c>
    </row>
    <row r="44" spans="1:12" s="1069" customFormat="1" ht="18.5">
      <c r="A44" s="1064">
        <f>IF(B44="","",SUBTOTAL(3,$B$11:B44))</f>
        <v>34</v>
      </c>
      <c r="B44" s="1065" t="s">
        <v>1316</v>
      </c>
      <c r="C44" s="1066">
        <v>203.48</v>
      </c>
      <c r="D44" s="1067" t="s">
        <v>1279</v>
      </c>
      <c r="E44" s="1067" t="s">
        <v>1284</v>
      </c>
      <c r="F44" s="1067">
        <v>1</v>
      </c>
      <c r="G44" s="1067">
        <v>1</v>
      </c>
      <c r="H44" s="1067">
        <f t="shared" si="1"/>
        <v>0</v>
      </c>
      <c r="I44" s="1067">
        <v>1</v>
      </c>
      <c r="J44" s="1067">
        <f t="shared" si="0"/>
        <v>0</v>
      </c>
      <c r="K44" s="1105" t="s">
        <v>1610</v>
      </c>
      <c r="L44" s="1124"/>
    </row>
    <row r="45" spans="1:12" s="1069" customFormat="1" ht="18.5">
      <c r="A45" s="1071">
        <f>IF(B45="","",SUBTOTAL(3,$B$11:B45))</f>
        <v>35</v>
      </c>
      <c r="B45" s="1072" t="s">
        <v>1317</v>
      </c>
      <c r="C45" s="1073">
        <v>2548.2750000000001</v>
      </c>
      <c r="D45" s="1074" t="s">
        <v>1280</v>
      </c>
      <c r="E45" s="1074"/>
      <c r="F45" s="1074">
        <v>7</v>
      </c>
      <c r="G45" s="1074">
        <v>7</v>
      </c>
      <c r="H45" s="1074">
        <f t="shared" si="1"/>
        <v>0</v>
      </c>
      <c r="I45" s="1074">
        <v>7</v>
      </c>
      <c r="J45" s="1074">
        <f t="shared" si="0"/>
        <v>0</v>
      </c>
      <c r="K45" s="1152" t="s">
        <v>1610</v>
      </c>
      <c r="L45" s="1080" t="s">
        <v>255</v>
      </c>
    </row>
    <row r="46" spans="1:12" s="1069" customFormat="1" ht="18.5">
      <c r="A46" s="1071">
        <f>IF(B46="","",SUBTOTAL(3,$B$11:B46))</f>
        <v>36</v>
      </c>
      <c r="B46" s="1072" t="s">
        <v>1318</v>
      </c>
      <c r="C46" s="1073">
        <v>211.21</v>
      </c>
      <c r="D46" s="1074" t="s">
        <v>1279</v>
      </c>
      <c r="E46" s="1074" t="s">
        <v>1285</v>
      </c>
      <c r="F46" s="1074">
        <v>1</v>
      </c>
      <c r="G46" s="1074">
        <v>1</v>
      </c>
      <c r="H46" s="1074">
        <f t="shared" si="1"/>
        <v>0</v>
      </c>
      <c r="I46" s="1074">
        <v>1</v>
      </c>
      <c r="J46" s="1074">
        <f t="shared" si="0"/>
        <v>0</v>
      </c>
      <c r="K46" s="1152" t="s">
        <v>1610</v>
      </c>
      <c r="L46" s="1215" t="s">
        <v>255</v>
      </c>
    </row>
    <row r="47" spans="1:12" s="1069" customFormat="1" ht="18.5">
      <c r="A47" s="1071">
        <f>IF(B47="","",SUBTOTAL(3,$B$11:B47))</f>
        <v>37</v>
      </c>
      <c r="B47" s="1072" t="s">
        <v>1319</v>
      </c>
      <c r="C47" s="1073">
        <v>2379.2039999999997</v>
      </c>
      <c r="D47" s="1074" t="s">
        <v>1280</v>
      </c>
      <c r="E47" s="1074"/>
      <c r="F47" s="1074">
        <v>6</v>
      </c>
      <c r="G47" s="1074">
        <v>6</v>
      </c>
      <c r="H47" s="1074">
        <f t="shared" si="1"/>
        <v>0</v>
      </c>
      <c r="I47" s="1074">
        <v>6</v>
      </c>
      <c r="J47" s="1074">
        <f t="shared" si="0"/>
        <v>0</v>
      </c>
      <c r="K47" s="1152" t="s">
        <v>1610</v>
      </c>
      <c r="L47" s="1215" t="s">
        <v>255</v>
      </c>
    </row>
    <row r="48" spans="1:12" s="1069" customFormat="1" ht="18.5">
      <c r="A48" s="1071">
        <f>IF(B48="","",SUBTOTAL(3,$B$11:B48))</f>
        <v>38</v>
      </c>
      <c r="B48" s="1072" t="s">
        <v>1320</v>
      </c>
      <c r="C48" s="1073">
        <v>2669.0079999999998</v>
      </c>
      <c r="D48" s="1074" t="s">
        <v>1280</v>
      </c>
      <c r="E48" s="1074"/>
      <c r="F48" s="1074">
        <v>7</v>
      </c>
      <c r="G48" s="1074">
        <v>7</v>
      </c>
      <c r="H48" s="1074">
        <f t="shared" si="1"/>
        <v>0</v>
      </c>
      <c r="I48" s="1074">
        <v>7</v>
      </c>
      <c r="J48" s="1074">
        <f t="shared" si="0"/>
        <v>0</v>
      </c>
      <c r="K48" s="1152" t="s">
        <v>1610</v>
      </c>
      <c r="L48" s="1215" t="s">
        <v>255</v>
      </c>
    </row>
    <row r="49" spans="1:12" s="1069" customFormat="1" ht="18.5">
      <c r="A49" s="1071">
        <f>IF(B49="","",SUBTOTAL(3,$B$11:B49))</f>
        <v>39</v>
      </c>
      <c r="B49" s="1072" t="s">
        <v>1321</v>
      </c>
      <c r="C49" s="1073">
        <v>4124.232</v>
      </c>
      <c r="D49" s="1074" t="s">
        <v>1280</v>
      </c>
      <c r="E49" s="1074"/>
      <c r="F49" s="1074">
        <v>11</v>
      </c>
      <c r="G49" s="1074">
        <v>11</v>
      </c>
      <c r="H49" s="1074">
        <f t="shared" si="1"/>
        <v>0</v>
      </c>
      <c r="I49" s="1074">
        <v>11</v>
      </c>
      <c r="J49" s="1074">
        <f t="shared" si="0"/>
        <v>0</v>
      </c>
      <c r="K49" s="1133" t="s">
        <v>1610</v>
      </c>
      <c r="L49" s="1080" t="s">
        <v>255</v>
      </c>
    </row>
    <row r="50" spans="1:12" s="1069" customFormat="1" ht="18.5">
      <c r="A50" s="1059">
        <f>IF(B50="","",SUBTOTAL(3,$B$11:B50))</f>
        <v>40</v>
      </c>
      <c r="B50" s="1079" t="s">
        <v>1322</v>
      </c>
      <c r="C50" s="1061">
        <v>4333.3689999999997</v>
      </c>
      <c r="D50" s="1062" t="s">
        <v>1280</v>
      </c>
      <c r="E50" s="1062"/>
      <c r="F50" s="1062">
        <v>11</v>
      </c>
      <c r="G50" s="1062">
        <v>11</v>
      </c>
      <c r="H50" s="1062">
        <f t="shared" si="1"/>
        <v>0</v>
      </c>
      <c r="I50" s="1062">
        <v>11</v>
      </c>
      <c r="J50" s="1062">
        <f t="shared" si="0"/>
        <v>0</v>
      </c>
      <c r="K50" s="1104" t="s">
        <v>1609</v>
      </c>
      <c r="L50" s="1080" t="s">
        <v>255</v>
      </c>
    </row>
    <row r="51" spans="1:12" s="1069" customFormat="1" ht="18.5">
      <c r="A51" s="1059">
        <f>IF(B51="","",SUBTOTAL(3,$B$11:B51))</f>
        <v>41</v>
      </c>
      <c r="B51" s="1079" t="s">
        <v>1323</v>
      </c>
      <c r="C51" s="1061">
        <v>3283.51</v>
      </c>
      <c r="D51" s="1062" t="s">
        <v>1280</v>
      </c>
      <c r="E51" s="1062"/>
      <c r="F51" s="1062">
        <v>8</v>
      </c>
      <c r="G51" s="1062">
        <v>8</v>
      </c>
      <c r="H51" s="1062">
        <f t="shared" si="1"/>
        <v>0</v>
      </c>
      <c r="I51" s="1062">
        <v>8</v>
      </c>
      <c r="J51" s="1062">
        <f t="shared" si="0"/>
        <v>0</v>
      </c>
      <c r="K51" s="1104" t="s">
        <v>1609</v>
      </c>
      <c r="L51" s="1080" t="s">
        <v>255</v>
      </c>
    </row>
    <row r="52" spans="1:12" s="1069" customFormat="1" ht="18.5">
      <c r="A52" s="1059">
        <f>IF(B52="","",SUBTOTAL(3,$B$11:B52))</f>
        <v>42</v>
      </c>
      <c r="B52" s="1079" t="s">
        <v>1324</v>
      </c>
      <c r="C52" s="1061">
        <v>840.43900000000008</v>
      </c>
      <c r="D52" s="1062" t="s">
        <v>1280</v>
      </c>
      <c r="E52" s="1062"/>
      <c r="F52" s="1062">
        <v>2</v>
      </c>
      <c r="G52" s="1062">
        <v>2</v>
      </c>
      <c r="H52" s="1062">
        <f t="shared" si="1"/>
        <v>0</v>
      </c>
      <c r="I52" s="1062">
        <v>2</v>
      </c>
      <c r="J52" s="1062">
        <f t="shared" si="0"/>
        <v>0</v>
      </c>
      <c r="K52" s="1104" t="s">
        <v>1609</v>
      </c>
      <c r="L52" s="1080" t="s">
        <v>255</v>
      </c>
    </row>
    <row r="53" spans="1:12" s="1069" customFormat="1" ht="18.5">
      <c r="A53" s="1059">
        <f>IF(B53="","",SUBTOTAL(3,$B$11:B53))</f>
        <v>43</v>
      </c>
      <c r="B53" s="1079" t="s">
        <v>1325</v>
      </c>
      <c r="C53" s="1061">
        <v>4049.7629999999999</v>
      </c>
      <c r="D53" s="1062" t="s">
        <v>1280</v>
      </c>
      <c r="E53" s="1062"/>
      <c r="F53" s="1062">
        <v>10</v>
      </c>
      <c r="G53" s="1062">
        <v>10</v>
      </c>
      <c r="H53" s="1062">
        <f t="shared" si="1"/>
        <v>0</v>
      </c>
      <c r="I53" s="1062">
        <v>10</v>
      </c>
      <c r="J53" s="1062">
        <f t="shared" si="0"/>
        <v>0</v>
      </c>
      <c r="K53" s="1104" t="s">
        <v>1609</v>
      </c>
      <c r="L53" s="1080" t="s">
        <v>255</v>
      </c>
    </row>
    <row r="54" spans="1:12" s="1069" customFormat="1" ht="18.5">
      <c r="A54" s="1071">
        <f>IF(B54="","",SUBTOTAL(3,$B$11:B54))</f>
        <v>44</v>
      </c>
      <c r="B54" s="1072" t="s">
        <v>1326</v>
      </c>
      <c r="C54" s="1073">
        <v>4898.5879999999997</v>
      </c>
      <c r="D54" s="1074" t="s">
        <v>1280</v>
      </c>
      <c r="E54" s="1074"/>
      <c r="F54" s="1074">
        <v>13</v>
      </c>
      <c r="G54" s="1074">
        <v>13</v>
      </c>
      <c r="H54" s="1074">
        <f t="shared" si="1"/>
        <v>0</v>
      </c>
      <c r="I54" s="1074">
        <v>13</v>
      </c>
      <c r="J54" s="1074">
        <f t="shared" si="0"/>
        <v>0</v>
      </c>
      <c r="K54" s="1104" t="s">
        <v>1617</v>
      </c>
      <c r="L54" s="1075" t="s">
        <v>255</v>
      </c>
    </row>
    <row r="55" spans="1:12" s="1069" customFormat="1" ht="18.5">
      <c r="A55" s="1071">
        <f>IF(B55="","",SUBTOTAL(3,$B$11:B55))</f>
        <v>45</v>
      </c>
      <c r="B55" s="1072" t="s">
        <v>1327</v>
      </c>
      <c r="C55" s="1073">
        <v>4916.2929999999997</v>
      </c>
      <c r="D55" s="1074" t="s">
        <v>1280</v>
      </c>
      <c r="E55" s="1074"/>
      <c r="F55" s="1074">
        <v>12</v>
      </c>
      <c r="G55" s="1074">
        <v>12</v>
      </c>
      <c r="H55" s="1074">
        <f t="shared" si="1"/>
        <v>0</v>
      </c>
      <c r="I55" s="1074">
        <v>12</v>
      </c>
      <c r="J55" s="1074">
        <f t="shared" si="0"/>
        <v>0</v>
      </c>
      <c r="K55" s="1152" t="s">
        <v>1611</v>
      </c>
      <c r="L55" s="1075" t="s">
        <v>255</v>
      </c>
    </row>
    <row r="56" spans="1:12" s="1069" customFormat="1" ht="18.5">
      <c r="A56" s="1071">
        <f>IF(B56="","",SUBTOTAL(3,$B$11:B56))</f>
        <v>46</v>
      </c>
      <c r="B56" s="1072" t="s">
        <v>1328</v>
      </c>
      <c r="C56" s="1073">
        <v>454</v>
      </c>
      <c r="D56" s="1074" t="s">
        <v>1279</v>
      </c>
      <c r="E56" s="1074"/>
      <c r="F56" s="1074">
        <v>1</v>
      </c>
      <c r="G56" s="1074">
        <v>1</v>
      </c>
      <c r="H56" s="1074">
        <f t="shared" si="1"/>
        <v>0</v>
      </c>
      <c r="I56" s="1074">
        <v>1</v>
      </c>
      <c r="J56" s="1074">
        <f t="shared" si="0"/>
        <v>0</v>
      </c>
      <c r="K56" s="1152" t="s">
        <v>1611</v>
      </c>
      <c r="L56" s="1215" t="s">
        <v>255</v>
      </c>
    </row>
    <row r="57" spans="1:12" s="1069" customFormat="1" ht="18.5">
      <c r="A57" s="1064">
        <f>IF(B57="","",SUBTOTAL(3,$B$11:B57))</f>
        <v>47</v>
      </c>
      <c r="B57" s="1065" t="s">
        <v>1746</v>
      </c>
      <c r="C57" s="1100">
        <v>826.7</v>
      </c>
      <c r="D57" s="1067" t="s">
        <v>1280</v>
      </c>
      <c r="E57" s="1067"/>
      <c r="F57" s="1067">
        <v>2</v>
      </c>
      <c r="G57" s="1067">
        <v>2</v>
      </c>
      <c r="H57" s="1067">
        <f t="shared" si="1"/>
        <v>0</v>
      </c>
      <c r="I57" s="1067">
        <v>1</v>
      </c>
      <c r="J57" s="1067">
        <f t="shared" si="0"/>
        <v>1</v>
      </c>
      <c r="K57" s="1105" t="s">
        <v>1611</v>
      </c>
      <c r="L57" s="1068"/>
    </row>
    <row r="58" spans="1:12" s="1069" customFormat="1" ht="18.5">
      <c r="A58" s="1064">
        <f>IF(B58="","",SUBTOTAL(3,$B$11:B58))</f>
        <v>48</v>
      </c>
      <c r="B58" s="1065" t="s">
        <v>1778</v>
      </c>
      <c r="C58" s="1066">
        <v>420.81</v>
      </c>
      <c r="D58" s="1067" t="s">
        <v>1279</v>
      </c>
      <c r="E58" s="1067"/>
      <c r="F58" s="1067">
        <v>1</v>
      </c>
      <c r="G58" s="1067">
        <v>1</v>
      </c>
      <c r="H58" s="1067">
        <f t="shared" si="1"/>
        <v>0</v>
      </c>
      <c r="I58" s="1067">
        <v>0</v>
      </c>
      <c r="J58" s="1067">
        <f t="shared" si="0"/>
        <v>1</v>
      </c>
      <c r="K58" s="1105" t="s">
        <v>1611</v>
      </c>
      <c r="L58" s="1068"/>
    </row>
    <row r="59" spans="1:12" s="1069" customFormat="1" ht="18.5">
      <c r="A59" s="1064">
        <f>IF(B59="","",SUBTOTAL(3,$B$11:B59))</f>
        <v>49</v>
      </c>
      <c r="B59" s="1065" t="s">
        <v>1779</v>
      </c>
      <c r="C59" s="1066">
        <v>469.33</v>
      </c>
      <c r="D59" s="1067" t="s">
        <v>1279</v>
      </c>
      <c r="E59" s="1067"/>
      <c r="F59" s="1067">
        <v>1</v>
      </c>
      <c r="G59" s="1067">
        <v>1</v>
      </c>
      <c r="H59" s="1067">
        <f t="shared" si="1"/>
        <v>0</v>
      </c>
      <c r="I59" s="1067">
        <v>0</v>
      </c>
      <c r="J59" s="1067">
        <f t="shared" si="0"/>
        <v>1</v>
      </c>
      <c r="K59" s="1105"/>
      <c r="L59" s="1068"/>
    </row>
    <row r="60" spans="1:12" s="1069" customFormat="1" ht="18.5">
      <c r="A60" s="1064">
        <f>IF(B60="","",SUBTOTAL(3,$B$11:B60))</f>
        <v>50</v>
      </c>
      <c r="B60" s="1065" t="s">
        <v>1780</v>
      </c>
      <c r="C60" s="1066">
        <v>2076.2799999999997</v>
      </c>
      <c r="D60" s="1067" t="s">
        <v>1280</v>
      </c>
      <c r="E60" s="1067"/>
      <c r="F60" s="1067">
        <v>5</v>
      </c>
      <c r="G60" s="1067">
        <v>5</v>
      </c>
      <c r="H60" s="1067">
        <f t="shared" si="1"/>
        <v>0</v>
      </c>
      <c r="I60" s="1067">
        <v>5</v>
      </c>
      <c r="J60" s="1067">
        <f t="shared" si="0"/>
        <v>0</v>
      </c>
      <c r="K60" s="1129" t="s">
        <v>1617</v>
      </c>
      <c r="L60" s="1214"/>
    </row>
    <row r="61" spans="1:12" s="1069" customFormat="1" ht="18.5">
      <c r="A61" s="1071">
        <f>IF(B61="","",SUBTOTAL(3,$B$11:B61))</f>
        <v>51</v>
      </c>
      <c r="B61" s="1072" t="s">
        <v>1331</v>
      </c>
      <c r="C61" s="1073">
        <v>2583.5889999999999</v>
      </c>
      <c r="D61" s="1074" t="s">
        <v>1280</v>
      </c>
      <c r="E61" s="1074"/>
      <c r="F61" s="1074">
        <v>7</v>
      </c>
      <c r="G61" s="1074">
        <v>7</v>
      </c>
      <c r="H61" s="1074">
        <f t="shared" si="1"/>
        <v>0</v>
      </c>
      <c r="I61" s="1074">
        <v>7</v>
      </c>
      <c r="J61" s="1074">
        <f t="shared" si="0"/>
        <v>0</v>
      </c>
      <c r="K61" s="1104"/>
      <c r="L61" s="1075" t="s">
        <v>255</v>
      </c>
    </row>
    <row r="62" spans="1:12" s="1069" customFormat="1" ht="18.5">
      <c r="A62" s="1071">
        <f>IF(B62="","",SUBTOTAL(3,$B$11:B62))</f>
        <v>52</v>
      </c>
      <c r="B62" s="1072" t="s">
        <v>1332</v>
      </c>
      <c r="C62" s="1073">
        <v>4163.6769999999997</v>
      </c>
      <c r="D62" s="1074" t="s">
        <v>1280</v>
      </c>
      <c r="E62" s="1074"/>
      <c r="F62" s="1074">
        <v>11</v>
      </c>
      <c r="G62" s="1074">
        <v>11</v>
      </c>
      <c r="H62" s="1074">
        <f t="shared" si="1"/>
        <v>0</v>
      </c>
      <c r="I62" s="1074">
        <v>11</v>
      </c>
      <c r="J62" s="1074">
        <f t="shared" si="0"/>
        <v>0</v>
      </c>
      <c r="K62" s="1104" t="s">
        <v>1617</v>
      </c>
      <c r="L62" s="1075" t="s">
        <v>255</v>
      </c>
    </row>
    <row r="63" spans="1:12" s="1069" customFormat="1" ht="18.5">
      <c r="A63" s="1071">
        <f>IF(B63="","",SUBTOTAL(3,$B$11:B63))</f>
        <v>53</v>
      </c>
      <c r="B63" s="1072" t="s">
        <v>1333</v>
      </c>
      <c r="C63" s="1073">
        <v>4716.8109999999997</v>
      </c>
      <c r="D63" s="1074" t="s">
        <v>1280</v>
      </c>
      <c r="E63" s="1074"/>
      <c r="F63" s="1074">
        <v>12</v>
      </c>
      <c r="G63" s="1074">
        <v>12</v>
      </c>
      <c r="H63" s="1074">
        <f t="shared" si="1"/>
        <v>0</v>
      </c>
      <c r="I63" s="1074">
        <v>12</v>
      </c>
      <c r="J63" s="1074">
        <f t="shared" si="0"/>
        <v>0</v>
      </c>
      <c r="K63" s="1104" t="s">
        <v>1617</v>
      </c>
      <c r="L63" s="1075" t="s">
        <v>255</v>
      </c>
    </row>
    <row r="64" spans="1:12" s="1069" customFormat="1" ht="18.5">
      <c r="A64" s="1393">
        <f>IF(B64="","",SUBTOTAL(3,$B$11:B64))</f>
        <v>54</v>
      </c>
      <c r="B64" s="1394" t="s">
        <v>1334</v>
      </c>
      <c r="C64" s="1395">
        <v>4665.9179999999997</v>
      </c>
      <c r="D64" s="1396" t="s">
        <v>1280</v>
      </c>
      <c r="E64" s="1396"/>
      <c r="F64" s="1396">
        <v>12</v>
      </c>
      <c r="G64" s="1396">
        <v>12</v>
      </c>
      <c r="H64" s="1396">
        <f t="shared" si="1"/>
        <v>0</v>
      </c>
      <c r="I64" s="1396">
        <v>12</v>
      </c>
      <c r="J64" s="1396">
        <f t="shared" si="0"/>
        <v>0</v>
      </c>
      <c r="K64" s="1397" t="s">
        <v>1611</v>
      </c>
      <c r="L64" s="1398"/>
    </row>
    <row r="65" spans="1:14" s="1069" customFormat="1" ht="18.5">
      <c r="A65" s="1125">
        <f>IF(B65="","",SUBTOTAL(3,$B$11:B65))</f>
        <v>55</v>
      </c>
      <c r="B65" s="1126" t="s">
        <v>1335</v>
      </c>
      <c r="C65" s="1127">
        <v>410.61</v>
      </c>
      <c r="D65" s="1128" t="s">
        <v>1279</v>
      </c>
      <c r="E65" s="1128"/>
      <c r="F65" s="1128">
        <v>1</v>
      </c>
      <c r="G65" s="1128">
        <v>1</v>
      </c>
      <c r="H65" s="1128">
        <f t="shared" si="1"/>
        <v>0</v>
      </c>
      <c r="I65" s="1128">
        <v>1</v>
      </c>
      <c r="J65" s="1128">
        <f t="shared" si="0"/>
        <v>0</v>
      </c>
      <c r="K65" s="1129" t="s">
        <v>1611</v>
      </c>
      <c r="L65" s="1124"/>
      <c r="M65" s="1076"/>
      <c r="N65" s="1076"/>
    </row>
    <row r="66" spans="1:14" s="1069" customFormat="1" ht="18.5">
      <c r="A66" s="1125">
        <f>IF(B66="","",SUBTOTAL(3,$B$11:B66))</f>
        <v>56</v>
      </c>
      <c r="B66" s="1126" t="s">
        <v>1336</v>
      </c>
      <c r="C66" s="1127">
        <v>823.78199999999993</v>
      </c>
      <c r="D66" s="1128" t="s">
        <v>1280</v>
      </c>
      <c r="E66" s="1128"/>
      <c r="F66" s="1128">
        <v>2</v>
      </c>
      <c r="G66" s="1128">
        <v>2</v>
      </c>
      <c r="H66" s="1128">
        <f t="shared" si="1"/>
        <v>0</v>
      </c>
      <c r="I66" s="1128">
        <v>2</v>
      </c>
      <c r="J66" s="1128">
        <f t="shared" si="0"/>
        <v>0</v>
      </c>
      <c r="K66" s="1129" t="s">
        <v>1611</v>
      </c>
      <c r="L66" s="1124"/>
      <c r="M66" s="1076"/>
      <c r="N66" s="1076"/>
    </row>
    <row r="67" spans="1:14" s="1069" customFormat="1" ht="18.5">
      <c r="A67" s="1125">
        <f>IF(B67="","",SUBTOTAL(3,$B$11:B67))</f>
        <v>57</v>
      </c>
      <c r="B67" s="1126" t="s">
        <v>1337</v>
      </c>
      <c r="C67" s="1127">
        <v>1258.998</v>
      </c>
      <c r="D67" s="1128" t="s">
        <v>1280</v>
      </c>
      <c r="E67" s="1128"/>
      <c r="F67" s="1128">
        <v>3</v>
      </c>
      <c r="G67" s="1128">
        <v>3</v>
      </c>
      <c r="H67" s="1128">
        <f t="shared" si="1"/>
        <v>0</v>
      </c>
      <c r="I67" s="1128">
        <v>3</v>
      </c>
      <c r="J67" s="1128">
        <f t="shared" si="0"/>
        <v>0</v>
      </c>
      <c r="K67" s="1129" t="s">
        <v>1611</v>
      </c>
      <c r="L67" s="1124"/>
      <c r="M67" s="1076"/>
      <c r="N67" s="1076"/>
    </row>
    <row r="68" spans="1:14" s="1069" customFormat="1" ht="18.5">
      <c r="A68" s="1064">
        <f>IF(B68="","",SUBTOTAL(3,$B$11:B68))</f>
        <v>58</v>
      </c>
      <c r="B68" s="1065" t="s">
        <v>1338</v>
      </c>
      <c r="C68" s="1066">
        <v>424.89100000000002</v>
      </c>
      <c r="D68" s="1067" t="s">
        <v>1279</v>
      </c>
      <c r="E68" s="1067"/>
      <c r="F68" s="1067">
        <v>1</v>
      </c>
      <c r="G68" s="1067">
        <v>1</v>
      </c>
      <c r="H68" s="1067">
        <f t="shared" si="1"/>
        <v>0</v>
      </c>
      <c r="I68" s="1067">
        <v>1</v>
      </c>
      <c r="J68" s="1067">
        <f t="shared" si="0"/>
        <v>0</v>
      </c>
      <c r="K68" s="1105" t="s">
        <v>1611</v>
      </c>
      <c r="L68" s="1068"/>
      <c r="M68" s="1076"/>
      <c r="N68" s="1076"/>
    </row>
    <row r="69" spans="1:14" s="1069" customFormat="1" ht="18.5">
      <c r="A69" s="1064">
        <f>IF(B69="","",SUBTOTAL(3,$B$11:B69))</f>
        <v>59</v>
      </c>
      <c r="B69" s="1065" t="s">
        <v>1449</v>
      </c>
      <c r="C69" s="1066">
        <v>1851.866</v>
      </c>
      <c r="D69" s="1067" t="s">
        <v>1280</v>
      </c>
      <c r="E69" s="1067"/>
      <c r="F69" s="1067">
        <v>5</v>
      </c>
      <c r="G69" s="1067">
        <v>5</v>
      </c>
      <c r="H69" s="1067">
        <f t="shared" si="1"/>
        <v>0</v>
      </c>
      <c r="I69" s="1067">
        <v>5</v>
      </c>
      <c r="J69" s="1067">
        <f t="shared" si="0"/>
        <v>0</v>
      </c>
      <c r="K69" s="1105" t="s">
        <v>1611</v>
      </c>
      <c r="L69" s="1068"/>
      <c r="M69" s="1076"/>
      <c r="N69" s="1076"/>
    </row>
    <row r="70" spans="1:14" s="1069" customFormat="1" ht="18.5">
      <c r="A70" s="1125">
        <f>IF(B70="","",SUBTOTAL(3,$B$11:B70))</f>
        <v>60</v>
      </c>
      <c r="B70" s="1126" t="s">
        <v>1450</v>
      </c>
      <c r="C70" s="1127">
        <v>1584.546</v>
      </c>
      <c r="D70" s="1128" t="s">
        <v>1280</v>
      </c>
      <c r="E70" s="1128"/>
      <c r="F70" s="1128">
        <v>4</v>
      </c>
      <c r="G70" s="1128">
        <v>4</v>
      </c>
      <c r="H70" s="1128">
        <f t="shared" si="1"/>
        <v>0</v>
      </c>
      <c r="I70" s="1128">
        <v>4</v>
      </c>
      <c r="J70" s="1128">
        <f t="shared" si="0"/>
        <v>0</v>
      </c>
      <c r="K70" s="1129" t="s">
        <v>1610</v>
      </c>
      <c r="L70" s="1124"/>
      <c r="M70" s="1076"/>
      <c r="N70" s="1076"/>
    </row>
    <row r="71" spans="1:14" s="1069" customFormat="1" ht="18.5">
      <c r="A71" s="1125">
        <f>IF(B71="","",SUBTOTAL(3,$B$11:B71))</f>
        <v>61</v>
      </c>
      <c r="B71" s="1126" t="s">
        <v>1395</v>
      </c>
      <c r="C71" s="1127">
        <v>2383.1549999999997</v>
      </c>
      <c r="D71" s="1128" t="s">
        <v>1280</v>
      </c>
      <c r="E71" s="1128"/>
      <c r="F71" s="1128">
        <v>6</v>
      </c>
      <c r="G71" s="1128">
        <v>6</v>
      </c>
      <c r="H71" s="1128">
        <f t="shared" si="1"/>
        <v>0</v>
      </c>
      <c r="I71" s="1128">
        <v>6</v>
      </c>
      <c r="J71" s="1128">
        <f t="shared" si="0"/>
        <v>0</v>
      </c>
      <c r="K71" s="1129" t="s">
        <v>1610</v>
      </c>
      <c r="L71" s="1124"/>
      <c r="M71" s="1076"/>
      <c r="N71" s="1076"/>
    </row>
    <row r="72" spans="1:14" s="1069" customFormat="1" ht="18.5">
      <c r="A72" s="1125">
        <f>IF(B72="","",SUBTOTAL(3,$B$11:B72))</f>
        <v>62</v>
      </c>
      <c r="B72" s="1126" t="s">
        <v>1397</v>
      </c>
      <c r="C72" s="1127">
        <v>208.53</v>
      </c>
      <c r="D72" s="1128" t="s">
        <v>1279</v>
      </c>
      <c r="E72" s="1128"/>
      <c r="F72" s="1128">
        <v>1</v>
      </c>
      <c r="G72" s="1128">
        <v>1</v>
      </c>
      <c r="H72" s="1128">
        <f t="shared" si="1"/>
        <v>0</v>
      </c>
      <c r="I72" s="1128">
        <v>1</v>
      </c>
      <c r="J72" s="1128">
        <f t="shared" si="0"/>
        <v>0</v>
      </c>
      <c r="K72" s="1129" t="s">
        <v>1610</v>
      </c>
      <c r="L72" s="1124"/>
      <c r="M72" s="1076"/>
      <c r="N72" s="1076"/>
    </row>
    <row r="73" spans="1:14" ht="21.5" thickBot="1">
      <c r="C73" s="1136">
        <f>SUM(C11:C72)/1000</f>
        <v>117.85605400000003</v>
      </c>
      <c r="F73" s="1135">
        <f>SUM(F11:F72)</f>
        <v>306</v>
      </c>
      <c r="G73" s="1135">
        <f>SUM(G11:G72)</f>
        <v>306</v>
      </c>
      <c r="H73" s="1135">
        <f>SUM(H11:H72)</f>
        <v>0</v>
      </c>
      <c r="I73" s="1135">
        <f>SUM(I11:I72)</f>
        <v>302</v>
      </c>
      <c r="J73" s="1135">
        <f>SUM(J11:J72)</f>
        <v>4</v>
      </c>
      <c r="K73" s="824"/>
    </row>
    <row r="74" spans="1:14" ht="38.25" customHeight="1" thickBot="1">
      <c r="A74" s="820" t="s">
        <v>1276</v>
      </c>
      <c r="B74" s="822" t="s">
        <v>1277</v>
      </c>
      <c r="C74" s="821" t="s">
        <v>1286</v>
      </c>
      <c r="D74" s="836"/>
      <c r="E74" s="833"/>
      <c r="F74" s="833"/>
      <c r="G74" s="824">
        <f>G73+7</f>
        <v>313</v>
      </c>
      <c r="H74" s="2"/>
    </row>
    <row r="75" spans="1:14" ht="14.5">
      <c r="A75" s="823">
        <v>1</v>
      </c>
      <c r="B75" s="825" t="s">
        <v>1280</v>
      </c>
      <c r="C75" s="826">
        <f>SUMIF(D11:D72,B75,C11:C72)/1000</f>
        <v>109.28515900000004</v>
      </c>
      <c r="D75" s="824"/>
      <c r="E75" s="834"/>
      <c r="F75" s="834"/>
      <c r="H75" s="2"/>
    </row>
    <row r="76" spans="1:14" ht="15" thickBot="1">
      <c r="A76" s="827">
        <v>2</v>
      </c>
      <c r="B76" s="828" t="s">
        <v>1279</v>
      </c>
      <c r="C76" s="829">
        <f>SUMIF(D11:D72,B76,C11:C72)/1000</f>
        <v>8.5708950000000002</v>
      </c>
      <c r="D76" s="824"/>
      <c r="E76" s="834"/>
      <c r="F76" s="834"/>
      <c r="H76" s="2"/>
    </row>
    <row r="77" spans="1:14" ht="15" thickBot="1">
      <c r="A77" s="1549" t="s">
        <v>1287</v>
      </c>
      <c r="B77" s="1550"/>
      <c r="C77" s="830">
        <f>C76+C75</f>
        <v>117.85605400000003</v>
      </c>
      <c r="D77" s="837"/>
      <c r="E77" s="835"/>
      <c r="F77" s="835"/>
      <c r="H77" s="2"/>
    </row>
    <row r="80" spans="1:14" ht="31">
      <c r="A80" s="841" t="s">
        <v>131</v>
      </c>
      <c r="B80" s="1228" t="s">
        <v>1417</v>
      </c>
      <c r="C80" s="941" t="s">
        <v>1351</v>
      </c>
      <c r="D80" s="1081" t="s">
        <v>1595</v>
      </c>
      <c r="E80" s="941" t="s">
        <v>1351</v>
      </c>
      <c r="F80" s="1229" t="s">
        <v>1757</v>
      </c>
      <c r="G80" s="941" t="s">
        <v>1758</v>
      </c>
    </row>
    <row r="81" spans="1:7" ht="15.5">
      <c r="A81" s="842" t="s">
        <v>1403</v>
      </c>
      <c r="B81" s="832">
        <v>37</v>
      </c>
      <c r="C81" s="26">
        <v>110.17009600000003</v>
      </c>
      <c r="D81" s="832">
        <v>21</v>
      </c>
      <c r="E81" s="1235">
        <v>70.083008000000007</v>
      </c>
      <c r="F81" s="68">
        <f>B81-D81</f>
        <v>16</v>
      </c>
      <c r="G81" s="589">
        <f>C81-E81</f>
        <v>40.087088000000023</v>
      </c>
    </row>
    <row r="82" spans="1:7" ht="15.5">
      <c r="A82" s="842" t="s">
        <v>1279</v>
      </c>
      <c r="B82" s="832">
        <v>25</v>
      </c>
      <c r="C82" s="26">
        <v>7.6807349999999994</v>
      </c>
      <c r="D82" s="832">
        <v>3</v>
      </c>
      <c r="E82" s="1235">
        <v>1.17632</v>
      </c>
      <c r="F82" s="68">
        <f>B82-D82</f>
        <v>22</v>
      </c>
      <c r="G82" s="589">
        <f>C82-E82</f>
        <v>6.5044149999999998</v>
      </c>
    </row>
    <row r="83" spans="1:7" ht="21">
      <c r="A83" s="1230" t="s">
        <v>1344</v>
      </c>
      <c r="B83" s="1231">
        <f t="shared" ref="B83:G83" si="2">SUBTOTAL(9,B81:B82)</f>
        <v>62</v>
      </c>
      <c r="C83" s="1232">
        <f t="shared" si="2"/>
        <v>117.85083100000003</v>
      </c>
      <c r="D83" s="1231">
        <f t="shared" si="2"/>
        <v>24</v>
      </c>
      <c r="E83" s="1233">
        <f t="shared" si="2"/>
        <v>71.259328000000011</v>
      </c>
      <c r="F83" s="1231">
        <f t="shared" si="2"/>
        <v>38</v>
      </c>
      <c r="G83" s="1234">
        <f t="shared" si="2"/>
        <v>46.591503000000024</v>
      </c>
    </row>
    <row r="298" spans="14:14">
      <c r="N298" s="819" t="s">
        <v>1594</v>
      </c>
    </row>
  </sheetData>
  <autoFilter ref="A10:L77" xr:uid="{70EC563B-FBAF-4C6C-B646-8C551870EAC0}"/>
  <mergeCells count="10">
    <mergeCell ref="F9:F10"/>
    <mergeCell ref="G9:H9"/>
    <mergeCell ref="I9:J9"/>
    <mergeCell ref="A77:B77"/>
    <mergeCell ref="A2:L2"/>
    <mergeCell ref="A9:A10"/>
    <mergeCell ref="B9:B10"/>
    <mergeCell ref="C9:C10"/>
    <mergeCell ref="D9:D10"/>
    <mergeCell ref="E9:E10"/>
  </mergeCells>
  <conditionalFormatting sqref="B73:B78">
    <cfRule type="duplicateValues" dxfId="207" priority="3"/>
    <cfRule type="duplicateValues" dxfId="206" priority="4"/>
  </conditionalFormatting>
  <conditionalFormatting sqref="B73:B1048576">
    <cfRule type="duplicateValues" dxfId="205" priority="2"/>
  </conditionalFormatting>
  <conditionalFormatting sqref="M12:M64">
    <cfRule type="duplicateValues" dxfId="204" priority="1"/>
  </conditionalFormatting>
  <pageMargins left="0.51181102362204722" right="0.27559055118110237" top="0.27559055118110237" bottom="0.78740157480314965" header="0.31496062992125984" footer="0.74803149606299213"/>
  <pageSetup scale="68" fitToHeight="2" orientation="landscape" r:id="rId1"/>
  <rowBreaks count="3" manualBreakCount="3">
    <brk id="29" max="10" man="1"/>
    <brk id="59" max="11" man="1"/>
    <brk id="73" max="10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6">
    <tabColor rgb="FFFFFF00"/>
    <pageSetUpPr fitToPage="1"/>
  </sheetPr>
  <dimension ref="A1:O364"/>
  <sheetViews>
    <sheetView showGridLines="0" topLeftCell="A293" zoomScale="93" zoomScaleNormal="93" workbookViewId="0">
      <selection activeCell="G309" sqref="G309"/>
    </sheetView>
  </sheetViews>
  <sheetFormatPr defaultColWidth="9.1796875" defaultRowHeight="14.5"/>
  <cols>
    <col min="1" max="1" width="9.26953125" style="2" customWidth="1"/>
    <col min="2" max="2" width="9.1796875" style="2"/>
    <col min="3" max="3" width="11.7265625" style="2" customWidth="1"/>
    <col min="4" max="4" width="14" style="2" customWidth="1"/>
    <col min="5" max="5" width="12.81640625" style="2" customWidth="1"/>
    <col min="6" max="6" width="13.54296875" style="13" bestFit="1" customWidth="1"/>
    <col min="7" max="7" width="21.453125" style="13" bestFit="1" customWidth="1"/>
    <col min="8" max="8" width="10.453125" style="13" customWidth="1"/>
    <col min="9" max="9" width="13.26953125" style="2" hidden="1" customWidth="1"/>
    <col min="10" max="10" width="23.26953125" style="2" customWidth="1"/>
    <col min="11" max="11" width="18.54296875" style="2" customWidth="1"/>
    <col min="12" max="12" width="16" style="2" customWidth="1"/>
    <col min="13" max="13" width="23.08984375" style="2" hidden="1" customWidth="1"/>
    <col min="14" max="14" width="17.36328125" style="2" hidden="1" customWidth="1"/>
    <col min="15" max="15" width="13.26953125" style="2" bestFit="1" customWidth="1"/>
    <col min="16" max="16384" width="9.1796875" style="2"/>
  </cols>
  <sheetData>
    <row r="1" spans="1:12" ht="15.5">
      <c r="A1" s="1559" t="s">
        <v>120</v>
      </c>
      <c r="B1" s="1559"/>
      <c r="C1" s="1559"/>
      <c r="D1" s="1559"/>
      <c r="E1" s="1559"/>
      <c r="F1" s="1559"/>
      <c r="G1" s="1559"/>
      <c r="H1" s="1559"/>
      <c r="I1" s="1559"/>
      <c r="J1" s="1559"/>
      <c r="K1" s="1559"/>
      <c r="L1" s="1559"/>
    </row>
    <row r="2" spans="1:12" ht="15.5">
      <c r="A2" s="1559" t="s">
        <v>1012</v>
      </c>
      <c r="B2" s="1559"/>
      <c r="C2" s="1559"/>
      <c r="D2" s="1559"/>
      <c r="E2" s="1559"/>
      <c r="F2" s="1559"/>
      <c r="G2" s="1559"/>
      <c r="H2" s="1559"/>
      <c r="I2" s="1559"/>
      <c r="J2" s="1559"/>
      <c r="K2" s="1559"/>
      <c r="L2" s="1559"/>
    </row>
    <row r="3" spans="1:12" ht="15.5">
      <c r="A3" s="1003" t="s">
        <v>1461</v>
      </c>
      <c r="B3" s="1003"/>
      <c r="C3" s="1003"/>
      <c r="D3" s="1003"/>
      <c r="E3" s="1003"/>
      <c r="F3" s="1003"/>
      <c r="G3" s="1003"/>
      <c r="H3" s="1037">
        <f>SUBTOTAL(9,H5:H311)</f>
        <v>14471.348765999979</v>
      </c>
      <c r="I3" s="1037">
        <f>SUBTOTAL(9,I5:I307)</f>
        <v>1319.5343287544911</v>
      </c>
      <c r="J3" s="1003"/>
      <c r="K3" s="1004" t="str">
        <f>TA413_PBNTL!M1</f>
        <v>17.07.2026</v>
      </c>
      <c r="L3" s="1004"/>
    </row>
    <row r="4" spans="1:12" ht="36" customHeight="1">
      <c r="A4" s="75" t="s">
        <v>41</v>
      </c>
      <c r="B4" s="75" t="s">
        <v>42</v>
      </c>
      <c r="C4" s="66" t="s">
        <v>43</v>
      </c>
      <c r="D4" s="66" t="s">
        <v>44</v>
      </c>
      <c r="E4" s="1212" t="s">
        <v>46</v>
      </c>
      <c r="F4" s="1108" t="s">
        <v>47</v>
      </c>
      <c r="G4" s="1109" t="s">
        <v>303</v>
      </c>
      <c r="H4" s="1109" t="s">
        <v>283</v>
      </c>
      <c r="I4" s="1213" t="s">
        <v>272</v>
      </c>
      <c r="J4" s="75" t="s">
        <v>48</v>
      </c>
      <c r="K4" s="75" t="s">
        <v>1</v>
      </c>
      <c r="L4" s="75" t="s">
        <v>1573</v>
      </c>
    </row>
    <row r="5" spans="1:12" s="613" customFormat="1" ht="15.5">
      <c r="A5" s="608">
        <v>1</v>
      </c>
      <c r="B5" s="608">
        <v>1</v>
      </c>
      <c r="C5" s="990" t="s">
        <v>900</v>
      </c>
      <c r="D5" s="608" t="str">
        <f>IFERROR(VLOOKUP(C5,Foundation!$C$5:$D$554,2,0),"")</f>
        <v>DA+6</v>
      </c>
      <c r="E5" s="722">
        <v>45547</v>
      </c>
      <c r="F5" s="722">
        <v>45556</v>
      </c>
      <c r="G5" s="61" t="s">
        <v>1013</v>
      </c>
      <c r="H5" s="554">
        <f t="shared" ref="H5:H33" si="0">VLOOKUP(D5,$D$316:$I$345,6,0)</f>
        <v>43.804423999999997</v>
      </c>
      <c r="I5" s="991">
        <f t="shared" ref="I5:I68" si="1">IFERROR(VLOOKUP(D5,$D$316:$K$345,8,0)/10^5,"")</f>
        <v>4.0811880970015997</v>
      </c>
      <c r="J5" s="611" t="s">
        <v>1015</v>
      </c>
      <c r="K5" s="992" t="s">
        <v>255</v>
      </c>
      <c r="L5" s="992" t="s">
        <v>1655</v>
      </c>
    </row>
    <row r="6" spans="1:12" s="613" customFormat="1" ht="15.5">
      <c r="A6" s="608">
        <f t="shared" ref="A6:A69" si="2">A5+1</f>
        <v>2</v>
      </c>
      <c r="B6" s="608">
        <v>2</v>
      </c>
      <c r="C6" s="990" t="s">
        <v>434</v>
      </c>
      <c r="D6" s="608" t="str">
        <f>IFERROR(VLOOKUP(C6,Foundation!$C$5:$D$554,2,0),"")</f>
        <v>DA+0</v>
      </c>
      <c r="E6" s="722">
        <f>F5</f>
        <v>45556</v>
      </c>
      <c r="F6" s="722">
        <v>45562</v>
      </c>
      <c r="G6" s="61" t="s">
        <v>1013</v>
      </c>
      <c r="H6" s="554">
        <f t="shared" si="0"/>
        <v>36.159755999999994</v>
      </c>
      <c r="I6" s="991">
        <f t="shared" si="1"/>
        <v>3.3689466109103994</v>
      </c>
      <c r="J6" s="611" t="s">
        <v>1015</v>
      </c>
      <c r="K6" s="992" t="s">
        <v>255</v>
      </c>
      <c r="L6" s="992" t="s">
        <v>1655</v>
      </c>
    </row>
    <row r="7" spans="1:12" s="613" customFormat="1" ht="15.5">
      <c r="A7" s="608">
        <f t="shared" si="2"/>
        <v>3</v>
      </c>
      <c r="B7" s="608">
        <v>1</v>
      </c>
      <c r="C7" s="990" t="s">
        <v>432</v>
      </c>
      <c r="D7" s="608" t="str">
        <f>IFERROR(VLOOKUP(C7,Foundation!$C$5:$D$554,2,0),"")</f>
        <v>DA+0</v>
      </c>
      <c r="E7" s="722">
        <f>F6+1</f>
        <v>45563</v>
      </c>
      <c r="F7" s="722">
        <v>45568</v>
      </c>
      <c r="G7" s="61" t="s">
        <v>1013</v>
      </c>
      <c r="H7" s="554">
        <f t="shared" si="0"/>
        <v>36.159755999999994</v>
      </c>
      <c r="I7" s="991">
        <f t="shared" si="1"/>
        <v>3.3689466109103994</v>
      </c>
      <c r="J7" s="611" t="s">
        <v>1015</v>
      </c>
      <c r="K7" s="992" t="s">
        <v>255</v>
      </c>
      <c r="L7" s="992" t="s">
        <v>1655</v>
      </c>
    </row>
    <row r="8" spans="1:12" s="613" customFormat="1" ht="15.5">
      <c r="A8" s="608">
        <f t="shared" si="2"/>
        <v>4</v>
      </c>
      <c r="B8" s="608">
        <v>2</v>
      </c>
      <c r="C8" s="990" t="s">
        <v>433</v>
      </c>
      <c r="D8" s="608" t="str">
        <f>IFERROR(VLOOKUP(C8,Foundation!$C$5:$D$554,2,0),"")</f>
        <v>DA+3</v>
      </c>
      <c r="E8" s="722">
        <v>45568</v>
      </c>
      <c r="F8" s="722">
        <v>45573</v>
      </c>
      <c r="G8" s="61" t="s">
        <v>1013</v>
      </c>
      <c r="H8" s="554">
        <f t="shared" si="0"/>
        <v>37.931087999999995</v>
      </c>
      <c r="I8" s="991">
        <f t="shared" si="1"/>
        <v>3.5339787792191997</v>
      </c>
      <c r="J8" s="611" t="s">
        <v>1015</v>
      </c>
      <c r="K8" s="992" t="s">
        <v>255</v>
      </c>
      <c r="L8" s="992" t="s">
        <v>1655</v>
      </c>
    </row>
    <row r="9" spans="1:12" s="613" customFormat="1" ht="15.5">
      <c r="A9" s="608">
        <f t="shared" si="2"/>
        <v>5</v>
      </c>
      <c r="B9" s="608">
        <v>3</v>
      </c>
      <c r="C9" s="990" t="s">
        <v>904</v>
      </c>
      <c r="D9" s="608" t="str">
        <f>IFERROR(VLOOKUP(C9,Foundation!$C$5:$D$554,2,0),"")</f>
        <v>DA+9</v>
      </c>
      <c r="E9" s="722">
        <v>45568</v>
      </c>
      <c r="F9" s="722">
        <v>45579</v>
      </c>
      <c r="G9" s="61" t="s">
        <v>1013</v>
      </c>
      <c r="H9" s="554">
        <f t="shared" si="0"/>
        <v>45.697022000000004</v>
      </c>
      <c r="I9" s="991">
        <f t="shared" si="1"/>
        <v>4.2575184245048003</v>
      </c>
      <c r="J9" s="611" t="s">
        <v>1015</v>
      </c>
      <c r="K9" s="992" t="s">
        <v>255</v>
      </c>
      <c r="L9" s="992" t="s">
        <v>1655</v>
      </c>
    </row>
    <row r="10" spans="1:12" s="613" customFormat="1" ht="15.5">
      <c r="A10" s="608">
        <f t="shared" si="2"/>
        <v>6</v>
      </c>
      <c r="B10" s="608">
        <v>4</v>
      </c>
      <c r="C10" s="990" t="s">
        <v>26</v>
      </c>
      <c r="D10" s="608" t="str">
        <f>IFERROR(VLOOKUP(C10,Foundation!$C$5:$D$554,2,0),"")</f>
        <v>DA+0</v>
      </c>
      <c r="E10" s="722">
        <v>45574</v>
      </c>
      <c r="F10" s="722">
        <v>45582</v>
      </c>
      <c r="G10" s="61" t="s">
        <v>1013</v>
      </c>
      <c r="H10" s="554">
        <f t="shared" si="0"/>
        <v>36.159755999999994</v>
      </c>
      <c r="I10" s="991">
        <f t="shared" si="1"/>
        <v>3.3689466109103994</v>
      </c>
      <c r="J10" s="611" t="s">
        <v>1082</v>
      </c>
      <c r="K10" s="992" t="s">
        <v>255</v>
      </c>
      <c r="L10" s="992" t="s">
        <v>1655</v>
      </c>
    </row>
    <row r="11" spans="1:12" s="613" customFormat="1" ht="15.5">
      <c r="A11" s="608">
        <f t="shared" si="2"/>
        <v>7</v>
      </c>
      <c r="B11" s="608">
        <v>5</v>
      </c>
      <c r="C11" s="990" t="s">
        <v>899</v>
      </c>
      <c r="D11" s="608" t="str">
        <f>IFERROR(VLOOKUP(C11,Foundation!$C$5:$D$554,2,0),"")</f>
        <v>DA+6</v>
      </c>
      <c r="E11" s="722">
        <f>F9</f>
        <v>45579</v>
      </c>
      <c r="F11" s="722">
        <v>45590</v>
      </c>
      <c r="G11" s="61" t="s">
        <v>1013</v>
      </c>
      <c r="H11" s="554">
        <f t="shared" si="0"/>
        <v>43.804423999999997</v>
      </c>
      <c r="I11" s="991">
        <f t="shared" si="1"/>
        <v>4.0811880970015997</v>
      </c>
      <c r="J11" s="611" t="s">
        <v>1015</v>
      </c>
      <c r="K11" s="992" t="s">
        <v>255</v>
      </c>
      <c r="L11" s="992" t="s">
        <v>1655</v>
      </c>
    </row>
    <row r="12" spans="1:12" s="308" customFormat="1" ht="15.5">
      <c r="A12" s="608">
        <f t="shared" si="2"/>
        <v>8</v>
      </c>
      <c r="B12" s="608">
        <v>1</v>
      </c>
      <c r="C12" s="990" t="s">
        <v>582</v>
      </c>
      <c r="D12" s="62" t="str">
        <f>IFERROR(VLOOKUP(C12,Foundation!$C$5:$D$554,2,0),"")</f>
        <v>DA+0</v>
      </c>
      <c r="E12" s="722">
        <v>45608</v>
      </c>
      <c r="F12" s="722">
        <v>45620</v>
      </c>
      <c r="G12" s="61" t="s">
        <v>1158</v>
      </c>
      <c r="H12" s="554">
        <f t="shared" si="0"/>
        <v>36.159755999999994</v>
      </c>
      <c r="I12" s="991">
        <f t="shared" si="1"/>
        <v>3.3689466109103994</v>
      </c>
      <c r="J12" s="61" t="s">
        <v>1141</v>
      </c>
      <c r="K12" s="992" t="s">
        <v>255</v>
      </c>
      <c r="L12" s="992" t="s">
        <v>1655</v>
      </c>
    </row>
    <row r="13" spans="1:12" s="613" customFormat="1" ht="15.5">
      <c r="A13" s="608">
        <f t="shared" si="2"/>
        <v>9</v>
      </c>
      <c r="B13" s="608">
        <v>2</v>
      </c>
      <c r="C13" s="990" t="s">
        <v>586</v>
      </c>
      <c r="D13" s="62" t="str">
        <f>IFERROR(VLOOKUP(C13,Foundation!$C$5:$D$554,2,0),"")</f>
        <v>DA+3</v>
      </c>
      <c r="E13" s="722">
        <v>45610</v>
      </c>
      <c r="F13" s="722">
        <v>45621</v>
      </c>
      <c r="G13" s="61" t="s">
        <v>1159</v>
      </c>
      <c r="H13" s="554">
        <f t="shared" si="0"/>
        <v>37.931087999999995</v>
      </c>
      <c r="I13" s="991">
        <f t="shared" si="1"/>
        <v>3.5339787792191997</v>
      </c>
      <c r="J13" s="611" t="s">
        <v>1142</v>
      </c>
      <c r="K13" s="992" t="s">
        <v>255</v>
      </c>
      <c r="L13" s="992" t="s">
        <v>1655</v>
      </c>
    </row>
    <row r="14" spans="1:12" s="613" customFormat="1" ht="15.5">
      <c r="A14" s="608">
        <f t="shared" si="2"/>
        <v>10</v>
      </c>
      <c r="B14" s="608">
        <v>1</v>
      </c>
      <c r="C14" s="990" t="s">
        <v>578</v>
      </c>
      <c r="D14" s="62" t="str">
        <f>IFERROR(VLOOKUP(C14,Foundation!$C$5:$D$554,2,0),"")</f>
        <v>DA+6</v>
      </c>
      <c r="E14" s="722">
        <v>45621</v>
      </c>
      <c r="F14" s="722">
        <v>45630</v>
      </c>
      <c r="G14" s="61" t="s">
        <v>1158</v>
      </c>
      <c r="H14" s="554">
        <f t="shared" si="0"/>
        <v>43.804423999999997</v>
      </c>
      <c r="I14" s="991">
        <f t="shared" si="1"/>
        <v>4.0811880970015997</v>
      </c>
      <c r="J14" s="611" t="s">
        <v>1141</v>
      </c>
      <c r="K14" s="992" t="s">
        <v>255</v>
      </c>
      <c r="L14" s="992" t="s">
        <v>1655</v>
      </c>
    </row>
    <row r="15" spans="1:12" s="613" customFormat="1" ht="15.5">
      <c r="A15" s="608">
        <f t="shared" si="2"/>
        <v>11</v>
      </c>
      <c r="B15" s="608">
        <v>2</v>
      </c>
      <c r="C15" s="990" t="s">
        <v>581</v>
      </c>
      <c r="D15" s="62" t="str">
        <f>IFERROR(VLOOKUP(C15,Foundation!$C$5:$D$554,2,0),"")</f>
        <v>DA+0</v>
      </c>
      <c r="E15" s="722">
        <v>45622</v>
      </c>
      <c r="F15" s="722">
        <v>45638</v>
      </c>
      <c r="G15" s="61" t="s">
        <v>1159</v>
      </c>
      <c r="H15" s="554">
        <f t="shared" si="0"/>
        <v>36.159755999999994</v>
      </c>
      <c r="I15" s="991">
        <f t="shared" si="1"/>
        <v>3.3689466109103994</v>
      </c>
      <c r="J15" s="611" t="s">
        <v>1141</v>
      </c>
      <c r="K15" s="992" t="s">
        <v>255</v>
      </c>
      <c r="L15" s="992" t="s">
        <v>1655</v>
      </c>
    </row>
    <row r="16" spans="1:12" s="613" customFormat="1" ht="15.5">
      <c r="A16" s="608">
        <f t="shared" si="2"/>
        <v>12</v>
      </c>
      <c r="B16" s="608">
        <v>3</v>
      </c>
      <c r="C16" s="990" t="s">
        <v>577</v>
      </c>
      <c r="D16" s="62" t="str">
        <f>IFERROR(VLOOKUP(C16,Foundation!$C$5:$D$554,2,0),"")</f>
        <v>DA+1.5</v>
      </c>
      <c r="E16" s="722">
        <v>45631</v>
      </c>
      <c r="F16" s="722">
        <v>45642</v>
      </c>
      <c r="G16" s="61" t="s">
        <v>1158</v>
      </c>
      <c r="H16" s="554">
        <f t="shared" si="0"/>
        <v>37.138323999999997</v>
      </c>
      <c r="I16" s="991">
        <f t="shared" si="1"/>
        <v>3.4601182257615997</v>
      </c>
      <c r="J16" s="611" t="s">
        <v>1015</v>
      </c>
      <c r="K16" s="992" t="s">
        <v>255</v>
      </c>
      <c r="L16" s="992" t="s">
        <v>1655</v>
      </c>
    </row>
    <row r="17" spans="1:12" s="613" customFormat="1" ht="15.5">
      <c r="A17" s="608">
        <f t="shared" si="2"/>
        <v>13</v>
      </c>
      <c r="B17" s="608">
        <v>4</v>
      </c>
      <c r="C17" s="990" t="s">
        <v>390</v>
      </c>
      <c r="D17" s="62" t="str">
        <f>IFERROR(VLOOKUP(C17,Foundation!$C$5:$D$554,2,0),"")</f>
        <v>DA-3</v>
      </c>
      <c r="E17" s="722">
        <v>45633</v>
      </c>
      <c r="F17" s="722">
        <v>45642</v>
      </c>
      <c r="G17" s="61" t="s">
        <v>1169</v>
      </c>
      <c r="H17" s="554">
        <f t="shared" si="0"/>
        <v>34.789810000000003</v>
      </c>
      <c r="I17" s="991">
        <f t="shared" si="1"/>
        <v>3.2413109340040003</v>
      </c>
      <c r="J17" s="611" t="s">
        <v>1148</v>
      </c>
      <c r="K17" s="992" t="s">
        <v>255</v>
      </c>
      <c r="L17" s="992" t="s">
        <v>1655</v>
      </c>
    </row>
    <row r="18" spans="1:12" s="613" customFormat="1" ht="15.5">
      <c r="A18" s="608">
        <f t="shared" si="2"/>
        <v>14</v>
      </c>
      <c r="B18" s="608">
        <v>5</v>
      </c>
      <c r="C18" s="990" t="s">
        <v>583</v>
      </c>
      <c r="D18" s="62" t="str">
        <f>IFERROR(VLOOKUP(C18,Foundation!$C$5:$D$554,2,0),"")</f>
        <v>DA+1.5</v>
      </c>
      <c r="E18" s="722">
        <v>45639</v>
      </c>
      <c r="F18" s="722">
        <v>45647</v>
      </c>
      <c r="G18" s="61" t="s">
        <v>1159</v>
      </c>
      <c r="H18" s="554">
        <f t="shared" si="0"/>
        <v>37.138323999999997</v>
      </c>
      <c r="I18" s="991">
        <f t="shared" si="1"/>
        <v>3.4601182257615997</v>
      </c>
      <c r="J18" s="611" t="s">
        <v>1172</v>
      </c>
      <c r="K18" s="992" t="s">
        <v>255</v>
      </c>
      <c r="L18" s="992" t="s">
        <v>1655</v>
      </c>
    </row>
    <row r="19" spans="1:12" s="613" customFormat="1" ht="15.5">
      <c r="A19" s="608">
        <f t="shared" si="2"/>
        <v>15</v>
      </c>
      <c r="B19" s="608">
        <v>6</v>
      </c>
      <c r="C19" s="990" t="s">
        <v>594</v>
      </c>
      <c r="D19" s="62" t="str">
        <f>IFERROR(VLOOKUP(C19,Foundation!$C$5:$D$554,2,0),"")</f>
        <v>DA+3</v>
      </c>
      <c r="E19" s="722">
        <v>45639</v>
      </c>
      <c r="F19" s="722">
        <v>45648</v>
      </c>
      <c r="G19" s="61" t="s">
        <v>1169</v>
      </c>
      <c r="H19" s="554">
        <f t="shared" si="0"/>
        <v>37.931087999999995</v>
      </c>
      <c r="I19" s="991">
        <f t="shared" si="1"/>
        <v>3.5339787792191997</v>
      </c>
      <c r="J19" s="611" t="s">
        <v>1082</v>
      </c>
      <c r="K19" s="992" t="s">
        <v>255</v>
      </c>
      <c r="L19" s="992" t="s">
        <v>1655</v>
      </c>
    </row>
    <row r="20" spans="1:12" s="613" customFormat="1" ht="15.5">
      <c r="A20" s="608">
        <f t="shared" si="2"/>
        <v>16</v>
      </c>
      <c r="B20" s="608">
        <v>7</v>
      </c>
      <c r="C20" s="990" t="s">
        <v>496</v>
      </c>
      <c r="D20" s="62" t="str">
        <f>IFERROR(VLOOKUP(C20,Foundation!$C$5:$D$554,2,0),"")</f>
        <v>DA+3</v>
      </c>
      <c r="E20" s="722">
        <v>45643</v>
      </c>
      <c r="F20" s="722">
        <v>45650</v>
      </c>
      <c r="G20" s="61" t="s">
        <v>1169</v>
      </c>
      <c r="H20" s="554">
        <f t="shared" si="0"/>
        <v>37.931087999999995</v>
      </c>
      <c r="I20" s="991">
        <f t="shared" si="1"/>
        <v>3.5339787792191997</v>
      </c>
      <c r="J20" s="611" t="s">
        <v>1148</v>
      </c>
      <c r="K20" s="992" t="s">
        <v>255</v>
      </c>
      <c r="L20" s="992" t="s">
        <v>1655</v>
      </c>
    </row>
    <row r="21" spans="1:12" s="613" customFormat="1" ht="15.5">
      <c r="A21" s="608">
        <f t="shared" si="2"/>
        <v>17</v>
      </c>
      <c r="B21" s="608">
        <v>8</v>
      </c>
      <c r="C21" s="990" t="s">
        <v>1070</v>
      </c>
      <c r="D21" s="62" t="str">
        <f>IFERROR(VLOOKUP(C21,Foundation!$C$5:$D$554,2,0),"")</f>
        <v>DA+3</v>
      </c>
      <c r="E21" s="722">
        <v>45639</v>
      </c>
      <c r="F21" s="722">
        <v>45651</v>
      </c>
      <c r="G21" s="61" t="s">
        <v>1170</v>
      </c>
      <c r="H21" s="554">
        <f t="shared" si="0"/>
        <v>37.931087999999995</v>
      </c>
      <c r="I21" s="991">
        <f t="shared" si="1"/>
        <v>3.5339787792191997</v>
      </c>
      <c r="J21" s="611" t="s">
        <v>1171</v>
      </c>
      <c r="K21" s="992" t="s">
        <v>255</v>
      </c>
      <c r="L21" s="992" t="s">
        <v>1655</v>
      </c>
    </row>
    <row r="22" spans="1:12" s="613" customFormat="1" ht="15.5">
      <c r="A22" s="608">
        <f t="shared" si="2"/>
        <v>18</v>
      </c>
      <c r="B22" s="608">
        <v>9</v>
      </c>
      <c r="C22" s="990" t="s">
        <v>476</v>
      </c>
      <c r="D22" s="62" t="str">
        <f>IFERROR(VLOOKUP(C22,Foundation!$C$5:$D$554,2,0),"")</f>
        <v>DA-3</v>
      </c>
      <c r="E22" s="722">
        <v>45641</v>
      </c>
      <c r="F22" s="722">
        <v>45652</v>
      </c>
      <c r="G22" s="61" t="s">
        <v>1165</v>
      </c>
      <c r="H22" s="554">
        <f t="shared" si="0"/>
        <v>34.789810000000003</v>
      </c>
      <c r="I22" s="991">
        <f t="shared" si="1"/>
        <v>3.2413109340040003</v>
      </c>
      <c r="J22" s="611" t="s">
        <v>1141</v>
      </c>
      <c r="K22" s="992" t="s">
        <v>255</v>
      </c>
      <c r="L22" s="992" t="s">
        <v>1655</v>
      </c>
    </row>
    <row r="23" spans="1:12" s="613" customFormat="1" ht="15.5">
      <c r="A23" s="608">
        <f t="shared" si="2"/>
        <v>19</v>
      </c>
      <c r="B23" s="608">
        <v>10</v>
      </c>
      <c r="C23" s="990" t="s">
        <v>595</v>
      </c>
      <c r="D23" s="62" t="str">
        <f>IFERROR(VLOOKUP(C23,Foundation!$C$5:$D$554,2,0),"")</f>
        <v>DA+6</v>
      </c>
      <c r="E23" s="722">
        <v>45649</v>
      </c>
      <c r="F23" s="722">
        <v>45654</v>
      </c>
      <c r="G23" s="61" t="s">
        <v>1169</v>
      </c>
      <c r="H23" s="554">
        <f t="shared" si="0"/>
        <v>43.804423999999997</v>
      </c>
      <c r="I23" s="991">
        <f t="shared" si="1"/>
        <v>4.0811880970015997</v>
      </c>
      <c r="J23" s="611" t="s">
        <v>1082</v>
      </c>
      <c r="K23" s="992" t="s">
        <v>255</v>
      </c>
      <c r="L23" s="992" t="s">
        <v>1655</v>
      </c>
    </row>
    <row r="24" spans="1:12" s="613" customFormat="1" ht="15.5">
      <c r="A24" s="608">
        <f t="shared" si="2"/>
        <v>20</v>
      </c>
      <c r="B24" s="608">
        <v>11</v>
      </c>
      <c r="C24" s="990" t="s">
        <v>579</v>
      </c>
      <c r="D24" s="62" t="str">
        <f>IFERROR(VLOOKUP(C24,Foundation!$C$5:$D$554,2,0),"")</f>
        <v>DA+9</v>
      </c>
      <c r="E24" s="722">
        <v>45643</v>
      </c>
      <c r="F24" s="722">
        <v>45655</v>
      </c>
      <c r="G24" s="61" t="s">
        <v>1158</v>
      </c>
      <c r="H24" s="554">
        <f t="shared" si="0"/>
        <v>45.697022000000004</v>
      </c>
      <c r="I24" s="991">
        <f t="shared" si="1"/>
        <v>4.2575184245048003</v>
      </c>
      <c r="J24" s="611" t="s">
        <v>1015</v>
      </c>
      <c r="K24" s="992" t="s">
        <v>255</v>
      </c>
      <c r="L24" s="992" t="s">
        <v>1655</v>
      </c>
    </row>
    <row r="25" spans="1:12" s="613" customFormat="1" ht="15.5">
      <c r="A25" s="608">
        <f t="shared" si="2"/>
        <v>21</v>
      </c>
      <c r="B25" s="608">
        <v>12</v>
      </c>
      <c r="C25" s="990" t="s">
        <v>584</v>
      </c>
      <c r="D25" s="62" t="str">
        <f>IFERROR(VLOOKUP(C25,Foundation!$C$5:$D$554,2,0),"")</f>
        <v>DA-3</v>
      </c>
      <c r="E25" s="722">
        <v>45648</v>
      </c>
      <c r="F25" s="722">
        <v>45655</v>
      </c>
      <c r="G25" s="61" t="s">
        <v>1159</v>
      </c>
      <c r="H25" s="554">
        <f t="shared" si="0"/>
        <v>34.789810000000003</v>
      </c>
      <c r="I25" s="991">
        <f t="shared" si="1"/>
        <v>3.2413109340040003</v>
      </c>
      <c r="J25" s="611" t="s">
        <v>1172</v>
      </c>
      <c r="K25" s="992" t="s">
        <v>255</v>
      </c>
      <c r="L25" s="992" t="s">
        <v>1655</v>
      </c>
    </row>
    <row r="26" spans="1:12" s="613" customFormat="1" ht="15.5">
      <c r="A26" s="608">
        <f t="shared" si="2"/>
        <v>22</v>
      </c>
      <c r="B26" s="608">
        <v>13</v>
      </c>
      <c r="C26" s="990" t="s">
        <v>495</v>
      </c>
      <c r="D26" s="62" t="str">
        <f>IFERROR(VLOOKUP(C26,Foundation!$C$5:$D$554,2,0),"")</f>
        <v>DA+3</v>
      </c>
      <c r="E26" s="722">
        <v>45650</v>
      </c>
      <c r="F26" s="722">
        <v>45657</v>
      </c>
      <c r="G26" s="61" t="s">
        <v>1169</v>
      </c>
      <c r="H26" s="554">
        <f t="shared" si="0"/>
        <v>37.931087999999995</v>
      </c>
      <c r="I26" s="991">
        <f t="shared" si="1"/>
        <v>3.5339787792191997</v>
      </c>
      <c r="J26" s="611" t="s">
        <v>1141</v>
      </c>
      <c r="K26" s="992" t="s">
        <v>255</v>
      </c>
      <c r="L26" s="992" t="s">
        <v>1655</v>
      </c>
    </row>
    <row r="27" spans="1:12" s="613" customFormat="1" ht="15.5">
      <c r="A27" s="608">
        <f t="shared" si="2"/>
        <v>23</v>
      </c>
      <c r="B27" s="608">
        <v>1</v>
      </c>
      <c r="C27" s="990" t="s">
        <v>477</v>
      </c>
      <c r="D27" s="62" t="str">
        <f>IFERROR(VLOOKUP(C27,Foundation!$C$5:$D$554,2,0),"")</f>
        <v>DA+6</v>
      </c>
      <c r="E27" s="722">
        <v>45653</v>
      </c>
      <c r="F27" s="722">
        <v>45660</v>
      </c>
      <c r="G27" s="61" t="s">
        <v>1165</v>
      </c>
      <c r="H27" s="554">
        <f t="shared" si="0"/>
        <v>43.804423999999997</v>
      </c>
      <c r="I27" s="991">
        <f t="shared" si="1"/>
        <v>4.0811880970015997</v>
      </c>
      <c r="J27" s="611" t="s">
        <v>1185</v>
      </c>
      <c r="K27" s="992" t="s">
        <v>255</v>
      </c>
      <c r="L27" s="992" t="s">
        <v>1655</v>
      </c>
    </row>
    <row r="28" spans="1:12" s="613" customFormat="1" ht="15.5">
      <c r="A28" s="608">
        <f t="shared" si="2"/>
        <v>24</v>
      </c>
      <c r="B28" s="608">
        <v>2</v>
      </c>
      <c r="C28" s="990" t="s">
        <v>598</v>
      </c>
      <c r="D28" s="62" t="str">
        <f>IFERROR(VLOOKUP(C28,Foundation!$C$5:$D$554,2,0),"")</f>
        <v>DA+3</v>
      </c>
      <c r="E28" s="722">
        <v>45650</v>
      </c>
      <c r="F28" s="722">
        <v>45660</v>
      </c>
      <c r="G28" s="61" t="s">
        <v>1170</v>
      </c>
      <c r="H28" s="554">
        <f t="shared" si="0"/>
        <v>37.931087999999995</v>
      </c>
      <c r="I28" s="991">
        <f t="shared" si="1"/>
        <v>3.5339787792191997</v>
      </c>
      <c r="J28" s="611" t="s">
        <v>1171</v>
      </c>
      <c r="K28" s="992" t="s">
        <v>255</v>
      </c>
      <c r="L28" s="992" t="s">
        <v>1655</v>
      </c>
    </row>
    <row r="29" spans="1:12" s="613" customFormat="1" ht="15.5">
      <c r="A29" s="608">
        <f t="shared" si="2"/>
        <v>25</v>
      </c>
      <c r="B29" s="608">
        <v>3</v>
      </c>
      <c r="C29" s="990" t="s">
        <v>593</v>
      </c>
      <c r="D29" s="62" t="str">
        <f>IFERROR(VLOOKUP(C29,Foundation!$C$5:$D$554,2,0),"")</f>
        <v>DA+6</v>
      </c>
      <c r="E29" s="722">
        <v>45655</v>
      </c>
      <c r="F29" s="722">
        <v>45662</v>
      </c>
      <c r="G29" s="61" t="s">
        <v>1169</v>
      </c>
      <c r="H29" s="554">
        <f t="shared" si="0"/>
        <v>43.804423999999997</v>
      </c>
      <c r="I29" s="991">
        <f t="shared" si="1"/>
        <v>4.0811880970015997</v>
      </c>
      <c r="J29" s="61" t="s">
        <v>1082</v>
      </c>
      <c r="K29" s="992" t="s">
        <v>255</v>
      </c>
      <c r="L29" s="992" t="s">
        <v>1655</v>
      </c>
    </row>
    <row r="30" spans="1:12" s="613" customFormat="1" ht="15.5">
      <c r="A30" s="608">
        <f t="shared" si="2"/>
        <v>26</v>
      </c>
      <c r="B30" s="608">
        <v>4</v>
      </c>
      <c r="C30" s="990" t="s">
        <v>585</v>
      </c>
      <c r="D30" s="62" t="str">
        <f>IFERROR(VLOOKUP(C30,Foundation!$C$5:$D$554,2,0),"")</f>
        <v>DA+1.5</v>
      </c>
      <c r="E30" s="722">
        <v>45656</v>
      </c>
      <c r="F30" s="722">
        <v>45664</v>
      </c>
      <c r="G30" s="61" t="s">
        <v>1159</v>
      </c>
      <c r="H30" s="554">
        <f t="shared" si="0"/>
        <v>37.138323999999997</v>
      </c>
      <c r="I30" s="991">
        <f t="shared" si="1"/>
        <v>3.4601182257615997</v>
      </c>
      <c r="J30" s="611" t="s">
        <v>1172</v>
      </c>
      <c r="K30" s="992" t="s">
        <v>255</v>
      </c>
      <c r="L30" s="992" t="s">
        <v>1655</v>
      </c>
    </row>
    <row r="31" spans="1:12" s="613" customFormat="1" ht="15.5">
      <c r="A31" s="608">
        <f t="shared" si="2"/>
        <v>27</v>
      </c>
      <c r="B31" s="608">
        <v>5</v>
      </c>
      <c r="C31" s="990" t="s">
        <v>494</v>
      </c>
      <c r="D31" s="62" t="str">
        <f>IFERROR(VLOOKUP(C31,Foundation!$C$5:$D$554,2,0),"")</f>
        <v>DA+3</v>
      </c>
      <c r="E31" s="722">
        <v>45658</v>
      </c>
      <c r="F31" s="722">
        <v>45665</v>
      </c>
      <c r="G31" s="61" t="s">
        <v>1169</v>
      </c>
      <c r="H31" s="554">
        <f t="shared" si="0"/>
        <v>37.931087999999995</v>
      </c>
      <c r="I31" s="991">
        <f t="shared" si="1"/>
        <v>3.5339787792191997</v>
      </c>
      <c r="J31" s="61" t="s">
        <v>1141</v>
      </c>
      <c r="K31" s="992" t="s">
        <v>255</v>
      </c>
      <c r="L31" s="992" t="s">
        <v>1655</v>
      </c>
    </row>
    <row r="32" spans="1:12" s="613" customFormat="1" ht="15.5">
      <c r="A32" s="608">
        <f t="shared" si="2"/>
        <v>28</v>
      </c>
      <c r="B32" s="608">
        <v>6</v>
      </c>
      <c r="C32" s="990" t="s">
        <v>580</v>
      </c>
      <c r="D32" s="62" t="str">
        <f>IFERROR(VLOOKUP(C32,Foundation!$C$5:$D$554,2,0),"")</f>
        <v>DA+3</v>
      </c>
      <c r="E32" s="722">
        <v>45656</v>
      </c>
      <c r="F32" s="722">
        <v>45666</v>
      </c>
      <c r="G32" s="61" t="s">
        <v>1158</v>
      </c>
      <c r="H32" s="554">
        <f t="shared" si="0"/>
        <v>37.931087999999995</v>
      </c>
      <c r="I32" s="991">
        <f t="shared" si="1"/>
        <v>3.5339787792191997</v>
      </c>
      <c r="J32" s="611" t="s">
        <v>1015</v>
      </c>
      <c r="K32" s="992" t="s">
        <v>255</v>
      </c>
      <c r="L32" s="992" t="s">
        <v>1655</v>
      </c>
    </row>
    <row r="33" spans="1:15" s="613" customFormat="1" ht="15.5">
      <c r="A33" s="608">
        <f t="shared" si="2"/>
        <v>29</v>
      </c>
      <c r="B33" s="608">
        <v>7</v>
      </c>
      <c r="C33" s="990" t="s">
        <v>394</v>
      </c>
      <c r="D33" s="62" t="str">
        <f>IFERROR(VLOOKUP(C33,Foundation!$C$5:$D$554,2,0),"")</f>
        <v>DA+9</v>
      </c>
      <c r="E33" s="722">
        <v>45661</v>
      </c>
      <c r="F33" s="722">
        <v>45666</v>
      </c>
      <c r="G33" s="61" t="s">
        <v>1165</v>
      </c>
      <c r="H33" s="554">
        <f t="shared" si="0"/>
        <v>45.697022000000004</v>
      </c>
      <c r="I33" s="991">
        <f t="shared" si="1"/>
        <v>4.2575184245048003</v>
      </c>
      <c r="J33" s="611" t="s">
        <v>1185</v>
      </c>
      <c r="K33" s="992" t="s">
        <v>255</v>
      </c>
      <c r="L33" s="992" t="s">
        <v>1655</v>
      </c>
    </row>
    <row r="34" spans="1:15" s="613" customFormat="1" ht="15.5">
      <c r="A34" s="1267">
        <f t="shared" si="2"/>
        <v>30</v>
      </c>
      <c r="B34" s="1267">
        <v>8</v>
      </c>
      <c r="C34" s="1268" t="s">
        <v>1071</v>
      </c>
      <c r="D34" s="1267" t="str">
        <f>IFERROR(VLOOKUP(C34,Foundation!$C$5:$D$554,2,0),"")</f>
        <v>DA+9</v>
      </c>
      <c r="E34" s="1269">
        <v>45661</v>
      </c>
      <c r="F34" s="1269">
        <v>45668</v>
      </c>
      <c r="G34" s="1270" t="s">
        <v>1170</v>
      </c>
      <c r="H34" s="1271">
        <v>45.697000000000003</v>
      </c>
      <c r="I34" s="1272">
        <f t="shared" si="1"/>
        <v>4.2575184245048003</v>
      </c>
      <c r="J34" s="1270" t="s">
        <v>1171</v>
      </c>
      <c r="K34" s="1273" t="s">
        <v>255</v>
      </c>
      <c r="L34" s="1273" t="s">
        <v>1655</v>
      </c>
      <c r="O34" s="613" t="s">
        <v>1775</v>
      </c>
    </row>
    <row r="35" spans="1:15" s="613" customFormat="1" ht="15.5">
      <c r="A35" s="608">
        <f t="shared" si="2"/>
        <v>31</v>
      </c>
      <c r="B35" s="608">
        <v>9</v>
      </c>
      <c r="C35" s="990" t="s">
        <v>592</v>
      </c>
      <c r="D35" s="62" t="str">
        <f>IFERROR(VLOOKUP(C35,Foundation!$C$5:$D$554,2,0),"")</f>
        <v>DA+9</v>
      </c>
      <c r="E35" s="722">
        <v>45663</v>
      </c>
      <c r="F35" s="722">
        <v>45670</v>
      </c>
      <c r="G35" s="61" t="s">
        <v>1169</v>
      </c>
      <c r="H35" s="554">
        <f t="shared" ref="H35:H98" si="3">VLOOKUP(D35,$D$316:$I$345,6,0)</f>
        <v>45.697022000000004</v>
      </c>
      <c r="I35" s="991">
        <f t="shared" si="1"/>
        <v>4.2575184245048003</v>
      </c>
      <c r="J35" s="61" t="s">
        <v>1082</v>
      </c>
      <c r="K35" s="992" t="s">
        <v>255</v>
      </c>
      <c r="L35" s="992" t="s">
        <v>1655</v>
      </c>
    </row>
    <row r="36" spans="1:15" s="613" customFormat="1" ht="15.5">
      <c r="A36" s="608">
        <f t="shared" si="2"/>
        <v>32</v>
      </c>
      <c r="B36" s="608">
        <v>10</v>
      </c>
      <c r="C36" s="990" t="s">
        <v>395</v>
      </c>
      <c r="D36" s="62" t="str">
        <f>IFERROR(VLOOKUP(C36,Foundation!$C$5:$D$554,2,0),"")</f>
        <v>DA+3</v>
      </c>
      <c r="E36" s="722">
        <v>45667</v>
      </c>
      <c r="F36" s="722">
        <v>45672</v>
      </c>
      <c r="G36" s="61" t="s">
        <v>1165</v>
      </c>
      <c r="H36" s="554">
        <f t="shared" si="3"/>
        <v>37.931087999999995</v>
      </c>
      <c r="I36" s="991">
        <f t="shared" si="1"/>
        <v>3.5339787792191997</v>
      </c>
      <c r="J36" s="61" t="s">
        <v>1185</v>
      </c>
      <c r="K36" s="992" t="s">
        <v>255</v>
      </c>
      <c r="L36" s="992" t="s">
        <v>1655</v>
      </c>
    </row>
    <row r="37" spans="1:15" s="613" customFormat="1" ht="15.5">
      <c r="A37" s="608">
        <f t="shared" si="2"/>
        <v>33</v>
      </c>
      <c r="B37" s="608">
        <v>11</v>
      </c>
      <c r="C37" s="990" t="s">
        <v>493</v>
      </c>
      <c r="D37" s="62" t="str">
        <f>IFERROR(VLOOKUP(C37,Foundation!$C$5:$D$554,2,0),"")</f>
        <v>DA+3</v>
      </c>
      <c r="E37" s="722">
        <v>45665</v>
      </c>
      <c r="F37" s="722">
        <v>45673</v>
      </c>
      <c r="G37" s="61" t="s">
        <v>1169</v>
      </c>
      <c r="H37" s="554">
        <f t="shared" si="3"/>
        <v>37.931087999999995</v>
      </c>
      <c r="I37" s="991">
        <f t="shared" si="1"/>
        <v>3.5339787792191997</v>
      </c>
      <c r="J37" s="61" t="s">
        <v>1141</v>
      </c>
      <c r="K37" s="992" t="s">
        <v>255</v>
      </c>
      <c r="L37" s="992" t="s">
        <v>1655</v>
      </c>
    </row>
    <row r="38" spans="1:15" s="613" customFormat="1" ht="15.5">
      <c r="A38" s="608">
        <f t="shared" si="2"/>
        <v>34</v>
      </c>
      <c r="B38" s="608">
        <v>12</v>
      </c>
      <c r="C38" s="990" t="s">
        <v>588</v>
      </c>
      <c r="D38" s="62" t="str">
        <f>IFERROR(VLOOKUP(C38,Foundation!$C$5:$D$554,2,0),"")</f>
        <v>DA+6</v>
      </c>
      <c r="E38" s="722">
        <v>45664</v>
      </c>
      <c r="F38" s="722">
        <v>45676</v>
      </c>
      <c r="G38" s="61" t="s">
        <v>1159</v>
      </c>
      <c r="H38" s="554">
        <f t="shared" si="3"/>
        <v>43.804423999999997</v>
      </c>
      <c r="I38" s="991">
        <f t="shared" si="1"/>
        <v>4.0811880970015997</v>
      </c>
      <c r="J38" s="61" t="s">
        <v>1172</v>
      </c>
      <c r="K38" s="992" t="s">
        <v>255</v>
      </c>
      <c r="L38" s="992" t="s">
        <v>1655</v>
      </c>
    </row>
    <row r="39" spans="1:15" s="613" customFormat="1" ht="15.5">
      <c r="A39" s="608">
        <f t="shared" si="2"/>
        <v>35</v>
      </c>
      <c r="B39" s="608">
        <v>13</v>
      </c>
      <c r="C39" s="990" t="s">
        <v>591</v>
      </c>
      <c r="D39" s="62" t="str">
        <f>IFERROR(VLOOKUP(C39,Foundation!$C$5:$D$554,2,0),"")</f>
        <v>DA+9</v>
      </c>
      <c r="E39" s="722">
        <v>45671</v>
      </c>
      <c r="F39" s="722">
        <v>45676</v>
      </c>
      <c r="G39" s="61" t="s">
        <v>1169</v>
      </c>
      <c r="H39" s="554">
        <f t="shared" si="3"/>
        <v>45.697022000000004</v>
      </c>
      <c r="I39" s="991">
        <f t="shared" si="1"/>
        <v>4.2575184245048003</v>
      </c>
      <c r="J39" s="61" t="s">
        <v>1082</v>
      </c>
      <c r="K39" s="992" t="s">
        <v>255</v>
      </c>
      <c r="L39" s="992" t="s">
        <v>1655</v>
      </c>
    </row>
    <row r="40" spans="1:15" s="613" customFormat="1" ht="15.5">
      <c r="A40" s="608">
        <f t="shared" si="2"/>
        <v>36</v>
      </c>
      <c r="B40" s="608">
        <v>14</v>
      </c>
      <c r="C40" s="990" t="s">
        <v>396</v>
      </c>
      <c r="D40" s="62" t="str">
        <f>IFERROR(VLOOKUP(C40,Foundation!$C$5:$D$554,2,0),"")</f>
        <v>DA+3</v>
      </c>
      <c r="E40" s="722">
        <v>45673</v>
      </c>
      <c r="F40" s="722">
        <v>45677</v>
      </c>
      <c r="G40" s="61" t="s">
        <v>1165</v>
      </c>
      <c r="H40" s="554">
        <f t="shared" si="3"/>
        <v>37.931087999999995</v>
      </c>
      <c r="I40" s="991">
        <f t="shared" si="1"/>
        <v>3.5339787792191997</v>
      </c>
      <c r="J40" s="61" t="s">
        <v>1185</v>
      </c>
      <c r="K40" s="992" t="s">
        <v>255</v>
      </c>
      <c r="L40" s="992" t="s">
        <v>1655</v>
      </c>
    </row>
    <row r="41" spans="1:15" s="613" customFormat="1" ht="15.5">
      <c r="A41" s="608">
        <f t="shared" si="2"/>
        <v>37</v>
      </c>
      <c r="B41" s="608">
        <v>15</v>
      </c>
      <c r="C41" s="990" t="s">
        <v>576</v>
      </c>
      <c r="D41" s="62" t="str">
        <f>IFERROR(VLOOKUP(C41,Foundation!$C$5:$D$554,2,0),"")</f>
        <v>DA+9</v>
      </c>
      <c r="E41" s="722">
        <v>45667</v>
      </c>
      <c r="F41" s="722">
        <v>45678</v>
      </c>
      <c r="G41" s="61" t="s">
        <v>1158</v>
      </c>
      <c r="H41" s="554">
        <f t="shared" si="3"/>
        <v>45.697022000000004</v>
      </c>
      <c r="I41" s="991">
        <f t="shared" si="1"/>
        <v>4.2575184245048003</v>
      </c>
      <c r="J41" s="611" t="s">
        <v>1015</v>
      </c>
      <c r="K41" s="992" t="s">
        <v>255</v>
      </c>
      <c r="L41" s="992" t="s">
        <v>1655</v>
      </c>
    </row>
    <row r="42" spans="1:15" s="613" customFormat="1" ht="15.5">
      <c r="A42" s="608">
        <f t="shared" si="2"/>
        <v>38</v>
      </c>
      <c r="B42" s="608">
        <v>16</v>
      </c>
      <c r="C42" s="990" t="s">
        <v>604</v>
      </c>
      <c r="D42" s="62" t="str">
        <f>IFERROR(VLOOKUP(C42,Foundation!$C$5:$D$554,2,0),"")</f>
        <v>DA+9</v>
      </c>
      <c r="E42" s="722">
        <v>45668</v>
      </c>
      <c r="F42" s="722">
        <v>45679</v>
      </c>
      <c r="G42" s="61" t="s">
        <v>1170</v>
      </c>
      <c r="H42" s="554">
        <f t="shared" si="3"/>
        <v>45.697022000000004</v>
      </c>
      <c r="I42" s="991">
        <f t="shared" si="1"/>
        <v>4.2575184245048003</v>
      </c>
      <c r="J42" s="61" t="s">
        <v>1171</v>
      </c>
      <c r="K42" s="992" t="s">
        <v>255</v>
      </c>
      <c r="L42" s="992" t="s">
        <v>1655</v>
      </c>
    </row>
    <row r="43" spans="1:15" s="613" customFormat="1" ht="15.5">
      <c r="A43" s="608">
        <f t="shared" si="2"/>
        <v>39</v>
      </c>
      <c r="B43" s="608">
        <v>17</v>
      </c>
      <c r="C43" s="990" t="s">
        <v>492</v>
      </c>
      <c r="D43" s="62" t="str">
        <f>IFERROR(VLOOKUP(C43,Foundation!$C$5:$D$554,2,0),"")</f>
        <v>DA+1.5</v>
      </c>
      <c r="E43" s="722">
        <v>45674</v>
      </c>
      <c r="F43" s="722">
        <v>45679</v>
      </c>
      <c r="G43" s="61" t="s">
        <v>1169</v>
      </c>
      <c r="H43" s="554">
        <f t="shared" si="3"/>
        <v>37.138323999999997</v>
      </c>
      <c r="I43" s="991">
        <f t="shared" si="1"/>
        <v>3.4601182257615997</v>
      </c>
      <c r="J43" s="61" t="s">
        <v>1141</v>
      </c>
      <c r="K43" s="992" t="s">
        <v>255</v>
      </c>
      <c r="L43" s="992" t="s">
        <v>1655</v>
      </c>
    </row>
    <row r="44" spans="1:15" s="308" customFormat="1" ht="15.5">
      <c r="A44" s="608">
        <f t="shared" si="2"/>
        <v>40</v>
      </c>
      <c r="B44" s="62">
        <v>18</v>
      </c>
      <c r="C44" s="990" t="s">
        <v>596</v>
      </c>
      <c r="D44" s="62" t="str">
        <f>IFERROR(VLOOKUP(C44,Foundation!$C$5:$D$554,2,0),"")</f>
        <v>DA+1.5</v>
      </c>
      <c r="E44" s="722">
        <v>45674</v>
      </c>
      <c r="F44" s="722">
        <v>45681</v>
      </c>
      <c r="G44" s="61" t="s">
        <v>1169</v>
      </c>
      <c r="H44" s="554">
        <f t="shared" si="3"/>
        <v>37.138323999999997</v>
      </c>
      <c r="I44" s="991">
        <f t="shared" si="1"/>
        <v>3.4601182257615997</v>
      </c>
      <c r="J44" s="61" t="s">
        <v>1082</v>
      </c>
      <c r="K44" s="992" t="s">
        <v>255</v>
      </c>
      <c r="L44" s="992" t="s">
        <v>1655</v>
      </c>
    </row>
    <row r="45" spans="1:15" s="308" customFormat="1" ht="15.5">
      <c r="A45" s="608">
        <f t="shared" si="2"/>
        <v>41</v>
      </c>
      <c r="B45" s="62">
        <v>19</v>
      </c>
      <c r="C45" s="990" t="s">
        <v>397</v>
      </c>
      <c r="D45" s="62" t="str">
        <f>IFERROR(VLOOKUP(C45,Foundation!$C$5:$D$554,2,0),"")</f>
        <v>DA+9</v>
      </c>
      <c r="E45" s="722">
        <f>F40</f>
        <v>45677</v>
      </c>
      <c r="F45" s="722">
        <v>45682</v>
      </c>
      <c r="G45" s="61" t="s">
        <v>1165</v>
      </c>
      <c r="H45" s="554">
        <f t="shared" si="3"/>
        <v>45.697022000000004</v>
      </c>
      <c r="I45" s="991">
        <f t="shared" si="1"/>
        <v>4.2575184245048003</v>
      </c>
      <c r="J45" s="61" t="s">
        <v>1185</v>
      </c>
      <c r="K45" s="992" t="s">
        <v>255</v>
      </c>
      <c r="L45" s="992" t="s">
        <v>1655</v>
      </c>
    </row>
    <row r="46" spans="1:15" s="613" customFormat="1" ht="15.5">
      <c r="A46" s="608">
        <f t="shared" si="2"/>
        <v>42</v>
      </c>
      <c r="B46" s="608">
        <v>20</v>
      </c>
      <c r="C46" s="990" t="s">
        <v>575</v>
      </c>
      <c r="D46" s="62" t="str">
        <f>IFERROR(VLOOKUP(C46,Foundation!$C$5:$D$554,2,0),"")</f>
        <v>DA+9</v>
      </c>
      <c r="E46" s="722">
        <f>F41</f>
        <v>45678</v>
      </c>
      <c r="F46" s="722">
        <v>45686</v>
      </c>
      <c r="G46" s="61" t="s">
        <v>1158</v>
      </c>
      <c r="H46" s="554">
        <f t="shared" si="3"/>
        <v>45.697022000000004</v>
      </c>
      <c r="I46" s="991">
        <f t="shared" si="1"/>
        <v>4.2575184245048003</v>
      </c>
      <c r="J46" s="611" t="s">
        <v>1015</v>
      </c>
      <c r="K46" s="992" t="s">
        <v>255</v>
      </c>
      <c r="L46" s="992" t="s">
        <v>1655</v>
      </c>
    </row>
    <row r="47" spans="1:15" s="613" customFormat="1" ht="15.5">
      <c r="A47" s="608">
        <f t="shared" si="2"/>
        <v>43</v>
      </c>
      <c r="B47" s="608">
        <v>21</v>
      </c>
      <c r="C47" s="990" t="s">
        <v>609</v>
      </c>
      <c r="D47" s="62" t="str">
        <f>IFERROR(VLOOKUP(C47,Foundation!$C$5:$D$554,2,0),"")</f>
        <v>DA+3</v>
      </c>
      <c r="E47" s="722">
        <v>45681</v>
      </c>
      <c r="F47" s="722">
        <v>45686</v>
      </c>
      <c r="G47" s="61" t="s">
        <v>1169</v>
      </c>
      <c r="H47" s="554">
        <f t="shared" si="3"/>
        <v>37.931087999999995</v>
      </c>
      <c r="I47" s="991">
        <f t="shared" si="1"/>
        <v>3.5339787792191997</v>
      </c>
      <c r="J47" s="611" t="s">
        <v>1082</v>
      </c>
      <c r="K47" s="992" t="s">
        <v>255</v>
      </c>
      <c r="L47" s="992" t="s">
        <v>1655</v>
      </c>
    </row>
    <row r="48" spans="1:15" s="308" customFormat="1" ht="15.5">
      <c r="A48" s="608">
        <f t="shared" si="2"/>
        <v>44</v>
      </c>
      <c r="B48" s="62">
        <v>22</v>
      </c>
      <c r="C48" s="990" t="s">
        <v>398</v>
      </c>
      <c r="D48" s="62" t="str">
        <f>IFERROR(VLOOKUP(C48,Foundation!$C$5:$D$554,2,0),"")</f>
        <v>DA+3</v>
      </c>
      <c r="E48" s="722">
        <v>45682</v>
      </c>
      <c r="F48" s="722">
        <v>45687</v>
      </c>
      <c r="G48" s="61" t="s">
        <v>1197</v>
      </c>
      <c r="H48" s="554">
        <f t="shared" si="3"/>
        <v>37.931087999999995</v>
      </c>
      <c r="I48" s="991">
        <f t="shared" si="1"/>
        <v>3.5339787792191997</v>
      </c>
      <c r="J48" s="61" t="s">
        <v>1185</v>
      </c>
      <c r="K48" s="992" t="s">
        <v>255</v>
      </c>
      <c r="L48" s="992" t="s">
        <v>1655</v>
      </c>
    </row>
    <row r="49" spans="1:12" s="308" customFormat="1" ht="15.5">
      <c r="A49" s="608">
        <f t="shared" si="2"/>
        <v>45</v>
      </c>
      <c r="B49" s="62">
        <v>23</v>
      </c>
      <c r="C49" s="990" t="s">
        <v>605</v>
      </c>
      <c r="D49" s="62" t="str">
        <f>IFERROR(VLOOKUP(C49,Foundation!$C$5:$D$554,2,0),"")</f>
        <v>DA+3</v>
      </c>
      <c r="E49" s="722">
        <f>F42</f>
        <v>45679</v>
      </c>
      <c r="F49" s="722">
        <v>45687</v>
      </c>
      <c r="G49" s="61" t="s">
        <v>1170</v>
      </c>
      <c r="H49" s="554">
        <f t="shared" si="3"/>
        <v>37.931087999999995</v>
      </c>
      <c r="I49" s="991">
        <f t="shared" si="1"/>
        <v>3.5339787792191997</v>
      </c>
      <c r="J49" s="61" t="s">
        <v>1171</v>
      </c>
      <c r="K49" s="992" t="s">
        <v>255</v>
      </c>
      <c r="L49" s="992" t="s">
        <v>1655</v>
      </c>
    </row>
    <row r="50" spans="1:12" s="308" customFormat="1" ht="15.5">
      <c r="A50" s="608">
        <f t="shared" si="2"/>
        <v>46</v>
      </c>
      <c r="B50" s="62">
        <v>24</v>
      </c>
      <c r="C50" s="990" t="s">
        <v>491</v>
      </c>
      <c r="D50" s="62" t="str">
        <f>IFERROR(VLOOKUP(C50,Foundation!$C$5:$D$554,2,0),"")</f>
        <v>DB1+6</v>
      </c>
      <c r="E50" s="722">
        <f>F43</f>
        <v>45679</v>
      </c>
      <c r="F50" s="722">
        <v>45688</v>
      </c>
      <c r="G50" s="61" t="s">
        <v>1169</v>
      </c>
      <c r="H50" s="554">
        <f t="shared" si="3"/>
        <v>65.027778999999995</v>
      </c>
      <c r="I50" s="991">
        <f t="shared" si="1"/>
        <v>6.0585341249835993</v>
      </c>
      <c r="J50" s="61" t="s">
        <v>1141</v>
      </c>
      <c r="K50" s="992" t="s">
        <v>255</v>
      </c>
      <c r="L50" s="992" t="s">
        <v>1655</v>
      </c>
    </row>
    <row r="51" spans="1:12" s="613" customFormat="1" ht="15.5">
      <c r="A51" s="608">
        <f t="shared" si="2"/>
        <v>47</v>
      </c>
      <c r="B51" s="608">
        <v>25</v>
      </c>
      <c r="C51" s="990" t="s">
        <v>166</v>
      </c>
      <c r="D51" s="62" t="str">
        <f>IFERROR(VLOOKUP(C51,Foundation!$C$5:$D$554,2,0),"")</f>
        <v>DB1+6</v>
      </c>
      <c r="E51" s="722">
        <v>45674</v>
      </c>
      <c r="F51" s="722">
        <v>45688</v>
      </c>
      <c r="G51" s="61" t="s">
        <v>1158</v>
      </c>
      <c r="H51" s="554">
        <f t="shared" si="3"/>
        <v>65.027778999999995</v>
      </c>
      <c r="I51" s="991">
        <f t="shared" si="1"/>
        <v>6.0585341249835993</v>
      </c>
      <c r="J51" s="611" t="s">
        <v>1172</v>
      </c>
      <c r="K51" s="992" t="s">
        <v>255</v>
      </c>
      <c r="L51" s="992" t="s">
        <v>1655</v>
      </c>
    </row>
    <row r="52" spans="1:12" s="308" customFormat="1" ht="15.5">
      <c r="A52" s="608">
        <f t="shared" si="2"/>
        <v>48</v>
      </c>
      <c r="B52" s="62">
        <v>1</v>
      </c>
      <c r="C52" s="990" t="s">
        <v>399</v>
      </c>
      <c r="D52" s="62" t="str">
        <f>IFERROR(VLOOKUP(C52,Foundation!$C$5:$D$554,2,0),"")</f>
        <v>DA+0</v>
      </c>
      <c r="E52" s="722">
        <v>45687</v>
      </c>
      <c r="F52" s="722">
        <v>45691</v>
      </c>
      <c r="G52" s="61" t="s">
        <v>1197</v>
      </c>
      <c r="H52" s="554">
        <f t="shared" si="3"/>
        <v>36.159755999999994</v>
      </c>
      <c r="I52" s="760">
        <f t="shared" si="1"/>
        <v>3.3689466109103994</v>
      </c>
      <c r="J52" s="61" t="s">
        <v>1185</v>
      </c>
      <c r="K52" s="995" t="s">
        <v>255</v>
      </c>
      <c r="L52" s="992" t="s">
        <v>1655</v>
      </c>
    </row>
    <row r="53" spans="1:12" s="613" customFormat="1" ht="15.5">
      <c r="A53" s="608">
        <f t="shared" si="2"/>
        <v>49</v>
      </c>
      <c r="B53" s="608">
        <v>2</v>
      </c>
      <c r="C53" s="990" t="s">
        <v>612</v>
      </c>
      <c r="D53" s="62" t="str">
        <f>IFERROR(VLOOKUP(C53,Foundation!$C$5:$D$554,2,0),"")</f>
        <v>DA+6</v>
      </c>
      <c r="E53" s="722">
        <v>45686</v>
      </c>
      <c r="F53" s="722">
        <v>45692</v>
      </c>
      <c r="G53" s="61" t="s">
        <v>1165</v>
      </c>
      <c r="H53" s="554">
        <f t="shared" si="3"/>
        <v>43.804423999999997</v>
      </c>
      <c r="I53" s="991">
        <f t="shared" si="1"/>
        <v>4.0811880970015997</v>
      </c>
      <c r="J53" s="611" t="s">
        <v>1082</v>
      </c>
      <c r="K53" s="992" t="s">
        <v>255</v>
      </c>
      <c r="L53" s="992" t="s">
        <v>1655</v>
      </c>
    </row>
    <row r="54" spans="1:12" s="613" customFormat="1" ht="15.5">
      <c r="A54" s="608">
        <f t="shared" si="2"/>
        <v>50</v>
      </c>
      <c r="B54" s="608">
        <v>3</v>
      </c>
      <c r="C54" s="990" t="s">
        <v>777</v>
      </c>
      <c r="D54" s="62" t="str">
        <f>IFERROR(VLOOKUP(C54,Foundation!$C$5:$D$554,2,0),"")</f>
        <v>DA+1.5</v>
      </c>
      <c r="E54" s="722">
        <v>45686</v>
      </c>
      <c r="F54" s="722">
        <v>45695</v>
      </c>
      <c r="G54" s="61" t="s">
        <v>1170</v>
      </c>
      <c r="H54" s="554">
        <f t="shared" si="3"/>
        <v>37.138323999999997</v>
      </c>
      <c r="I54" s="991">
        <f t="shared" si="1"/>
        <v>3.4601182257615997</v>
      </c>
      <c r="J54" s="611" t="s">
        <v>1171</v>
      </c>
      <c r="K54" s="992" t="s">
        <v>255</v>
      </c>
      <c r="L54" s="992" t="s">
        <v>1655</v>
      </c>
    </row>
    <row r="55" spans="1:12" s="308" customFormat="1" ht="15.5">
      <c r="A55" s="608">
        <f t="shared" si="2"/>
        <v>51</v>
      </c>
      <c r="B55" s="62">
        <v>4</v>
      </c>
      <c r="C55" s="990" t="s">
        <v>570</v>
      </c>
      <c r="D55" s="62" t="str">
        <f>IFERROR(VLOOKUP(C55,Foundation!$C$5:$D$554,2,0),"")</f>
        <v>DA+6</v>
      </c>
      <c r="E55" s="722">
        <v>45686</v>
      </c>
      <c r="F55" s="722">
        <v>45696</v>
      </c>
      <c r="G55" s="61" t="s">
        <v>1159</v>
      </c>
      <c r="H55" s="554">
        <f t="shared" si="3"/>
        <v>43.804423999999997</v>
      </c>
      <c r="I55" s="760">
        <f t="shared" si="1"/>
        <v>4.0811880970015997</v>
      </c>
      <c r="J55" s="61" t="s">
        <v>1015</v>
      </c>
      <c r="K55" s="995" t="s">
        <v>255</v>
      </c>
      <c r="L55" s="992" t="s">
        <v>1655</v>
      </c>
    </row>
    <row r="56" spans="1:12" s="308" customFormat="1" ht="15.5">
      <c r="A56" s="608">
        <f t="shared" si="2"/>
        <v>52</v>
      </c>
      <c r="B56" s="62">
        <v>5</v>
      </c>
      <c r="C56" s="990" t="s">
        <v>391</v>
      </c>
      <c r="D56" s="62" t="str">
        <f>IFERROR(VLOOKUP(C56,Foundation!$C$5:$D$554,2,0),"")</f>
        <v>DA+6</v>
      </c>
      <c r="E56" s="722">
        <v>45691</v>
      </c>
      <c r="F56" s="722">
        <v>45696</v>
      </c>
      <c r="G56" s="61" t="s">
        <v>1197</v>
      </c>
      <c r="H56" s="554">
        <f t="shared" si="3"/>
        <v>43.804423999999997</v>
      </c>
      <c r="I56" s="760">
        <f t="shared" si="1"/>
        <v>4.0811880970015997</v>
      </c>
      <c r="J56" s="61" t="s">
        <v>1185</v>
      </c>
      <c r="K56" s="995" t="s">
        <v>255</v>
      </c>
      <c r="L56" s="992" t="s">
        <v>1655</v>
      </c>
    </row>
    <row r="57" spans="1:12" s="308" customFormat="1" ht="15.5">
      <c r="A57" s="608">
        <f t="shared" si="2"/>
        <v>53</v>
      </c>
      <c r="B57" s="62">
        <v>6</v>
      </c>
      <c r="C57" s="990" t="s">
        <v>481</v>
      </c>
      <c r="D57" s="62" t="str">
        <f>IFERROR(VLOOKUP(C57,Foundation!$C$5:$D$554,2,0),"")</f>
        <v>DA-1.5</v>
      </c>
      <c r="E57" s="722">
        <v>45688</v>
      </c>
      <c r="F57" s="722">
        <v>45698</v>
      </c>
      <c r="G57" s="61" t="s">
        <v>1169</v>
      </c>
      <c r="H57" s="554">
        <f t="shared" si="3"/>
        <v>35.601761999999994</v>
      </c>
      <c r="I57" s="760">
        <f t="shared" si="1"/>
        <v>3.3169592027207995</v>
      </c>
      <c r="J57" s="61" t="s">
        <v>1141</v>
      </c>
      <c r="K57" s="995" t="s">
        <v>255</v>
      </c>
      <c r="L57" s="992" t="s">
        <v>1655</v>
      </c>
    </row>
    <row r="58" spans="1:12" s="613" customFormat="1" ht="15.5">
      <c r="A58" s="608">
        <f t="shared" si="2"/>
        <v>54</v>
      </c>
      <c r="B58" s="608">
        <v>7</v>
      </c>
      <c r="C58" s="990" t="s">
        <v>610</v>
      </c>
      <c r="D58" s="62" t="str">
        <f>IFERROR(VLOOKUP(C58,Foundation!$C$5:$D$554,2,0),"")</f>
        <v>DA+1.5</v>
      </c>
      <c r="E58" s="722">
        <v>45693</v>
      </c>
      <c r="F58" s="722">
        <v>45698</v>
      </c>
      <c r="G58" s="61" t="s">
        <v>1165</v>
      </c>
      <c r="H58" s="554">
        <f t="shared" si="3"/>
        <v>37.138323999999997</v>
      </c>
      <c r="I58" s="991">
        <f t="shared" si="1"/>
        <v>3.4601182257615997</v>
      </c>
      <c r="J58" s="611" t="s">
        <v>1082</v>
      </c>
      <c r="K58" s="992" t="s">
        <v>255</v>
      </c>
      <c r="L58" s="992" t="s">
        <v>1655</v>
      </c>
    </row>
    <row r="59" spans="1:12" s="308" customFormat="1" ht="15.5">
      <c r="A59" s="608">
        <f t="shared" si="2"/>
        <v>55</v>
      </c>
      <c r="B59" s="62">
        <v>8</v>
      </c>
      <c r="C59" s="990" t="s">
        <v>262</v>
      </c>
      <c r="D59" s="62" t="str">
        <f>IFERROR(VLOOKUP(C59,Foundation!$C$5:$D$554,2,0),"")</f>
        <v>DB1+0</v>
      </c>
      <c r="E59" s="722">
        <v>45697</v>
      </c>
      <c r="F59" s="722">
        <v>45702</v>
      </c>
      <c r="G59" s="61" t="s">
        <v>1197</v>
      </c>
      <c r="H59" s="554">
        <f t="shared" si="3"/>
        <v>55.450851000000007</v>
      </c>
      <c r="I59" s="760">
        <f t="shared" si="1"/>
        <v>5.1662670663084009</v>
      </c>
      <c r="J59" s="61" t="s">
        <v>1185</v>
      </c>
      <c r="K59" s="995" t="s">
        <v>255</v>
      </c>
      <c r="L59" s="992" t="s">
        <v>1655</v>
      </c>
    </row>
    <row r="60" spans="1:12" s="613" customFormat="1" ht="15.5">
      <c r="A60" s="608">
        <f t="shared" si="2"/>
        <v>56</v>
      </c>
      <c r="B60" s="608">
        <v>9</v>
      </c>
      <c r="C60" s="990" t="s">
        <v>611</v>
      </c>
      <c r="D60" s="62" t="str">
        <f>IFERROR(VLOOKUP(C60,Foundation!$C$5:$D$554,2,0),"")</f>
        <v>DA+3</v>
      </c>
      <c r="E60" s="722">
        <v>45699</v>
      </c>
      <c r="F60" s="722">
        <v>45703</v>
      </c>
      <c r="G60" s="61" t="s">
        <v>1165</v>
      </c>
      <c r="H60" s="554">
        <f t="shared" si="3"/>
        <v>37.931087999999995</v>
      </c>
      <c r="I60" s="991">
        <f t="shared" si="1"/>
        <v>3.5339787792191997</v>
      </c>
      <c r="J60" s="611" t="s">
        <v>1082</v>
      </c>
      <c r="K60" s="992" t="s">
        <v>255</v>
      </c>
      <c r="L60" s="992" t="s">
        <v>1655</v>
      </c>
    </row>
    <row r="61" spans="1:12" s="613" customFormat="1" ht="15.5">
      <c r="A61" s="608">
        <f t="shared" si="2"/>
        <v>57</v>
      </c>
      <c r="B61" s="608">
        <v>10</v>
      </c>
      <c r="C61" s="990" t="s">
        <v>776</v>
      </c>
      <c r="D61" s="62" t="str">
        <f>IFERROR(VLOOKUP(C61,Foundation!$C$5:$D$554,2,0),"")</f>
        <v>DA+3</v>
      </c>
      <c r="E61" s="722">
        <v>45696</v>
      </c>
      <c r="F61" s="722">
        <v>45704</v>
      </c>
      <c r="G61" s="61" t="s">
        <v>1170</v>
      </c>
      <c r="H61" s="554">
        <f t="shared" si="3"/>
        <v>37.931087999999995</v>
      </c>
      <c r="I61" s="991">
        <f t="shared" si="1"/>
        <v>3.5339787792191997</v>
      </c>
      <c r="J61" s="611" t="s">
        <v>1171</v>
      </c>
      <c r="K61" s="992" t="s">
        <v>255</v>
      </c>
      <c r="L61" s="992" t="s">
        <v>1655</v>
      </c>
    </row>
    <row r="62" spans="1:12" s="308" customFormat="1" ht="15.5">
      <c r="A62" s="608">
        <f t="shared" si="2"/>
        <v>58</v>
      </c>
      <c r="B62" s="62">
        <v>11</v>
      </c>
      <c r="C62" s="990" t="s">
        <v>569</v>
      </c>
      <c r="D62" s="62" t="str">
        <f>IFERROR(VLOOKUP(C62,Foundation!$C$5:$D$554,2,0),"")</f>
        <v>DA+0</v>
      </c>
      <c r="E62" s="722">
        <v>45688</v>
      </c>
      <c r="F62" s="722">
        <v>45706</v>
      </c>
      <c r="G62" s="61" t="s">
        <v>1158</v>
      </c>
      <c r="H62" s="554">
        <f t="shared" si="3"/>
        <v>36.159755999999994</v>
      </c>
      <c r="I62" s="760">
        <f t="shared" si="1"/>
        <v>3.3689466109103994</v>
      </c>
      <c r="J62" s="61" t="s">
        <v>1172</v>
      </c>
      <c r="K62" s="995" t="s">
        <v>255</v>
      </c>
      <c r="L62" s="992" t="s">
        <v>1655</v>
      </c>
    </row>
    <row r="63" spans="1:12" s="613" customFormat="1" ht="15.5">
      <c r="A63" s="608">
        <f t="shared" si="2"/>
        <v>59</v>
      </c>
      <c r="B63" s="608">
        <v>12</v>
      </c>
      <c r="C63" s="990" t="s">
        <v>615</v>
      </c>
      <c r="D63" s="62" t="str">
        <f>IFERROR(VLOOKUP(C63,Foundation!$C$5:$D$554,2,0),"")</f>
        <v>DA+0</v>
      </c>
      <c r="E63" s="722">
        <v>45703</v>
      </c>
      <c r="F63" s="722">
        <v>45706</v>
      </c>
      <c r="G63" s="61" t="s">
        <v>1165</v>
      </c>
      <c r="H63" s="554">
        <f t="shared" si="3"/>
        <v>36.159755999999994</v>
      </c>
      <c r="I63" s="991">
        <f t="shared" si="1"/>
        <v>3.3689466109103994</v>
      </c>
      <c r="J63" s="611" t="s">
        <v>1082</v>
      </c>
      <c r="K63" s="992" t="s">
        <v>255</v>
      </c>
      <c r="L63" s="992" t="s">
        <v>1655</v>
      </c>
    </row>
    <row r="64" spans="1:12" s="308" customFormat="1" ht="15.5">
      <c r="A64" s="608">
        <f t="shared" si="2"/>
        <v>60</v>
      </c>
      <c r="B64" s="62">
        <v>13</v>
      </c>
      <c r="C64" s="990" t="s">
        <v>480</v>
      </c>
      <c r="D64" s="62" t="str">
        <f>IFERROR(VLOOKUP(C64,Foundation!$C$5:$D$554,2,0),"")</f>
        <v>DA+6</v>
      </c>
      <c r="E64" s="722">
        <v>45699</v>
      </c>
      <c r="F64" s="722">
        <v>45707</v>
      </c>
      <c r="G64" s="61" t="s">
        <v>1169</v>
      </c>
      <c r="H64" s="554">
        <f t="shared" si="3"/>
        <v>43.804423999999997</v>
      </c>
      <c r="I64" s="760">
        <f t="shared" si="1"/>
        <v>4.0811880970015997</v>
      </c>
      <c r="J64" s="61" t="s">
        <v>1141</v>
      </c>
      <c r="K64" s="995" t="s">
        <v>255</v>
      </c>
      <c r="L64" s="992" t="s">
        <v>1655</v>
      </c>
    </row>
    <row r="65" spans="1:12" s="308" customFormat="1" ht="15.5">
      <c r="A65" s="608">
        <f t="shared" si="2"/>
        <v>61</v>
      </c>
      <c r="B65" s="62">
        <v>14</v>
      </c>
      <c r="C65" s="990" t="s">
        <v>392</v>
      </c>
      <c r="D65" s="62" t="str">
        <f>IFERROR(VLOOKUP(C65,Foundation!$C$5:$D$554,2,0),"")</f>
        <v>DA+9</v>
      </c>
      <c r="E65" s="722">
        <v>45702</v>
      </c>
      <c r="F65" s="722">
        <v>45707</v>
      </c>
      <c r="G65" s="61" t="s">
        <v>1197</v>
      </c>
      <c r="H65" s="554">
        <f t="shared" si="3"/>
        <v>45.697022000000004</v>
      </c>
      <c r="I65" s="760">
        <f t="shared" si="1"/>
        <v>4.2575184245048003</v>
      </c>
      <c r="J65" s="61" t="s">
        <v>1185</v>
      </c>
      <c r="K65" s="995" t="s">
        <v>255</v>
      </c>
      <c r="L65" s="992" t="s">
        <v>1655</v>
      </c>
    </row>
    <row r="66" spans="1:12" s="613" customFormat="1" ht="15.5">
      <c r="A66" s="608">
        <f t="shared" si="2"/>
        <v>62</v>
      </c>
      <c r="B66" s="608">
        <v>15</v>
      </c>
      <c r="C66" s="990" t="s">
        <v>71</v>
      </c>
      <c r="D66" s="62" t="str">
        <f>IFERROR(VLOOKUP(C66,Foundation!$C$5:$D$554,2,0),"")</f>
        <v>DB2+0</v>
      </c>
      <c r="E66" s="722">
        <v>45697</v>
      </c>
      <c r="F66" s="722">
        <v>45711</v>
      </c>
      <c r="G66" s="61" t="s">
        <v>1159</v>
      </c>
      <c r="H66" s="554">
        <f t="shared" si="3"/>
        <v>59.500627999999999</v>
      </c>
      <c r="I66" s="991">
        <f t="shared" si="1"/>
        <v>5.5435783097551994</v>
      </c>
      <c r="J66" s="611" t="s">
        <v>1015</v>
      </c>
      <c r="K66" s="992" t="s">
        <v>255</v>
      </c>
      <c r="L66" s="992" t="s">
        <v>1655</v>
      </c>
    </row>
    <row r="67" spans="1:12" s="613" customFormat="1" ht="15.5">
      <c r="A67" s="608">
        <f t="shared" si="2"/>
        <v>63</v>
      </c>
      <c r="B67" s="608">
        <v>16</v>
      </c>
      <c r="C67" s="990" t="s">
        <v>616</v>
      </c>
      <c r="D67" s="62" t="str">
        <f>IFERROR(VLOOKUP(C67,Foundation!$C$5:$D$554,2,0),"")</f>
        <v>DA+3</v>
      </c>
      <c r="E67" s="722">
        <v>45706</v>
      </c>
      <c r="F67" s="722">
        <v>45712</v>
      </c>
      <c r="G67" s="61" t="s">
        <v>1165</v>
      </c>
      <c r="H67" s="554">
        <f t="shared" si="3"/>
        <v>37.931087999999995</v>
      </c>
      <c r="I67" s="991">
        <f t="shared" si="1"/>
        <v>3.5339787792191997</v>
      </c>
      <c r="J67" s="611" t="s">
        <v>1082</v>
      </c>
      <c r="K67" s="992" t="s">
        <v>255</v>
      </c>
      <c r="L67" s="992" t="s">
        <v>1655</v>
      </c>
    </row>
    <row r="68" spans="1:12" s="308" customFormat="1" ht="15.5">
      <c r="A68" s="608">
        <f t="shared" si="2"/>
        <v>64</v>
      </c>
      <c r="B68" s="62">
        <v>17</v>
      </c>
      <c r="C68" s="990" t="s">
        <v>393</v>
      </c>
      <c r="D68" s="62" t="str">
        <f>IFERROR(VLOOKUP(C68,Foundation!$C$5:$D$554,2,0),"")</f>
        <v>DA+6</v>
      </c>
      <c r="E68" s="722">
        <v>45708</v>
      </c>
      <c r="F68" s="722">
        <v>45712</v>
      </c>
      <c r="G68" s="61" t="s">
        <v>1197</v>
      </c>
      <c r="H68" s="554">
        <f t="shared" si="3"/>
        <v>43.804423999999997</v>
      </c>
      <c r="I68" s="760">
        <f t="shared" si="1"/>
        <v>4.0811880970015997</v>
      </c>
      <c r="J68" s="61" t="s">
        <v>1185</v>
      </c>
      <c r="K68" s="995" t="s">
        <v>255</v>
      </c>
      <c r="L68" s="992" t="s">
        <v>1655</v>
      </c>
    </row>
    <row r="69" spans="1:12" s="613" customFormat="1" ht="15.5">
      <c r="A69" s="608">
        <f t="shared" si="2"/>
        <v>65</v>
      </c>
      <c r="B69" s="608">
        <v>18</v>
      </c>
      <c r="C69" s="990" t="s">
        <v>778</v>
      </c>
      <c r="D69" s="62" t="str">
        <f>IFERROR(VLOOKUP(C69,Foundation!$C$5:$D$554,2,0),"")</f>
        <v>DA+3</v>
      </c>
      <c r="E69" s="722">
        <v>45704</v>
      </c>
      <c r="F69" s="722">
        <v>45713</v>
      </c>
      <c r="G69" s="61" t="s">
        <v>1170</v>
      </c>
      <c r="H69" s="554">
        <f t="shared" si="3"/>
        <v>37.931087999999995</v>
      </c>
      <c r="I69" s="991">
        <f t="shared" ref="I69:I132" si="4">IFERROR(VLOOKUP(D69,$D$316:$K$345,8,0)/10^5,"")</f>
        <v>3.5339787792191997</v>
      </c>
      <c r="J69" s="611" t="s">
        <v>1171</v>
      </c>
      <c r="K69" s="992" t="s">
        <v>255</v>
      </c>
      <c r="L69" s="992" t="s">
        <v>1655</v>
      </c>
    </row>
    <row r="70" spans="1:12" s="308" customFormat="1" ht="16.5" customHeight="1">
      <c r="A70" s="608">
        <f t="shared" ref="A70:A133" si="5">A69+1</f>
        <v>66</v>
      </c>
      <c r="B70" s="62">
        <v>19</v>
      </c>
      <c r="C70" s="990" t="s">
        <v>479</v>
      </c>
      <c r="D70" s="62" t="str">
        <f>IFERROR(VLOOKUP(C70,Foundation!$C$5:$D$554,2,0),"")</f>
        <v>DA+6</v>
      </c>
      <c r="E70" s="722">
        <v>45708</v>
      </c>
      <c r="F70" s="722">
        <v>45715</v>
      </c>
      <c r="G70" s="61" t="s">
        <v>1169</v>
      </c>
      <c r="H70" s="554">
        <f t="shared" si="3"/>
        <v>43.804423999999997</v>
      </c>
      <c r="I70" s="760">
        <f t="shared" si="4"/>
        <v>4.0811880970015997</v>
      </c>
      <c r="J70" s="61" t="s">
        <v>1141</v>
      </c>
      <c r="K70" s="995" t="s">
        <v>255</v>
      </c>
      <c r="L70" s="992" t="s">
        <v>1655</v>
      </c>
    </row>
    <row r="71" spans="1:12" s="308" customFormat="1" ht="15.5">
      <c r="A71" s="608">
        <f t="shared" si="5"/>
        <v>67</v>
      </c>
      <c r="B71" s="62">
        <v>20</v>
      </c>
      <c r="C71" s="990" t="s">
        <v>402</v>
      </c>
      <c r="D71" s="62" t="str">
        <f>IFERROR(VLOOKUP(C71,Foundation!$C$5:$D$554,2,0),"")</f>
        <v>DA+3</v>
      </c>
      <c r="E71" s="722">
        <v>45712</v>
      </c>
      <c r="F71" s="722">
        <v>45716</v>
      </c>
      <c r="G71" s="61" t="s">
        <v>1197</v>
      </c>
      <c r="H71" s="554">
        <f t="shared" si="3"/>
        <v>37.931087999999995</v>
      </c>
      <c r="I71" s="760">
        <f t="shared" si="4"/>
        <v>3.5339787792191997</v>
      </c>
      <c r="J71" s="61" t="s">
        <v>1141</v>
      </c>
      <c r="K71" s="995" t="s">
        <v>255</v>
      </c>
      <c r="L71" s="992" t="s">
        <v>1655</v>
      </c>
    </row>
    <row r="72" spans="1:12" s="613" customFormat="1" ht="15.5">
      <c r="A72" s="608">
        <f t="shared" si="5"/>
        <v>68</v>
      </c>
      <c r="B72" s="608">
        <v>21</v>
      </c>
      <c r="C72" s="990" t="s">
        <v>780</v>
      </c>
      <c r="D72" s="62" t="str">
        <f>IFERROR(VLOOKUP(C72,Foundation!$C$5:$D$554,2,0),"")</f>
        <v>DA+3</v>
      </c>
      <c r="E72" s="722">
        <v>45712</v>
      </c>
      <c r="F72" s="722">
        <v>45716</v>
      </c>
      <c r="G72" s="61" t="s">
        <v>1165</v>
      </c>
      <c r="H72" s="554">
        <f t="shared" si="3"/>
        <v>37.931087999999995</v>
      </c>
      <c r="I72" s="991">
        <f t="shared" si="4"/>
        <v>3.5339787792191997</v>
      </c>
      <c r="J72" s="611" t="s">
        <v>1239</v>
      </c>
      <c r="K72" s="992" t="s">
        <v>255</v>
      </c>
      <c r="L72" s="992" t="s">
        <v>1655</v>
      </c>
    </row>
    <row r="73" spans="1:12" s="308" customFormat="1" ht="15.5">
      <c r="A73" s="608">
        <f t="shared" si="5"/>
        <v>69</v>
      </c>
      <c r="B73" s="608">
        <v>1</v>
      </c>
      <c r="C73" s="990" t="s">
        <v>572</v>
      </c>
      <c r="D73" s="608" t="str">
        <f>IFERROR(VLOOKUP(C73,Foundation!$C$5:$D$554,2,0),"")</f>
        <v>DA+3</v>
      </c>
      <c r="E73" s="722">
        <f>F62</f>
        <v>45706</v>
      </c>
      <c r="F73" s="722">
        <v>45720</v>
      </c>
      <c r="G73" s="61" t="s">
        <v>1158</v>
      </c>
      <c r="H73" s="554">
        <f t="shared" si="3"/>
        <v>37.931087999999995</v>
      </c>
      <c r="I73" s="991">
        <f t="shared" si="4"/>
        <v>3.5339787792191997</v>
      </c>
      <c r="J73" s="611" t="s">
        <v>1082</v>
      </c>
      <c r="K73" s="992" t="s">
        <v>255</v>
      </c>
      <c r="L73" s="992" t="s">
        <v>1655</v>
      </c>
    </row>
    <row r="74" spans="1:12" s="308" customFormat="1" ht="15.5">
      <c r="A74" s="608">
        <f t="shared" si="5"/>
        <v>70</v>
      </c>
      <c r="B74" s="608">
        <v>2</v>
      </c>
      <c r="C74" s="990" t="s">
        <v>405</v>
      </c>
      <c r="D74" s="608" t="str">
        <f>IFERROR(VLOOKUP(C74,Foundation!$C$5:$D$554,2,0),"")</f>
        <v>DA+0</v>
      </c>
      <c r="E74" s="722">
        <f>F71+1</f>
        <v>45717</v>
      </c>
      <c r="F74" s="722">
        <v>45720</v>
      </c>
      <c r="G74" s="61" t="s">
        <v>1197</v>
      </c>
      <c r="H74" s="554">
        <f t="shared" si="3"/>
        <v>36.159755999999994</v>
      </c>
      <c r="I74" s="991">
        <f t="shared" si="4"/>
        <v>3.3689466109103994</v>
      </c>
      <c r="J74" s="611" t="s">
        <v>1141</v>
      </c>
      <c r="K74" s="992" t="s">
        <v>255</v>
      </c>
      <c r="L74" s="992" t="s">
        <v>1655</v>
      </c>
    </row>
    <row r="75" spans="1:12" s="613" customFormat="1" ht="15.5">
      <c r="A75" s="608">
        <f t="shared" si="5"/>
        <v>71</v>
      </c>
      <c r="B75" s="608">
        <v>3</v>
      </c>
      <c r="C75" s="990" t="s">
        <v>607</v>
      </c>
      <c r="D75" s="62" t="str">
        <f>IFERROR(VLOOKUP(C75,Foundation!$C$5:$D$554,2,0),"")</f>
        <v>DA+0</v>
      </c>
      <c r="E75" s="722">
        <f>F72+1</f>
        <v>45717</v>
      </c>
      <c r="F75" s="722">
        <v>45722</v>
      </c>
      <c r="G75" s="61" t="s">
        <v>1165</v>
      </c>
      <c r="H75" s="554">
        <f t="shared" si="3"/>
        <v>36.159755999999994</v>
      </c>
      <c r="I75" s="991">
        <f t="shared" si="4"/>
        <v>3.3689466109103994</v>
      </c>
      <c r="J75" s="611" t="s">
        <v>1239</v>
      </c>
      <c r="K75" s="992" t="s">
        <v>255</v>
      </c>
      <c r="L75" s="992" t="s">
        <v>1655</v>
      </c>
    </row>
    <row r="76" spans="1:12" s="613" customFormat="1" ht="15.5">
      <c r="A76" s="608">
        <f t="shared" si="5"/>
        <v>72</v>
      </c>
      <c r="B76" s="608">
        <v>4</v>
      </c>
      <c r="C76" s="990" t="s">
        <v>779</v>
      </c>
      <c r="D76" s="62" t="str">
        <f>IFERROR(VLOOKUP(C76,Foundation!$C$5:$D$554,2,0),"")</f>
        <v>DA+9</v>
      </c>
      <c r="E76" s="722">
        <f>F69</f>
        <v>45713</v>
      </c>
      <c r="F76" s="722">
        <v>45722</v>
      </c>
      <c r="G76" s="61" t="s">
        <v>1170</v>
      </c>
      <c r="H76" s="554">
        <f t="shared" si="3"/>
        <v>45.697022000000004</v>
      </c>
      <c r="I76" s="991">
        <f t="shared" si="4"/>
        <v>4.2575184245048003</v>
      </c>
      <c r="J76" s="611" t="s">
        <v>1171</v>
      </c>
      <c r="K76" s="992" t="s">
        <v>255</v>
      </c>
      <c r="L76" s="992" t="s">
        <v>1655</v>
      </c>
    </row>
    <row r="77" spans="1:12" s="613" customFormat="1" ht="15.5">
      <c r="A77" s="608">
        <f t="shared" si="5"/>
        <v>73</v>
      </c>
      <c r="B77" s="608">
        <v>5</v>
      </c>
      <c r="C77" s="990" t="s">
        <v>781</v>
      </c>
      <c r="D77" s="62" t="str">
        <f>IFERROR(VLOOKUP(C77,Foundation!$C$5:$D$554,2,0),"")</f>
        <v>DA+3</v>
      </c>
      <c r="E77" s="722">
        <f>F66+1</f>
        <v>45712</v>
      </c>
      <c r="F77" s="722">
        <v>45724</v>
      </c>
      <c r="G77" s="61" t="s">
        <v>1159</v>
      </c>
      <c r="H77" s="554">
        <f t="shared" si="3"/>
        <v>37.931087999999995</v>
      </c>
      <c r="I77" s="991">
        <f t="shared" si="4"/>
        <v>3.5339787792191997</v>
      </c>
      <c r="J77" s="611" t="s">
        <v>1239</v>
      </c>
      <c r="K77" s="992" t="s">
        <v>255</v>
      </c>
      <c r="L77" s="992" t="s">
        <v>1655</v>
      </c>
    </row>
    <row r="78" spans="1:12" s="308" customFormat="1" ht="15.5">
      <c r="A78" s="608">
        <f t="shared" si="5"/>
        <v>74</v>
      </c>
      <c r="B78" s="608">
        <v>6</v>
      </c>
      <c r="C78" s="990" t="s">
        <v>368</v>
      </c>
      <c r="D78" s="608" t="str">
        <f>IFERROR(VLOOKUP(C78,Foundation!$C$5:$D$554,2,0),"")</f>
        <v>DA+6</v>
      </c>
      <c r="E78" s="722">
        <f>F74+1</f>
        <v>45721</v>
      </c>
      <c r="F78" s="722">
        <v>45725</v>
      </c>
      <c r="G78" s="61" t="s">
        <v>1197</v>
      </c>
      <c r="H78" s="554">
        <f t="shared" si="3"/>
        <v>43.804423999999997</v>
      </c>
      <c r="I78" s="991">
        <f t="shared" si="4"/>
        <v>4.0811880970015997</v>
      </c>
      <c r="J78" s="611" t="s">
        <v>1185</v>
      </c>
      <c r="K78" s="992" t="s">
        <v>255</v>
      </c>
      <c r="L78" s="992" t="s">
        <v>1655</v>
      </c>
    </row>
    <row r="79" spans="1:12" s="613" customFormat="1" ht="15.5">
      <c r="A79" s="608">
        <f t="shared" si="5"/>
        <v>75</v>
      </c>
      <c r="B79" s="608">
        <v>7</v>
      </c>
      <c r="C79" s="990" t="s">
        <v>775</v>
      </c>
      <c r="D79" s="62" t="str">
        <f>IFERROR(VLOOKUP(C79,Foundation!$C$5:$D$554,2,0),"")</f>
        <v>DB1+0</v>
      </c>
      <c r="E79" s="722">
        <f>F70+1</f>
        <v>45716</v>
      </c>
      <c r="F79" s="722">
        <v>45727</v>
      </c>
      <c r="G79" s="61" t="s">
        <v>1169</v>
      </c>
      <c r="H79" s="554">
        <f t="shared" si="3"/>
        <v>55.450851000000007</v>
      </c>
      <c r="I79" s="991">
        <f t="shared" si="4"/>
        <v>5.1662670663084009</v>
      </c>
      <c r="J79" s="611" t="s">
        <v>1082</v>
      </c>
      <c r="K79" s="992" t="s">
        <v>255</v>
      </c>
      <c r="L79" s="992" t="s">
        <v>1655</v>
      </c>
    </row>
    <row r="80" spans="1:12" s="613" customFormat="1" ht="15.5">
      <c r="A80" s="608">
        <f t="shared" si="5"/>
        <v>76</v>
      </c>
      <c r="B80" s="608">
        <v>8</v>
      </c>
      <c r="C80" s="990" t="s">
        <v>608</v>
      </c>
      <c r="D80" s="62" t="str">
        <f>IFERROR(VLOOKUP(C80,Foundation!$C$5:$D$554,2,0),"")</f>
        <v>DA+0</v>
      </c>
      <c r="E80" s="722">
        <f>F75+1</f>
        <v>45723</v>
      </c>
      <c r="F80" s="722">
        <v>45727</v>
      </c>
      <c r="G80" s="61" t="s">
        <v>1165</v>
      </c>
      <c r="H80" s="554">
        <f t="shared" si="3"/>
        <v>36.159755999999994</v>
      </c>
      <c r="I80" s="991">
        <f t="shared" si="4"/>
        <v>3.3689466109103994</v>
      </c>
      <c r="J80" s="611" t="s">
        <v>1015</v>
      </c>
      <c r="K80" s="992" t="s">
        <v>255</v>
      </c>
      <c r="L80" s="992" t="s">
        <v>1655</v>
      </c>
    </row>
    <row r="81" spans="1:12" s="613" customFormat="1" ht="15.5">
      <c r="A81" s="608">
        <f t="shared" si="5"/>
        <v>77</v>
      </c>
      <c r="B81" s="608">
        <v>9</v>
      </c>
      <c r="C81" s="990" t="s">
        <v>624</v>
      </c>
      <c r="D81" s="62" t="str">
        <f>IFERROR(VLOOKUP(C81,Foundation!$C$5:$D$554,2,0),"")</f>
        <v>DA+3</v>
      </c>
      <c r="E81" s="722">
        <f>F76+1</f>
        <v>45723</v>
      </c>
      <c r="F81" s="722">
        <v>45729</v>
      </c>
      <c r="G81" s="61" t="s">
        <v>1170</v>
      </c>
      <c r="H81" s="554">
        <f t="shared" si="3"/>
        <v>37.931087999999995</v>
      </c>
      <c r="I81" s="991">
        <f t="shared" si="4"/>
        <v>3.5339787792191997</v>
      </c>
      <c r="J81" s="611" t="s">
        <v>1171</v>
      </c>
      <c r="K81" s="992" t="s">
        <v>255</v>
      </c>
      <c r="L81" s="992" t="s">
        <v>1655</v>
      </c>
    </row>
    <row r="82" spans="1:12" s="308" customFormat="1" ht="15.5">
      <c r="A82" s="608">
        <f t="shared" si="5"/>
        <v>78</v>
      </c>
      <c r="B82" s="608">
        <v>10</v>
      </c>
      <c r="C82" s="990" t="s">
        <v>404</v>
      </c>
      <c r="D82" s="608" t="str">
        <f>IFERROR(VLOOKUP(C82,Foundation!$C$5:$D$554,2,0),"")</f>
        <v>DA+3</v>
      </c>
      <c r="E82" s="722">
        <f>F78+1</f>
        <v>45726</v>
      </c>
      <c r="F82" s="722">
        <v>45729</v>
      </c>
      <c r="G82" s="61" t="s">
        <v>1197</v>
      </c>
      <c r="H82" s="554">
        <f t="shared" si="3"/>
        <v>37.931087999999995</v>
      </c>
      <c r="I82" s="991">
        <f t="shared" si="4"/>
        <v>3.5339787792191997</v>
      </c>
      <c r="J82" s="611" t="s">
        <v>1185</v>
      </c>
      <c r="K82" s="992" t="s">
        <v>255</v>
      </c>
      <c r="L82" s="992" t="s">
        <v>1655</v>
      </c>
    </row>
    <row r="83" spans="1:12" s="308" customFormat="1" ht="15.5">
      <c r="A83" s="608">
        <f t="shared" si="5"/>
        <v>79</v>
      </c>
      <c r="B83" s="608">
        <v>11</v>
      </c>
      <c r="C83" s="990" t="s">
        <v>413</v>
      </c>
      <c r="D83" s="608" t="str">
        <f>IFERROR(VLOOKUP(C83,Foundation!$C$5:$D$554,2,0),"")</f>
        <v>DA+3</v>
      </c>
      <c r="E83" s="722">
        <f>F82+1</f>
        <v>45730</v>
      </c>
      <c r="F83" s="722">
        <v>45734</v>
      </c>
      <c r="G83" s="61" t="s">
        <v>1197</v>
      </c>
      <c r="H83" s="554">
        <f t="shared" si="3"/>
        <v>37.931087999999995</v>
      </c>
      <c r="I83" s="991">
        <f t="shared" si="4"/>
        <v>3.5339787792191997</v>
      </c>
      <c r="J83" s="611" t="s">
        <v>1185</v>
      </c>
      <c r="K83" s="992" t="s">
        <v>255</v>
      </c>
      <c r="L83" s="992" t="s">
        <v>1655</v>
      </c>
    </row>
    <row r="84" spans="1:12" s="613" customFormat="1" ht="15.5">
      <c r="A84" s="608">
        <f t="shared" si="5"/>
        <v>80</v>
      </c>
      <c r="B84" s="608">
        <v>12</v>
      </c>
      <c r="C84" s="990" t="s">
        <v>613</v>
      </c>
      <c r="D84" s="62" t="str">
        <f>IFERROR(VLOOKUP(C84,Foundation!$C$5:$D$554,2,0),"")</f>
        <v>DA+9</v>
      </c>
      <c r="E84" s="722">
        <f>F80+1</f>
        <v>45728</v>
      </c>
      <c r="F84" s="722">
        <v>45734</v>
      </c>
      <c r="G84" s="61" t="s">
        <v>1165</v>
      </c>
      <c r="H84" s="554">
        <f t="shared" si="3"/>
        <v>45.697022000000004</v>
      </c>
      <c r="I84" s="991">
        <f t="shared" si="4"/>
        <v>4.2575184245048003</v>
      </c>
      <c r="J84" s="611" t="s">
        <v>1015</v>
      </c>
      <c r="K84" s="992" t="s">
        <v>255</v>
      </c>
      <c r="L84" s="992" t="s">
        <v>1655</v>
      </c>
    </row>
    <row r="85" spans="1:12" s="613" customFormat="1" ht="15.5">
      <c r="A85" s="608">
        <f t="shared" si="5"/>
        <v>81</v>
      </c>
      <c r="B85" s="608">
        <v>13</v>
      </c>
      <c r="C85" s="990" t="s">
        <v>619</v>
      </c>
      <c r="D85" s="62" t="str">
        <f>IFERROR(VLOOKUP(C85,Foundation!$C$5:$D$554,2,0),"")</f>
        <v>DA+3</v>
      </c>
      <c r="E85" s="722">
        <f>F79+1</f>
        <v>45728</v>
      </c>
      <c r="F85" s="722">
        <v>45735</v>
      </c>
      <c r="G85" s="61" t="s">
        <v>1169</v>
      </c>
      <c r="H85" s="554">
        <f t="shared" si="3"/>
        <v>37.931087999999995</v>
      </c>
      <c r="I85" s="991">
        <f t="shared" si="4"/>
        <v>3.5339787792191997</v>
      </c>
      <c r="J85" s="611" t="s">
        <v>1082</v>
      </c>
      <c r="K85" s="992" t="s">
        <v>255</v>
      </c>
      <c r="L85" s="992" t="s">
        <v>1655</v>
      </c>
    </row>
    <row r="86" spans="1:12" s="613" customFormat="1" ht="15.5">
      <c r="A86" s="608">
        <f t="shared" si="5"/>
        <v>82</v>
      </c>
      <c r="B86" s="608">
        <v>14</v>
      </c>
      <c r="C86" s="990" t="s">
        <v>622</v>
      </c>
      <c r="D86" s="62" t="str">
        <f>IFERROR(VLOOKUP(C86,Foundation!$C$5:$D$554,2,0),"")</f>
        <v>DA+1.5</v>
      </c>
      <c r="E86" s="722">
        <f>F81+1</f>
        <v>45730</v>
      </c>
      <c r="F86" s="722">
        <v>45736</v>
      </c>
      <c r="G86" s="61" t="s">
        <v>1170</v>
      </c>
      <c r="H86" s="554">
        <f t="shared" si="3"/>
        <v>37.138323999999997</v>
      </c>
      <c r="I86" s="991">
        <f t="shared" si="4"/>
        <v>3.4601182257615997</v>
      </c>
      <c r="J86" s="611" t="s">
        <v>1171</v>
      </c>
      <c r="K86" s="992" t="s">
        <v>255</v>
      </c>
      <c r="L86" s="992" t="s">
        <v>1655</v>
      </c>
    </row>
    <row r="87" spans="1:12" s="613" customFormat="1" ht="15.5">
      <c r="A87" s="608">
        <f t="shared" si="5"/>
        <v>83</v>
      </c>
      <c r="B87" s="608">
        <v>15</v>
      </c>
      <c r="C87" s="990" t="s">
        <v>73</v>
      </c>
      <c r="D87" s="62" t="str">
        <f>IFERROR(VLOOKUP(C87,Foundation!$C$5:$D$554,2,0),"")</f>
        <v>DB2+0</v>
      </c>
      <c r="E87" s="722">
        <f>F77+1</f>
        <v>45725</v>
      </c>
      <c r="F87" s="722">
        <v>45737</v>
      </c>
      <c r="G87" s="61" t="s">
        <v>1159</v>
      </c>
      <c r="H87" s="554">
        <f t="shared" si="3"/>
        <v>59.500627999999999</v>
      </c>
      <c r="I87" s="991">
        <f t="shared" si="4"/>
        <v>5.5435783097551994</v>
      </c>
      <c r="J87" s="611" t="s">
        <v>1141</v>
      </c>
      <c r="K87" s="992" t="s">
        <v>255</v>
      </c>
      <c r="L87" s="992" t="s">
        <v>1655</v>
      </c>
    </row>
    <row r="88" spans="1:12" s="308" customFormat="1" ht="15.5">
      <c r="A88" s="608">
        <f t="shared" si="5"/>
        <v>84</v>
      </c>
      <c r="B88" s="608">
        <v>16</v>
      </c>
      <c r="C88" s="990" t="s">
        <v>414</v>
      </c>
      <c r="D88" s="608" t="str">
        <f>IFERROR(VLOOKUP(C88,Foundation!$C$5:$D$554,2,0),"")</f>
        <v>DA+3</v>
      </c>
      <c r="E88" s="722">
        <f>F83+1</f>
        <v>45735</v>
      </c>
      <c r="F88" s="722">
        <v>45738</v>
      </c>
      <c r="G88" s="61" t="s">
        <v>1197</v>
      </c>
      <c r="H88" s="554">
        <f t="shared" si="3"/>
        <v>37.931087999999995</v>
      </c>
      <c r="I88" s="991">
        <f t="shared" si="4"/>
        <v>3.5339787792191997</v>
      </c>
      <c r="J88" s="611" t="s">
        <v>1185</v>
      </c>
      <c r="K88" s="992" t="s">
        <v>255</v>
      </c>
      <c r="L88" s="992" t="s">
        <v>1655</v>
      </c>
    </row>
    <row r="89" spans="1:12" s="613" customFormat="1" ht="15.5">
      <c r="A89" s="608">
        <f t="shared" si="5"/>
        <v>85</v>
      </c>
      <c r="B89" s="608">
        <v>17</v>
      </c>
      <c r="C89" s="990" t="s">
        <v>614</v>
      </c>
      <c r="D89" s="62" t="str">
        <f>IFERROR(VLOOKUP(C89,Foundation!$C$5:$D$554,2,0),"")</f>
        <v>DA+1.5</v>
      </c>
      <c r="E89" s="722">
        <f>F84+1</f>
        <v>45735</v>
      </c>
      <c r="F89" s="722">
        <v>45740</v>
      </c>
      <c r="G89" s="61" t="s">
        <v>1165</v>
      </c>
      <c r="H89" s="554">
        <f t="shared" si="3"/>
        <v>37.138323999999997</v>
      </c>
      <c r="I89" s="991">
        <f t="shared" si="4"/>
        <v>3.4601182257615997</v>
      </c>
      <c r="J89" s="611" t="s">
        <v>1015</v>
      </c>
      <c r="K89" s="992" t="s">
        <v>255</v>
      </c>
      <c r="L89" s="992" t="s">
        <v>1655</v>
      </c>
    </row>
    <row r="90" spans="1:12" s="613" customFormat="1" ht="15.5">
      <c r="A90" s="608">
        <f t="shared" si="5"/>
        <v>86</v>
      </c>
      <c r="B90" s="608">
        <v>18</v>
      </c>
      <c r="C90" s="990" t="s">
        <v>620</v>
      </c>
      <c r="D90" s="62" t="str">
        <f>IFERROR(VLOOKUP(C90,Foundation!$C$5:$D$554,2,0),"")</f>
        <v>DA+1.5</v>
      </c>
      <c r="E90" s="722">
        <v>45736</v>
      </c>
      <c r="F90" s="722">
        <v>45741</v>
      </c>
      <c r="G90" s="61" t="s">
        <v>1169</v>
      </c>
      <c r="H90" s="554">
        <f t="shared" si="3"/>
        <v>37.138323999999997</v>
      </c>
      <c r="I90" s="991">
        <f t="shared" si="4"/>
        <v>3.4601182257615997</v>
      </c>
      <c r="J90" s="611" t="s">
        <v>1082</v>
      </c>
      <c r="K90" s="992" t="s">
        <v>255</v>
      </c>
      <c r="L90" s="992" t="s">
        <v>1655</v>
      </c>
    </row>
    <row r="91" spans="1:12" s="613" customFormat="1" ht="15.5">
      <c r="A91" s="608">
        <f t="shared" si="5"/>
        <v>87</v>
      </c>
      <c r="B91" s="608">
        <v>19</v>
      </c>
      <c r="C91" s="990" t="s">
        <v>621</v>
      </c>
      <c r="D91" s="62" t="str">
        <f>IFERROR(VLOOKUP(C91,Foundation!$C$5:$D$554,2,0),"")</f>
        <v>DA+3</v>
      </c>
      <c r="E91" s="722">
        <v>45737</v>
      </c>
      <c r="F91" s="722">
        <v>45743</v>
      </c>
      <c r="G91" s="61" t="s">
        <v>1170</v>
      </c>
      <c r="H91" s="554">
        <f t="shared" si="3"/>
        <v>37.931087999999995</v>
      </c>
      <c r="I91" s="991">
        <f t="shared" si="4"/>
        <v>3.5339787792191997</v>
      </c>
      <c r="J91" s="611" t="s">
        <v>1171</v>
      </c>
      <c r="K91" s="992" t="s">
        <v>255</v>
      </c>
      <c r="L91" s="992" t="s">
        <v>1655</v>
      </c>
    </row>
    <row r="92" spans="1:12" s="308" customFormat="1" ht="15.5">
      <c r="A92" s="608">
        <f t="shared" si="5"/>
        <v>88</v>
      </c>
      <c r="B92" s="608">
        <v>20</v>
      </c>
      <c r="C92" s="990" t="s">
        <v>415</v>
      </c>
      <c r="D92" s="608" t="str">
        <f>IFERROR(VLOOKUP(C92,Foundation!$C$5:$D$554,2,0),"")</f>
        <v>DA+6</v>
      </c>
      <c r="E92" s="722">
        <v>45739</v>
      </c>
      <c r="F92" s="722">
        <v>45743</v>
      </c>
      <c r="G92" s="61" t="s">
        <v>1197</v>
      </c>
      <c r="H92" s="554">
        <f t="shared" si="3"/>
        <v>43.804423999999997</v>
      </c>
      <c r="I92" s="991">
        <f t="shared" si="4"/>
        <v>4.0811880970015997</v>
      </c>
      <c r="J92" s="611" t="s">
        <v>1185</v>
      </c>
      <c r="K92" s="992" t="s">
        <v>255</v>
      </c>
      <c r="L92" s="992" t="s">
        <v>1655</v>
      </c>
    </row>
    <row r="93" spans="1:12" s="613" customFormat="1" ht="15.5">
      <c r="A93" s="608">
        <f t="shared" si="5"/>
        <v>89</v>
      </c>
      <c r="B93" s="608">
        <v>21</v>
      </c>
      <c r="C93" s="990" t="s">
        <v>618</v>
      </c>
      <c r="D93" s="62" t="str">
        <f>IFERROR(VLOOKUP(C93,Foundation!$C$5:$D$554,2,0),"")</f>
        <v>DA-1.5</v>
      </c>
      <c r="E93" s="722">
        <v>45738</v>
      </c>
      <c r="F93" s="722">
        <v>45745</v>
      </c>
      <c r="G93" s="61" t="s">
        <v>1159</v>
      </c>
      <c r="H93" s="554">
        <f t="shared" si="3"/>
        <v>35.601761999999994</v>
      </c>
      <c r="I93" s="991">
        <f t="shared" si="4"/>
        <v>3.3169592027207995</v>
      </c>
      <c r="J93" s="611" t="s">
        <v>1141</v>
      </c>
      <c r="K93" s="992" t="s">
        <v>255</v>
      </c>
      <c r="L93" s="992" t="s">
        <v>1655</v>
      </c>
    </row>
    <row r="94" spans="1:12" s="613" customFormat="1" ht="15.5">
      <c r="A94" s="608">
        <f t="shared" si="5"/>
        <v>90</v>
      </c>
      <c r="B94" s="608">
        <v>22</v>
      </c>
      <c r="C94" s="990" t="s">
        <v>626</v>
      </c>
      <c r="D94" s="62" t="str">
        <f>IFERROR(VLOOKUP(C94,Foundation!$C$5:$D$554,2,0),"")</f>
        <v>DA+6</v>
      </c>
      <c r="E94" s="722">
        <v>45741</v>
      </c>
      <c r="F94" s="722">
        <v>45746</v>
      </c>
      <c r="G94" s="61" t="s">
        <v>1165</v>
      </c>
      <c r="H94" s="554">
        <f t="shared" si="3"/>
        <v>43.804423999999997</v>
      </c>
      <c r="I94" s="991">
        <f t="shared" si="4"/>
        <v>4.0811880970015997</v>
      </c>
      <c r="J94" s="611" t="s">
        <v>1015</v>
      </c>
      <c r="K94" s="992" t="s">
        <v>255</v>
      </c>
      <c r="L94" s="992" t="s">
        <v>1655</v>
      </c>
    </row>
    <row r="95" spans="1:12" s="613" customFormat="1" ht="15.5">
      <c r="A95" s="608">
        <f t="shared" si="5"/>
        <v>91</v>
      </c>
      <c r="B95" s="608">
        <v>23</v>
      </c>
      <c r="C95" s="990" t="s">
        <v>207</v>
      </c>
      <c r="D95" s="608" t="str">
        <f>IFERROR(VLOOKUP(C95,Foundation!$C$5:$D$554,2,0),"")</f>
        <v>DA+6</v>
      </c>
      <c r="E95" s="722">
        <v>45742</v>
      </c>
      <c r="F95" s="722">
        <v>45747</v>
      </c>
      <c r="G95" s="61" t="s">
        <v>1169</v>
      </c>
      <c r="H95" s="554">
        <f t="shared" si="3"/>
        <v>43.804423999999997</v>
      </c>
      <c r="I95" s="991">
        <f t="shared" si="4"/>
        <v>4.0811880970015997</v>
      </c>
      <c r="J95" s="611" t="s">
        <v>1082</v>
      </c>
      <c r="K95" s="992" t="s">
        <v>255</v>
      </c>
      <c r="L95" s="992" t="s">
        <v>1655</v>
      </c>
    </row>
    <row r="96" spans="1:12" s="613" customFormat="1" ht="15.5">
      <c r="A96" s="608">
        <f t="shared" si="5"/>
        <v>92</v>
      </c>
      <c r="B96" s="608">
        <v>24</v>
      </c>
      <c r="C96" s="990" t="s">
        <v>416</v>
      </c>
      <c r="D96" s="608" t="str">
        <f>IFERROR(VLOOKUP(C96,Foundation!$C$5:$D$554,2,0),"")</f>
        <v>DA+3</v>
      </c>
      <c r="E96" s="722">
        <v>45742</v>
      </c>
      <c r="F96" s="722">
        <v>45747</v>
      </c>
      <c r="G96" s="61" t="s">
        <v>1197</v>
      </c>
      <c r="H96" s="554">
        <f t="shared" si="3"/>
        <v>37.931087999999995</v>
      </c>
      <c r="I96" s="991">
        <f t="shared" si="4"/>
        <v>3.5339787792191997</v>
      </c>
      <c r="J96" s="611" t="s">
        <v>1185</v>
      </c>
      <c r="K96" s="992" t="s">
        <v>255</v>
      </c>
      <c r="L96" s="992" t="s">
        <v>1655</v>
      </c>
    </row>
    <row r="97" spans="1:12" s="613" customFormat="1" ht="15.5">
      <c r="A97" s="608">
        <f t="shared" si="5"/>
        <v>93</v>
      </c>
      <c r="B97" s="608">
        <v>25</v>
      </c>
      <c r="C97" s="990" t="s">
        <v>625</v>
      </c>
      <c r="D97" s="62" t="str">
        <f>IFERROR(VLOOKUP(C97,Foundation!$C$5:$D$554,2,0),"")</f>
        <v>DA+1.5</v>
      </c>
      <c r="E97" s="722">
        <v>45377</v>
      </c>
      <c r="F97" s="722">
        <v>45747</v>
      </c>
      <c r="G97" s="61" t="s">
        <v>1170</v>
      </c>
      <c r="H97" s="554">
        <f t="shared" si="3"/>
        <v>37.138323999999997</v>
      </c>
      <c r="I97" s="991">
        <f t="shared" si="4"/>
        <v>3.4601182257615997</v>
      </c>
      <c r="J97" s="611" t="s">
        <v>1171</v>
      </c>
      <c r="K97" s="992" t="s">
        <v>255</v>
      </c>
      <c r="L97" s="992" t="s">
        <v>1655</v>
      </c>
    </row>
    <row r="98" spans="1:12" s="613" customFormat="1" ht="15.5">
      <c r="A98" s="608">
        <f t="shared" si="5"/>
        <v>94</v>
      </c>
      <c r="B98" s="608">
        <v>1</v>
      </c>
      <c r="C98" s="990" t="s">
        <v>627</v>
      </c>
      <c r="D98" s="62" t="str">
        <f>IFERROR(VLOOKUP(C98,Foundation!$C$5:$D$554,2,0),"")</f>
        <v>DA+3</v>
      </c>
      <c r="E98" s="722">
        <v>45747</v>
      </c>
      <c r="F98" s="722">
        <v>45752</v>
      </c>
      <c r="G98" s="61" t="s">
        <v>1170</v>
      </c>
      <c r="H98" s="554">
        <f t="shared" si="3"/>
        <v>37.931087999999995</v>
      </c>
      <c r="I98" s="991">
        <f t="shared" si="4"/>
        <v>3.5339787792191997</v>
      </c>
      <c r="J98" s="611" t="s">
        <v>1171</v>
      </c>
      <c r="K98" s="992" t="s">
        <v>255</v>
      </c>
      <c r="L98" s="992" t="s">
        <v>1655</v>
      </c>
    </row>
    <row r="99" spans="1:12" s="613" customFormat="1" ht="15.5">
      <c r="A99" s="608">
        <f t="shared" si="5"/>
        <v>95</v>
      </c>
      <c r="B99" s="608">
        <v>2</v>
      </c>
      <c r="C99" s="990" t="s">
        <v>417</v>
      </c>
      <c r="D99" s="608" t="str">
        <f>IFERROR(VLOOKUP(C99,Foundation!$C$5:$D$554,2,0),"")</f>
        <v>DA+9</v>
      </c>
      <c r="E99" s="722">
        <v>45747</v>
      </c>
      <c r="F99" s="722">
        <v>45753</v>
      </c>
      <c r="G99" s="61" t="s">
        <v>1197</v>
      </c>
      <c r="H99" s="554">
        <f t="shared" ref="H99:H162" si="6">VLOOKUP(D99,$D$316:$I$345,6,0)</f>
        <v>45.697022000000004</v>
      </c>
      <c r="I99" s="991">
        <f t="shared" si="4"/>
        <v>4.2575184245048003</v>
      </c>
      <c r="J99" s="611" t="s">
        <v>1185</v>
      </c>
      <c r="K99" s="992" t="s">
        <v>255</v>
      </c>
      <c r="L99" s="992" t="s">
        <v>1655</v>
      </c>
    </row>
    <row r="100" spans="1:12" s="613" customFormat="1" ht="15.5">
      <c r="A100" s="608">
        <f t="shared" si="5"/>
        <v>96</v>
      </c>
      <c r="B100" s="608">
        <v>3</v>
      </c>
      <c r="C100" s="990" t="s">
        <v>628</v>
      </c>
      <c r="D100" s="62" t="str">
        <f>IFERROR(VLOOKUP(C100,Foundation!$C$5:$D$554,2,0),"")</f>
        <v>DA+6</v>
      </c>
      <c r="E100" s="722">
        <v>45746</v>
      </c>
      <c r="F100" s="722">
        <v>45756</v>
      </c>
      <c r="G100" s="61" t="s">
        <v>1165</v>
      </c>
      <c r="H100" s="554">
        <f t="shared" si="6"/>
        <v>43.804423999999997</v>
      </c>
      <c r="I100" s="991">
        <f t="shared" si="4"/>
        <v>4.0811880970015997</v>
      </c>
      <c r="J100" s="611" t="s">
        <v>1015</v>
      </c>
      <c r="K100" s="992" t="s">
        <v>255</v>
      </c>
      <c r="L100" s="992" t="s">
        <v>1655</v>
      </c>
    </row>
    <row r="101" spans="1:12" s="613" customFormat="1" ht="15.5">
      <c r="A101" s="608">
        <f t="shared" si="5"/>
        <v>97</v>
      </c>
      <c r="B101" s="608">
        <v>4</v>
      </c>
      <c r="C101" s="990" t="s">
        <v>5</v>
      </c>
      <c r="D101" s="608" t="str">
        <f>IFERROR(VLOOKUP(C101,Foundation!$C$5:$D$554,2,0),"")</f>
        <v>DA+3</v>
      </c>
      <c r="E101" s="722">
        <v>45747</v>
      </c>
      <c r="F101" s="722">
        <v>45756</v>
      </c>
      <c r="G101" s="61" t="s">
        <v>1169</v>
      </c>
      <c r="H101" s="554">
        <f t="shared" si="6"/>
        <v>37.931087999999995</v>
      </c>
      <c r="I101" s="991">
        <f t="shared" si="4"/>
        <v>3.5339787792191997</v>
      </c>
      <c r="J101" s="611" t="s">
        <v>1082</v>
      </c>
      <c r="K101" s="992" t="s">
        <v>255</v>
      </c>
      <c r="L101" s="992" t="s">
        <v>1655</v>
      </c>
    </row>
    <row r="102" spans="1:12" s="613" customFormat="1" ht="15.5">
      <c r="A102" s="608">
        <f t="shared" si="5"/>
        <v>98</v>
      </c>
      <c r="B102" s="608">
        <v>5</v>
      </c>
      <c r="C102" s="990" t="s">
        <v>72</v>
      </c>
      <c r="D102" s="62" t="str">
        <f>IFERROR(VLOOKUP(C102,Foundation!$C$5:$D$554,2,0),"")</f>
        <v>DB1+3</v>
      </c>
      <c r="E102" s="722">
        <v>45745</v>
      </c>
      <c r="F102" s="722">
        <v>45758</v>
      </c>
      <c r="G102" s="61" t="s">
        <v>1159</v>
      </c>
      <c r="H102" s="554">
        <f t="shared" si="6"/>
        <v>57.963171000000003</v>
      </c>
      <c r="I102" s="991">
        <f t="shared" si="4"/>
        <v>5.4003359009964012</v>
      </c>
      <c r="J102" s="611" t="s">
        <v>660</v>
      </c>
      <c r="K102" s="992" t="s">
        <v>255</v>
      </c>
      <c r="L102" s="992" t="s">
        <v>1655</v>
      </c>
    </row>
    <row r="103" spans="1:12" s="613" customFormat="1" ht="15.5">
      <c r="A103" s="608">
        <f t="shared" si="5"/>
        <v>99</v>
      </c>
      <c r="B103" s="608">
        <v>6</v>
      </c>
      <c r="C103" s="990" t="s">
        <v>630</v>
      </c>
      <c r="D103" s="608" t="str">
        <f>IFERROR(VLOOKUP(C103,Foundation!$C$5:$D$554,2,0),"")</f>
        <v>DA+9</v>
      </c>
      <c r="E103" s="722">
        <v>45752</v>
      </c>
      <c r="F103" s="722">
        <v>45761</v>
      </c>
      <c r="G103" s="61" t="s">
        <v>1170</v>
      </c>
      <c r="H103" s="554">
        <f t="shared" si="6"/>
        <v>45.697022000000004</v>
      </c>
      <c r="I103" s="991">
        <f t="shared" si="4"/>
        <v>4.2575184245048003</v>
      </c>
      <c r="J103" s="611" t="s">
        <v>1171</v>
      </c>
      <c r="K103" s="992" t="s">
        <v>255</v>
      </c>
      <c r="L103" s="992" t="s">
        <v>1655</v>
      </c>
    </row>
    <row r="104" spans="1:12" s="613" customFormat="1" ht="15.5">
      <c r="A104" s="608">
        <f t="shared" si="5"/>
        <v>100</v>
      </c>
      <c r="B104" s="608">
        <v>7</v>
      </c>
      <c r="C104" s="990" t="s">
        <v>6</v>
      </c>
      <c r="D104" s="608" t="str">
        <f>IFERROR(VLOOKUP(C104,Foundation!$C$5:$D$554,2,0),"")</f>
        <v>DA+6</v>
      </c>
      <c r="E104" s="722">
        <v>45756</v>
      </c>
      <c r="F104" s="722">
        <v>45765</v>
      </c>
      <c r="G104" s="61" t="s">
        <v>1169</v>
      </c>
      <c r="H104" s="554">
        <f t="shared" si="6"/>
        <v>43.804423999999997</v>
      </c>
      <c r="I104" s="991">
        <f t="shared" si="4"/>
        <v>4.0811880970015997</v>
      </c>
      <c r="J104" s="611" t="s">
        <v>1141</v>
      </c>
      <c r="K104" s="992" t="s">
        <v>255</v>
      </c>
      <c r="L104" s="992" t="s">
        <v>1655</v>
      </c>
    </row>
    <row r="105" spans="1:12" s="613" customFormat="1" ht="15.5">
      <c r="A105" s="608">
        <f t="shared" si="5"/>
        <v>101</v>
      </c>
      <c r="B105" s="608">
        <v>8</v>
      </c>
      <c r="C105" s="990" t="s">
        <v>623</v>
      </c>
      <c r="D105" s="62" t="str">
        <f>IFERROR(VLOOKUP(C105,Foundation!$C$5:$D$554,2,0),"")</f>
        <v>DA+1.5</v>
      </c>
      <c r="E105" s="722">
        <v>45756</v>
      </c>
      <c r="F105" s="722">
        <v>45765</v>
      </c>
      <c r="G105" s="61" t="s">
        <v>1165</v>
      </c>
      <c r="H105" s="554">
        <f t="shared" si="6"/>
        <v>37.138323999999997</v>
      </c>
      <c r="I105" s="991">
        <f t="shared" si="4"/>
        <v>3.4601182257615997</v>
      </c>
      <c r="J105" s="611" t="s">
        <v>1171</v>
      </c>
      <c r="K105" s="992" t="s">
        <v>255</v>
      </c>
      <c r="L105" s="992" t="s">
        <v>1655</v>
      </c>
    </row>
    <row r="106" spans="1:12" s="613" customFormat="1" ht="15.5">
      <c r="A106" s="608">
        <f t="shared" si="5"/>
        <v>102</v>
      </c>
      <c r="B106" s="608">
        <v>9</v>
      </c>
      <c r="C106" s="990" t="s">
        <v>631</v>
      </c>
      <c r="D106" s="608" t="str">
        <f>IFERROR(VLOOKUP(C106,Foundation!$C$5:$D$554,2,0),"")</f>
        <v>DA+9</v>
      </c>
      <c r="E106" s="722">
        <v>45761</v>
      </c>
      <c r="F106" s="722">
        <v>45769</v>
      </c>
      <c r="G106" s="61" t="s">
        <v>1170</v>
      </c>
      <c r="H106" s="554">
        <f t="shared" si="6"/>
        <v>45.697022000000004</v>
      </c>
      <c r="I106" s="991">
        <f t="shared" si="4"/>
        <v>4.2575184245048003</v>
      </c>
      <c r="J106" s="611" t="s">
        <v>1171</v>
      </c>
      <c r="K106" s="992" t="s">
        <v>255</v>
      </c>
      <c r="L106" s="992" t="s">
        <v>1655</v>
      </c>
    </row>
    <row r="107" spans="1:12" s="613" customFormat="1" ht="15.5">
      <c r="A107" s="608">
        <f t="shared" si="5"/>
        <v>103</v>
      </c>
      <c r="B107" s="608">
        <v>10</v>
      </c>
      <c r="C107" s="990" t="s">
        <v>1069</v>
      </c>
      <c r="D107" s="608" t="str">
        <f>IFERROR(VLOOKUP(C107,Foundation!$C$5:$D$554,2,0),"")</f>
        <v>DB1+9</v>
      </c>
      <c r="E107" s="722">
        <v>45765</v>
      </c>
      <c r="F107" s="722">
        <v>45777</v>
      </c>
      <c r="G107" s="61" t="s">
        <v>1169</v>
      </c>
      <c r="H107" s="554">
        <f t="shared" si="6"/>
        <v>66.780901</v>
      </c>
      <c r="I107" s="991">
        <f t="shared" si="4"/>
        <v>6.2218696967283993</v>
      </c>
      <c r="J107" s="611" t="s">
        <v>1141</v>
      </c>
      <c r="K107" s="992" t="s">
        <v>255</v>
      </c>
      <c r="L107" s="992" t="s">
        <v>1655</v>
      </c>
    </row>
    <row r="108" spans="1:12" s="613" customFormat="1" ht="15.5">
      <c r="A108" s="608">
        <f t="shared" si="5"/>
        <v>104</v>
      </c>
      <c r="B108" s="608">
        <v>11</v>
      </c>
      <c r="C108" s="990" t="s">
        <v>74</v>
      </c>
      <c r="D108" s="62" t="str">
        <f>IFERROR(VLOOKUP(C108,Foundation!$C$5:$D$554,2,0),"")</f>
        <v>DB1+6</v>
      </c>
      <c r="E108" s="722">
        <v>45765</v>
      </c>
      <c r="F108" s="722">
        <v>45777</v>
      </c>
      <c r="G108" s="61" t="s">
        <v>1165</v>
      </c>
      <c r="H108" s="554">
        <f t="shared" si="6"/>
        <v>65.027778999999995</v>
      </c>
      <c r="I108" s="991">
        <f t="shared" si="4"/>
        <v>6.0585341249835993</v>
      </c>
      <c r="J108" s="611" t="s">
        <v>1171</v>
      </c>
      <c r="K108" s="992" t="s">
        <v>255</v>
      </c>
      <c r="L108" s="992" t="s">
        <v>1655</v>
      </c>
    </row>
    <row r="109" spans="1:12" s="308" customFormat="1" ht="15.5">
      <c r="A109" s="608">
        <f t="shared" si="5"/>
        <v>105</v>
      </c>
      <c r="B109" s="62">
        <v>1</v>
      </c>
      <c r="C109" s="990" t="s">
        <v>876</v>
      </c>
      <c r="D109" s="62" t="str">
        <f>IFERROR(VLOOKUP(C109,Foundation!$C$5:$D$554,2,0),"")</f>
        <v>DA+9</v>
      </c>
      <c r="E109" s="722">
        <v>45844</v>
      </c>
      <c r="F109" s="722">
        <v>45853</v>
      </c>
      <c r="G109" s="61" t="s">
        <v>1474</v>
      </c>
      <c r="H109" s="554">
        <f t="shared" si="6"/>
        <v>45.697022000000004</v>
      </c>
      <c r="I109" s="991">
        <f t="shared" si="4"/>
        <v>4.2575184245048003</v>
      </c>
      <c r="J109" s="61" t="s">
        <v>660</v>
      </c>
      <c r="K109" s="992" t="s">
        <v>255</v>
      </c>
      <c r="L109" s="992" t="s">
        <v>1655</v>
      </c>
    </row>
    <row r="110" spans="1:12" s="308" customFormat="1" ht="15.5">
      <c r="A110" s="608">
        <f t="shared" si="5"/>
        <v>106</v>
      </c>
      <c r="B110" s="62">
        <v>2</v>
      </c>
      <c r="C110" s="990" t="s">
        <v>66</v>
      </c>
      <c r="D110" s="62" t="str">
        <f>IFERROR(VLOOKUP(C110,Foundation!$C$5:$D$554,2,0),"")</f>
        <v>DA+6</v>
      </c>
      <c r="E110" s="722">
        <v>45843</v>
      </c>
      <c r="F110" s="722">
        <v>45855</v>
      </c>
      <c r="G110" s="61" t="s">
        <v>1473</v>
      </c>
      <c r="H110" s="554">
        <f t="shared" si="6"/>
        <v>43.804423999999997</v>
      </c>
      <c r="I110" s="760">
        <f t="shared" si="4"/>
        <v>4.0811880970015997</v>
      </c>
      <c r="J110" s="61" t="s">
        <v>1141</v>
      </c>
      <c r="K110" s="992" t="s">
        <v>255</v>
      </c>
      <c r="L110" s="992" t="s">
        <v>1655</v>
      </c>
    </row>
    <row r="111" spans="1:12" s="308" customFormat="1" ht="15.5">
      <c r="A111" s="608">
        <f t="shared" si="5"/>
        <v>107</v>
      </c>
      <c r="B111" s="62">
        <v>3</v>
      </c>
      <c r="C111" s="990" t="s">
        <v>478</v>
      </c>
      <c r="D111" s="62" t="str">
        <f>IFERROR(VLOOKUP(C111,Foundation!$C$5:$D$554,2,0),"")</f>
        <v>DA+9</v>
      </c>
      <c r="E111" s="722">
        <v>45847</v>
      </c>
      <c r="F111" s="722">
        <v>45859</v>
      </c>
      <c r="G111" s="61" t="s">
        <v>1476</v>
      </c>
      <c r="H111" s="554">
        <f t="shared" si="6"/>
        <v>45.697022000000004</v>
      </c>
      <c r="I111" s="760">
        <f t="shared" si="4"/>
        <v>4.2575184245048003</v>
      </c>
      <c r="J111" s="61" t="s">
        <v>1148</v>
      </c>
      <c r="K111" s="992" t="s">
        <v>255</v>
      </c>
      <c r="L111" s="992" t="s">
        <v>1655</v>
      </c>
    </row>
    <row r="112" spans="1:12" s="308" customFormat="1" ht="15.5">
      <c r="A112" s="608">
        <f t="shared" si="5"/>
        <v>108</v>
      </c>
      <c r="B112" s="62">
        <v>4</v>
      </c>
      <c r="C112" s="990" t="s">
        <v>875</v>
      </c>
      <c r="D112" s="62" t="str">
        <f>IFERROR(VLOOKUP(C112,Foundation!$C$5:$D$554,2,0),"")</f>
        <v>DA+9</v>
      </c>
      <c r="E112" s="722">
        <f>F109+1</f>
        <v>45854</v>
      </c>
      <c r="F112" s="722">
        <v>45863</v>
      </c>
      <c r="G112" s="61" t="s">
        <v>1474</v>
      </c>
      <c r="H112" s="554">
        <f t="shared" si="6"/>
        <v>45.697022000000004</v>
      </c>
      <c r="I112" s="760">
        <f t="shared" si="4"/>
        <v>4.2575184245048003</v>
      </c>
      <c r="J112" s="61" t="s">
        <v>660</v>
      </c>
      <c r="K112" s="992" t="s">
        <v>255</v>
      </c>
      <c r="L112" s="992" t="s">
        <v>1655</v>
      </c>
    </row>
    <row r="113" spans="1:12" s="308" customFormat="1" ht="15.5">
      <c r="A113" s="608">
        <f t="shared" si="5"/>
        <v>109</v>
      </c>
      <c r="B113" s="62">
        <v>5</v>
      </c>
      <c r="C113" s="990" t="s">
        <v>259</v>
      </c>
      <c r="D113" s="62" t="str">
        <f>IFERROR(VLOOKUP(C113,Foundation!$C$5:$D$554,2,0),"")</f>
        <v>DA+9</v>
      </c>
      <c r="E113" s="722">
        <v>45854</v>
      </c>
      <c r="F113" s="722">
        <v>45864</v>
      </c>
      <c r="G113" s="61" t="s">
        <v>1485</v>
      </c>
      <c r="H113" s="554">
        <f t="shared" si="6"/>
        <v>45.697022000000004</v>
      </c>
      <c r="I113" s="760">
        <f t="shared" si="4"/>
        <v>4.2575184245048003</v>
      </c>
      <c r="J113" s="61" t="s">
        <v>1478</v>
      </c>
      <c r="K113" s="995" t="s">
        <v>255</v>
      </c>
      <c r="L113" s="992" t="s">
        <v>1655</v>
      </c>
    </row>
    <row r="114" spans="1:12" s="308" customFormat="1" ht="15.5">
      <c r="A114" s="608">
        <f t="shared" si="5"/>
        <v>110</v>
      </c>
      <c r="B114" s="62">
        <v>6</v>
      </c>
      <c r="C114" s="990" t="s">
        <v>165</v>
      </c>
      <c r="D114" s="62" t="str">
        <f>IFERROR(VLOOKUP(C114,Foundation!$C$5:$D$554,2,0),"")</f>
        <v>DA+9</v>
      </c>
      <c r="E114" s="722">
        <f>F110+1</f>
        <v>45856</v>
      </c>
      <c r="F114" s="722">
        <v>45864</v>
      </c>
      <c r="G114" s="61" t="s">
        <v>1473</v>
      </c>
      <c r="H114" s="554">
        <f t="shared" si="6"/>
        <v>45.697022000000004</v>
      </c>
      <c r="I114" s="760">
        <f t="shared" si="4"/>
        <v>4.2575184245048003</v>
      </c>
      <c r="J114" s="61" t="s">
        <v>1092</v>
      </c>
      <c r="K114" s="995" t="s">
        <v>255</v>
      </c>
      <c r="L114" s="992" t="s">
        <v>1655</v>
      </c>
    </row>
    <row r="115" spans="1:12" s="613" customFormat="1" ht="15.5">
      <c r="A115" s="608">
        <f t="shared" si="5"/>
        <v>111</v>
      </c>
      <c r="B115" s="62">
        <v>7</v>
      </c>
      <c r="C115" s="990" t="s">
        <v>261</v>
      </c>
      <c r="D115" s="62" t="str">
        <f>IFERROR(VLOOKUP(C115,Foundation!$C$5:$D$554,2,0),"")</f>
        <v>DB2+0</v>
      </c>
      <c r="E115" s="722">
        <f>F111+1</f>
        <v>45860</v>
      </c>
      <c r="F115" s="722">
        <v>45869</v>
      </c>
      <c r="G115" s="61" t="s">
        <v>1476</v>
      </c>
      <c r="H115" s="554">
        <f t="shared" si="6"/>
        <v>59.500627999999999</v>
      </c>
      <c r="I115" s="760">
        <f t="shared" si="4"/>
        <v>5.5435783097551994</v>
      </c>
      <c r="J115" s="61" t="s">
        <v>1148</v>
      </c>
      <c r="K115" s="995" t="s">
        <v>255</v>
      </c>
      <c r="L115" s="992" t="s">
        <v>1655</v>
      </c>
    </row>
    <row r="116" spans="1:12" s="613" customFormat="1" ht="15.5">
      <c r="A116" s="608">
        <f t="shared" si="5"/>
        <v>112</v>
      </c>
      <c r="B116" s="62">
        <v>8</v>
      </c>
      <c r="C116" s="990" t="s">
        <v>877</v>
      </c>
      <c r="D116" s="62" t="str">
        <f>IFERROR(VLOOKUP(C116,Foundation!$C$5:$D$554,2,0),"")</f>
        <v>DA+3</v>
      </c>
      <c r="E116" s="722">
        <v>45864</v>
      </c>
      <c r="F116" s="722">
        <v>45869</v>
      </c>
      <c r="G116" s="61" t="s">
        <v>1474</v>
      </c>
      <c r="H116" s="554">
        <f t="shared" si="6"/>
        <v>37.931087999999995</v>
      </c>
      <c r="I116" s="760">
        <f t="shared" si="4"/>
        <v>3.5339787792191997</v>
      </c>
      <c r="J116" s="61" t="s">
        <v>660</v>
      </c>
      <c r="K116" s="995" t="s">
        <v>255</v>
      </c>
      <c r="L116" s="992" t="s">
        <v>1655</v>
      </c>
    </row>
    <row r="117" spans="1:12" s="308" customFormat="1" ht="15.5">
      <c r="A117" s="608">
        <f t="shared" si="5"/>
        <v>113</v>
      </c>
      <c r="B117" s="62">
        <v>1</v>
      </c>
      <c r="C117" s="990" t="s">
        <v>9</v>
      </c>
      <c r="D117" s="62" t="str">
        <f>IFERROR(VLOOKUP(C117,Foundation!$C$5:$D$554,2,0),"")</f>
        <v>DB1+0</v>
      </c>
      <c r="E117" s="722">
        <v>45854</v>
      </c>
      <c r="F117" s="722">
        <v>45870</v>
      </c>
      <c r="G117" s="61" t="s">
        <v>1482</v>
      </c>
      <c r="H117" s="554">
        <f t="shared" si="6"/>
        <v>55.450851000000007</v>
      </c>
      <c r="I117" s="760">
        <f t="shared" si="4"/>
        <v>5.1662670663084009</v>
      </c>
      <c r="J117" s="61" t="s">
        <v>1171</v>
      </c>
      <c r="K117" s="995" t="s">
        <v>255</v>
      </c>
      <c r="L117" s="992" t="s">
        <v>1655</v>
      </c>
    </row>
    <row r="118" spans="1:12" s="308" customFormat="1" ht="15.5">
      <c r="A118" s="608">
        <f t="shared" si="5"/>
        <v>114</v>
      </c>
      <c r="B118" s="62">
        <v>2</v>
      </c>
      <c r="C118" s="990" t="s">
        <v>77</v>
      </c>
      <c r="D118" s="62" t="str">
        <f>IFERROR(VLOOKUP(C118,Foundation!$C$5:$D$554,2,0),"")</f>
        <v>DB2+0</v>
      </c>
      <c r="E118" s="722">
        <v>45859</v>
      </c>
      <c r="F118" s="722">
        <v>45871</v>
      </c>
      <c r="G118" s="61" t="s">
        <v>1481</v>
      </c>
      <c r="H118" s="554">
        <f t="shared" si="6"/>
        <v>59.500627999999999</v>
      </c>
      <c r="I118" s="760">
        <f t="shared" si="4"/>
        <v>5.5435783097551994</v>
      </c>
      <c r="J118" s="61" t="s">
        <v>1483</v>
      </c>
      <c r="K118" s="995" t="s">
        <v>255</v>
      </c>
      <c r="L118" s="995" t="s">
        <v>1655</v>
      </c>
    </row>
    <row r="119" spans="1:12" s="308" customFormat="1" ht="15.5">
      <c r="A119" s="608">
        <f t="shared" si="5"/>
        <v>115</v>
      </c>
      <c r="B119" s="62">
        <v>3</v>
      </c>
      <c r="C119" s="990" t="s">
        <v>400</v>
      </c>
      <c r="D119" s="62" t="str">
        <f>IFERROR(VLOOKUP(C119,Foundation!$C$5:$D$554,2,0),"")</f>
        <v>DA+9</v>
      </c>
      <c r="E119" s="722">
        <v>45853</v>
      </c>
      <c r="F119" s="722">
        <v>45872</v>
      </c>
      <c r="G119" s="61" t="s">
        <v>1485</v>
      </c>
      <c r="H119" s="554">
        <f t="shared" si="6"/>
        <v>45.697022000000004</v>
      </c>
      <c r="I119" s="760">
        <f t="shared" si="4"/>
        <v>4.2575184245048003</v>
      </c>
      <c r="J119" s="61" t="s">
        <v>1477</v>
      </c>
      <c r="K119" s="995" t="s">
        <v>255</v>
      </c>
      <c r="L119" s="992" t="s">
        <v>1655</v>
      </c>
    </row>
    <row r="120" spans="1:12" s="308" customFormat="1" ht="15.5">
      <c r="A120" s="608">
        <f t="shared" si="5"/>
        <v>116</v>
      </c>
      <c r="B120" s="62">
        <v>4</v>
      </c>
      <c r="C120" s="990" t="s">
        <v>443</v>
      </c>
      <c r="D120" s="62" t="str">
        <f>IFERROR(VLOOKUP(C120,Foundation!$C$5:$D$554,2,0),"")</f>
        <v>DA+3</v>
      </c>
      <c r="E120" s="722">
        <v>45856</v>
      </c>
      <c r="F120" s="722">
        <v>45872</v>
      </c>
      <c r="G120" s="61" t="s">
        <v>1479</v>
      </c>
      <c r="H120" s="554">
        <f t="shared" si="6"/>
        <v>37.931087999999995</v>
      </c>
      <c r="I120" s="760">
        <f t="shared" si="4"/>
        <v>3.5339787792191997</v>
      </c>
      <c r="J120" s="61" t="s">
        <v>1171</v>
      </c>
      <c r="K120" s="995" t="s">
        <v>255</v>
      </c>
      <c r="L120" s="992" t="s">
        <v>1655</v>
      </c>
    </row>
    <row r="121" spans="1:12" s="308" customFormat="1" ht="15.5">
      <c r="A121" s="608">
        <f t="shared" si="5"/>
        <v>117</v>
      </c>
      <c r="B121" s="62">
        <v>5</v>
      </c>
      <c r="C121" s="990" t="s">
        <v>873</v>
      </c>
      <c r="D121" s="62" t="str">
        <f>IFERROR(VLOOKUP(C121,Foundation!$C$5:$D$554,2,0),"")</f>
        <v>DA+6</v>
      </c>
      <c r="E121" s="722">
        <f>F114+1</f>
        <v>45865</v>
      </c>
      <c r="F121" s="722">
        <v>45874</v>
      </c>
      <c r="G121" s="61" t="s">
        <v>1473</v>
      </c>
      <c r="H121" s="554">
        <f t="shared" si="6"/>
        <v>43.804423999999997</v>
      </c>
      <c r="I121" s="760">
        <f t="shared" si="4"/>
        <v>4.0811880970015997</v>
      </c>
      <c r="J121" s="61" t="s">
        <v>1092</v>
      </c>
      <c r="K121" s="995" t="s">
        <v>255</v>
      </c>
      <c r="L121" s="992" t="s">
        <v>1655</v>
      </c>
    </row>
    <row r="122" spans="1:12" s="613" customFormat="1" ht="15.5">
      <c r="A122" s="608">
        <f t="shared" si="5"/>
        <v>118</v>
      </c>
      <c r="B122" s="62">
        <v>6</v>
      </c>
      <c r="C122" s="990" t="s">
        <v>171</v>
      </c>
      <c r="D122" s="62" t="str">
        <f>IFERROR(VLOOKUP(C122,Foundation!$C$5:$D$554,2,0),"")</f>
        <v>DA+3</v>
      </c>
      <c r="E122" s="722">
        <f>F118</f>
        <v>45871</v>
      </c>
      <c r="F122" s="722">
        <v>45875</v>
      </c>
      <c r="G122" s="61" t="s">
        <v>1481</v>
      </c>
      <c r="H122" s="554">
        <f t="shared" si="6"/>
        <v>37.931087999999995</v>
      </c>
      <c r="I122" s="760">
        <f t="shared" si="4"/>
        <v>3.5339787792191997</v>
      </c>
      <c r="J122" s="61" t="s">
        <v>1483</v>
      </c>
      <c r="K122" s="995" t="s">
        <v>255</v>
      </c>
      <c r="L122" s="995" t="s">
        <v>1655</v>
      </c>
    </row>
    <row r="123" spans="1:12" s="308" customFormat="1" ht="15.5">
      <c r="A123" s="608">
        <f t="shared" si="5"/>
        <v>119</v>
      </c>
      <c r="B123" s="62">
        <v>7</v>
      </c>
      <c r="C123" s="990" t="s">
        <v>206</v>
      </c>
      <c r="D123" s="62" t="str">
        <f>IFERROR(VLOOKUP(C123,Foundation!$C$5:$D$554,2,0),"")</f>
        <v>DA+9</v>
      </c>
      <c r="E123" s="722">
        <v>45844</v>
      </c>
      <c r="F123" s="722">
        <v>45876</v>
      </c>
      <c r="G123" s="61" t="s">
        <v>1475</v>
      </c>
      <c r="H123" s="554">
        <f t="shared" si="6"/>
        <v>45.697022000000004</v>
      </c>
      <c r="I123" s="760">
        <f t="shared" si="4"/>
        <v>4.2575184245048003</v>
      </c>
      <c r="J123" s="61" t="s">
        <v>1489</v>
      </c>
      <c r="K123" s="995" t="s">
        <v>255</v>
      </c>
      <c r="L123" s="992" t="s">
        <v>1655</v>
      </c>
    </row>
    <row r="124" spans="1:12" s="613" customFormat="1" ht="15.5">
      <c r="A124" s="608">
        <f t="shared" si="5"/>
        <v>120</v>
      </c>
      <c r="B124" s="62">
        <v>8</v>
      </c>
      <c r="C124" s="990" t="s">
        <v>260</v>
      </c>
      <c r="D124" s="62" t="str">
        <f>IFERROR(VLOOKUP(C124,Foundation!$C$5:$D$554,2,0),"")</f>
        <v>DA+6</v>
      </c>
      <c r="E124" s="722">
        <f>F119+1</f>
        <v>45873</v>
      </c>
      <c r="F124" s="722">
        <v>45877</v>
      </c>
      <c r="G124" s="61" t="s">
        <v>1485</v>
      </c>
      <c r="H124" s="554">
        <f t="shared" si="6"/>
        <v>43.804423999999997</v>
      </c>
      <c r="I124" s="760">
        <f t="shared" si="4"/>
        <v>4.0811880970015997</v>
      </c>
      <c r="J124" s="61" t="s">
        <v>1148</v>
      </c>
      <c r="K124" s="995" t="s">
        <v>255</v>
      </c>
      <c r="L124" s="992" t="s">
        <v>1655</v>
      </c>
    </row>
    <row r="125" spans="1:12" s="613" customFormat="1" ht="15.5">
      <c r="A125" s="608">
        <f t="shared" si="5"/>
        <v>121</v>
      </c>
      <c r="B125" s="62">
        <v>9</v>
      </c>
      <c r="C125" s="990" t="s">
        <v>773</v>
      </c>
      <c r="D125" s="62" t="str">
        <f>IFERROR(VLOOKUP(C125,Foundation!$C$5:$D$554,2,0),"")</f>
        <v>DB1+9</v>
      </c>
      <c r="E125" s="722">
        <f>F116+1</f>
        <v>45870</v>
      </c>
      <c r="F125" s="722">
        <v>45878</v>
      </c>
      <c r="G125" s="61" t="s">
        <v>1474</v>
      </c>
      <c r="H125" s="554">
        <f t="shared" si="6"/>
        <v>66.780901</v>
      </c>
      <c r="I125" s="760">
        <f t="shared" si="4"/>
        <v>6.2218696967283993</v>
      </c>
      <c r="J125" s="61" t="s">
        <v>1015</v>
      </c>
      <c r="K125" s="995" t="s">
        <v>255</v>
      </c>
      <c r="L125" s="992" t="s">
        <v>1655</v>
      </c>
    </row>
    <row r="126" spans="1:12" s="613" customFormat="1" ht="15.5">
      <c r="A126" s="608">
        <f t="shared" si="5"/>
        <v>122</v>
      </c>
      <c r="B126" s="62">
        <v>10</v>
      </c>
      <c r="C126" s="990" t="s">
        <v>589</v>
      </c>
      <c r="D126" s="62" t="str">
        <f>IFERROR(VLOOKUP(C126,Foundation!$C$5:$D$554,2,0),"")</f>
        <v>DA+6</v>
      </c>
      <c r="E126" s="722">
        <f>F116+1</f>
        <v>45870</v>
      </c>
      <c r="F126" s="722">
        <v>45878</v>
      </c>
      <c r="G126" s="61" t="s">
        <v>1484</v>
      </c>
      <c r="H126" s="554">
        <f t="shared" si="6"/>
        <v>43.804423999999997</v>
      </c>
      <c r="I126" s="760">
        <f t="shared" si="4"/>
        <v>4.0811880970015997</v>
      </c>
      <c r="J126" s="61" t="s">
        <v>1477</v>
      </c>
      <c r="K126" s="995" t="s">
        <v>255</v>
      </c>
      <c r="L126" s="992" t="s">
        <v>1655</v>
      </c>
    </row>
    <row r="127" spans="1:12" s="613" customFormat="1" ht="15.5">
      <c r="A127" s="608">
        <f t="shared" si="5"/>
        <v>123</v>
      </c>
      <c r="B127" s="62">
        <v>11</v>
      </c>
      <c r="C127" s="990" t="s">
        <v>490</v>
      </c>
      <c r="D127" s="62" t="str">
        <f>IFERROR(VLOOKUP(C127,Foundation!$C$5:$D$554,2,0),"")</f>
        <v>DA+1.5</v>
      </c>
      <c r="E127" s="722">
        <f>F115+1</f>
        <v>45870</v>
      </c>
      <c r="F127" s="722">
        <v>45878</v>
      </c>
      <c r="G127" s="61" t="s">
        <v>1487</v>
      </c>
      <c r="H127" s="554">
        <f t="shared" si="6"/>
        <v>37.138323999999997</v>
      </c>
      <c r="I127" s="760">
        <f t="shared" si="4"/>
        <v>3.4601182257615997</v>
      </c>
      <c r="J127" s="61" t="s">
        <v>1148</v>
      </c>
      <c r="K127" s="995" t="s">
        <v>255</v>
      </c>
      <c r="L127" s="992" t="s">
        <v>1655</v>
      </c>
    </row>
    <row r="128" spans="1:12" s="308" customFormat="1" ht="15.5">
      <c r="A128" s="608">
        <f t="shared" si="5"/>
        <v>124</v>
      </c>
      <c r="B128" s="62">
        <v>12</v>
      </c>
      <c r="C128" s="990" t="s">
        <v>82</v>
      </c>
      <c r="D128" s="62" t="str">
        <f>IFERROR(VLOOKUP(C128,Foundation!$C$5:$D$554,2,0),"")</f>
        <v>DA+3</v>
      </c>
      <c r="E128" s="722">
        <f>F117+1</f>
        <v>45871</v>
      </c>
      <c r="F128" s="722">
        <v>45879</v>
      </c>
      <c r="G128" s="61" t="s">
        <v>1482</v>
      </c>
      <c r="H128" s="554">
        <f t="shared" si="6"/>
        <v>37.931087999999995</v>
      </c>
      <c r="I128" s="760">
        <f t="shared" si="4"/>
        <v>3.5339787792191997</v>
      </c>
      <c r="J128" s="61" t="s">
        <v>1171</v>
      </c>
      <c r="K128" s="995" t="s">
        <v>255</v>
      </c>
      <c r="L128" s="992" t="s">
        <v>1655</v>
      </c>
    </row>
    <row r="129" spans="1:15" s="613" customFormat="1" ht="15.5">
      <c r="A129" s="608">
        <f t="shared" si="5"/>
        <v>125</v>
      </c>
      <c r="B129" s="62">
        <v>13</v>
      </c>
      <c r="C129" s="990" t="s">
        <v>163</v>
      </c>
      <c r="D129" s="62" t="str">
        <f>IFERROR(VLOOKUP(C129,Foundation!$C$5:$D$554,2,0),"")</f>
        <v>DA+1.5</v>
      </c>
      <c r="E129" s="722">
        <f>F120+1</f>
        <v>45873</v>
      </c>
      <c r="F129" s="722">
        <v>45880</v>
      </c>
      <c r="G129" s="61" t="s">
        <v>1479</v>
      </c>
      <c r="H129" s="554">
        <f t="shared" si="6"/>
        <v>37.138323999999997</v>
      </c>
      <c r="I129" s="760">
        <f t="shared" si="4"/>
        <v>3.4601182257615997</v>
      </c>
      <c r="J129" s="61" t="s">
        <v>1171</v>
      </c>
      <c r="K129" s="995" t="s">
        <v>255</v>
      </c>
      <c r="L129" s="992" t="s">
        <v>1655</v>
      </c>
    </row>
    <row r="130" spans="1:15" s="613" customFormat="1" ht="15.5">
      <c r="A130" s="608">
        <f t="shared" si="5"/>
        <v>126</v>
      </c>
      <c r="B130" s="62">
        <v>14</v>
      </c>
      <c r="C130" s="990" t="s">
        <v>172</v>
      </c>
      <c r="D130" s="62" t="str">
        <f>IFERROR(VLOOKUP(C130,Foundation!$C$5:$D$554,2,0),"")</f>
        <v>DA+9</v>
      </c>
      <c r="E130" s="722">
        <f>F122+1</f>
        <v>45876</v>
      </c>
      <c r="F130" s="722">
        <v>45880</v>
      </c>
      <c r="G130" s="61" t="s">
        <v>1481</v>
      </c>
      <c r="H130" s="554">
        <f t="shared" si="6"/>
        <v>45.697022000000004</v>
      </c>
      <c r="I130" s="760">
        <f t="shared" si="4"/>
        <v>4.2575184245048003</v>
      </c>
      <c r="J130" s="61" t="s">
        <v>1483</v>
      </c>
      <c r="K130" s="995" t="s">
        <v>255</v>
      </c>
      <c r="L130" s="995" t="s">
        <v>1655</v>
      </c>
    </row>
    <row r="131" spans="1:15" s="308" customFormat="1" ht="15.5">
      <c r="A131" s="608">
        <f t="shared" si="5"/>
        <v>127</v>
      </c>
      <c r="B131" s="62">
        <v>15</v>
      </c>
      <c r="C131" s="990" t="s">
        <v>634</v>
      </c>
      <c r="D131" s="62" t="str">
        <f>IFERROR(VLOOKUP(C131,Foundation!$C$5:$D$554,2,0),"")</f>
        <v>DA+9</v>
      </c>
      <c r="E131" s="722">
        <v>45870</v>
      </c>
      <c r="F131" s="722">
        <v>45882</v>
      </c>
      <c r="G131" s="61" t="s">
        <v>1486</v>
      </c>
      <c r="H131" s="554">
        <f t="shared" si="6"/>
        <v>45.697022000000004</v>
      </c>
      <c r="I131" s="760">
        <f t="shared" si="4"/>
        <v>4.2575184245048003</v>
      </c>
      <c r="J131" s="61" t="s">
        <v>1483</v>
      </c>
      <c r="K131" s="995" t="s">
        <v>255</v>
      </c>
      <c r="L131" s="992" t="s">
        <v>1655</v>
      </c>
    </row>
    <row r="132" spans="1:15" s="308" customFormat="1" ht="15.5">
      <c r="A132" s="608">
        <f t="shared" si="5"/>
        <v>128</v>
      </c>
      <c r="B132" s="62">
        <v>16</v>
      </c>
      <c r="C132" s="990" t="s">
        <v>469</v>
      </c>
      <c r="D132" s="62" t="str">
        <f>IFERROR(VLOOKUP(C132,Foundation!$C$5:$D$554,2,0),"")</f>
        <v>DA+9</v>
      </c>
      <c r="E132" s="722">
        <v>45871</v>
      </c>
      <c r="F132" s="722">
        <v>45882</v>
      </c>
      <c r="G132" s="61" t="s">
        <v>1488</v>
      </c>
      <c r="H132" s="554">
        <f t="shared" si="6"/>
        <v>45.697022000000004</v>
      </c>
      <c r="I132" s="760">
        <f t="shared" si="4"/>
        <v>4.2575184245048003</v>
      </c>
      <c r="J132" s="61" t="s">
        <v>1148</v>
      </c>
      <c r="K132" s="995" t="s">
        <v>255</v>
      </c>
      <c r="L132" s="992" t="s">
        <v>1655</v>
      </c>
    </row>
    <row r="133" spans="1:15" s="308" customFormat="1" ht="15.5">
      <c r="A133" s="608">
        <f t="shared" si="5"/>
        <v>129</v>
      </c>
      <c r="B133" s="62">
        <v>17</v>
      </c>
      <c r="C133" s="990" t="s">
        <v>874</v>
      </c>
      <c r="D133" s="62" t="str">
        <f>IFERROR(VLOOKUP(C133,Foundation!$C$5:$D$554,2,0),"")</f>
        <v>DA+9</v>
      </c>
      <c r="E133" s="722">
        <f>F121+2</f>
        <v>45876</v>
      </c>
      <c r="F133" s="722">
        <v>45883</v>
      </c>
      <c r="G133" s="61" t="s">
        <v>1473</v>
      </c>
      <c r="H133" s="554">
        <f t="shared" si="6"/>
        <v>45.697022000000004</v>
      </c>
      <c r="I133" s="760">
        <f t="shared" ref="I133:I196" si="7">IFERROR(VLOOKUP(D133,$D$316:$K$345,8,0)/10^5,"")</f>
        <v>4.2575184245048003</v>
      </c>
      <c r="J133" s="61" t="s">
        <v>1092</v>
      </c>
      <c r="K133" s="995" t="s">
        <v>255</v>
      </c>
      <c r="L133" s="992" t="s">
        <v>1655</v>
      </c>
    </row>
    <row r="134" spans="1:15" s="308" customFormat="1" ht="15.5">
      <c r="A134" s="608">
        <f t="shared" ref="A134:A197" si="8">A133+1</f>
        <v>130</v>
      </c>
      <c r="B134" s="62">
        <v>18</v>
      </c>
      <c r="C134" s="990" t="s">
        <v>467</v>
      </c>
      <c r="D134" s="62" t="str">
        <f>IFERROR(VLOOKUP(C134,Foundation!$C$5:$D$554,2,0),"")</f>
        <v>DA+3</v>
      </c>
      <c r="E134" s="722">
        <f>F124</f>
        <v>45877</v>
      </c>
      <c r="F134" s="722">
        <v>45883</v>
      </c>
      <c r="G134" s="61" t="s">
        <v>1485</v>
      </c>
      <c r="H134" s="554">
        <f t="shared" si="6"/>
        <v>37.931087999999995</v>
      </c>
      <c r="I134" s="760">
        <f t="shared" si="7"/>
        <v>3.5339787792191997</v>
      </c>
      <c r="J134" s="61" t="s">
        <v>1148</v>
      </c>
      <c r="K134" s="995" t="s">
        <v>255</v>
      </c>
      <c r="L134" s="992" t="s">
        <v>1655</v>
      </c>
    </row>
    <row r="135" spans="1:15" s="308" customFormat="1" ht="15.5">
      <c r="A135" s="608">
        <f t="shared" si="8"/>
        <v>131</v>
      </c>
      <c r="B135" s="62">
        <v>19</v>
      </c>
      <c r="C135" s="990" t="s">
        <v>482</v>
      </c>
      <c r="D135" s="62" t="str">
        <f>IFERROR(VLOOKUP(C135,Foundation!$C$5:$D$554,2,0),"")</f>
        <v>DB1+12</v>
      </c>
      <c r="E135" s="722">
        <v>45876</v>
      </c>
      <c r="F135" s="722">
        <v>45883</v>
      </c>
      <c r="G135" s="61" t="s">
        <v>1495</v>
      </c>
      <c r="H135" s="554">
        <f t="shared" si="6"/>
        <v>70.788264999999996</v>
      </c>
      <c r="I135" s="760">
        <f t="shared" si="7"/>
        <v>6.5952293888259996</v>
      </c>
      <c r="J135" s="61" t="s">
        <v>1148</v>
      </c>
      <c r="K135" s="995" t="s">
        <v>255</v>
      </c>
      <c r="L135" s="992" t="s">
        <v>1655</v>
      </c>
    </row>
    <row r="136" spans="1:15" s="308" customFormat="1" ht="15.5">
      <c r="A136" s="608">
        <f t="shared" si="8"/>
        <v>132</v>
      </c>
      <c r="B136" s="62">
        <v>20</v>
      </c>
      <c r="C136" s="990" t="s">
        <v>69</v>
      </c>
      <c r="D136" s="62" t="str">
        <f>IFERROR(VLOOKUP(C136,Foundation!$C$5:$D$554,2,0),"")</f>
        <v>DA+9</v>
      </c>
      <c r="E136" s="722">
        <f>F125</f>
        <v>45878</v>
      </c>
      <c r="F136" s="722">
        <v>45886</v>
      </c>
      <c r="G136" s="61" t="s">
        <v>1496</v>
      </c>
      <c r="H136" s="554">
        <f t="shared" si="6"/>
        <v>45.697022000000004</v>
      </c>
      <c r="I136" s="760">
        <f t="shared" si="7"/>
        <v>4.2575184245048003</v>
      </c>
      <c r="J136" s="61" t="s">
        <v>1015</v>
      </c>
      <c r="K136" s="995" t="s">
        <v>255</v>
      </c>
      <c r="L136" s="992" t="s">
        <v>1655</v>
      </c>
    </row>
    <row r="137" spans="1:15" s="308" customFormat="1" ht="15.5">
      <c r="A137" s="608">
        <f t="shared" si="8"/>
        <v>133</v>
      </c>
      <c r="B137" s="62">
        <v>21</v>
      </c>
      <c r="C137" s="990" t="s">
        <v>474</v>
      </c>
      <c r="D137" s="62" t="str">
        <f>IFERROR(VLOOKUP(C137,Foundation!$C$5:$D$554,2,0),"")</f>
        <v>DA+1.5</v>
      </c>
      <c r="E137" s="722">
        <f>F127</f>
        <v>45878</v>
      </c>
      <c r="F137" s="722">
        <v>45887</v>
      </c>
      <c r="G137" s="61" t="s">
        <v>1487</v>
      </c>
      <c r="H137" s="554">
        <f t="shared" si="6"/>
        <v>37.138323999999997</v>
      </c>
      <c r="I137" s="760">
        <f t="shared" si="7"/>
        <v>3.4601182257615997</v>
      </c>
      <c r="J137" s="61" t="s">
        <v>1148</v>
      </c>
      <c r="K137" s="995" t="s">
        <v>255</v>
      </c>
      <c r="L137" s="992" t="s">
        <v>1655</v>
      </c>
    </row>
    <row r="138" spans="1:15" s="308" customFormat="1" ht="15.5">
      <c r="A138" s="608">
        <f t="shared" si="8"/>
        <v>134</v>
      </c>
      <c r="B138" s="62">
        <v>22</v>
      </c>
      <c r="C138" s="990" t="s">
        <v>369</v>
      </c>
      <c r="D138" s="62" t="str">
        <f>IFERROR(VLOOKUP(C138,Foundation!$C$5:$D$554,2,0),"")</f>
        <v>DA+3</v>
      </c>
      <c r="E138" s="722">
        <f>F135+1</f>
        <v>45884</v>
      </c>
      <c r="F138" s="722">
        <v>45888</v>
      </c>
      <c r="G138" s="61" t="s">
        <v>1495</v>
      </c>
      <c r="H138" s="554">
        <f t="shared" si="6"/>
        <v>37.931087999999995</v>
      </c>
      <c r="I138" s="760">
        <f t="shared" si="7"/>
        <v>3.5339787792191997</v>
      </c>
      <c r="J138" s="61" t="s">
        <v>1498</v>
      </c>
      <c r="K138" s="995" t="s">
        <v>255</v>
      </c>
      <c r="L138" s="992" t="s">
        <v>1655</v>
      </c>
    </row>
    <row r="139" spans="1:15" s="308" customFormat="1" ht="15.5">
      <c r="A139" s="608">
        <f t="shared" si="8"/>
        <v>135</v>
      </c>
      <c r="B139" s="62">
        <v>23</v>
      </c>
      <c r="C139" s="990" t="s">
        <v>1784</v>
      </c>
      <c r="D139" s="62" t="str">
        <f>IFERROR(VLOOKUP(C139,Foundation!$C$5:$D$554,2,0),"")</f>
        <v>DB1+9</v>
      </c>
      <c r="E139" s="722">
        <f>F130+1</f>
        <v>45881</v>
      </c>
      <c r="F139" s="722">
        <v>45888</v>
      </c>
      <c r="G139" s="61" t="s">
        <v>1481</v>
      </c>
      <c r="H139" s="554">
        <f t="shared" si="6"/>
        <v>66.780901</v>
      </c>
      <c r="I139" s="760">
        <f t="shared" si="7"/>
        <v>6.2218696967283993</v>
      </c>
      <c r="J139" s="61" t="s">
        <v>1483</v>
      </c>
      <c r="K139" s="995" t="s">
        <v>255</v>
      </c>
      <c r="L139" s="992" t="s">
        <v>1655</v>
      </c>
      <c r="O139" s="308" t="s">
        <v>1786</v>
      </c>
    </row>
    <row r="140" spans="1:15" s="308" customFormat="1" ht="15.5">
      <c r="A140" s="608">
        <f t="shared" si="8"/>
        <v>136</v>
      </c>
      <c r="B140" s="62">
        <v>24</v>
      </c>
      <c r="C140" s="990" t="s">
        <v>462</v>
      </c>
      <c r="D140" s="62" t="str">
        <f>IFERROR(VLOOKUP(C140,Foundation!$C$5:$D$554,2,0),"")</f>
        <v>DA+3</v>
      </c>
      <c r="E140" s="722">
        <v>45877</v>
      </c>
      <c r="F140" s="722">
        <v>45889</v>
      </c>
      <c r="G140" s="61" t="s">
        <v>1492</v>
      </c>
      <c r="H140" s="554">
        <f t="shared" si="6"/>
        <v>37.931087999999995</v>
      </c>
      <c r="I140" s="760">
        <f t="shared" si="7"/>
        <v>3.5339787792191997</v>
      </c>
      <c r="J140" s="61" t="s">
        <v>1501</v>
      </c>
      <c r="K140" s="995" t="s">
        <v>255</v>
      </c>
      <c r="L140" s="992" t="s">
        <v>1655</v>
      </c>
    </row>
    <row r="141" spans="1:15" s="308" customFormat="1" ht="15.5">
      <c r="A141" s="608">
        <f t="shared" si="8"/>
        <v>137</v>
      </c>
      <c r="B141" s="62">
        <v>25</v>
      </c>
      <c r="C141" s="990" t="s">
        <v>632</v>
      </c>
      <c r="D141" s="62" t="str">
        <f>IFERROR(VLOOKUP(C141,Foundation!$C$5:$D$554,2,0),"")</f>
        <v>DA+3</v>
      </c>
      <c r="E141" s="722">
        <f>F131+1</f>
        <v>45883</v>
      </c>
      <c r="F141" s="722">
        <v>45889</v>
      </c>
      <c r="G141" s="61" t="s">
        <v>1486</v>
      </c>
      <c r="H141" s="554">
        <f t="shared" si="6"/>
        <v>37.931087999999995</v>
      </c>
      <c r="I141" s="760">
        <f t="shared" si="7"/>
        <v>3.5339787792191997</v>
      </c>
      <c r="J141" s="61" t="s">
        <v>1489</v>
      </c>
      <c r="K141" s="995" t="s">
        <v>255</v>
      </c>
      <c r="L141" s="992" t="s">
        <v>1655</v>
      </c>
    </row>
    <row r="142" spans="1:15" s="613" customFormat="1" ht="15.5">
      <c r="A142" s="608">
        <f t="shared" si="8"/>
        <v>138</v>
      </c>
      <c r="B142" s="62">
        <v>26</v>
      </c>
      <c r="C142" s="990" t="s">
        <v>268</v>
      </c>
      <c r="D142" s="62" t="str">
        <f>IFERROR(VLOOKUP(C142,Foundation!$C$5:$D$554,2,0),"")</f>
        <v>DD60+0</v>
      </c>
      <c r="E142" s="722">
        <v>45876</v>
      </c>
      <c r="F142" s="722">
        <v>45890</v>
      </c>
      <c r="G142" s="61" t="s">
        <v>1491</v>
      </c>
      <c r="H142" s="554">
        <f t="shared" si="6"/>
        <v>83.133526000000003</v>
      </c>
      <c r="I142" s="760">
        <f t="shared" si="7"/>
        <v>7.7454176037784004</v>
      </c>
      <c r="J142" s="61" t="s">
        <v>1493</v>
      </c>
      <c r="K142" s="995" t="s">
        <v>255</v>
      </c>
      <c r="L142" s="992" t="s">
        <v>1655</v>
      </c>
    </row>
    <row r="143" spans="1:15" s="308" customFormat="1" ht="15.5">
      <c r="A143" s="608">
        <f t="shared" si="8"/>
        <v>139</v>
      </c>
      <c r="B143" s="62">
        <v>27</v>
      </c>
      <c r="C143" s="990" t="s">
        <v>258</v>
      </c>
      <c r="D143" s="62" t="str">
        <f>IFERROR(VLOOKUP(C143,Foundation!$C$5:$D$554,2,0),"")</f>
        <v>DB1+9</v>
      </c>
      <c r="E143" s="722">
        <v>45882</v>
      </c>
      <c r="F143" s="722">
        <v>45890</v>
      </c>
      <c r="G143" s="61" t="s">
        <v>1484</v>
      </c>
      <c r="H143" s="554">
        <f t="shared" si="6"/>
        <v>66.780901</v>
      </c>
      <c r="I143" s="760">
        <f t="shared" si="7"/>
        <v>6.2218696967283993</v>
      </c>
      <c r="J143" s="61" t="s">
        <v>1477</v>
      </c>
      <c r="K143" s="995" t="s">
        <v>255</v>
      </c>
      <c r="L143" s="992" t="s">
        <v>1655</v>
      </c>
    </row>
    <row r="144" spans="1:15" s="308" customFormat="1" ht="15.5">
      <c r="A144" s="608">
        <f t="shared" si="8"/>
        <v>140</v>
      </c>
      <c r="B144" s="62">
        <v>28</v>
      </c>
      <c r="C144" s="990" t="s">
        <v>470</v>
      </c>
      <c r="D144" s="62" t="str">
        <f>IFERROR(VLOOKUP(C144,Foundation!$C$5:$D$554,2,0),"")</f>
        <v>DA-3</v>
      </c>
      <c r="E144" s="722">
        <f>F132+1</f>
        <v>45883</v>
      </c>
      <c r="F144" s="722">
        <v>45890</v>
      </c>
      <c r="G144" s="61" t="s">
        <v>1488</v>
      </c>
      <c r="H144" s="554">
        <f t="shared" si="6"/>
        <v>34.789810000000003</v>
      </c>
      <c r="I144" s="760">
        <f t="shared" si="7"/>
        <v>3.2413109340040003</v>
      </c>
      <c r="J144" s="61" t="s">
        <v>1499</v>
      </c>
      <c r="K144" s="995" t="s">
        <v>255</v>
      </c>
      <c r="L144" s="992" t="s">
        <v>1655</v>
      </c>
    </row>
    <row r="145" spans="1:14" s="308" customFormat="1" ht="15.5">
      <c r="A145" s="608">
        <f t="shared" si="8"/>
        <v>141</v>
      </c>
      <c r="B145" s="62">
        <v>29</v>
      </c>
      <c r="C145" s="990" t="s">
        <v>468</v>
      </c>
      <c r="D145" s="62" t="str">
        <f>IFERROR(VLOOKUP(C145,Foundation!$C$5:$D$554,2,0),"")</f>
        <v>DA+9</v>
      </c>
      <c r="E145" s="722">
        <f>F134+1</f>
        <v>45884</v>
      </c>
      <c r="F145" s="722">
        <v>45890</v>
      </c>
      <c r="G145" s="61" t="s">
        <v>1485</v>
      </c>
      <c r="H145" s="554">
        <f t="shared" si="6"/>
        <v>45.697022000000004</v>
      </c>
      <c r="I145" s="760">
        <f t="shared" si="7"/>
        <v>4.2575184245048003</v>
      </c>
      <c r="J145" s="61"/>
      <c r="K145" s="995" t="s">
        <v>255</v>
      </c>
      <c r="L145" s="992" t="s">
        <v>1655</v>
      </c>
    </row>
    <row r="146" spans="1:14" s="308" customFormat="1" ht="15.5">
      <c r="A146" s="608">
        <f t="shared" si="8"/>
        <v>142</v>
      </c>
      <c r="B146" s="62">
        <v>30</v>
      </c>
      <c r="C146" s="990" t="s">
        <v>442</v>
      </c>
      <c r="D146" s="62" t="str">
        <f>IFERROR(VLOOKUP(C146,Foundation!$C$5:$D$554,2,0),"")</f>
        <v>DA-3</v>
      </c>
      <c r="E146" s="722">
        <f>F130+1</f>
        <v>45881</v>
      </c>
      <c r="F146" s="722">
        <v>45890</v>
      </c>
      <c r="G146" s="61" t="s">
        <v>1479</v>
      </c>
      <c r="H146" s="554">
        <f t="shared" si="6"/>
        <v>34.789810000000003</v>
      </c>
      <c r="I146" s="760">
        <f t="shared" si="7"/>
        <v>3.2413109340040003</v>
      </c>
      <c r="J146" s="61" t="s">
        <v>1171</v>
      </c>
      <c r="K146" s="995" t="s">
        <v>255</v>
      </c>
      <c r="L146" s="992" t="s">
        <v>1655</v>
      </c>
    </row>
    <row r="147" spans="1:14" s="308" customFormat="1" ht="15.5">
      <c r="A147" s="608">
        <f t="shared" si="8"/>
        <v>143</v>
      </c>
      <c r="B147" s="62">
        <v>31</v>
      </c>
      <c r="C147" s="990" t="s">
        <v>164</v>
      </c>
      <c r="D147" s="62" t="str">
        <f>IFERROR(VLOOKUP(C147,Foundation!$C$5:$D$554,2,0),"")</f>
        <v>DA+3</v>
      </c>
      <c r="E147" s="722">
        <f>F129+1</f>
        <v>45881</v>
      </c>
      <c r="F147" s="722">
        <v>45891</v>
      </c>
      <c r="G147" s="61" t="s">
        <v>1482</v>
      </c>
      <c r="H147" s="554">
        <f t="shared" si="6"/>
        <v>37.931087999999995</v>
      </c>
      <c r="I147" s="760">
        <f t="shared" si="7"/>
        <v>3.5339787792191997</v>
      </c>
      <c r="J147" s="61" t="s">
        <v>1500</v>
      </c>
      <c r="K147" s="995" t="s">
        <v>255</v>
      </c>
      <c r="L147" s="992" t="s">
        <v>1655</v>
      </c>
    </row>
    <row r="148" spans="1:14" s="308" customFormat="1" ht="15.5">
      <c r="A148" s="608">
        <f t="shared" si="8"/>
        <v>144</v>
      </c>
      <c r="B148" s="62">
        <v>32</v>
      </c>
      <c r="C148" s="990" t="s">
        <v>573</v>
      </c>
      <c r="D148" s="62" t="str">
        <f>IFERROR(VLOOKUP(C148,Foundation!$C$5:$D$554,2,0),"")</f>
        <v>DA+1.5</v>
      </c>
      <c r="E148" s="722">
        <f>F136+1</f>
        <v>45887</v>
      </c>
      <c r="F148" s="722">
        <v>45891</v>
      </c>
      <c r="G148" s="61" t="s">
        <v>1496</v>
      </c>
      <c r="H148" s="554">
        <f t="shared" si="6"/>
        <v>37.138323999999997</v>
      </c>
      <c r="I148" s="760">
        <f t="shared" si="7"/>
        <v>3.4601182257615997</v>
      </c>
      <c r="J148" s="61" t="s">
        <v>1015</v>
      </c>
      <c r="K148" s="995" t="s">
        <v>255</v>
      </c>
      <c r="L148" s="992" t="s">
        <v>1655</v>
      </c>
    </row>
    <row r="149" spans="1:14" s="308" customFormat="1" ht="15.5">
      <c r="A149" s="608">
        <f t="shared" si="8"/>
        <v>145</v>
      </c>
      <c r="B149" s="62">
        <v>33</v>
      </c>
      <c r="C149" s="990" t="s">
        <v>475</v>
      </c>
      <c r="D149" s="62" t="str">
        <f>IFERROR(VLOOKUP(C149,Foundation!$C$5:$D$554,2,0),"")</f>
        <v>DA-1.5</v>
      </c>
      <c r="E149" s="722">
        <v>45888</v>
      </c>
      <c r="F149" s="722">
        <v>45894</v>
      </c>
      <c r="G149" s="61" t="s">
        <v>1487</v>
      </c>
      <c r="H149" s="554">
        <f t="shared" si="6"/>
        <v>35.601761999999994</v>
      </c>
      <c r="I149" s="760">
        <f t="shared" si="7"/>
        <v>3.3169592027207995</v>
      </c>
      <c r="J149" s="61" t="s">
        <v>1148</v>
      </c>
      <c r="K149" s="995" t="s">
        <v>255</v>
      </c>
      <c r="L149" s="992" t="s">
        <v>1655</v>
      </c>
    </row>
    <row r="150" spans="1:14" s="308" customFormat="1" ht="15.5">
      <c r="A150" s="608">
        <f t="shared" si="8"/>
        <v>146</v>
      </c>
      <c r="B150" s="62">
        <v>34</v>
      </c>
      <c r="C150" s="990" t="s">
        <v>370</v>
      </c>
      <c r="D150" s="62" t="str">
        <f>IFERROR(VLOOKUP(C150,Foundation!$C$5:$D$554,2,0),"")</f>
        <v>DA+3</v>
      </c>
      <c r="E150" s="722">
        <f>F138+1</f>
        <v>45889</v>
      </c>
      <c r="F150" s="722">
        <v>45894</v>
      </c>
      <c r="G150" s="61" t="s">
        <v>1495</v>
      </c>
      <c r="H150" s="554">
        <f t="shared" si="6"/>
        <v>37.931087999999995</v>
      </c>
      <c r="I150" s="760">
        <f t="shared" si="7"/>
        <v>3.5339787792191997</v>
      </c>
      <c r="J150" s="61" t="s">
        <v>1498</v>
      </c>
      <c r="K150" s="995" t="s">
        <v>255</v>
      </c>
      <c r="L150" s="992" t="s">
        <v>1655</v>
      </c>
    </row>
    <row r="151" spans="1:14" s="308" customFormat="1" ht="15.5">
      <c r="A151" s="608">
        <f t="shared" si="8"/>
        <v>147</v>
      </c>
      <c r="B151" s="62">
        <v>35</v>
      </c>
      <c r="C151" s="990" t="s">
        <v>643</v>
      </c>
      <c r="D151" s="62" t="str">
        <f>IFERROR(VLOOKUP(C151,Foundation!$C$5:$D$554,2,0),"")</f>
        <v>DA+6</v>
      </c>
      <c r="E151" s="722">
        <f>F139+1</f>
        <v>45889</v>
      </c>
      <c r="F151" s="722">
        <v>45894</v>
      </c>
      <c r="G151" s="61" t="s">
        <v>1481</v>
      </c>
      <c r="H151" s="554">
        <f t="shared" si="6"/>
        <v>43.804423999999997</v>
      </c>
      <c r="I151" s="760">
        <f t="shared" si="7"/>
        <v>4.0811880970015997</v>
      </c>
      <c r="J151" s="61" t="s">
        <v>1483</v>
      </c>
      <c r="K151" s="995" t="s">
        <v>255</v>
      </c>
      <c r="L151" s="992" t="s">
        <v>1655</v>
      </c>
    </row>
    <row r="152" spans="1:14" s="308" customFormat="1" ht="15.5">
      <c r="A152" s="608">
        <f t="shared" si="8"/>
        <v>148</v>
      </c>
      <c r="B152" s="62">
        <v>36</v>
      </c>
      <c r="C152" s="990" t="s">
        <v>450</v>
      </c>
      <c r="D152" s="62" t="str">
        <f>IFERROR(VLOOKUP(C152,Foundation!$C$5:$D$554,2,0),"")</f>
        <v>DA+4.5</v>
      </c>
      <c r="E152" s="722">
        <f>F133+1</f>
        <v>45884</v>
      </c>
      <c r="F152" s="722">
        <v>45894</v>
      </c>
      <c r="G152" s="61" t="s">
        <v>1473</v>
      </c>
      <c r="H152" s="554">
        <f t="shared" si="6"/>
        <v>42.921818999999999</v>
      </c>
      <c r="I152" s="760">
        <f t="shared" si="7"/>
        <v>3.9989572013196</v>
      </c>
      <c r="J152" s="61" t="s">
        <v>1092</v>
      </c>
      <c r="K152" s="995" t="s">
        <v>255</v>
      </c>
      <c r="L152" s="992" t="s">
        <v>1655</v>
      </c>
    </row>
    <row r="153" spans="1:14" s="308" customFormat="1" ht="15.5">
      <c r="A153" s="608">
        <f t="shared" si="8"/>
        <v>149</v>
      </c>
      <c r="B153" s="62">
        <v>37</v>
      </c>
      <c r="C153" s="990" t="s">
        <v>1250</v>
      </c>
      <c r="D153" s="62" t="str">
        <f>IFERROR(VLOOKUP(C153,Foundation!$C$5:$D$554,2,0),"")</f>
        <v>DA+0</v>
      </c>
      <c r="E153" s="722">
        <v>45890</v>
      </c>
      <c r="F153" s="722">
        <v>45896</v>
      </c>
      <c r="G153" s="61" t="s">
        <v>1491</v>
      </c>
      <c r="H153" s="554">
        <f t="shared" si="6"/>
        <v>36.159755999999994</v>
      </c>
      <c r="I153" s="760">
        <f t="shared" si="7"/>
        <v>3.3689466109103994</v>
      </c>
      <c r="J153" s="61" t="s">
        <v>1493</v>
      </c>
      <c r="K153" s="995" t="s">
        <v>255</v>
      </c>
      <c r="L153" s="992" t="s">
        <v>1655</v>
      </c>
    </row>
    <row r="154" spans="1:14" s="308" customFormat="1" ht="15.5">
      <c r="A154" s="608">
        <f t="shared" si="8"/>
        <v>150</v>
      </c>
      <c r="B154" s="62">
        <v>38</v>
      </c>
      <c r="C154" s="990" t="s">
        <v>894</v>
      </c>
      <c r="D154" s="62" t="str">
        <f>IFERROR(VLOOKUP(C154,Foundation!$C$5:$D$554,2,0),"")</f>
        <v>DA+6</v>
      </c>
      <c r="E154" s="722">
        <v>45887</v>
      </c>
      <c r="F154" s="722">
        <v>45897</v>
      </c>
      <c r="G154" s="61" t="s">
        <v>1523</v>
      </c>
      <c r="H154" s="554">
        <f t="shared" si="6"/>
        <v>43.804423999999997</v>
      </c>
      <c r="I154" s="760">
        <f t="shared" si="7"/>
        <v>4.0811880970015997</v>
      </c>
      <c r="J154" s="61" t="s">
        <v>1478</v>
      </c>
      <c r="K154" s="995" t="s">
        <v>255</v>
      </c>
      <c r="L154" s="992" t="s">
        <v>1655</v>
      </c>
    </row>
    <row r="155" spans="1:14" s="308" customFormat="1" ht="15.5">
      <c r="A155" s="608">
        <f t="shared" si="8"/>
        <v>151</v>
      </c>
      <c r="B155" s="62">
        <v>39</v>
      </c>
      <c r="C155" s="990" t="s">
        <v>461</v>
      </c>
      <c r="D155" s="62" t="str">
        <f>IFERROR(VLOOKUP(C155,Foundation!$C$5:$D$554,2,0),"")</f>
        <v>DA+6</v>
      </c>
      <c r="E155" s="722">
        <f>F140</f>
        <v>45889</v>
      </c>
      <c r="F155" s="722">
        <v>45897</v>
      </c>
      <c r="G155" s="61" t="s">
        <v>1492</v>
      </c>
      <c r="H155" s="554">
        <f t="shared" si="6"/>
        <v>43.804423999999997</v>
      </c>
      <c r="I155" s="760">
        <f t="shared" si="7"/>
        <v>4.0811880970015997</v>
      </c>
      <c r="J155" s="61" t="s">
        <v>1501</v>
      </c>
      <c r="K155" s="995" t="s">
        <v>255</v>
      </c>
      <c r="L155" s="992" t="s">
        <v>1655</v>
      </c>
    </row>
    <row r="156" spans="1:14" s="308" customFormat="1" ht="15.5">
      <c r="A156" s="608">
        <f t="shared" si="8"/>
        <v>152</v>
      </c>
      <c r="B156" s="62">
        <v>40</v>
      </c>
      <c r="C156" s="990" t="s">
        <v>471</v>
      </c>
      <c r="D156" s="62" t="str">
        <f>IFERROR(VLOOKUP(C156,Foundation!$C$5:$D$554,2,0),"")</f>
        <v>DA+1.5</v>
      </c>
      <c r="E156" s="722">
        <f>F143+1</f>
        <v>45891</v>
      </c>
      <c r="F156" s="722">
        <v>45897</v>
      </c>
      <c r="G156" s="61" t="s">
        <v>1488</v>
      </c>
      <c r="H156" s="554">
        <f t="shared" si="6"/>
        <v>37.138323999999997</v>
      </c>
      <c r="I156" s="760">
        <f t="shared" si="7"/>
        <v>3.4601182257615997</v>
      </c>
      <c r="J156" s="61" t="s">
        <v>1499</v>
      </c>
      <c r="K156" s="995" t="s">
        <v>255</v>
      </c>
      <c r="L156" s="992" t="s">
        <v>1655</v>
      </c>
    </row>
    <row r="157" spans="1:14" s="308" customFormat="1" ht="15.5">
      <c r="A157" s="608">
        <f t="shared" si="8"/>
        <v>153</v>
      </c>
      <c r="B157" s="62">
        <v>41</v>
      </c>
      <c r="C157" s="990" t="s">
        <v>466</v>
      </c>
      <c r="D157" s="62" t="str">
        <f>IFERROR(VLOOKUP(C157,Foundation!$C$5:$D$554,2,0),"")</f>
        <v>DA+9</v>
      </c>
      <c r="E157" s="722">
        <f>F144+1</f>
        <v>45891</v>
      </c>
      <c r="F157" s="722">
        <v>45897</v>
      </c>
      <c r="G157" s="61" t="s">
        <v>1485</v>
      </c>
      <c r="H157" s="554">
        <f t="shared" si="6"/>
        <v>45.697022000000004</v>
      </c>
      <c r="I157" s="760">
        <f t="shared" si="7"/>
        <v>4.2575184245048003</v>
      </c>
      <c r="J157" s="61" t="s">
        <v>1478</v>
      </c>
      <c r="K157" s="995" t="s">
        <v>255</v>
      </c>
      <c r="L157" s="992" t="s">
        <v>1655</v>
      </c>
    </row>
    <row r="158" spans="1:14" s="308" customFormat="1" ht="15.5">
      <c r="A158" s="608">
        <f t="shared" si="8"/>
        <v>154</v>
      </c>
      <c r="B158" s="62">
        <v>42</v>
      </c>
      <c r="C158" s="990" t="s">
        <v>406</v>
      </c>
      <c r="D158" s="62" t="str">
        <f>IFERROR(VLOOKUP(C158,Foundation!$C$5:$D$554,2,0),"")</f>
        <v>DA+9</v>
      </c>
      <c r="E158" s="722">
        <v>45892</v>
      </c>
      <c r="F158" s="722">
        <v>45898</v>
      </c>
      <c r="G158" s="61" t="s">
        <v>1495</v>
      </c>
      <c r="H158" s="554">
        <f t="shared" si="6"/>
        <v>45.697022000000004</v>
      </c>
      <c r="I158" s="760">
        <f t="shared" si="7"/>
        <v>4.2575184245048003</v>
      </c>
      <c r="J158" s="61" t="s">
        <v>1498</v>
      </c>
      <c r="K158" s="995" t="s">
        <v>255</v>
      </c>
      <c r="L158" s="992" t="s">
        <v>1655</v>
      </c>
    </row>
    <row r="159" spans="1:14" s="308" customFormat="1" ht="15.5">
      <c r="A159" s="608">
        <f t="shared" si="8"/>
        <v>155</v>
      </c>
      <c r="B159" s="62">
        <v>43</v>
      </c>
      <c r="C159" s="990" t="s">
        <v>571</v>
      </c>
      <c r="D159" s="62" t="str">
        <f>IFERROR(VLOOKUP(C159,Foundation!$C$5:$D$554,2,0),"")</f>
        <v>DA+6</v>
      </c>
      <c r="E159" s="722">
        <v>45892</v>
      </c>
      <c r="F159" s="722">
        <v>45899</v>
      </c>
      <c r="G159" s="61" t="s">
        <v>1496</v>
      </c>
      <c r="H159" s="554">
        <f t="shared" si="6"/>
        <v>43.804423999999997</v>
      </c>
      <c r="I159" s="760">
        <f t="shared" si="7"/>
        <v>4.0811880970015997</v>
      </c>
      <c r="J159" s="61" t="s">
        <v>1015</v>
      </c>
      <c r="K159" s="995" t="s">
        <v>255</v>
      </c>
      <c r="L159" s="992" t="s">
        <v>1655</v>
      </c>
    </row>
    <row r="160" spans="1:14" s="308" customFormat="1" ht="15.5">
      <c r="A160" s="608">
        <f t="shared" si="8"/>
        <v>156</v>
      </c>
      <c r="B160" s="62">
        <v>44</v>
      </c>
      <c r="C160" s="990" t="s">
        <v>444</v>
      </c>
      <c r="D160" s="62" t="str">
        <f>IFERROR(VLOOKUP(C160,Foundation!$C$5:$D$554,2,0),"")</f>
        <v>DA-1.5</v>
      </c>
      <c r="E160" s="722">
        <f>F145+1</f>
        <v>45891</v>
      </c>
      <c r="F160" s="722">
        <v>45900</v>
      </c>
      <c r="G160" s="61" t="s">
        <v>1479</v>
      </c>
      <c r="H160" s="554">
        <f t="shared" si="6"/>
        <v>35.601761999999994</v>
      </c>
      <c r="I160" s="760">
        <f t="shared" si="7"/>
        <v>3.3169592027207995</v>
      </c>
      <c r="J160" s="61" t="s">
        <v>1171</v>
      </c>
      <c r="K160" s="995" t="s">
        <v>255</v>
      </c>
      <c r="L160" s="992" t="s">
        <v>1655</v>
      </c>
      <c r="M160" s="308" t="s">
        <v>1743</v>
      </c>
      <c r="N160" s="308" t="s">
        <v>1744</v>
      </c>
    </row>
    <row r="161" spans="1:14" s="308" customFormat="1" ht="15.5">
      <c r="A161" s="608">
        <f t="shared" si="8"/>
        <v>157</v>
      </c>
      <c r="B161" s="62">
        <v>1</v>
      </c>
      <c r="C161" s="990" t="s">
        <v>672</v>
      </c>
      <c r="D161" s="62" t="str">
        <f>IFERROR(VLOOKUP(C161,Foundation!$C$5:$D$554,2,0),"")</f>
        <v>DB1+12</v>
      </c>
      <c r="E161" s="722">
        <f>F142+1</f>
        <v>45891</v>
      </c>
      <c r="F161" s="722">
        <v>45901</v>
      </c>
      <c r="G161" s="61" t="s">
        <v>1484</v>
      </c>
      <c r="H161" s="554">
        <f t="shared" si="6"/>
        <v>70.788264999999996</v>
      </c>
      <c r="I161" s="760">
        <f t="shared" si="7"/>
        <v>6.5952293888259996</v>
      </c>
      <c r="J161" s="61" t="s">
        <v>1477</v>
      </c>
      <c r="K161" s="995" t="s">
        <v>255</v>
      </c>
      <c r="L161" s="992" t="s">
        <v>1655</v>
      </c>
      <c r="M161" s="308" t="s">
        <v>1689</v>
      </c>
      <c r="N161" s="308" t="s">
        <v>1690</v>
      </c>
    </row>
    <row r="162" spans="1:14" s="308" customFormat="1" ht="15.5">
      <c r="A162" s="608">
        <f t="shared" si="8"/>
        <v>158</v>
      </c>
      <c r="B162" s="62">
        <v>2</v>
      </c>
      <c r="C162" s="990" t="s">
        <v>774</v>
      </c>
      <c r="D162" s="62" t="str">
        <f>IFERROR(VLOOKUP(C162,Foundation!$C$5:$D$554,2,0),"")</f>
        <v>DA+6</v>
      </c>
      <c r="E162" s="722">
        <v>45883</v>
      </c>
      <c r="F162" s="722">
        <v>45902</v>
      </c>
      <c r="G162" s="61" t="s">
        <v>1497</v>
      </c>
      <c r="H162" s="554">
        <f t="shared" si="6"/>
        <v>43.804423999999997</v>
      </c>
      <c r="I162" s="760">
        <f t="shared" si="7"/>
        <v>4.0811880970015997</v>
      </c>
      <c r="J162" s="61" t="s">
        <v>1141</v>
      </c>
      <c r="K162" s="995" t="s">
        <v>255</v>
      </c>
      <c r="L162" s="995" t="s">
        <v>1655</v>
      </c>
      <c r="M162" s="308" t="s">
        <v>1691</v>
      </c>
      <c r="N162" s="308" t="s">
        <v>1692</v>
      </c>
    </row>
    <row r="163" spans="1:14" s="308" customFormat="1" ht="15.5">
      <c r="A163" s="608">
        <f t="shared" si="8"/>
        <v>159</v>
      </c>
      <c r="B163" s="62">
        <v>3</v>
      </c>
      <c r="C163" s="990" t="s">
        <v>473</v>
      </c>
      <c r="D163" s="62" t="str">
        <f>IFERROR(VLOOKUP(C163,Foundation!$C$5:$D$554,2,0),"")</f>
        <v>DA+6</v>
      </c>
      <c r="E163" s="722">
        <v>45892</v>
      </c>
      <c r="F163" s="722">
        <v>45902</v>
      </c>
      <c r="G163" s="61" t="s">
        <v>1488</v>
      </c>
      <c r="H163" s="554">
        <f t="shared" ref="H163:H226" si="9">VLOOKUP(D163,$D$316:$I$345,6,0)</f>
        <v>43.804423999999997</v>
      </c>
      <c r="I163" s="760">
        <f t="shared" si="7"/>
        <v>4.0811880970015997</v>
      </c>
      <c r="J163" s="61" t="s">
        <v>1148</v>
      </c>
      <c r="K163" s="995" t="s">
        <v>255</v>
      </c>
      <c r="L163" s="992" t="s">
        <v>1655</v>
      </c>
      <c r="M163" s="308" t="s">
        <v>1691</v>
      </c>
      <c r="N163" s="308" t="s">
        <v>1692</v>
      </c>
    </row>
    <row r="164" spans="1:14" s="308" customFormat="1" ht="15.5">
      <c r="A164" s="608">
        <f t="shared" si="8"/>
        <v>160</v>
      </c>
      <c r="B164" s="62">
        <v>4</v>
      </c>
      <c r="C164" s="990" t="s">
        <v>1251</v>
      </c>
      <c r="D164" s="62" t="str">
        <f>IFERROR(VLOOKUP(C164,Foundation!$C$5:$D$554,2,0),"")</f>
        <v>DA+3</v>
      </c>
      <c r="E164" s="722">
        <f>F153+1</f>
        <v>45897</v>
      </c>
      <c r="F164" s="722">
        <v>45902</v>
      </c>
      <c r="G164" s="61" t="s">
        <v>1491</v>
      </c>
      <c r="H164" s="554">
        <f t="shared" si="9"/>
        <v>37.931087999999995</v>
      </c>
      <c r="I164" s="760">
        <f t="shared" si="7"/>
        <v>3.5339787792191997</v>
      </c>
      <c r="J164" s="61" t="s">
        <v>1493</v>
      </c>
      <c r="K164" s="995" t="s">
        <v>255</v>
      </c>
      <c r="L164" s="992" t="s">
        <v>1655</v>
      </c>
      <c r="M164" s="308" t="s">
        <v>1693</v>
      </c>
      <c r="N164" s="308" t="s">
        <v>1694</v>
      </c>
    </row>
    <row r="165" spans="1:14" s="308" customFormat="1" ht="15.5">
      <c r="A165" s="608">
        <f t="shared" si="8"/>
        <v>161</v>
      </c>
      <c r="B165" s="62">
        <v>5</v>
      </c>
      <c r="C165" s="990" t="s">
        <v>644</v>
      </c>
      <c r="D165" s="62" t="str">
        <f>IFERROR(VLOOKUP(C165,Foundation!$C$5:$D$554,2,0),"")</f>
        <v>DA-1.5</v>
      </c>
      <c r="E165" s="722">
        <v>45892</v>
      </c>
      <c r="F165" s="722">
        <v>45902</v>
      </c>
      <c r="G165" s="61" t="s">
        <v>1481</v>
      </c>
      <c r="H165" s="554">
        <f t="shared" si="9"/>
        <v>35.601761999999994</v>
      </c>
      <c r="I165" s="760">
        <f t="shared" si="7"/>
        <v>3.3169592027207995</v>
      </c>
      <c r="J165" s="61" t="s">
        <v>1483</v>
      </c>
      <c r="K165" s="995" t="s">
        <v>255</v>
      </c>
      <c r="L165" s="992" t="s">
        <v>1655</v>
      </c>
      <c r="M165" s="308" t="s">
        <v>1695</v>
      </c>
      <c r="N165" s="308" t="s">
        <v>1696</v>
      </c>
    </row>
    <row r="166" spans="1:14" s="308" customFormat="1" ht="15.5">
      <c r="A166" s="608">
        <f t="shared" si="8"/>
        <v>162</v>
      </c>
      <c r="B166" s="62">
        <v>6</v>
      </c>
      <c r="C166" s="990" t="s">
        <v>445</v>
      </c>
      <c r="D166" s="62" t="str">
        <f>IFERROR(VLOOKUP(C166,Foundation!$C$5:$D$554,2,0),"")</f>
        <v>DA+6</v>
      </c>
      <c r="E166" s="722">
        <v>45892</v>
      </c>
      <c r="F166" s="722">
        <v>45903</v>
      </c>
      <c r="G166" s="61" t="s">
        <v>1482</v>
      </c>
      <c r="H166" s="554">
        <f t="shared" si="9"/>
        <v>43.804423999999997</v>
      </c>
      <c r="I166" s="760">
        <f t="shared" si="7"/>
        <v>4.0811880970015997</v>
      </c>
      <c r="J166" s="61" t="s">
        <v>1500</v>
      </c>
      <c r="K166" s="995" t="s">
        <v>255</v>
      </c>
      <c r="L166" s="992" t="s">
        <v>1655</v>
      </c>
      <c r="M166" s="308" t="s">
        <v>1691</v>
      </c>
      <c r="N166" s="308" t="s">
        <v>1692</v>
      </c>
    </row>
    <row r="167" spans="1:14" s="308" customFormat="1" ht="15.5">
      <c r="A167" s="608">
        <f t="shared" si="8"/>
        <v>163</v>
      </c>
      <c r="B167" s="62">
        <v>7</v>
      </c>
      <c r="C167" s="990" t="s">
        <v>449</v>
      </c>
      <c r="D167" s="62" t="str">
        <f>IFERROR(VLOOKUP(C167,Foundation!$C$5:$D$554,2,0),"")</f>
        <v>DA+1.5</v>
      </c>
      <c r="E167" s="722">
        <v>45892</v>
      </c>
      <c r="F167" s="722">
        <v>45903</v>
      </c>
      <c r="G167" s="61" t="s">
        <v>1473</v>
      </c>
      <c r="H167" s="554">
        <f t="shared" si="9"/>
        <v>37.138323999999997</v>
      </c>
      <c r="I167" s="760">
        <f t="shared" si="7"/>
        <v>3.4601182257615997</v>
      </c>
      <c r="J167" s="61" t="s">
        <v>1092</v>
      </c>
      <c r="K167" s="995" t="s">
        <v>255</v>
      </c>
      <c r="L167" s="992" t="s">
        <v>1655</v>
      </c>
      <c r="M167" s="308" t="s">
        <v>1697</v>
      </c>
      <c r="N167" s="308" t="s">
        <v>1698</v>
      </c>
    </row>
    <row r="168" spans="1:14" s="308" customFormat="1" ht="15.5">
      <c r="A168" s="608">
        <f t="shared" si="8"/>
        <v>164</v>
      </c>
      <c r="B168" s="62">
        <v>8</v>
      </c>
      <c r="C168" s="990" t="s">
        <v>1238</v>
      </c>
      <c r="D168" s="62" t="str">
        <f>IFERROR(VLOOKUP(C168,Foundation!$C$5:$D$554,2,0),"")</f>
        <v>DA+3</v>
      </c>
      <c r="E168" s="722">
        <v>45894</v>
      </c>
      <c r="F168" s="722">
        <v>45903</v>
      </c>
      <c r="G168" s="61" t="s">
        <v>1520</v>
      </c>
      <c r="H168" s="554">
        <f t="shared" si="9"/>
        <v>37.931087999999995</v>
      </c>
      <c r="I168" s="760">
        <f t="shared" si="7"/>
        <v>3.5339787792191997</v>
      </c>
      <c r="J168" s="61" t="s">
        <v>1489</v>
      </c>
      <c r="K168" s="995" t="s">
        <v>255</v>
      </c>
      <c r="L168" s="992" t="s">
        <v>1655</v>
      </c>
      <c r="M168" s="308" t="s">
        <v>1693</v>
      </c>
      <c r="N168" s="308" t="s">
        <v>1694</v>
      </c>
    </row>
    <row r="169" spans="1:14" s="308" customFormat="1" ht="15.5">
      <c r="A169" s="608">
        <f t="shared" si="8"/>
        <v>165</v>
      </c>
      <c r="B169" s="62">
        <v>9</v>
      </c>
      <c r="C169" s="990" t="s">
        <v>70</v>
      </c>
      <c r="D169" s="62" t="str">
        <f>IFERROR(VLOOKUP(C169,Foundation!$C$5:$D$554,2,0),"")</f>
        <v>DA+3</v>
      </c>
      <c r="E169" s="722">
        <f>F159+1</f>
        <v>45900</v>
      </c>
      <c r="F169" s="722">
        <v>45904</v>
      </c>
      <c r="G169" s="61" t="s">
        <v>1496</v>
      </c>
      <c r="H169" s="554">
        <f t="shared" si="9"/>
        <v>37.931087999999995</v>
      </c>
      <c r="I169" s="760">
        <f t="shared" si="7"/>
        <v>3.5339787792191997</v>
      </c>
      <c r="J169" s="61" t="s">
        <v>1015</v>
      </c>
      <c r="K169" s="995" t="s">
        <v>255</v>
      </c>
      <c r="L169" s="992" t="s">
        <v>1655</v>
      </c>
      <c r="M169" s="308" t="s">
        <v>1693</v>
      </c>
      <c r="N169" s="308" t="s">
        <v>1694</v>
      </c>
    </row>
    <row r="170" spans="1:14" s="308" customFormat="1" ht="15.5">
      <c r="A170" s="608">
        <f t="shared" si="8"/>
        <v>166</v>
      </c>
      <c r="B170" s="62">
        <v>10</v>
      </c>
      <c r="C170" s="990" t="s">
        <v>465</v>
      </c>
      <c r="D170" s="62" t="str">
        <f>IFERROR(VLOOKUP(C170,Foundation!$C$5:$D$554,2,0),"")</f>
        <v>DA+6</v>
      </c>
      <c r="E170" s="722">
        <f>F156+1</f>
        <v>45898</v>
      </c>
      <c r="F170" s="722">
        <v>45905</v>
      </c>
      <c r="G170" s="61" t="s">
        <v>1485</v>
      </c>
      <c r="H170" s="554">
        <f t="shared" si="9"/>
        <v>43.804423999999997</v>
      </c>
      <c r="I170" s="760">
        <f t="shared" si="7"/>
        <v>4.0811880970015997</v>
      </c>
      <c r="J170" s="61" t="s">
        <v>1499</v>
      </c>
      <c r="K170" s="995" t="s">
        <v>255</v>
      </c>
      <c r="L170" s="992" t="s">
        <v>1655</v>
      </c>
      <c r="M170" s="308" t="s">
        <v>1691</v>
      </c>
      <c r="N170" s="308" t="s">
        <v>1692</v>
      </c>
    </row>
    <row r="171" spans="1:14" s="308" customFormat="1" ht="15.5">
      <c r="A171" s="608">
        <f t="shared" si="8"/>
        <v>167</v>
      </c>
      <c r="B171" s="62">
        <v>11</v>
      </c>
      <c r="C171" s="990" t="s">
        <v>472</v>
      </c>
      <c r="D171" s="62" t="str">
        <f>IFERROR(VLOOKUP(C171,Foundation!$C$5:$D$554,2,0),"")</f>
        <v>DA+3</v>
      </c>
      <c r="E171" s="722">
        <f>F157+1</f>
        <v>45898</v>
      </c>
      <c r="F171" s="722">
        <v>45906</v>
      </c>
      <c r="G171" s="61" t="s">
        <v>1488</v>
      </c>
      <c r="H171" s="554">
        <f t="shared" si="9"/>
        <v>37.931087999999995</v>
      </c>
      <c r="I171" s="760">
        <f t="shared" si="7"/>
        <v>3.5339787792191997</v>
      </c>
      <c r="J171" s="61" t="s">
        <v>1478</v>
      </c>
      <c r="K171" s="995" t="s">
        <v>255</v>
      </c>
      <c r="L171" s="992" t="s">
        <v>1655</v>
      </c>
      <c r="M171" s="308" t="s">
        <v>1693</v>
      </c>
      <c r="N171" s="308" t="s">
        <v>1694</v>
      </c>
    </row>
    <row r="172" spans="1:14" s="308" customFormat="1" ht="15.5">
      <c r="A172" s="608">
        <f t="shared" si="8"/>
        <v>168</v>
      </c>
      <c r="B172" s="62">
        <v>12</v>
      </c>
      <c r="C172" s="990" t="s">
        <v>263</v>
      </c>
      <c r="D172" s="62" t="str">
        <f>IFERROR(VLOOKUP(C172,Foundation!$C$5:$D$554,2,0),"")</f>
        <v>DB1+12</v>
      </c>
      <c r="E172" s="722">
        <f>F158+1</f>
        <v>45899</v>
      </c>
      <c r="F172" s="722">
        <v>45906</v>
      </c>
      <c r="G172" s="61" t="s">
        <v>1495</v>
      </c>
      <c r="H172" s="554">
        <f t="shared" si="9"/>
        <v>70.788264999999996</v>
      </c>
      <c r="I172" s="760">
        <f t="shared" si="7"/>
        <v>6.5952293888259996</v>
      </c>
      <c r="J172" s="61" t="s">
        <v>1498</v>
      </c>
      <c r="K172" s="995" t="s">
        <v>255</v>
      </c>
      <c r="L172" s="992" t="s">
        <v>1655</v>
      </c>
      <c r="M172" s="308" t="s">
        <v>1689</v>
      </c>
      <c r="N172" s="308" t="s">
        <v>1690</v>
      </c>
    </row>
    <row r="173" spans="1:14" s="308" customFormat="1" ht="15.5">
      <c r="A173" s="608">
        <f t="shared" si="8"/>
        <v>169</v>
      </c>
      <c r="B173" s="62">
        <v>13</v>
      </c>
      <c r="C173" s="990" t="s">
        <v>893</v>
      </c>
      <c r="D173" s="62" t="str">
        <f>IFERROR(VLOOKUP(C173,Foundation!$C$5:$D$554,2,0),"")</f>
        <v>DA+9</v>
      </c>
      <c r="E173" s="722">
        <f>F154+1</f>
        <v>45898</v>
      </c>
      <c r="F173" s="722">
        <v>45906</v>
      </c>
      <c r="G173" s="61" t="s">
        <v>1523</v>
      </c>
      <c r="H173" s="554">
        <f t="shared" si="9"/>
        <v>45.697022000000004</v>
      </c>
      <c r="I173" s="760">
        <f t="shared" si="7"/>
        <v>4.2575184245048003</v>
      </c>
      <c r="J173" s="61" t="s">
        <v>1478</v>
      </c>
      <c r="K173" s="995" t="s">
        <v>255</v>
      </c>
      <c r="L173" s="992" t="s">
        <v>1655</v>
      </c>
      <c r="M173" s="308" t="s">
        <v>1699</v>
      </c>
      <c r="N173" s="308" t="s">
        <v>1700</v>
      </c>
    </row>
    <row r="174" spans="1:14" s="308" customFormat="1" ht="15.5">
      <c r="A174" s="608">
        <f t="shared" si="8"/>
        <v>170</v>
      </c>
      <c r="B174" s="62">
        <v>14</v>
      </c>
      <c r="C174" s="990" t="s">
        <v>645</v>
      </c>
      <c r="D174" s="62" t="str">
        <f>IFERROR(VLOOKUP(C174,Foundation!$C$5:$D$554,2,0),"")</f>
        <v>DA+0</v>
      </c>
      <c r="E174" s="722">
        <f>F165+1</f>
        <v>45903</v>
      </c>
      <c r="F174" s="722">
        <v>45907</v>
      </c>
      <c r="G174" s="61" t="s">
        <v>1481</v>
      </c>
      <c r="H174" s="554">
        <f t="shared" si="9"/>
        <v>36.159755999999994</v>
      </c>
      <c r="I174" s="760">
        <f t="shared" si="7"/>
        <v>3.3689466109103994</v>
      </c>
      <c r="J174" s="61" t="s">
        <v>1483</v>
      </c>
      <c r="K174" s="995" t="s">
        <v>255</v>
      </c>
      <c r="L174" s="992" t="s">
        <v>1655</v>
      </c>
      <c r="M174" s="308" t="s">
        <v>1701</v>
      </c>
      <c r="N174" s="308" t="s">
        <v>1702</v>
      </c>
    </row>
    <row r="175" spans="1:14" s="308" customFormat="1" ht="15.5">
      <c r="A175" s="608">
        <f t="shared" si="8"/>
        <v>171</v>
      </c>
      <c r="B175" s="62">
        <v>15</v>
      </c>
      <c r="C175" s="990" t="s">
        <v>460</v>
      </c>
      <c r="D175" s="62" t="str">
        <f>IFERROR(VLOOKUP(C175,Foundation!$C$5:$D$554,2,0),"")</f>
        <v>DA-1.5</v>
      </c>
      <c r="E175" s="722">
        <f>F155+1</f>
        <v>45898</v>
      </c>
      <c r="F175" s="722">
        <v>45908</v>
      </c>
      <c r="G175" s="61" t="s">
        <v>1492</v>
      </c>
      <c r="H175" s="554">
        <f t="shared" si="9"/>
        <v>35.601761999999994</v>
      </c>
      <c r="I175" s="760">
        <f t="shared" si="7"/>
        <v>3.3169592027207995</v>
      </c>
      <c r="J175" s="61" t="s">
        <v>1501</v>
      </c>
      <c r="K175" s="995" t="s">
        <v>255</v>
      </c>
      <c r="L175" s="992" t="s">
        <v>1655</v>
      </c>
      <c r="M175" s="308" t="s">
        <v>1695</v>
      </c>
      <c r="N175" s="308" t="s">
        <v>1696</v>
      </c>
    </row>
    <row r="176" spans="1:14" s="308" customFormat="1" ht="15.5">
      <c r="A176" s="608">
        <f t="shared" si="8"/>
        <v>172</v>
      </c>
      <c r="B176" s="62">
        <v>16</v>
      </c>
      <c r="C176" s="990" t="s">
        <v>1252</v>
      </c>
      <c r="D176" s="62" t="str">
        <f>IFERROR(VLOOKUP(C176,Foundation!$C$5:$D$554,2,0),"")</f>
        <v>DA+3</v>
      </c>
      <c r="E176" s="722">
        <f>F164+1</f>
        <v>45903</v>
      </c>
      <c r="F176" s="722">
        <v>45908</v>
      </c>
      <c r="G176" s="61" t="s">
        <v>1491</v>
      </c>
      <c r="H176" s="554">
        <f t="shared" si="9"/>
        <v>37.931087999999995</v>
      </c>
      <c r="I176" s="760">
        <f t="shared" si="7"/>
        <v>3.5339787792191997</v>
      </c>
      <c r="J176" s="61" t="s">
        <v>1493</v>
      </c>
      <c r="K176" s="995" t="s">
        <v>255</v>
      </c>
      <c r="L176" s="992" t="s">
        <v>1655</v>
      </c>
      <c r="M176" s="308" t="s">
        <v>1693</v>
      </c>
      <c r="N176" s="308" t="s">
        <v>1694</v>
      </c>
    </row>
    <row r="177" spans="1:15" s="308" customFormat="1" ht="15.5">
      <c r="A177" s="608">
        <f t="shared" si="8"/>
        <v>173</v>
      </c>
      <c r="B177" s="62">
        <v>17</v>
      </c>
      <c r="C177" s="990" t="s">
        <v>895</v>
      </c>
      <c r="D177" s="62" t="str">
        <f>IFERROR(VLOOKUP(C177,Foundation!$C$5:$D$554,2,0),"")</f>
        <v>DA+9</v>
      </c>
      <c r="E177" s="722">
        <v>45894</v>
      </c>
      <c r="F177" s="722">
        <v>45908</v>
      </c>
      <c r="G177" s="61" t="s">
        <v>1524</v>
      </c>
      <c r="H177" s="554">
        <f t="shared" si="9"/>
        <v>45.697022000000004</v>
      </c>
      <c r="I177" s="760">
        <f t="shared" si="7"/>
        <v>4.2575184245048003</v>
      </c>
      <c r="J177" s="61" t="s">
        <v>1478</v>
      </c>
      <c r="K177" s="995" t="s">
        <v>255</v>
      </c>
      <c r="L177" s="992" t="s">
        <v>1655</v>
      </c>
      <c r="M177" s="308" t="s">
        <v>1699</v>
      </c>
      <c r="N177" s="308" t="s">
        <v>1700</v>
      </c>
    </row>
    <row r="178" spans="1:15" s="308" customFormat="1" ht="15.5">
      <c r="A178" s="608">
        <f t="shared" si="8"/>
        <v>174</v>
      </c>
      <c r="B178" s="62">
        <v>18</v>
      </c>
      <c r="C178" s="990" t="s">
        <v>439</v>
      </c>
      <c r="D178" s="62" t="str">
        <f>IFERROR(VLOOKUP(C178,Foundation!$C$5:$D$554,2,0),"")</f>
        <v>DA+6</v>
      </c>
      <c r="E178" s="722">
        <v>45898</v>
      </c>
      <c r="F178" s="722">
        <v>45908</v>
      </c>
      <c r="G178" s="61" t="s">
        <v>1521</v>
      </c>
      <c r="H178" s="554">
        <f t="shared" si="9"/>
        <v>43.804423999999997</v>
      </c>
      <c r="I178" s="760">
        <f t="shared" si="7"/>
        <v>4.0811880970015997</v>
      </c>
      <c r="J178" s="61" t="s">
        <v>1531</v>
      </c>
      <c r="K178" s="995" t="s">
        <v>255</v>
      </c>
      <c r="L178" s="995" t="s">
        <v>1655</v>
      </c>
      <c r="M178" s="308" t="s">
        <v>1691</v>
      </c>
      <c r="N178" s="308" t="s">
        <v>1692</v>
      </c>
    </row>
    <row r="179" spans="1:15" s="308" customFormat="1" ht="15.5">
      <c r="A179" s="608">
        <f t="shared" si="8"/>
        <v>175</v>
      </c>
      <c r="B179" s="62">
        <v>19</v>
      </c>
      <c r="C179" s="990" t="s">
        <v>463</v>
      </c>
      <c r="D179" s="62" t="str">
        <f>IFERROR(VLOOKUP(C179,Foundation!$C$5:$D$554,2,0),"")</f>
        <v>DA+9</v>
      </c>
      <c r="E179" s="722">
        <f>F161+1</f>
        <v>45902</v>
      </c>
      <c r="F179" s="722">
        <v>45909</v>
      </c>
      <c r="G179" s="61" t="s">
        <v>1484</v>
      </c>
      <c r="H179" s="554">
        <f t="shared" si="9"/>
        <v>45.697022000000004</v>
      </c>
      <c r="I179" s="760">
        <f t="shared" si="7"/>
        <v>4.2575184245048003</v>
      </c>
      <c r="J179" s="61" t="s">
        <v>1477</v>
      </c>
      <c r="K179" s="995" t="s">
        <v>255</v>
      </c>
      <c r="L179" s="992" t="s">
        <v>1655</v>
      </c>
      <c r="M179" s="308" t="s">
        <v>1699</v>
      </c>
      <c r="N179" s="308" t="s">
        <v>1700</v>
      </c>
    </row>
    <row r="180" spans="1:15" s="308" customFormat="1" ht="15.5">
      <c r="A180" s="608">
        <f t="shared" si="8"/>
        <v>176</v>
      </c>
      <c r="B180" s="62">
        <v>20</v>
      </c>
      <c r="C180" s="990" t="s">
        <v>1240</v>
      </c>
      <c r="D180" s="62" t="str">
        <f>IFERROR(VLOOKUP(C180,Foundation!$C$5:$D$554,2,0),"")</f>
        <v>DA+3</v>
      </c>
      <c r="E180" s="722">
        <v>45904</v>
      </c>
      <c r="F180" s="722">
        <v>45909</v>
      </c>
      <c r="G180" s="61" t="s">
        <v>1520</v>
      </c>
      <c r="H180" s="554">
        <f t="shared" si="9"/>
        <v>37.931087999999995</v>
      </c>
      <c r="I180" s="760">
        <f t="shared" si="7"/>
        <v>3.5339787792191997</v>
      </c>
      <c r="J180" s="61" t="s">
        <v>1489</v>
      </c>
      <c r="K180" s="995" t="s">
        <v>255</v>
      </c>
      <c r="L180" s="992" t="s">
        <v>1655</v>
      </c>
      <c r="M180" s="308" t="s">
        <v>1693</v>
      </c>
      <c r="N180" s="308" t="s">
        <v>1694</v>
      </c>
    </row>
    <row r="181" spans="1:15" s="308" customFormat="1" ht="15.5">
      <c r="A181" s="608">
        <f t="shared" si="8"/>
        <v>177</v>
      </c>
      <c r="B181" s="62">
        <v>21</v>
      </c>
      <c r="C181" s="990" t="s">
        <v>187</v>
      </c>
      <c r="D181" s="62" t="str">
        <f>IFERROR(VLOOKUP(C181,Foundation!$C$5:$D$554,2,0),"")</f>
        <v>DA+3</v>
      </c>
      <c r="E181" s="722">
        <v>45905</v>
      </c>
      <c r="F181" s="722">
        <v>45909</v>
      </c>
      <c r="G181" s="61" t="s">
        <v>1496</v>
      </c>
      <c r="H181" s="554">
        <f t="shared" si="9"/>
        <v>37.931087999999995</v>
      </c>
      <c r="I181" s="760">
        <f t="shared" si="7"/>
        <v>3.5339787792191997</v>
      </c>
      <c r="J181" s="61" t="s">
        <v>1015</v>
      </c>
      <c r="K181" s="995" t="s">
        <v>255</v>
      </c>
      <c r="L181" s="992" t="s">
        <v>1655</v>
      </c>
      <c r="M181" s="308" t="s">
        <v>1693</v>
      </c>
      <c r="N181" s="308" t="s">
        <v>1694</v>
      </c>
    </row>
    <row r="182" spans="1:15" s="308" customFormat="1" ht="15.5">
      <c r="A182" s="608">
        <f t="shared" si="8"/>
        <v>178</v>
      </c>
      <c r="B182" s="62">
        <v>22</v>
      </c>
      <c r="C182" s="990" t="s">
        <v>68</v>
      </c>
      <c r="D182" s="62" t="str">
        <f>IFERROR(VLOOKUP(C182,Foundation!$C$5:$D$554,2,0),"")</f>
        <v>DA+9</v>
      </c>
      <c r="E182" s="722">
        <v>45894</v>
      </c>
      <c r="F182" s="722">
        <v>45910</v>
      </c>
      <c r="G182" s="61" t="s">
        <v>1525</v>
      </c>
      <c r="H182" s="554">
        <f t="shared" si="9"/>
        <v>45.697022000000004</v>
      </c>
      <c r="I182" s="760">
        <f t="shared" si="7"/>
        <v>4.2575184245048003</v>
      </c>
      <c r="J182" s="61" t="s">
        <v>1526</v>
      </c>
      <c r="K182" s="995" t="s">
        <v>255</v>
      </c>
      <c r="L182" s="995" t="s">
        <v>1655</v>
      </c>
      <c r="M182" s="308" t="s">
        <v>1699</v>
      </c>
      <c r="N182" s="308" t="s">
        <v>1700</v>
      </c>
    </row>
    <row r="183" spans="1:15" s="308" customFormat="1" ht="15.5">
      <c r="A183" s="608">
        <f t="shared" si="8"/>
        <v>179</v>
      </c>
      <c r="B183" s="62">
        <v>23</v>
      </c>
      <c r="C183" s="990" t="s">
        <v>1257</v>
      </c>
      <c r="D183" s="62" t="str">
        <f>IFERROR(VLOOKUP(C183,Foundation!$C$5:$D$554,2,0),"")</f>
        <v>DA+3</v>
      </c>
      <c r="E183" s="722">
        <f>F163+1</f>
        <v>45903</v>
      </c>
      <c r="F183" s="722">
        <v>45911</v>
      </c>
      <c r="G183" s="61" t="s">
        <v>1487</v>
      </c>
      <c r="H183" s="554">
        <f t="shared" si="9"/>
        <v>37.931087999999995</v>
      </c>
      <c r="I183" s="760">
        <f t="shared" si="7"/>
        <v>3.5339787792191997</v>
      </c>
      <c r="J183" s="61" t="s">
        <v>1148</v>
      </c>
      <c r="K183" s="995" t="s">
        <v>255</v>
      </c>
      <c r="L183" s="992" t="s">
        <v>1655</v>
      </c>
      <c r="M183" s="308" t="s">
        <v>1693</v>
      </c>
      <c r="N183" s="308" t="s">
        <v>1694</v>
      </c>
    </row>
    <row r="184" spans="1:15" s="308" customFormat="1" ht="15.5">
      <c r="A184" s="608">
        <f t="shared" si="8"/>
        <v>180</v>
      </c>
      <c r="B184" s="62">
        <v>24</v>
      </c>
      <c r="C184" s="990" t="s">
        <v>647</v>
      </c>
      <c r="D184" s="62" t="str">
        <f>IFERROR(VLOOKUP(C184,Foundation!$C$5:$D$554,2,0),"")</f>
        <v>DA+3</v>
      </c>
      <c r="E184" s="722">
        <f>F174+1</f>
        <v>45908</v>
      </c>
      <c r="F184" s="722">
        <v>45911</v>
      </c>
      <c r="G184" s="61" t="s">
        <v>1481</v>
      </c>
      <c r="H184" s="554">
        <f t="shared" si="9"/>
        <v>37.931087999999995</v>
      </c>
      <c r="I184" s="760">
        <f t="shared" si="7"/>
        <v>3.5339787792191997</v>
      </c>
      <c r="J184" s="61" t="s">
        <v>1489</v>
      </c>
      <c r="K184" s="995" t="s">
        <v>255</v>
      </c>
      <c r="L184" s="992" t="s">
        <v>1655</v>
      </c>
      <c r="M184" s="308" t="s">
        <v>1693</v>
      </c>
      <c r="N184" s="308" t="s">
        <v>1694</v>
      </c>
    </row>
    <row r="185" spans="1:15" s="308" customFormat="1" ht="15.5">
      <c r="A185" s="608">
        <f t="shared" si="8"/>
        <v>181</v>
      </c>
      <c r="B185" s="62">
        <v>25</v>
      </c>
      <c r="C185" s="990" t="s">
        <v>452</v>
      </c>
      <c r="D185" s="62" t="str">
        <f>IFERROR(VLOOKUP(C185,Foundation!$C$5:$D$554,2,0),"")</f>
        <v>DA+6</v>
      </c>
      <c r="E185" s="722">
        <f>F170+1</f>
        <v>45906</v>
      </c>
      <c r="F185" s="722">
        <v>45912</v>
      </c>
      <c r="G185" s="61" t="s">
        <v>1485</v>
      </c>
      <c r="H185" s="554">
        <f t="shared" si="9"/>
        <v>43.804423999999997</v>
      </c>
      <c r="I185" s="760">
        <f t="shared" si="7"/>
        <v>4.0811880970015997</v>
      </c>
      <c r="J185" s="61" t="s">
        <v>1530</v>
      </c>
      <c r="K185" s="995" t="s">
        <v>255</v>
      </c>
      <c r="L185" s="992" t="s">
        <v>1655</v>
      </c>
      <c r="M185" s="308" t="s">
        <v>1691</v>
      </c>
      <c r="N185" s="308" t="s">
        <v>1692</v>
      </c>
      <c r="O185" s="308" t="s">
        <v>1788</v>
      </c>
    </row>
    <row r="186" spans="1:15" s="308" customFormat="1" ht="15.5">
      <c r="A186" s="608">
        <f t="shared" si="8"/>
        <v>182</v>
      </c>
      <c r="B186" s="62">
        <v>26</v>
      </c>
      <c r="C186" s="990" t="s">
        <v>440</v>
      </c>
      <c r="D186" s="62" t="str">
        <f>IFERROR(VLOOKUP(C186,Foundation!$C$5:$D$554,2,0),"")</f>
        <v>DA-3</v>
      </c>
      <c r="E186" s="722">
        <f>F178+1</f>
        <v>45909</v>
      </c>
      <c r="F186" s="722">
        <v>45913</v>
      </c>
      <c r="G186" s="61" t="s">
        <v>1521</v>
      </c>
      <c r="H186" s="554">
        <f t="shared" si="9"/>
        <v>34.789810000000003</v>
      </c>
      <c r="I186" s="760">
        <f t="shared" si="7"/>
        <v>3.2413109340040003</v>
      </c>
      <c r="J186" s="61" t="s">
        <v>1179</v>
      </c>
      <c r="K186" s="995" t="s">
        <v>255</v>
      </c>
      <c r="L186" s="995" t="s">
        <v>1655</v>
      </c>
      <c r="M186" s="308" t="s">
        <v>1703</v>
      </c>
      <c r="N186" s="308" t="s">
        <v>1704</v>
      </c>
    </row>
    <row r="187" spans="1:15" s="308" customFormat="1" ht="15.5">
      <c r="A187" s="608">
        <f t="shared" si="8"/>
        <v>183</v>
      </c>
      <c r="B187" s="62">
        <v>27</v>
      </c>
      <c r="C187" s="990" t="s">
        <v>10</v>
      </c>
      <c r="D187" s="62" t="str">
        <f>IFERROR(VLOOKUP(C187,Foundation!$C$5:$D$554,2,0),"")</f>
        <v>DB2+0</v>
      </c>
      <c r="E187" s="722">
        <v>45904</v>
      </c>
      <c r="F187" s="722">
        <v>45914</v>
      </c>
      <c r="G187" s="61" t="s">
        <v>1473</v>
      </c>
      <c r="H187" s="554">
        <f t="shared" si="9"/>
        <v>59.500627999999999</v>
      </c>
      <c r="I187" s="760">
        <f t="shared" si="7"/>
        <v>5.5435783097551994</v>
      </c>
      <c r="J187" s="61" t="s">
        <v>1092</v>
      </c>
      <c r="K187" s="995" t="s">
        <v>255</v>
      </c>
      <c r="L187" s="992" t="s">
        <v>1655</v>
      </c>
      <c r="M187" s="308" t="s">
        <v>1705</v>
      </c>
      <c r="N187" s="308" t="s">
        <v>1706</v>
      </c>
    </row>
    <row r="188" spans="1:15" s="308" customFormat="1" ht="15.5">
      <c r="A188" s="608">
        <f t="shared" si="8"/>
        <v>184</v>
      </c>
      <c r="B188" s="62">
        <v>28</v>
      </c>
      <c r="C188" s="990" t="s">
        <v>437</v>
      </c>
      <c r="D188" s="62" t="str">
        <f>IFERROR(VLOOKUP(C188,Foundation!$C$5:$D$554,2,0),"")</f>
        <v>DA+9</v>
      </c>
      <c r="E188" s="722">
        <v>45909</v>
      </c>
      <c r="F188" s="722">
        <v>45915</v>
      </c>
      <c r="G188" s="61" t="s">
        <v>1528</v>
      </c>
      <c r="H188" s="554">
        <f t="shared" si="9"/>
        <v>45.697022000000004</v>
      </c>
      <c r="I188" s="760">
        <f t="shared" si="7"/>
        <v>4.2575184245048003</v>
      </c>
      <c r="J188" s="61" t="s">
        <v>1533</v>
      </c>
      <c r="K188" s="995" t="s">
        <v>255</v>
      </c>
      <c r="L188" s="995" t="s">
        <v>1655</v>
      </c>
      <c r="M188" s="308" t="s">
        <v>1699</v>
      </c>
      <c r="N188" s="308" t="s">
        <v>1700</v>
      </c>
    </row>
    <row r="189" spans="1:15" s="308" customFormat="1" ht="15.5">
      <c r="A189" s="608">
        <f t="shared" si="8"/>
        <v>185</v>
      </c>
      <c r="B189" s="62">
        <v>29</v>
      </c>
      <c r="C189" s="990" t="s">
        <v>51</v>
      </c>
      <c r="D189" s="62" t="str">
        <f>IFERROR(VLOOKUP(C189,Foundation!$C$5:$D$554,2,0),"")</f>
        <v>DB2+6</v>
      </c>
      <c r="E189" s="722">
        <f>F172+1</f>
        <v>45907</v>
      </c>
      <c r="F189" s="722">
        <v>45915</v>
      </c>
      <c r="G189" s="61" t="s">
        <v>1495</v>
      </c>
      <c r="H189" s="554">
        <f t="shared" si="9"/>
        <v>69.376000000000005</v>
      </c>
      <c r="I189" s="760">
        <f t="shared" si="7"/>
        <v>6.4636509183999999</v>
      </c>
      <c r="J189" s="61" t="s">
        <v>1530</v>
      </c>
      <c r="K189" s="995" t="s">
        <v>255</v>
      </c>
      <c r="L189" s="992" t="s">
        <v>1655</v>
      </c>
      <c r="M189" s="308" t="s">
        <v>1707</v>
      </c>
      <c r="N189" s="308" t="s">
        <v>1708</v>
      </c>
    </row>
    <row r="190" spans="1:15" s="308" customFormat="1" ht="15.5">
      <c r="A190" s="608">
        <f t="shared" si="8"/>
        <v>186</v>
      </c>
      <c r="B190" s="62">
        <v>30</v>
      </c>
      <c r="C190" s="990" t="s">
        <v>1253</v>
      </c>
      <c r="D190" s="62" t="str">
        <f>IFERROR(VLOOKUP(C190,Foundation!$C$5:$D$554,2,0),"")</f>
        <v>DA+3</v>
      </c>
      <c r="E190" s="722">
        <f>F176+1</f>
        <v>45909</v>
      </c>
      <c r="F190" s="722">
        <v>45915</v>
      </c>
      <c r="G190" s="61" t="s">
        <v>1491</v>
      </c>
      <c r="H190" s="554">
        <f t="shared" si="9"/>
        <v>37.931087999999995</v>
      </c>
      <c r="I190" s="760">
        <f t="shared" si="7"/>
        <v>3.5339787792191997</v>
      </c>
      <c r="J190" s="61" t="s">
        <v>1493</v>
      </c>
      <c r="K190" s="995" t="s">
        <v>255</v>
      </c>
      <c r="L190" s="992" t="s">
        <v>1655</v>
      </c>
      <c r="M190" s="308" t="s">
        <v>1693</v>
      </c>
      <c r="N190" s="308" t="s">
        <v>1694</v>
      </c>
    </row>
    <row r="191" spans="1:15" s="308" customFormat="1" ht="15.5">
      <c r="A191" s="608">
        <f t="shared" si="8"/>
        <v>187</v>
      </c>
      <c r="B191" s="62">
        <v>31</v>
      </c>
      <c r="C191" s="990" t="s">
        <v>464</v>
      </c>
      <c r="D191" s="62" t="str">
        <f>IFERROR(VLOOKUP(C191,Foundation!$C$5:$D$554,2,0),"")</f>
        <v>DA+6</v>
      </c>
      <c r="E191" s="722">
        <v>45910</v>
      </c>
      <c r="F191" s="722">
        <v>45915</v>
      </c>
      <c r="G191" s="61" t="s">
        <v>1484</v>
      </c>
      <c r="H191" s="554">
        <f t="shared" si="9"/>
        <v>43.804423999999997</v>
      </c>
      <c r="I191" s="1095">
        <f t="shared" si="7"/>
        <v>4.0811880970015997</v>
      </c>
      <c r="J191" s="61" t="s">
        <v>1477</v>
      </c>
      <c r="K191" s="995" t="s">
        <v>255</v>
      </c>
      <c r="L191" s="992" t="s">
        <v>1655</v>
      </c>
      <c r="M191" s="308" t="s">
        <v>1691</v>
      </c>
      <c r="N191" s="308" t="s">
        <v>1692</v>
      </c>
    </row>
    <row r="192" spans="1:15" s="308" customFormat="1" ht="15.5">
      <c r="A192" s="608">
        <f t="shared" si="8"/>
        <v>188</v>
      </c>
      <c r="B192" s="62">
        <v>32</v>
      </c>
      <c r="C192" s="990" t="s">
        <v>1241</v>
      </c>
      <c r="D192" s="62" t="str">
        <f>IFERROR(VLOOKUP(C192,Foundation!$C$5:$D$554,2,0),"")</f>
        <v>DA+3</v>
      </c>
      <c r="E192" s="722">
        <v>45910</v>
      </c>
      <c r="F192" s="722">
        <v>45915</v>
      </c>
      <c r="G192" s="61" t="s">
        <v>1520</v>
      </c>
      <c r="H192" s="554">
        <f t="shared" si="9"/>
        <v>37.931087999999995</v>
      </c>
      <c r="I192" s="760">
        <f t="shared" si="7"/>
        <v>3.5339787792191997</v>
      </c>
      <c r="J192" s="61" t="s">
        <v>1500</v>
      </c>
      <c r="K192" s="995" t="s">
        <v>255</v>
      </c>
      <c r="L192" s="992" t="s">
        <v>1655</v>
      </c>
      <c r="M192" s="308" t="s">
        <v>1693</v>
      </c>
      <c r="N192" s="308" t="s">
        <v>1694</v>
      </c>
    </row>
    <row r="193" spans="1:14" s="308" customFormat="1" ht="15.5">
      <c r="A193" s="608">
        <f t="shared" si="8"/>
        <v>189</v>
      </c>
      <c r="B193" s="62">
        <v>33</v>
      </c>
      <c r="C193" s="990" t="s">
        <v>1261</v>
      </c>
      <c r="D193" s="62" t="str">
        <f>IFERROR(VLOOKUP(C193,Foundation!$C$5:$D$554,2,0),"")</f>
        <v>DA+3</v>
      </c>
      <c r="E193" s="722">
        <f>F171+1</f>
        <v>45907</v>
      </c>
      <c r="F193" s="722">
        <v>45915</v>
      </c>
      <c r="G193" s="61" t="s">
        <v>1488</v>
      </c>
      <c r="H193" s="554">
        <f t="shared" si="9"/>
        <v>37.931087999999995</v>
      </c>
      <c r="I193" s="760">
        <f t="shared" si="7"/>
        <v>3.5339787792191997</v>
      </c>
      <c r="J193" s="61" t="s">
        <v>1529</v>
      </c>
      <c r="K193" s="995" t="s">
        <v>255</v>
      </c>
      <c r="L193" s="992" t="s">
        <v>1655</v>
      </c>
      <c r="M193" s="308" t="s">
        <v>1693</v>
      </c>
      <c r="N193" s="308" t="s">
        <v>1694</v>
      </c>
    </row>
    <row r="194" spans="1:14" s="308" customFormat="1" ht="15.5">
      <c r="A194" s="608">
        <f t="shared" si="8"/>
        <v>190</v>
      </c>
      <c r="B194" s="62">
        <v>34</v>
      </c>
      <c r="C194" s="990" t="s">
        <v>892</v>
      </c>
      <c r="D194" s="62" t="str">
        <f>IFERROR(VLOOKUP(C194,Foundation!$C$5:$D$554,2,0),"")</f>
        <v>DA+6</v>
      </c>
      <c r="E194" s="722">
        <f>F173+1</f>
        <v>45907</v>
      </c>
      <c r="F194" s="722">
        <v>45916</v>
      </c>
      <c r="G194" s="61" t="s">
        <v>1523</v>
      </c>
      <c r="H194" s="554">
        <f t="shared" si="9"/>
        <v>43.804423999999997</v>
      </c>
      <c r="I194" s="760">
        <f t="shared" si="7"/>
        <v>4.0811880970015997</v>
      </c>
      <c r="J194" s="61" t="s">
        <v>1478</v>
      </c>
      <c r="K194" s="995" t="s">
        <v>255</v>
      </c>
      <c r="L194" s="992" t="s">
        <v>1655</v>
      </c>
      <c r="M194" s="308" t="s">
        <v>1691</v>
      </c>
      <c r="N194" s="308" t="s">
        <v>1692</v>
      </c>
    </row>
    <row r="195" spans="1:14" s="308" customFormat="1" ht="15.5">
      <c r="A195" s="608">
        <f t="shared" si="8"/>
        <v>191</v>
      </c>
      <c r="B195" s="62">
        <v>35</v>
      </c>
      <c r="C195" s="990" t="s">
        <v>447</v>
      </c>
      <c r="D195" s="62" t="str">
        <f>IFERROR(VLOOKUP(C195,Foundation!$C$5:$D$554,2,0),"")</f>
        <v>DA+0</v>
      </c>
      <c r="E195" s="722">
        <v>45910</v>
      </c>
      <c r="F195" s="722">
        <v>45916</v>
      </c>
      <c r="G195" s="61" t="s">
        <v>1496</v>
      </c>
      <c r="H195" s="554">
        <f t="shared" si="9"/>
        <v>36.159755999999994</v>
      </c>
      <c r="I195" s="760">
        <f t="shared" si="7"/>
        <v>3.3689466109103994</v>
      </c>
      <c r="J195" s="61" t="s">
        <v>1015</v>
      </c>
      <c r="K195" s="995" t="s">
        <v>255</v>
      </c>
      <c r="L195" s="992" t="s">
        <v>1655</v>
      </c>
      <c r="M195" s="308" t="s">
        <v>1701</v>
      </c>
      <c r="N195" s="308" t="s">
        <v>1702</v>
      </c>
    </row>
    <row r="196" spans="1:14" s="308" customFormat="1" ht="15.5">
      <c r="A196" s="608">
        <f t="shared" si="8"/>
        <v>192</v>
      </c>
      <c r="B196" s="62">
        <v>36</v>
      </c>
      <c r="C196" s="990" t="s">
        <v>446</v>
      </c>
      <c r="D196" s="62" t="str">
        <f>IFERROR(VLOOKUP(Erection!C196,Foundation!$C$5:$D$554,2,0),"")</f>
        <v>DA+9</v>
      </c>
      <c r="E196" s="722">
        <v>45904</v>
      </c>
      <c r="F196" s="722">
        <v>45918</v>
      </c>
      <c r="G196" s="61" t="s">
        <v>1482</v>
      </c>
      <c r="H196" s="554">
        <f t="shared" si="9"/>
        <v>45.697022000000004</v>
      </c>
      <c r="I196" s="760">
        <f t="shared" si="7"/>
        <v>4.2575184245048003</v>
      </c>
      <c r="J196" s="61" t="s">
        <v>1171</v>
      </c>
      <c r="K196" s="995" t="s">
        <v>255</v>
      </c>
      <c r="L196" s="992" t="s">
        <v>1655</v>
      </c>
      <c r="M196" s="308" t="s">
        <v>1699</v>
      </c>
      <c r="N196" s="308" t="s">
        <v>1700</v>
      </c>
    </row>
    <row r="197" spans="1:14" s="308" customFormat="1" ht="15.5">
      <c r="A197" s="608">
        <f t="shared" si="8"/>
        <v>193</v>
      </c>
      <c r="B197" s="62">
        <v>37</v>
      </c>
      <c r="C197" s="990" t="s">
        <v>896</v>
      </c>
      <c r="D197" s="62" t="str">
        <f>IFERROR(VLOOKUP(Erection!C197,Foundation!$C$5:$D$554,2,0),"")</f>
        <v>DA+9</v>
      </c>
      <c r="E197" s="722">
        <f>F177+1</f>
        <v>45909</v>
      </c>
      <c r="F197" s="722">
        <v>45918</v>
      </c>
      <c r="G197" s="61" t="s">
        <v>1524</v>
      </c>
      <c r="H197" s="554">
        <f t="shared" si="9"/>
        <v>45.697022000000004</v>
      </c>
      <c r="I197" s="760">
        <f t="shared" ref="I197:I260" si="10">IFERROR(VLOOKUP(D197,$D$316:$K$345,8,0)/10^5,"")</f>
        <v>4.2575184245048003</v>
      </c>
      <c r="J197" s="61" t="s">
        <v>1478</v>
      </c>
      <c r="K197" s="995" t="s">
        <v>255</v>
      </c>
      <c r="L197" s="992" t="s">
        <v>1655</v>
      </c>
      <c r="M197" s="308" t="s">
        <v>1699</v>
      </c>
      <c r="N197" s="308" t="s">
        <v>1700</v>
      </c>
    </row>
    <row r="198" spans="1:14" s="308" customFormat="1" ht="15.5">
      <c r="A198" s="608">
        <f t="shared" ref="A198:A261" si="11">A197+1</f>
        <v>194</v>
      </c>
      <c r="B198" s="62">
        <v>38</v>
      </c>
      <c r="C198" s="990" t="s">
        <v>649</v>
      </c>
      <c r="D198" s="62" t="str">
        <f>IFERROR(VLOOKUP(Erection!C198,Foundation!$C$5:$D$554,2,0),"")</f>
        <v>DA+9</v>
      </c>
      <c r="E198" s="722">
        <v>45914</v>
      </c>
      <c r="F198" s="722">
        <v>45919</v>
      </c>
      <c r="G198" s="61" t="s">
        <v>1481</v>
      </c>
      <c r="H198" s="554">
        <f t="shared" si="9"/>
        <v>45.697022000000004</v>
      </c>
      <c r="I198" s="760">
        <f t="shared" si="10"/>
        <v>4.2575184245048003</v>
      </c>
      <c r="J198" s="61" t="s">
        <v>1500</v>
      </c>
      <c r="K198" s="995" t="s">
        <v>255</v>
      </c>
      <c r="L198" s="992" t="s">
        <v>1655</v>
      </c>
      <c r="M198" s="308" t="s">
        <v>1699</v>
      </c>
      <c r="N198" s="308" t="s">
        <v>1700</v>
      </c>
    </row>
    <row r="199" spans="1:14" s="308" customFormat="1" ht="15.5">
      <c r="A199" s="608">
        <f t="shared" si="11"/>
        <v>195</v>
      </c>
      <c r="B199" s="62">
        <v>39</v>
      </c>
      <c r="C199" s="990" t="s">
        <v>1242</v>
      </c>
      <c r="D199" s="62" t="str">
        <f>IFERROR(VLOOKUP(Erection!C199,Foundation!$C$5:$D$554,2,0),"")</f>
        <v>DA+0</v>
      </c>
      <c r="E199" s="722">
        <f>F192+1</f>
        <v>45916</v>
      </c>
      <c r="F199" s="722">
        <v>45919</v>
      </c>
      <c r="G199" s="61" t="s">
        <v>1520</v>
      </c>
      <c r="H199" s="554">
        <f t="shared" si="9"/>
        <v>36.159755999999994</v>
      </c>
      <c r="I199" s="760">
        <f t="shared" si="10"/>
        <v>3.3689466109103994</v>
      </c>
      <c r="J199" s="61" t="s">
        <v>1500</v>
      </c>
      <c r="K199" s="995" t="s">
        <v>255</v>
      </c>
      <c r="L199" s="992" t="s">
        <v>1655</v>
      </c>
      <c r="M199" s="308" t="s">
        <v>1701</v>
      </c>
      <c r="N199" s="308" t="s">
        <v>1702</v>
      </c>
    </row>
    <row r="200" spans="1:14" s="308" customFormat="1" ht="15.5">
      <c r="A200" s="608">
        <f t="shared" si="11"/>
        <v>196</v>
      </c>
      <c r="B200" s="62">
        <v>40</v>
      </c>
      <c r="C200" s="990" t="s">
        <v>1258</v>
      </c>
      <c r="D200" s="62" t="str">
        <f>IFERROR(VLOOKUP(Erection!C200,Foundation!$C$5:$D$554,2,0),"")</f>
        <v>DA+3</v>
      </c>
      <c r="E200" s="722">
        <f>F183+1</f>
        <v>45912</v>
      </c>
      <c r="F200" s="722">
        <v>45919</v>
      </c>
      <c r="G200" s="61" t="s">
        <v>1487</v>
      </c>
      <c r="H200" s="554">
        <f t="shared" si="9"/>
        <v>37.931087999999995</v>
      </c>
      <c r="I200" s="760">
        <f t="shared" si="10"/>
        <v>3.5339787792191997</v>
      </c>
      <c r="J200" s="61" t="s">
        <v>1148</v>
      </c>
      <c r="K200" s="995" t="s">
        <v>255</v>
      </c>
      <c r="L200" s="992" t="s">
        <v>1655</v>
      </c>
      <c r="M200" s="308" t="s">
        <v>1693</v>
      </c>
      <c r="N200" s="308" t="s">
        <v>1694</v>
      </c>
    </row>
    <row r="201" spans="1:14" s="308" customFormat="1" ht="15.5">
      <c r="A201" s="608">
        <f t="shared" si="11"/>
        <v>197</v>
      </c>
      <c r="B201" s="62">
        <v>41</v>
      </c>
      <c r="C201" s="990" t="s">
        <v>638</v>
      </c>
      <c r="D201" s="62" t="str">
        <f>IFERROR(VLOOKUP(Erection!C201,Foundation!$C$5:$D$554,2,0),"")</f>
        <v>DB1+9</v>
      </c>
      <c r="E201" s="722">
        <v>45904</v>
      </c>
      <c r="F201" s="722">
        <v>45920</v>
      </c>
      <c r="G201" s="61" t="s">
        <v>1522</v>
      </c>
      <c r="H201" s="554">
        <f t="shared" si="9"/>
        <v>66.780901</v>
      </c>
      <c r="I201" s="760">
        <f t="shared" si="10"/>
        <v>6.2218696967283993</v>
      </c>
      <c r="J201" s="61" t="s">
        <v>1489</v>
      </c>
      <c r="K201" s="995" t="s">
        <v>255</v>
      </c>
      <c r="L201" s="992" t="s">
        <v>1655</v>
      </c>
      <c r="M201" s="308" t="s">
        <v>1709</v>
      </c>
      <c r="N201" s="308" t="s">
        <v>1710</v>
      </c>
    </row>
    <row r="202" spans="1:14" s="308" customFormat="1" ht="15.5">
      <c r="A202" s="608">
        <f t="shared" si="11"/>
        <v>198</v>
      </c>
      <c r="B202" s="62">
        <v>42</v>
      </c>
      <c r="C202" s="990" t="s">
        <v>67</v>
      </c>
      <c r="D202" s="62" t="str">
        <f>IFERROR(VLOOKUP(Erection!C202,Foundation!$C$5:$D$554,2,0),"")</f>
        <v>DB1+9</v>
      </c>
      <c r="E202" s="722">
        <f>F162+1</f>
        <v>45903</v>
      </c>
      <c r="F202" s="722">
        <v>45920</v>
      </c>
      <c r="G202" s="61" t="s">
        <v>1497</v>
      </c>
      <c r="H202" s="554">
        <f t="shared" si="9"/>
        <v>66.780901</v>
      </c>
      <c r="I202" s="760">
        <f t="shared" si="10"/>
        <v>6.2218696967283993</v>
      </c>
      <c r="J202" s="61" t="s">
        <v>1141</v>
      </c>
      <c r="K202" s="995" t="s">
        <v>255</v>
      </c>
      <c r="L202" s="995" t="s">
        <v>1655</v>
      </c>
      <c r="M202" s="308" t="s">
        <v>1709</v>
      </c>
      <c r="N202" s="308" t="s">
        <v>1710</v>
      </c>
    </row>
    <row r="203" spans="1:14" s="308" customFormat="1" ht="15.5">
      <c r="A203" s="608">
        <f t="shared" si="11"/>
        <v>199</v>
      </c>
      <c r="B203" s="62">
        <v>43</v>
      </c>
      <c r="C203" s="990" t="s">
        <v>192</v>
      </c>
      <c r="D203" s="62" t="str">
        <f>IFERROR(VLOOKUP(Erection!C203,Foundation!$C$5:$D$554,2,0),"")</f>
        <v>DA+3</v>
      </c>
      <c r="E203" s="722">
        <f>F189+1</f>
        <v>45916</v>
      </c>
      <c r="F203" s="722">
        <v>45920</v>
      </c>
      <c r="G203" s="61" t="s">
        <v>1495</v>
      </c>
      <c r="H203" s="554">
        <f t="shared" si="9"/>
        <v>37.931087999999995</v>
      </c>
      <c r="I203" s="760">
        <f t="shared" si="10"/>
        <v>3.5339787792191997</v>
      </c>
      <c r="J203" s="61" t="s">
        <v>1530</v>
      </c>
      <c r="K203" s="995" t="s">
        <v>255</v>
      </c>
      <c r="L203" s="992" t="s">
        <v>1655</v>
      </c>
      <c r="M203" s="308" t="s">
        <v>1693</v>
      </c>
      <c r="N203" s="308" t="s">
        <v>1694</v>
      </c>
    </row>
    <row r="204" spans="1:14" s="308" customFormat="1" ht="15.5">
      <c r="A204" s="608">
        <f t="shared" si="11"/>
        <v>200</v>
      </c>
      <c r="B204" s="62">
        <v>44</v>
      </c>
      <c r="C204" s="990" t="s">
        <v>448</v>
      </c>
      <c r="D204" s="62" t="str">
        <f>IFERROR(VLOOKUP(Erection!C204,Foundation!$C$5:$D$554,2,0),"")</f>
        <v>DA+0</v>
      </c>
      <c r="E204" s="722">
        <v>45915</v>
      </c>
      <c r="F204" s="722">
        <v>45921</v>
      </c>
      <c r="G204" s="61" t="s">
        <v>1473</v>
      </c>
      <c r="H204" s="554">
        <f t="shared" si="9"/>
        <v>36.159755999999994</v>
      </c>
      <c r="I204" s="760">
        <f t="shared" si="10"/>
        <v>3.3689466109103994</v>
      </c>
      <c r="J204" s="61" t="s">
        <v>1092</v>
      </c>
      <c r="K204" s="995" t="s">
        <v>255</v>
      </c>
      <c r="L204" s="992" t="s">
        <v>1655</v>
      </c>
      <c r="M204" s="308" t="s">
        <v>1701</v>
      </c>
      <c r="N204" s="308" t="s">
        <v>1702</v>
      </c>
    </row>
    <row r="205" spans="1:14" s="308" customFormat="1" ht="15.5">
      <c r="A205" s="608">
        <f t="shared" si="11"/>
        <v>201</v>
      </c>
      <c r="B205" s="62">
        <v>45</v>
      </c>
      <c r="C205" s="990" t="s">
        <v>441</v>
      </c>
      <c r="D205" s="62" t="str">
        <f>IFERROR(VLOOKUP(C205,Foundation!$C$5:$D$554,2,0),"")</f>
        <v>DA+3</v>
      </c>
      <c r="E205" s="722">
        <v>45914</v>
      </c>
      <c r="F205" s="722">
        <v>45922</v>
      </c>
      <c r="G205" s="61" t="s">
        <v>1521</v>
      </c>
      <c r="H205" s="554">
        <f t="shared" si="9"/>
        <v>37.931087999999995</v>
      </c>
      <c r="I205" s="760">
        <f t="shared" si="10"/>
        <v>3.5339787792191997</v>
      </c>
      <c r="J205" s="61" t="s">
        <v>1534</v>
      </c>
      <c r="K205" s="995" t="s">
        <v>255</v>
      </c>
      <c r="L205" s="995" t="s">
        <v>1655</v>
      </c>
      <c r="M205" s="308" t="s">
        <v>1693</v>
      </c>
      <c r="N205" s="308" t="s">
        <v>1694</v>
      </c>
    </row>
    <row r="206" spans="1:14" s="308" customFormat="1" ht="15.5">
      <c r="A206" s="608">
        <f t="shared" si="11"/>
        <v>202</v>
      </c>
      <c r="B206" s="62">
        <v>46</v>
      </c>
      <c r="C206" s="990" t="s">
        <v>1254</v>
      </c>
      <c r="D206" s="62" t="str">
        <f>IFERROR(VLOOKUP(C206,Foundation!$C$5:$D$554,2,0),"")</f>
        <v>DA+3</v>
      </c>
      <c r="E206" s="722">
        <f>F190+1</f>
        <v>45916</v>
      </c>
      <c r="F206" s="722">
        <v>45923</v>
      </c>
      <c r="G206" s="61" t="s">
        <v>1491</v>
      </c>
      <c r="H206" s="554">
        <f t="shared" si="9"/>
        <v>37.931087999999995</v>
      </c>
      <c r="I206" s="760">
        <f t="shared" si="10"/>
        <v>3.5339787792191997</v>
      </c>
      <c r="J206" s="1038" t="s">
        <v>1493</v>
      </c>
      <c r="K206" s="995" t="s">
        <v>255</v>
      </c>
      <c r="L206" s="992" t="s">
        <v>1655</v>
      </c>
      <c r="M206" s="308" t="s">
        <v>1693</v>
      </c>
      <c r="N206" s="308" t="s">
        <v>1694</v>
      </c>
    </row>
    <row r="207" spans="1:14" s="308" customFormat="1" ht="15.5">
      <c r="A207" s="608">
        <f t="shared" si="11"/>
        <v>203</v>
      </c>
      <c r="B207" s="62">
        <v>47</v>
      </c>
      <c r="C207" s="990" t="s">
        <v>1243</v>
      </c>
      <c r="D207" s="62" t="str">
        <f>IFERROR(VLOOKUP(C207,Foundation!$C$5:$D$554,2,0),"")</f>
        <v>DA+0</v>
      </c>
      <c r="E207" s="722">
        <v>45920</v>
      </c>
      <c r="F207" s="722">
        <v>45923</v>
      </c>
      <c r="G207" s="61" t="s">
        <v>1520</v>
      </c>
      <c r="H207" s="554">
        <f t="shared" si="9"/>
        <v>36.159755999999994</v>
      </c>
      <c r="I207" s="760">
        <f t="shared" si="10"/>
        <v>3.3689466109103994</v>
      </c>
      <c r="J207" s="1038" t="s">
        <v>1500</v>
      </c>
      <c r="K207" s="995" t="s">
        <v>255</v>
      </c>
      <c r="L207" s="992" t="s">
        <v>1655</v>
      </c>
      <c r="M207" s="308" t="s">
        <v>1701</v>
      </c>
      <c r="N207" s="308" t="s">
        <v>1702</v>
      </c>
    </row>
    <row r="208" spans="1:14" s="308" customFormat="1" ht="15.5">
      <c r="A208" s="608">
        <f t="shared" si="11"/>
        <v>204</v>
      </c>
      <c r="B208" s="62">
        <v>48</v>
      </c>
      <c r="C208" s="990" t="s">
        <v>1262</v>
      </c>
      <c r="D208" s="62" t="str">
        <f>IFERROR(VLOOKUP(C208,Foundation!$C$5:$D$554,2,0),"")</f>
        <v>DA+0</v>
      </c>
      <c r="E208" s="722">
        <f>F193+1</f>
        <v>45916</v>
      </c>
      <c r="F208" s="722">
        <v>45924</v>
      </c>
      <c r="G208" s="61" t="s">
        <v>1488</v>
      </c>
      <c r="H208" s="554">
        <f t="shared" si="9"/>
        <v>36.159755999999994</v>
      </c>
      <c r="I208" s="760">
        <f t="shared" si="10"/>
        <v>3.3689466109103994</v>
      </c>
      <c r="J208" s="1038" t="s">
        <v>1529</v>
      </c>
      <c r="K208" s="995" t="s">
        <v>255</v>
      </c>
      <c r="L208" s="992" t="s">
        <v>1655</v>
      </c>
      <c r="M208" s="308" t="s">
        <v>1701</v>
      </c>
      <c r="N208" s="308" t="s">
        <v>1702</v>
      </c>
    </row>
    <row r="209" spans="1:14" s="308" customFormat="1" ht="15.5">
      <c r="A209" s="608">
        <f t="shared" si="11"/>
        <v>205</v>
      </c>
      <c r="B209" s="62">
        <v>49</v>
      </c>
      <c r="C209" s="990" t="s">
        <v>890</v>
      </c>
      <c r="D209" s="62" t="str">
        <f>IFERROR(VLOOKUP(C209,Foundation!$C$5:$D$554,2,0),"")</f>
        <v>DB1+3</v>
      </c>
      <c r="E209" s="722">
        <v>45913</v>
      </c>
      <c r="F209" s="722">
        <v>45924</v>
      </c>
      <c r="G209" s="61" t="s">
        <v>1485</v>
      </c>
      <c r="H209" s="554">
        <f t="shared" si="9"/>
        <v>57.963171000000003</v>
      </c>
      <c r="I209" s="760">
        <f t="shared" si="10"/>
        <v>5.4003359009964012</v>
      </c>
      <c r="J209" s="1038" t="s">
        <v>1530</v>
      </c>
      <c r="K209" s="995" t="s">
        <v>255</v>
      </c>
      <c r="L209" s="992" t="s">
        <v>1655</v>
      </c>
      <c r="M209" s="308" t="s">
        <v>1711</v>
      </c>
      <c r="N209" s="308" t="s">
        <v>1712</v>
      </c>
    </row>
    <row r="210" spans="1:14" s="980" customFormat="1" ht="15.5">
      <c r="A210" s="608">
        <f t="shared" si="11"/>
        <v>206</v>
      </c>
      <c r="B210" s="717">
        <v>50</v>
      </c>
      <c r="C210" s="990" t="s">
        <v>65</v>
      </c>
      <c r="D210" s="62" t="str">
        <f>IFERROR(VLOOKUP(C210,Foundation!$C$5:$D$554,2,0),"")</f>
        <v>DB1+0</v>
      </c>
      <c r="E210" s="722">
        <f>F182+1</f>
        <v>45911</v>
      </c>
      <c r="F210" s="722">
        <v>45925</v>
      </c>
      <c r="G210" s="61" t="s">
        <v>1528</v>
      </c>
      <c r="H210" s="554">
        <f t="shared" si="9"/>
        <v>55.450851000000007</v>
      </c>
      <c r="I210" s="760">
        <f t="shared" si="10"/>
        <v>5.1662670663084009</v>
      </c>
      <c r="J210" s="1038" t="s">
        <v>660</v>
      </c>
      <c r="K210" s="995" t="s">
        <v>255</v>
      </c>
      <c r="L210" s="992" t="s">
        <v>1655</v>
      </c>
      <c r="M210" s="980" t="s">
        <v>1713</v>
      </c>
      <c r="N210" s="980" t="s">
        <v>1714</v>
      </c>
    </row>
    <row r="211" spans="1:14" s="308" customFormat="1" ht="15.5">
      <c r="A211" s="608">
        <f t="shared" si="11"/>
        <v>207</v>
      </c>
      <c r="B211" s="62">
        <v>51</v>
      </c>
      <c r="C211" s="990" t="s">
        <v>457</v>
      </c>
      <c r="D211" s="62" t="str">
        <f>IFERROR(VLOOKUP(C211,Foundation!$C$5:$D$554,2,0),"")</f>
        <v>DA+6</v>
      </c>
      <c r="E211" s="722">
        <f>F185+1</f>
        <v>45913</v>
      </c>
      <c r="F211" s="722">
        <v>45925</v>
      </c>
      <c r="G211" s="61" t="s">
        <v>1484</v>
      </c>
      <c r="H211" s="554">
        <f t="shared" si="9"/>
        <v>43.804423999999997</v>
      </c>
      <c r="I211" s="760">
        <f t="shared" si="10"/>
        <v>4.0811880970015997</v>
      </c>
      <c r="J211" s="1038" t="s">
        <v>1477</v>
      </c>
      <c r="K211" s="995" t="s">
        <v>255</v>
      </c>
      <c r="L211" s="992" t="s">
        <v>1655</v>
      </c>
      <c r="M211" s="308" t="s">
        <v>1691</v>
      </c>
      <c r="N211" s="308" t="s">
        <v>1692</v>
      </c>
    </row>
    <row r="212" spans="1:14" s="308" customFormat="1" ht="15.5">
      <c r="A212" s="608">
        <f t="shared" si="11"/>
        <v>208</v>
      </c>
      <c r="B212" s="62">
        <v>52</v>
      </c>
      <c r="C212" s="990" t="s">
        <v>891</v>
      </c>
      <c r="D212" s="62" t="str">
        <f>IFERROR(VLOOKUP(C212,Foundation!$C$5:$D$554,2,0),"")</f>
        <v>DA+6</v>
      </c>
      <c r="E212" s="722">
        <v>45918</v>
      </c>
      <c r="F212" s="722">
        <v>45925</v>
      </c>
      <c r="G212" s="61" t="s">
        <v>1523</v>
      </c>
      <c r="H212" s="554">
        <f t="shared" si="9"/>
        <v>43.804423999999997</v>
      </c>
      <c r="I212" s="760">
        <f t="shared" si="10"/>
        <v>4.0811880970015997</v>
      </c>
      <c r="J212" s="1038" t="s">
        <v>1532</v>
      </c>
      <c r="K212" s="995" t="s">
        <v>255</v>
      </c>
      <c r="L212" s="992" t="s">
        <v>1655</v>
      </c>
      <c r="M212" s="308" t="s">
        <v>1691</v>
      </c>
      <c r="N212" s="308" t="s">
        <v>1692</v>
      </c>
    </row>
    <row r="213" spans="1:14" s="308" customFormat="1" ht="15.5">
      <c r="A213" s="608">
        <f t="shared" si="11"/>
        <v>209</v>
      </c>
      <c r="B213" s="62">
        <v>53</v>
      </c>
      <c r="C213" s="990" t="s">
        <v>174</v>
      </c>
      <c r="D213" s="62" t="str">
        <f>IFERROR(VLOOKUP(C213,Foundation!$C$5:$D$554,2,0),"")</f>
        <v>DA-3</v>
      </c>
      <c r="E213" s="722">
        <v>45919</v>
      </c>
      <c r="F213" s="722">
        <v>45925</v>
      </c>
      <c r="G213" s="61" t="s">
        <v>1496</v>
      </c>
      <c r="H213" s="554">
        <f t="shared" si="9"/>
        <v>34.789810000000003</v>
      </c>
      <c r="I213" s="760">
        <f t="shared" si="10"/>
        <v>3.2413109340040003</v>
      </c>
      <c r="J213" s="1038" t="s">
        <v>1015</v>
      </c>
      <c r="K213" s="995" t="s">
        <v>255</v>
      </c>
      <c r="L213" s="992" t="s">
        <v>1655</v>
      </c>
      <c r="M213" s="308" t="s">
        <v>1703</v>
      </c>
      <c r="N213" s="308" t="s">
        <v>1704</v>
      </c>
    </row>
    <row r="214" spans="1:14" s="308" customFormat="1" ht="15.5">
      <c r="A214" s="608">
        <f t="shared" si="11"/>
        <v>210</v>
      </c>
      <c r="B214" s="62">
        <v>54</v>
      </c>
      <c r="C214" s="990" t="s">
        <v>193</v>
      </c>
      <c r="D214" s="62" t="str">
        <f>IFERROR(VLOOKUP(C214,Foundation!$C$5:$D$554,2,0),"")</f>
        <v>DA+1.5</v>
      </c>
      <c r="E214" s="722">
        <v>45921</v>
      </c>
      <c r="F214" s="722">
        <v>45925</v>
      </c>
      <c r="G214" s="61" t="s">
        <v>1495</v>
      </c>
      <c r="H214" s="554">
        <f t="shared" si="9"/>
        <v>37.138323999999997</v>
      </c>
      <c r="I214" s="760">
        <f t="shared" si="10"/>
        <v>3.4601182257615997</v>
      </c>
      <c r="J214" s="1038" t="s">
        <v>1498</v>
      </c>
      <c r="K214" s="995" t="s">
        <v>255</v>
      </c>
      <c r="L214" s="992" t="s">
        <v>1655</v>
      </c>
      <c r="M214" s="308" t="s">
        <v>1697</v>
      </c>
      <c r="N214" s="308" t="s">
        <v>1698</v>
      </c>
    </row>
    <row r="215" spans="1:14" s="308" customFormat="1" ht="15.5">
      <c r="A215" s="608">
        <f t="shared" si="11"/>
        <v>211</v>
      </c>
      <c r="B215" s="62">
        <v>55</v>
      </c>
      <c r="C215" s="990" t="s">
        <v>266</v>
      </c>
      <c r="D215" s="62" t="str">
        <f>IFERROR(VLOOKUP(C215,Foundation!$C$5:$D$554,2,0),"")</f>
        <v>DB1+9</v>
      </c>
      <c r="E215" s="722">
        <v>45911</v>
      </c>
      <c r="F215" s="722">
        <v>45926</v>
      </c>
      <c r="G215" s="61" t="s">
        <v>1525</v>
      </c>
      <c r="H215" s="554">
        <f t="shared" si="9"/>
        <v>66.780901</v>
      </c>
      <c r="I215" s="760">
        <f t="shared" si="10"/>
        <v>6.2218696967283993</v>
      </c>
      <c r="J215" s="1038" t="s">
        <v>1526</v>
      </c>
      <c r="K215" s="995" t="s">
        <v>255</v>
      </c>
      <c r="L215" s="992" t="s">
        <v>1655</v>
      </c>
      <c r="M215" s="308" t="s">
        <v>1709</v>
      </c>
      <c r="N215" s="308" t="s">
        <v>1710</v>
      </c>
    </row>
    <row r="216" spans="1:14" s="308" customFormat="1" ht="15.5">
      <c r="A216" s="608">
        <f t="shared" si="11"/>
        <v>212</v>
      </c>
      <c r="B216" s="62">
        <v>56</v>
      </c>
      <c r="C216" s="990" t="s">
        <v>1259</v>
      </c>
      <c r="D216" s="62" t="str">
        <f>IFERROR(VLOOKUP(C216,Foundation!$C$5:$D$554,2,0),"")</f>
        <v>DA+0</v>
      </c>
      <c r="E216" s="722">
        <v>45920</v>
      </c>
      <c r="F216" s="722">
        <v>45927</v>
      </c>
      <c r="G216" s="61" t="s">
        <v>1487</v>
      </c>
      <c r="H216" s="554">
        <f t="shared" si="9"/>
        <v>36.159755999999994</v>
      </c>
      <c r="I216" s="760">
        <f t="shared" si="10"/>
        <v>3.3689466109103994</v>
      </c>
      <c r="J216" s="1038" t="s">
        <v>1148</v>
      </c>
      <c r="K216" s="995" t="s">
        <v>255</v>
      </c>
      <c r="L216" s="992" t="s">
        <v>1655</v>
      </c>
      <c r="M216" s="308" t="s">
        <v>1701</v>
      </c>
      <c r="N216" s="308" t="s">
        <v>1702</v>
      </c>
    </row>
    <row r="217" spans="1:14" s="308" customFormat="1" ht="15.5">
      <c r="A217" s="608">
        <f t="shared" si="11"/>
        <v>213</v>
      </c>
      <c r="B217" s="62">
        <v>57</v>
      </c>
      <c r="C217" s="990" t="s">
        <v>648</v>
      </c>
      <c r="D217" s="62" t="str">
        <f>IFERROR(VLOOKUP(C217,Foundation!$C$5:$D$554,2,0),"")</f>
        <v>DA+0</v>
      </c>
      <c r="E217" s="722">
        <v>45924</v>
      </c>
      <c r="F217" s="722">
        <v>45928</v>
      </c>
      <c r="G217" s="61" t="s">
        <v>1520</v>
      </c>
      <c r="H217" s="554">
        <f t="shared" si="9"/>
        <v>36.159755999999994</v>
      </c>
      <c r="I217" s="760">
        <f t="shared" si="10"/>
        <v>3.3689466109103994</v>
      </c>
      <c r="J217" s="1038" t="s">
        <v>1500</v>
      </c>
      <c r="K217" s="995" t="s">
        <v>255</v>
      </c>
      <c r="L217" s="992" t="s">
        <v>1655</v>
      </c>
      <c r="M217" s="308" t="s">
        <v>1701</v>
      </c>
      <c r="N217" s="308" t="s">
        <v>1702</v>
      </c>
    </row>
    <row r="218" spans="1:14" s="308" customFormat="1" ht="15.5">
      <c r="A218" s="608">
        <f t="shared" si="11"/>
        <v>214</v>
      </c>
      <c r="B218" s="62">
        <v>58</v>
      </c>
      <c r="C218" s="990" t="s">
        <v>7</v>
      </c>
      <c r="D218" s="62" t="str">
        <f>IFERROR(VLOOKUP(C218,Foundation!$C$5:$D$554,2,0),"")</f>
        <v>DB1+6</v>
      </c>
      <c r="E218" s="722">
        <v>45920</v>
      </c>
      <c r="F218" s="722">
        <v>45929</v>
      </c>
      <c r="G218" s="61" t="s">
        <v>1481</v>
      </c>
      <c r="H218" s="554">
        <f t="shared" si="9"/>
        <v>65.027778999999995</v>
      </c>
      <c r="I218" s="760">
        <f t="shared" si="10"/>
        <v>6.0585341249835993</v>
      </c>
      <c r="J218" s="1038" t="s">
        <v>1535</v>
      </c>
      <c r="K218" s="995" t="s">
        <v>255</v>
      </c>
      <c r="L218" s="992" t="s">
        <v>1655</v>
      </c>
      <c r="M218" s="308" t="s">
        <v>1715</v>
      </c>
      <c r="N218" s="308" t="s">
        <v>1716</v>
      </c>
    </row>
    <row r="219" spans="1:14" s="308" customFormat="1" ht="15.5">
      <c r="A219" s="608">
        <f t="shared" si="11"/>
        <v>215</v>
      </c>
      <c r="B219" s="62">
        <v>59</v>
      </c>
      <c r="C219" s="990" t="s">
        <v>636</v>
      </c>
      <c r="D219" s="62" t="str">
        <f>IFERROR(VLOOKUP(C219,Foundation!$C$5:$D$554,2,0),"")</f>
        <v>DA+9</v>
      </c>
      <c r="E219" s="722">
        <v>45921</v>
      </c>
      <c r="F219" s="722">
        <v>45929</v>
      </c>
      <c r="G219" s="61" t="s">
        <v>1522</v>
      </c>
      <c r="H219" s="554">
        <f t="shared" si="9"/>
        <v>45.697022000000004</v>
      </c>
      <c r="I219" s="760">
        <f t="shared" si="10"/>
        <v>4.2575184245048003</v>
      </c>
      <c r="J219" s="1038" t="s">
        <v>1489</v>
      </c>
      <c r="K219" s="995" t="s">
        <v>255</v>
      </c>
      <c r="L219" s="992" t="s">
        <v>1655</v>
      </c>
      <c r="M219" s="308" t="s">
        <v>1699</v>
      </c>
      <c r="N219" s="308" t="s">
        <v>1700</v>
      </c>
    </row>
    <row r="220" spans="1:14" s="308" customFormat="1" ht="15.5">
      <c r="A220" s="608">
        <f t="shared" si="11"/>
        <v>216</v>
      </c>
      <c r="B220" s="62">
        <v>60</v>
      </c>
      <c r="C220" s="990" t="s">
        <v>257</v>
      </c>
      <c r="D220" s="62" t="str">
        <f>IFERROR(VLOOKUP(C220,Foundation!$C$5:$D$554,2,0),"")</f>
        <v>DB1+6</v>
      </c>
      <c r="E220" s="722">
        <v>45919</v>
      </c>
      <c r="F220" s="722">
        <v>45930</v>
      </c>
      <c r="G220" s="61" t="s">
        <v>1524</v>
      </c>
      <c r="H220" s="554">
        <f t="shared" si="9"/>
        <v>65.027778999999995</v>
      </c>
      <c r="I220" s="760">
        <f t="shared" si="10"/>
        <v>6.0585341249835993</v>
      </c>
      <c r="J220" s="1038" t="s">
        <v>1478</v>
      </c>
      <c r="K220" s="995" t="s">
        <v>255</v>
      </c>
      <c r="L220" s="992" t="s">
        <v>1655</v>
      </c>
      <c r="M220" s="308" t="s">
        <v>1715</v>
      </c>
      <c r="N220" s="308" t="s">
        <v>1716</v>
      </c>
    </row>
    <row r="221" spans="1:14" s="308" customFormat="1" ht="15.5">
      <c r="A221" s="608">
        <f t="shared" si="11"/>
        <v>217</v>
      </c>
      <c r="B221" s="62">
        <v>61</v>
      </c>
      <c r="C221" s="990" t="s">
        <v>175</v>
      </c>
      <c r="D221" s="62" t="str">
        <f>IFERROR(VLOOKUP(C221,Foundation!$C$5:$D$554,2,0),"")</f>
        <v>DA-3</v>
      </c>
      <c r="E221" s="722">
        <v>45926</v>
      </c>
      <c r="F221" s="722">
        <v>45930</v>
      </c>
      <c r="G221" s="61" t="s">
        <v>1496</v>
      </c>
      <c r="H221" s="554">
        <f t="shared" si="9"/>
        <v>34.789810000000003</v>
      </c>
      <c r="I221" s="760">
        <f t="shared" si="10"/>
        <v>3.2413109340040003</v>
      </c>
      <c r="J221" s="61" t="s">
        <v>1532</v>
      </c>
      <c r="K221" s="995" t="s">
        <v>255</v>
      </c>
      <c r="L221" s="992" t="s">
        <v>1655</v>
      </c>
      <c r="M221" s="308" t="s">
        <v>1703</v>
      </c>
      <c r="N221" s="308" t="s">
        <v>1704</v>
      </c>
    </row>
    <row r="222" spans="1:14" s="308" customFormat="1" ht="15.5">
      <c r="A222" s="608">
        <f t="shared" si="11"/>
        <v>218</v>
      </c>
      <c r="B222" s="62">
        <v>62</v>
      </c>
      <c r="C222" s="990" t="s">
        <v>254</v>
      </c>
      <c r="D222" s="62" t="str">
        <f>IFERROR(VLOOKUP(C222,Foundation!$C$5:$D$554,2,0),"")</f>
        <v>DA+6</v>
      </c>
      <c r="E222" s="722">
        <v>45926</v>
      </c>
      <c r="F222" s="722">
        <v>45930</v>
      </c>
      <c r="G222" s="61" t="s">
        <v>1495</v>
      </c>
      <c r="H222" s="554">
        <f t="shared" si="9"/>
        <v>43.804423999999997</v>
      </c>
      <c r="I222" s="760">
        <f t="shared" si="10"/>
        <v>4.0811880970015997</v>
      </c>
      <c r="J222" s="61" t="s">
        <v>1536</v>
      </c>
      <c r="K222" s="995" t="s">
        <v>255</v>
      </c>
      <c r="L222" s="992" t="s">
        <v>1655</v>
      </c>
      <c r="M222" s="308" t="s">
        <v>1691</v>
      </c>
      <c r="N222" s="308" t="s">
        <v>1692</v>
      </c>
    </row>
    <row r="223" spans="1:14" s="308" customFormat="1" ht="15.5">
      <c r="A223" s="608">
        <f t="shared" si="11"/>
        <v>219</v>
      </c>
      <c r="B223" s="62">
        <v>63</v>
      </c>
      <c r="C223" s="990" t="s">
        <v>1255</v>
      </c>
      <c r="D223" s="62" t="str">
        <f>IFERROR(VLOOKUP(C223,Foundation!$C$5:$D$554,2,0),"")</f>
        <v>DA+6</v>
      </c>
      <c r="E223" s="722">
        <v>45924</v>
      </c>
      <c r="F223" s="722">
        <v>45930</v>
      </c>
      <c r="G223" s="61" t="s">
        <v>1491</v>
      </c>
      <c r="H223" s="554">
        <f t="shared" si="9"/>
        <v>43.804423999999997</v>
      </c>
      <c r="I223" s="760">
        <f t="shared" si="10"/>
        <v>4.0811880970015997</v>
      </c>
      <c r="J223" s="1038" t="s">
        <v>1498</v>
      </c>
      <c r="K223" s="995" t="s">
        <v>255</v>
      </c>
      <c r="L223" s="992" t="s">
        <v>1655</v>
      </c>
      <c r="M223" s="308" t="s">
        <v>1691</v>
      </c>
      <c r="N223" s="308" t="s">
        <v>1692</v>
      </c>
    </row>
    <row r="224" spans="1:14" s="308" customFormat="1" ht="15.5">
      <c r="A224" s="608">
        <f t="shared" si="11"/>
        <v>220</v>
      </c>
      <c r="B224" s="62">
        <v>64</v>
      </c>
      <c r="C224" s="990" t="s">
        <v>459</v>
      </c>
      <c r="D224" s="62" t="str">
        <f>IFERROR(VLOOKUP(C224,Foundation!$C$5:$D$554,2,0),"")</f>
        <v>DA+9</v>
      </c>
      <c r="E224" s="722">
        <f>F175+1</f>
        <v>45909</v>
      </c>
      <c r="F224" s="722">
        <v>45930</v>
      </c>
      <c r="G224" s="61" t="s">
        <v>1492</v>
      </c>
      <c r="H224" s="554">
        <f t="shared" si="9"/>
        <v>45.697022000000004</v>
      </c>
      <c r="I224" s="760">
        <f t="shared" si="10"/>
        <v>4.2575184245048003</v>
      </c>
      <c r="J224" s="1038" t="s">
        <v>1148</v>
      </c>
      <c r="K224" s="995" t="s">
        <v>255</v>
      </c>
      <c r="L224" s="992" t="s">
        <v>1655</v>
      </c>
      <c r="M224" s="308" t="s">
        <v>1699</v>
      </c>
      <c r="N224" s="308" t="s">
        <v>1700</v>
      </c>
    </row>
    <row r="225" spans="1:14" s="308" customFormat="1" ht="15.5">
      <c r="A225" s="608">
        <f t="shared" si="11"/>
        <v>221</v>
      </c>
      <c r="B225" s="62">
        <v>65</v>
      </c>
      <c r="C225" s="990" t="s">
        <v>458</v>
      </c>
      <c r="D225" s="62" t="str">
        <f>IFERROR(VLOOKUP(C225,Foundation!$C$5:$D$554,2,0),"")</f>
        <v>DA+9</v>
      </c>
      <c r="E225" s="722">
        <v>45926</v>
      </c>
      <c r="F225" s="722">
        <v>45930</v>
      </c>
      <c r="G225" s="61" t="s">
        <v>1484</v>
      </c>
      <c r="H225" s="554">
        <f t="shared" si="9"/>
        <v>45.697022000000004</v>
      </c>
      <c r="I225" s="760">
        <f t="shared" si="10"/>
        <v>4.2575184245048003</v>
      </c>
      <c r="J225" s="61" t="s">
        <v>1477</v>
      </c>
      <c r="K225" s="995" t="s">
        <v>255</v>
      </c>
      <c r="L225" s="992" t="s">
        <v>1655</v>
      </c>
      <c r="M225" s="308" t="s">
        <v>1699</v>
      </c>
      <c r="N225" s="308" t="s">
        <v>1700</v>
      </c>
    </row>
    <row r="226" spans="1:14" s="308" customFormat="1" ht="15.5">
      <c r="A226" s="608">
        <f t="shared" si="11"/>
        <v>222</v>
      </c>
      <c r="B226" s="62">
        <v>4</v>
      </c>
      <c r="C226" s="990" t="s">
        <v>435</v>
      </c>
      <c r="D226" s="62" t="str">
        <f>IFERROR(VLOOKUP(C226,Foundation!$C$5:$D$554,2,0),"")</f>
        <v>DA+9</v>
      </c>
      <c r="E226" s="722">
        <v>45924</v>
      </c>
      <c r="F226" s="722">
        <v>45934</v>
      </c>
      <c r="G226" s="61" t="s">
        <v>1482</v>
      </c>
      <c r="H226" s="554">
        <f t="shared" si="9"/>
        <v>45.697022000000004</v>
      </c>
      <c r="I226" s="760">
        <f t="shared" si="10"/>
        <v>4.2575184245048003</v>
      </c>
      <c r="J226" s="1038" t="s">
        <v>1171</v>
      </c>
      <c r="K226" s="995" t="s">
        <v>255</v>
      </c>
      <c r="L226" s="992" t="s">
        <v>1655</v>
      </c>
      <c r="M226" s="308" t="s">
        <v>1699</v>
      </c>
      <c r="N226" s="308" t="s">
        <v>1700</v>
      </c>
    </row>
    <row r="227" spans="1:14" s="308" customFormat="1" ht="15.5">
      <c r="A227" s="608">
        <f t="shared" si="11"/>
        <v>223</v>
      </c>
      <c r="B227" s="62">
        <v>5</v>
      </c>
      <c r="C227" s="990" t="s">
        <v>76</v>
      </c>
      <c r="D227" s="62" t="str">
        <f>IFERROR(VLOOKUP(C227,Foundation!$C$5:$D$554,2,0),"")</f>
        <v>DA+9</v>
      </c>
      <c r="E227" s="722">
        <v>45924</v>
      </c>
      <c r="F227" s="722">
        <v>45934</v>
      </c>
      <c r="G227" s="61" t="s">
        <v>1497</v>
      </c>
      <c r="H227" s="554">
        <f t="shared" ref="H227:H292" si="12">VLOOKUP(D227,$D$316:$I$345,6,0)</f>
        <v>45.697022000000004</v>
      </c>
      <c r="I227" s="760">
        <f t="shared" si="10"/>
        <v>4.2575184245048003</v>
      </c>
      <c r="J227" s="61" t="s">
        <v>1092</v>
      </c>
      <c r="K227" s="995" t="s">
        <v>255</v>
      </c>
      <c r="L227" s="995" t="s">
        <v>1655</v>
      </c>
      <c r="M227" s="308" t="s">
        <v>1699</v>
      </c>
      <c r="N227" s="308" t="s">
        <v>1700</v>
      </c>
    </row>
    <row r="228" spans="1:14" s="308" customFormat="1" ht="15.5">
      <c r="A228" s="608">
        <f t="shared" si="11"/>
        <v>224</v>
      </c>
      <c r="B228" s="62">
        <v>6</v>
      </c>
      <c r="C228" s="990" t="s">
        <v>903</v>
      </c>
      <c r="D228" s="62" t="str">
        <f>IFERROR(VLOOKUP(C228,Foundation!$C$5:$D$554,2,0),"")</f>
        <v>DA+6</v>
      </c>
      <c r="E228" s="722">
        <v>45926</v>
      </c>
      <c r="F228" s="722">
        <v>45934</v>
      </c>
      <c r="G228" s="61" t="s">
        <v>1528</v>
      </c>
      <c r="H228" s="554">
        <f t="shared" si="12"/>
        <v>43.804423999999997</v>
      </c>
      <c r="I228" s="760">
        <f t="shared" si="10"/>
        <v>4.0811880970015997</v>
      </c>
      <c r="J228" s="61" t="s">
        <v>660</v>
      </c>
      <c r="K228" s="995" t="s">
        <v>255</v>
      </c>
      <c r="L228" s="992" t="s">
        <v>1655</v>
      </c>
      <c r="M228" s="308" t="s">
        <v>1691</v>
      </c>
      <c r="N228" s="308" t="s">
        <v>1692</v>
      </c>
    </row>
    <row r="229" spans="1:14" s="308" customFormat="1" ht="15.5">
      <c r="A229" s="608">
        <f t="shared" si="11"/>
        <v>225</v>
      </c>
      <c r="B229" s="62">
        <v>7</v>
      </c>
      <c r="C229" s="990" t="s">
        <v>419</v>
      </c>
      <c r="D229" s="62" t="str">
        <f>IFERROR(VLOOKUP(C229,Foundation!$C$5:$D$554,2,0),"")</f>
        <v>DA+1.5</v>
      </c>
      <c r="E229" s="722">
        <v>45927</v>
      </c>
      <c r="F229" s="722">
        <v>45934</v>
      </c>
      <c r="G229" s="61" t="s">
        <v>1525</v>
      </c>
      <c r="H229" s="554">
        <f t="shared" si="12"/>
        <v>37.138323999999997</v>
      </c>
      <c r="I229" s="760">
        <f t="shared" si="10"/>
        <v>3.4601182257615997</v>
      </c>
      <c r="J229" s="61" t="s">
        <v>1526</v>
      </c>
      <c r="K229" s="995" t="s">
        <v>255</v>
      </c>
      <c r="L229" s="995" t="s">
        <v>1655</v>
      </c>
      <c r="M229" s="308" t="s">
        <v>1697</v>
      </c>
      <c r="N229" s="308" t="s">
        <v>1698</v>
      </c>
    </row>
    <row r="230" spans="1:14" s="308" customFormat="1" ht="15.5">
      <c r="A230" s="608">
        <f t="shared" si="11"/>
        <v>226</v>
      </c>
      <c r="B230" s="62">
        <v>8</v>
      </c>
      <c r="C230" s="990" t="s">
        <v>253</v>
      </c>
      <c r="D230" s="62" t="str">
        <f>IFERROR(VLOOKUP(C230,Foundation!$C$5:$D$554,2,0),"")</f>
        <v>DA-3</v>
      </c>
      <c r="E230" s="722">
        <v>45931</v>
      </c>
      <c r="F230" s="722">
        <v>45936</v>
      </c>
      <c r="G230" s="61" t="s">
        <v>1495</v>
      </c>
      <c r="H230" s="554">
        <f t="shared" si="12"/>
        <v>34.789810000000003</v>
      </c>
      <c r="I230" s="760">
        <f t="shared" si="10"/>
        <v>3.2413109340040003</v>
      </c>
      <c r="J230" s="61" t="s">
        <v>1542</v>
      </c>
      <c r="K230" s="995" t="s">
        <v>255</v>
      </c>
      <c r="L230" s="992" t="s">
        <v>1655</v>
      </c>
      <c r="M230" s="308" t="s">
        <v>1703</v>
      </c>
      <c r="N230" s="308" t="s">
        <v>1704</v>
      </c>
    </row>
    <row r="231" spans="1:14" s="308" customFormat="1" ht="15.5">
      <c r="A231" s="608">
        <f t="shared" si="11"/>
        <v>227</v>
      </c>
      <c r="B231" s="62">
        <v>9</v>
      </c>
      <c r="C231" s="990" t="s">
        <v>1265</v>
      </c>
      <c r="D231" s="62" t="str">
        <f>IFERROR(VLOOKUP(C231,Foundation!$C$5:$D$554,2,0),"")</f>
        <v>DA+9</v>
      </c>
      <c r="E231" s="722">
        <v>45926</v>
      </c>
      <c r="F231" s="722">
        <v>45937</v>
      </c>
      <c r="G231" s="61" t="s">
        <v>1523</v>
      </c>
      <c r="H231" s="554">
        <f t="shared" si="12"/>
        <v>45.697022000000004</v>
      </c>
      <c r="I231" s="760">
        <f t="shared" si="10"/>
        <v>4.2575184245048003</v>
      </c>
      <c r="J231" s="61" t="s">
        <v>1478</v>
      </c>
      <c r="K231" s="995" t="s">
        <v>255</v>
      </c>
      <c r="L231" s="995" t="s">
        <v>1655</v>
      </c>
      <c r="M231" s="308" t="s">
        <v>1699</v>
      </c>
      <c r="N231" s="308" t="s">
        <v>1700</v>
      </c>
    </row>
    <row r="232" spans="1:14" s="308" customFormat="1" ht="15.5">
      <c r="A232" s="608">
        <f t="shared" si="11"/>
        <v>228</v>
      </c>
      <c r="B232" s="62">
        <v>10</v>
      </c>
      <c r="C232" s="990" t="s">
        <v>1244</v>
      </c>
      <c r="D232" s="62" t="str">
        <f>IFERROR(VLOOKUP(C232,Foundation!$C$5:$D$554,2,0),"")</f>
        <v>DB1+9</v>
      </c>
      <c r="E232" s="722">
        <v>45928</v>
      </c>
      <c r="F232" s="722">
        <v>45939</v>
      </c>
      <c r="G232" s="61" t="s">
        <v>1520</v>
      </c>
      <c r="H232" s="554">
        <f t="shared" si="12"/>
        <v>66.780901</v>
      </c>
      <c r="I232" s="760">
        <f t="shared" si="10"/>
        <v>6.2218696967283993</v>
      </c>
      <c r="J232" s="61" t="s">
        <v>1500</v>
      </c>
      <c r="K232" s="995" t="s">
        <v>255</v>
      </c>
      <c r="L232" s="992" t="s">
        <v>1655</v>
      </c>
      <c r="M232" s="308" t="s">
        <v>1709</v>
      </c>
      <c r="N232" s="308" t="s">
        <v>1710</v>
      </c>
    </row>
    <row r="233" spans="1:14" s="308" customFormat="1" ht="15.5">
      <c r="A233" s="608">
        <f t="shared" si="11"/>
        <v>229</v>
      </c>
      <c r="B233" s="62">
        <v>11</v>
      </c>
      <c r="C233" s="990" t="s">
        <v>635</v>
      </c>
      <c r="D233" s="62" t="str">
        <f>IFERROR(VLOOKUP(C233,Foundation!$C$5:$D$554,2,0),"")</f>
        <v>DA+3</v>
      </c>
      <c r="E233" s="722">
        <f>F219+1</f>
        <v>45930</v>
      </c>
      <c r="F233" s="722">
        <v>45939</v>
      </c>
      <c r="G233" s="61" t="s">
        <v>1522</v>
      </c>
      <c r="H233" s="554">
        <f t="shared" si="12"/>
        <v>37.931087999999995</v>
      </c>
      <c r="I233" s="760">
        <f t="shared" si="10"/>
        <v>3.5339787792191997</v>
      </c>
      <c r="J233" s="61" t="s">
        <v>1489</v>
      </c>
      <c r="K233" s="995" t="s">
        <v>255</v>
      </c>
      <c r="L233" s="992" t="s">
        <v>1655</v>
      </c>
      <c r="M233" s="308" t="s">
        <v>1693</v>
      </c>
      <c r="N233" s="308" t="s">
        <v>1694</v>
      </c>
    </row>
    <row r="234" spans="1:14" s="308" customFormat="1" ht="15.5">
      <c r="A234" s="608">
        <f t="shared" si="11"/>
        <v>230</v>
      </c>
      <c r="B234" s="62">
        <v>12</v>
      </c>
      <c r="C234" s="990" t="s">
        <v>902</v>
      </c>
      <c r="D234" s="62" t="str">
        <f>IFERROR(VLOOKUP(C234,Foundation!$C$5:$D$554,2,0),"")</f>
        <v>DA+3</v>
      </c>
      <c r="E234" s="722">
        <v>45935</v>
      </c>
      <c r="F234" s="722">
        <v>45940</v>
      </c>
      <c r="G234" s="61" t="s">
        <v>1528</v>
      </c>
      <c r="H234" s="554">
        <f t="shared" si="12"/>
        <v>37.931087999999995</v>
      </c>
      <c r="I234" s="760">
        <f t="shared" si="10"/>
        <v>3.5339787792191997</v>
      </c>
      <c r="J234" s="61" t="s">
        <v>660</v>
      </c>
      <c r="K234" s="995" t="s">
        <v>255</v>
      </c>
      <c r="L234" s="992" t="s">
        <v>1655</v>
      </c>
      <c r="M234" s="308" t="s">
        <v>1693</v>
      </c>
      <c r="N234" s="308" t="s">
        <v>1694</v>
      </c>
    </row>
    <row r="235" spans="1:14" s="308" customFormat="1" ht="15.5">
      <c r="A235" s="608">
        <f t="shared" si="11"/>
        <v>231</v>
      </c>
      <c r="B235" s="62">
        <v>13</v>
      </c>
      <c r="C235" s="990" t="s">
        <v>1260</v>
      </c>
      <c r="D235" s="62" t="str">
        <f>IFERROR(VLOOKUP(C235,Foundation!$C$5:$D$554,2,0),"")</f>
        <v>DA+0</v>
      </c>
      <c r="E235" s="722">
        <v>45931</v>
      </c>
      <c r="F235" s="722">
        <v>45940</v>
      </c>
      <c r="G235" s="61" t="s">
        <v>1491</v>
      </c>
      <c r="H235" s="554">
        <f t="shared" si="12"/>
        <v>36.159755999999994</v>
      </c>
      <c r="I235" s="760">
        <f t="shared" si="10"/>
        <v>3.3689466109103994</v>
      </c>
      <c r="J235" s="61" t="s">
        <v>1539</v>
      </c>
      <c r="K235" s="995" t="s">
        <v>255</v>
      </c>
      <c r="L235" s="992" t="s">
        <v>1655</v>
      </c>
      <c r="M235" s="308" t="s">
        <v>1701</v>
      </c>
      <c r="N235" s="308" t="s">
        <v>1702</v>
      </c>
    </row>
    <row r="236" spans="1:14" s="308" customFormat="1" ht="15.5">
      <c r="A236" s="608">
        <f t="shared" si="11"/>
        <v>232</v>
      </c>
      <c r="B236" s="62">
        <v>14</v>
      </c>
      <c r="C236" s="990" t="s">
        <v>252</v>
      </c>
      <c r="D236" s="62" t="str">
        <f>IFERROR(VLOOKUP(C236,Foundation!$C$5:$D$554,2,0),"")</f>
        <v>DA+0</v>
      </c>
      <c r="E236" s="722">
        <v>45937</v>
      </c>
      <c r="F236" s="722">
        <v>45940</v>
      </c>
      <c r="G236" s="61" t="s">
        <v>1495</v>
      </c>
      <c r="H236" s="554">
        <f t="shared" si="12"/>
        <v>36.159755999999994</v>
      </c>
      <c r="I236" s="760">
        <f t="shared" si="10"/>
        <v>3.3689466109103994</v>
      </c>
      <c r="J236" s="61" t="s">
        <v>1536</v>
      </c>
      <c r="K236" s="995" t="s">
        <v>255</v>
      </c>
      <c r="L236" s="992" t="s">
        <v>1655</v>
      </c>
      <c r="M236" s="308" t="s">
        <v>1701</v>
      </c>
      <c r="N236" s="308" t="s">
        <v>1702</v>
      </c>
    </row>
    <row r="237" spans="1:14" s="308" customFormat="1" ht="15.5">
      <c r="A237" s="608">
        <f t="shared" si="11"/>
        <v>233</v>
      </c>
      <c r="B237" s="62">
        <v>15</v>
      </c>
      <c r="C237" s="990" t="s">
        <v>1263</v>
      </c>
      <c r="D237" s="62" t="str">
        <f>IFERROR(VLOOKUP(C237,Foundation!$C$5:$D$554,2,0),"")</f>
        <v>DB1+9</v>
      </c>
      <c r="E237" s="722">
        <v>45925</v>
      </c>
      <c r="F237" s="722">
        <v>45942</v>
      </c>
      <c r="G237" s="61" t="s">
        <v>1488</v>
      </c>
      <c r="H237" s="554">
        <f t="shared" si="12"/>
        <v>66.780901</v>
      </c>
      <c r="I237" s="760">
        <f t="shared" si="10"/>
        <v>6.2218696967283993</v>
      </c>
      <c r="J237" s="61" t="s">
        <v>1529</v>
      </c>
      <c r="K237" s="995" t="s">
        <v>255</v>
      </c>
      <c r="L237" s="992" t="s">
        <v>1655</v>
      </c>
      <c r="M237" s="308" t="s">
        <v>1709</v>
      </c>
      <c r="N237" s="308" t="s">
        <v>1710</v>
      </c>
    </row>
    <row r="238" spans="1:14" s="308" customFormat="1" ht="15.5">
      <c r="A238" s="608">
        <f t="shared" si="11"/>
        <v>234</v>
      </c>
      <c r="B238" s="62">
        <v>16</v>
      </c>
      <c r="C238" s="990" t="s">
        <v>256</v>
      </c>
      <c r="D238" s="62" t="str">
        <f>IFERROR(VLOOKUP(C238,Foundation!$C$5:$D$554,2,0),"")</f>
        <v>DB2+9</v>
      </c>
      <c r="E238" s="722">
        <v>45925</v>
      </c>
      <c r="F238" s="722">
        <v>45942</v>
      </c>
      <c r="G238" s="61" t="s">
        <v>1485</v>
      </c>
      <c r="H238" s="554">
        <f t="shared" si="12"/>
        <v>72.155540000000002</v>
      </c>
      <c r="I238" s="760">
        <f t="shared" si="10"/>
        <v>6.7226162129360008</v>
      </c>
      <c r="J238" s="61" t="s">
        <v>1530</v>
      </c>
      <c r="K238" s="995" t="s">
        <v>255</v>
      </c>
      <c r="L238" s="992" t="s">
        <v>1655</v>
      </c>
      <c r="M238" s="308" t="s">
        <v>1717</v>
      </c>
      <c r="N238" s="308" t="s">
        <v>1718</v>
      </c>
    </row>
    <row r="239" spans="1:14" s="308" customFormat="1" ht="15.5">
      <c r="A239" s="608">
        <f t="shared" si="11"/>
        <v>235</v>
      </c>
      <c r="B239" s="62">
        <v>17</v>
      </c>
      <c r="C239" s="990" t="s">
        <v>1245</v>
      </c>
      <c r="D239" s="62" t="str">
        <f>IFERROR(VLOOKUP(C239,Foundation!$C$5:$D$554,2,0),"")</f>
        <v>DB1+12</v>
      </c>
      <c r="E239" s="722">
        <f>F218+1</f>
        <v>45930</v>
      </c>
      <c r="F239" s="722">
        <v>45942</v>
      </c>
      <c r="G239" s="61" t="s">
        <v>1481</v>
      </c>
      <c r="H239" s="554">
        <f t="shared" si="12"/>
        <v>70.788264999999996</v>
      </c>
      <c r="I239" s="760">
        <f t="shared" si="10"/>
        <v>6.5952293888259996</v>
      </c>
      <c r="J239" s="61" t="s">
        <v>1535</v>
      </c>
      <c r="K239" s="995" t="s">
        <v>255</v>
      </c>
      <c r="L239" s="992" t="s">
        <v>1655</v>
      </c>
      <c r="M239" s="308" t="s">
        <v>1689</v>
      </c>
      <c r="N239" s="308" t="s">
        <v>1690</v>
      </c>
    </row>
    <row r="240" spans="1:14" s="308" customFormat="1" ht="15.5">
      <c r="A240" s="608">
        <f t="shared" si="11"/>
        <v>236</v>
      </c>
      <c r="B240" s="62">
        <v>18</v>
      </c>
      <c r="C240" s="990" t="s">
        <v>430</v>
      </c>
      <c r="D240" s="62" t="str">
        <f>IFERROR(VLOOKUP(C240,Foundation!$C$5:$D$554,2,0),"")</f>
        <v>DA+6</v>
      </c>
      <c r="E240" s="722">
        <v>45937</v>
      </c>
      <c r="F240" s="722">
        <v>45942</v>
      </c>
      <c r="G240" s="61" t="s">
        <v>1484</v>
      </c>
      <c r="H240" s="554">
        <f t="shared" si="12"/>
        <v>43.804423999999997</v>
      </c>
      <c r="I240" s="760">
        <f t="shared" si="10"/>
        <v>4.0811880970015997</v>
      </c>
      <c r="J240" s="61" t="s">
        <v>1141</v>
      </c>
      <c r="K240" s="995" t="s">
        <v>255</v>
      </c>
      <c r="L240" s="992" t="s">
        <v>1655</v>
      </c>
      <c r="M240" s="308" t="s">
        <v>1691</v>
      </c>
      <c r="N240" s="308" t="s">
        <v>1692</v>
      </c>
    </row>
    <row r="241" spans="1:14" s="308" customFormat="1" ht="15.5">
      <c r="A241" s="608">
        <f t="shared" si="11"/>
        <v>237</v>
      </c>
      <c r="B241" s="62">
        <v>19</v>
      </c>
      <c r="C241" s="990" t="s">
        <v>251</v>
      </c>
      <c r="D241" s="62" t="str">
        <f>IFERROR(VLOOKUP(C241,Foundation!$C$5:$D$554,2,0),"")</f>
        <v>DA+9</v>
      </c>
      <c r="E241" s="722">
        <v>45941</v>
      </c>
      <c r="F241" s="722">
        <v>45945</v>
      </c>
      <c r="G241" s="61" t="s">
        <v>1495</v>
      </c>
      <c r="H241" s="554">
        <f t="shared" si="12"/>
        <v>45.697022000000004</v>
      </c>
      <c r="I241" s="760">
        <f t="shared" si="10"/>
        <v>4.2575184245048003</v>
      </c>
      <c r="J241" s="61" t="s">
        <v>1536</v>
      </c>
      <c r="K241" s="995" t="s">
        <v>255</v>
      </c>
      <c r="L241" s="992" t="s">
        <v>1655</v>
      </c>
      <c r="M241" s="308" t="s">
        <v>1699</v>
      </c>
      <c r="N241" s="308" t="s">
        <v>1700</v>
      </c>
    </row>
    <row r="242" spans="1:14" s="308" customFormat="1" ht="15.5">
      <c r="A242" s="608">
        <f t="shared" si="11"/>
        <v>238</v>
      </c>
      <c r="B242" s="62">
        <v>20</v>
      </c>
      <c r="C242" s="990" t="s">
        <v>53</v>
      </c>
      <c r="D242" s="62" t="str">
        <f>IFERROR(VLOOKUP(C242,Foundation!$C$5:$D$554,2,0),"")</f>
        <v>DD60+3</v>
      </c>
      <c r="E242" s="722">
        <v>45931</v>
      </c>
      <c r="F242" s="722">
        <v>45945</v>
      </c>
      <c r="G242" s="61" t="s">
        <v>1496</v>
      </c>
      <c r="H242" s="554">
        <f t="shared" si="12"/>
        <v>87.021340000000009</v>
      </c>
      <c r="I242" s="760">
        <f t="shared" si="10"/>
        <v>8.1076390136560015</v>
      </c>
      <c r="J242" s="61" t="s">
        <v>1532</v>
      </c>
      <c r="K242" s="995" t="s">
        <v>255</v>
      </c>
      <c r="L242" s="992" t="s">
        <v>1655</v>
      </c>
      <c r="M242" s="308" t="s">
        <v>1719</v>
      </c>
      <c r="N242" s="308" t="s">
        <v>1720</v>
      </c>
    </row>
    <row r="243" spans="1:14" s="308" customFormat="1" ht="15.5">
      <c r="A243" s="608">
        <f t="shared" si="11"/>
        <v>239</v>
      </c>
      <c r="B243" s="62">
        <v>21</v>
      </c>
      <c r="C243" s="990" t="s">
        <v>1264</v>
      </c>
      <c r="D243" s="62" t="str">
        <f>IFERROR(VLOOKUP(C243,Foundation!$C$5:$D$554,2,0),"")</f>
        <v>DA+3</v>
      </c>
      <c r="E243" s="722">
        <v>45939</v>
      </c>
      <c r="F243" s="722">
        <v>45946</v>
      </c>
      <c r="G243" s="61" t="s">
        <v>1523</v>
      </c>
      <c r="H243" s="554">
        <f t="shared" si="12"/>
        <v>37.931087999999995</v>
      </c>
      <c r="I243" s="760">
        <f t="shared" si="10"/>
        <v>3.5339787792191997</v>
      </c>
      <c r="J243" s="61" t="s">
        <v>1540</v>
      </c>
      <c r="K243" s="995" t="s">
        <v>255</v>
      </c>
      <c r="L243" s="992" t="s">
        <v>1655</v>
      </c>
      <c r="M243" s="308" t="s">
        <v>1693</v>
      </c>
      <c r="N243" s="308" t="s">
        <v>1694</v>
      </c>
    </row>
    <row r="244" spans="1:14" s="308" customFormat="1" ht="15.5">
      <c r="A244" s="608">
        <f t="shared" si="11"/>
        <v>240</v>
      </c>
      <c r="B244" s="62">
        <v>22</v>
      </c>
      <c r="C244" s="990" t="s">
        <v>264</v>
      </c>
      <c r="D244" s="62" t="str">
        <f>IFERROR(VLOOKUP(C244,Foundation!$C$5:$D$554,2,0),"")</f>
        <v>DB1+6</v>
      </c>
      <c r="E244" s="722">
        <v>45932</v>
      </c>
      <c r="F244" s="722">
        <v>45947</v>
      </c>
      <c r="G244" s="61" t="s">
        <v>1487</v>
      </c>
      <c r="H244" s="554">
        <f t="shared" si="12"/>
        <v>65.027778999999995</v>
      </c>
      <c r="I244" s="760">
        <f t="shared" si="10"/>
        <v>6.0585341249835993</v>
      </c>
      <c r="J244" s="61" t="s">
        <v>1148</v>
      </c>
      <c r="K244" s="995" t="s">
        <v>255</v>
      </c>
      <c r="L244" s="992" t="s">
        <v>1655</v>
      </c>
      <c r="M244" s="308" t="s">
        <v>1715</v>
      </c>
      <c r="N244" s="308" t="s">
        <v>1716</v>
      </c>
    </row>
    <row r="245" spans="1:14" s="308" customFormat="1" ht="15.5">
      <c r="A245" s="608">
        <f t="shared" si="11"/>
        <v>241</v>
      </c>
      <c r="B245" s="62">
        <v>23</v>
      </c>
      <c r="C245" s="990" t="s">
        <v>633</v>
      </c>
      <c r="D245" s="62" t="str">
        <f>IFERROR(VLOOKUP(C245,Foundation!$C$5:$D$554,2,0),"")</f>
        <v>DA-1.5</v>
      </c>
      <c r="E245" s="722">
        <v>45940</v>
      </c>
      <c r="F245" s="722">
        <v>45949</v>
      </c>
      <c r="G245" s="61" t="s">
        <v>1522</v>
      </c>
      <c r="H245" s="554">
        <f t="shared" si="12"/>
        <v>35.601761999999994</v>
      </c>
      <c r="I245" s="760">
        <f t="shared" si="10"/>
        <v>3.3169592027207995</v>
      </c>
      <c r="J245" s="61" t="s">
        <v>1489</v>
      </c>
      <c r="K245" s="995" t="s">
        <v>255</v>
      </c>
      <c r="L245" s="992" t="s">
        <v>1655</v>
      </c>
      <c r="M245" s="308" t="s">
        <v>1695</v>
      </c>
      <c r="N245" s="308" t="s">
        <v>1696</v>
      </c>
    </row>
    <row r="246" spans="1:14" s="308" customFormat="1" ht="15.5">
      <c r="A246" s="608">
        <f t="shared" si="11"/>
        <v>242</v>
      </c>
      <c r="B246" s="62">
        <v>24</v>
      </c>
      <c r="C246" s="990" t="s">
        <v>75</v>
      </c>
      <c r="D246" s="62" t="str">
        <f>IFERROR(VLOOKUP(C246,Foundation!$C$5:$D$554,2,0),"")</f>
        <v>DB1+9</v>
      </c>
      <c r="E246" s="722">
        <v>45938</v>
      </c>
      <c r="F246" s="722">
        <v>45952</v>
      </c>
      <c r="G246" s="61" t="s">
        <v>1497</v>
      </c>
      <c r="H246" s="554">
        <f t="shared" si="12"/>
        <v>66.780901</v>
      </c>
      <c r="I246" s="760">
        <f t="shared" si="10"/>
        <v>6.2218696967283993</v>
      </c>
      <c r="J246" s="61" t="s">
        <v>1092</v>
      </c>
      <c r="K246" s="995" t="s">
        <v>255</v>
      </c>
      <c r="L246" s="992" t="s">
        <v>1655</v>
      </c>
      <c r="M246" s="308" t="s">
        <v>1709</v>
      </c>
      <c r="N246" s="308" t="s">
        <v>1710</v>
      </c>
    </row>
    <row r="247" spans="1:14" s="308" customFormat="1" ht="15.5">
      <c r="A247" s="608">
        <f t="shared" si="11"/>
        <v>243</v>
      </c>
      <c r="B247" s="62">
        <v>25</v>
      </c>
      <c r="C247" s="990" t="s">
        <v>898</v>
      </c>
      <c r="D247" s="62" t="str">
        <f>IFERROR(VLOOKUP(C247,Foundation!$C$5:$D$554,2,0),"")</f>
        <v>DB1+0</v>
      </c>
      <c r="E247" s="722">
        <v>45936</v>
      </c>
      <c r="F247" s="722">
        <v>45952</v>
      </c>
      <c r="G247" s="61" t="s">
        <v>1482</v>
      </c>
      <c r="H247" s="554">
        <f t="shared" si="12"/>
        <v>55.450851000000007</v>
      </c>
      <c r="I247" s="760">
        <f t="shared" si="10"/>
        <v>5.1662670663084009</v>
      </c>
      <c r="J247" s="61" t="s">
        <v>1171</v>
      </c>
      <c r="K247" s="995" t="s">
        <v>255</v>
      </c>
      <c r="L247" s="992" t="s">
        <v>1655</v>
      </c>
      <c r="M247" s="980" t="s">
        <v>1713</v>
      </c>
      <c r="N247" s="980" t="s">
        <v>1714</v>
      </c>
    </row>
    <row r="248" spans="1:14" s="308" customFormat="1" ht="15.5">
      <c r="A248" s="608">
        <f t="shared" si="11"/>
        <v>244</v>
      </c>
      <c r="B248" s="62">
        <v>26</v>
      </c>
      <c r="C248" s="990" t="s">
        <v>436</v>
      </c>
      <c r="D248" s="62" t="str">
        <f>IFERROR(VLOOKUP(C248,Foundation!$C$5:$D$554,2,0),"")</f>
        <v>DA+3</v>
      </c>
      <c r="E248" s="722">
        <v>45942</v>
      </c>
      <c r="F248" s="722">
        <v>45952</v>
      </c>
      <c r="G248" s="61" t="s">
        <v>1484</v>
      </c>
      <c r="H248" s="554">
        <f t="shared" si="12"/>
        <v>37.931087999999995</v>
      </c>
      <c r="I248" s="760">
        <f t="shared" si="10"/>
        <v>3.5339787792191997</v>
      </c>
      <c r="J248" s="61" t="s">
        <v>1141</v>
      </c>
      <c r="K248" s="995" t="s">
        <v>255</v>
      </c>
      <c r="L248" s="992" t="s">
        <v>1655</v>
      </c>
      <c r="M248" s="308" t="s">
        <v>1693</v>
      </c>
      <c r="N248" s="308" t="s">
        <v>1694</v>
      </c>
    </row>
    <row r="249" spans="1:14" s="308" customFormat="1" ht="15.5">
      <c r="A249" s="608">
        <f t="shared" si="11"/>
        <v>245</v>
      </c>
      <c r="B249" s="62">
        <v>27</v>
      </c>
      <c r="C249" s="990" t="s">
        <v>424</v>
      </c>
      <c r="D249" s="62" t="str">
        <f>IFERROR(VLOOKUP(C249,Foundation!$C$5:$D$554,2,0),"")</f>
        <v>DA+1.5</v>
      </c>
      <c r="E249" s="722">
        <v>45946</v>
      </c>
      <c r="F249" s="722">
        <v>45952</v>
      </c>
      <c r="G249" s="61" t="s">
        <v>1495</v>
      </c>
      <c r="H249" s="554">
        <f t="shared" si="12"/>
        <v>37.138323999999997</v>
      </c>
      <c r="I249" s="760">
        <f t="shared" si="10"/>
        <v>3.4601182257615997</v>
      </c>
      <c r="J249" s="61" t="s">
        <v>1536</v>
      </c>
      <c r="K249" s="995" t="s">
        <v>255</v>
      </c>
      <c r="L249" s="992" t="s">
        <v>1655</v>
      </c>
      <c r="M249" s="308" t="s">
        <v>1697</v>
      </c>
      <c r="N249" s="308" t="s">
        <v>1698</v>
      </c>
    </row>
    <row r="250" spans="1:14" s="308" customFormat="1" ht="15.5">
      <c r="A250" s="608">
        <f t="shared" si="11"/>
        <v>246</v>
      </c>
      <c r="B250" s="62">
        <v>28</v>
      </c>
      <c r="C250" s="990" t="s">
        <v>426</v>
      </c>
      <c r="D250" s="62" t="str">
        <f>IFERROR(VLOOKUP(C250,Foundation!$C$5:$D$554,2,0),"")</f>
        <v>DA-3</v>
      </c>
      <c r="E250" s="722">
        <v>45947</v>
      </c>
      <c r="F250" s="722">
        <v>45953</v>
      </c>
      <c r="G250" s="61" t="s">
        <v>1523</v>
      </c>
      <c r="H250" s="554">
        <f t="shared" si="12"/>
        <v>34.789810000000003</v>
      </c>
      <c r="I250" s="760">
        <f t="shared" si="10"/>
        <v>3.2413109340040003</v>
      </c>
      <c r="J250" s="61" t="s">
        <v>1540</v>
      </c>
      <c r="K250" s="995" t="s">
        <v>255</v>
      </c>
      <c r="L250" s="992" t="s">
        <v>1655</v>
      </c>
      <c r="M250" s="308" t="s">
        <v>1703</v>
      </c>
      <c r="N250" s="308" t="s">
        <v>1704</v>
      </c>
    </row>
    <row r="251" spans="1:14" s="308" customFormat="1" ht="15.5">
      <c r="A251" s="608">
        <f t="shared" si="11"/>
        <v>247</v>
      </c>
      <c r="B251" s="62">
        <v>29</v>
      </c>
      <c r="C251" s="990" t="s">
        <v>64</v>
      </c>
      <c r="D251" s="62" t="str">
        <f>IFERROR(VLOOKUP(C251,Foundation!$C$5:$D$554,2,0),"")</f>
        <v>DC1+0</v>
      </c>
      <c r="E251" s="722">
        <v>45938</v>
      </c>
      <c r="F251" s="722">
        <v>45955</v>
      </c>
      <c r="G251" s="61" t="s">
        <v>1492</v>
      </c>
      <c r="H251" s="554">
        <f t="shared" si="12"/>
        <v>62.443705999999999</v>
      </c>
      <c r="I251" s="760">
        <f t="shared" si="10"/>
        <v>5.8177801780904002</v>
      </c>
      <c r="J251" s="61" t="s">
        <v>1141</v>
      </c>
      <c r="K251" s="995" t="s">
        <v>255</v>
      </c>
      <c r="L251" s="992" t="s">
        <v>1655</v>
      </c>
      <c r="M251" s="763" t="s">
        <v>1721</v>
      </c>
      <c r="N251" s="763" t="s">
        <v>1722</v>
      </c>
    </row>
    <row r="252" spans="1:14" s="308" customFormat="1" ht="15.5">
      <c r="A252" s="608">
        <f t="shared" si="11"/>
        <v>248</v>
      </c>
      <c r="B252" s="62">
        <v>30</v>
      </c>
      <c r="C252" s="990" t="s">
        <v>1256</v>
      </c>
      <c r="D252" s="62" t="str">
        <f>IFERROR(VLOOKUP(C252,Foundation!$C$5:$D$554,2,0),"")</f>
        <v>DD45+3</v>
      </c>
      <c r="E252" s="722">
        <v>45941</v>
      </c>
      <c r="F252" s="722">
        <v>45956</v>
      </c>
      <c r="G252" s="61" t="s">
        <v>1491</v>
      </c>
      <c r="H252" s="554">
        <f t="shared" si="12"/>
        <v>77.076931999999999</v>
      </c>
      <c r="I252" s="760">
        <f t="shared" si="10"/>
        <v>7.1811344313488004</v>
      </c>
      <c r="J252" s="61" t="s">
        <v>1539</v>
      </c>
      <c r="K252" s="995" t="s">
        <v>255</v>
      </c>
      <c r="L252" s="992" t="s">
        <v>1655</v>
      </c>
      <c r="M252" s="308" t="s">
        <v>1693</v>
      </c>
      <c r="N252" s="308" t="s">
        <v>1723</v>
      </c>
    </row>
    <row r="253" spans="1:14" s="308" customFormat="1" ht="15.5">
      <c r="A253" s="608">
        <f t="shared" si="11"/>
        <v>249</v>
      </c>
      <c r="B253" s="62">
        <v>31</v>
      </c>
      <c r="C253" s="990" t="s">
        <v>56</v>
      </c>
      <c r="D253" s="62" t="str">
        <f>IFERROR(VLOOKUP(C253,Foundation!$C$5:$D$554,2,0),"")</f>
        <v>DB2+9</v>
      </c>
      <c r="E253" s="722">
        <v>45942</v>
      </c>
      <c r="F253" s="722">
        <v>45957</v>
      </c>
      <c r="G253" s="61" t="s">
        <v>1525</v>
      </c>
      <c r="H253" s="554">
        <f t="shared" si="12"/>
        <v>72.155540000000002</v>
      </c>
      <c r="I253" s="760">
        <f t="shared" si="10"/>
        <v>6.7226162129360008</v>
      </c>
      <c r="J253" s="61" t="s">
        <v>1543</v>
      </c>
      <c r="K253" s="995" t="s">
        <v>255</v>
      </c>
      <c r="L253" s="995" t="s">
        <v>1655</v>
      </c>
      <c r="M253" s="308" t="s">
        <v>1717</v>
      </c>
      <c r="N253" s="308" t="s">
        <v>1718</v>
      </c>
    </row>
    <row r="254" spans="1:14" s="308" customFormat="1" ht="15.5">
      <c r="A254" s="608">
        <f t="shared" si="11"/>
        <v>250</v>
      </c>
      <c r="B254" s="62">
        <v>32</v>
      </c>
      <c r="C254" s="990" t="s">
        <v>52</v>
      </c>
      <c r="D254" s="62" t="str">
        <f>IFERROR(VLOOKUP(C254,Foundation!$C$5:$D$554,2,0),"")</f>
        <v>DD60+3</v>
      </c>
      <c r="E254" s="722">
        <v>45946</v>
      </c>
      <c r="F254" s="722">
        <v>45958</v>
      </c>
      <c r="G254" s="61" t="s">
        <v>1496</v>
      </c>
      <c r="H254" s="554">
        <f t="shared" si="12"/>
        <v>87.021340000000009</v>
      </c>
      <c r="I254" s="760">
        <f t="shared" si="10"/>
        <v>8.1076390136560015</v>
      </c>
      <c r="J254" s="61" t="s">
        <v>1535</v>
      </c>
      <c r="K254" s="995" t="s">
        <v>255</v>
      </c>
      <c r="L254" s="992" t="s">
        <v>1655</v>
      </c>
      <c r="M254" s="308" t="s">
        <v>1719</v>
      </c>
      <c r="N254" s="308" t="s">
        <v>1720</v>
      </c>
    </row>
    <row r="255" spans="1:14" s="308" customFormat="1" ht="15.5">
      <c r="A255" s="608">
        <f t="shared" si="11"/>
        <v>251</v>
      </c>
      <c r="B255" s="62">
        <v>33</v>
      </c>
      <c r="C255" s="990" t="s">
        <v>410</v>
      </c>
      <c r="D255" s="62" t="str">
        <f>IFERROR(VLOOKUP(C255,Foundation!$C$5:$D$554,2,0),"")</f>
        <v>DA+3</v>
      </c>
      <c r="E255" s="722">
        <v>45948</v>
      </c>
      <c r="F255" s="722">
        <v>45958</v>
      </c>
      <c r="G255" s="61" t="s">
        <v>1487</v>
      </c>
      <c r="H255" s="554">
        <f t="shared" si="12"/>
        <v>37.931087999999995</v>
      </c>
      <c r="I255" s="760">
        <f t="shared" si="10"/>
        <v>3.5339787792191997</v>
      </c>
      <c r="J255" s="61" t="s">
        <v>1545</v>
      </c>
      <c r="K255" s="995" t="s">
        <v>255</v>
      </c>
      <c r="L255" s="992" t="s">
        <v>1655</v>
      </c>
      <c r="M255" s="308" t="s">
        <v>1693</v>
      </c>
      <c r="N255" s="308" t="s">
        <v>1694</v>
      </c>
    </row>
    <row r="256" spans="1:14" s="308" customFormat="1" ht="15.5">
      <c r="A256" s="608">
        <f t="shared" si="11"/>
        <v>252</v>
      </c>
      <c r="B256" s="62">
        <v>34</v>
      </c>
      <c r="C256" s="990" t="s">
        <v>54</v>
      </c>
      <c r="D256" s="62" t="str">
        <f>IFERROR(VLOOKUP(C256,Foundation!$C$5:$D$554,2,0),"")</f>
        <v>DB1+0</v>
      </c>
      <c r="E256" s="722">
        <v>45950</v>
      </c>
      <c r="F256" s="722">
        <v>45959</v>
      </c>
      <c r="G256" s="61" t="s">
        <v>1522</v>
      </c>
      <c r="H256" s="554">
        <f t="shared" si="12"/>
        <v>55.450851000000007</v>
      </c>
      <c r="I256" s="760">
        <f t="shared" si="10"/>
        <v>5.1662670663084009</v>
      </c>
      <c r="J256" s="61" t="s">
        <v>1544</v>
      </c>
      <c r="K256" s="995" t="s">
        <v>255</v>
      </c>
      <c r="L256" s="992" t="s">
        <v>1655</v>
      </c>
      <c r="M256" s="980" t="s">
        <v>1713</v>
      </c>
      <c r="N256" s="980" t="s">
        <v>1714</v>
      </c>
    </row>
    <row r="257" spans="1:14" s="308" customFormat="1" ht="15.5">
      <c r="A257" s="608">
        <f t="shared" si="11"/>
        <v>253</v>
      </c>
      <c r="B257" s="62">
        <v>35</v>
      </c>
      <c r="C257" s="990" t="s">
        <v>179</v>
      </c>
      <c r="D257" s="62" t="str">
        <f>IFERROR(VLOOKUP(C257,Foundation!$C$5:$D$554,2,0),"")</f>
        <v>DA+0</v>
      </c>
      <c r="E257" s="722">
        <v>45954</v>
      </c>
      <c r="F257" s="722">
        <v>45959</v>
      </c>
      <c r="G257" s="61" t="s">
        <v>1523</v>
      </c>
      <c r="H257" s="554">
        <f t="shared" si="12"/>
        <v>36.159755999999994</v>
      </c>
      <c r="I257" s="760">
        <f t="shared" si="10"/>
        <v>3.3689466109103994</v>
      </c>
      <c r="J257" s="61" t="s">
        <v>1540</v>
      </c>
      <c r="K257" s="995" t="s">
        <v>255</v>
      </c>
      <c r="L257" s="992" t="s">
        <v>1655</v>
      </c>
      <c r="M257" s="308" t="s">
        <v>1701</v>
      </c>
      <c r="N257" s="308" t="s">
        <v>1702</v>
      </c>
    </row>
    <row r="258" spans="1:14" s="308" customFormat="1" ht="15.5">
      <c r="A258" s="608">
        <f t="shared" si="11"/>
        <v>254</v>
      </c>
      <c r="B258" s="62">
        <v>36</v>
      </c>
      <c r="C258" s="990" t="s">
        <v>167</v>
      </c>
      <c r="D258" s="62" t="str">
        <f>IFERROR(VLOOKUP(C258,Foundation!$C$5:$D$554,2,0),"")</f>
        <v>DD60+25</v>
      </c>
      <c r="E258" s="722">
        <v>45935</v>
      </c>
      <c r="F258" s="722">
        <v>45960</v>
      </c>
      <c r="G258" s="61" t="s">
        <v>1524</v>
      </c>
      <c r="H258" s="554">
        <f t="shared" si="12"/>
        <v>137.04611199999999</v>
      </c>
      <c r="I258" s="760">
        <f t="shared" si="10"/>
        <v>12.768366981260799</v>
      </c>
      <c r="J258" s="61" t="s">
        <v>1478</v>
      </c>
      <c r="K258" s="995" t="s">
        <v>255</v>
      </c>
      <c r="L258" s="992" t="s">
        <v>1655</v>
      </c>
      <c r="M258" s="308" t="s">
        <v>1724</v>
      </c>
      <c r="N258" s="308" t="s">
        <v>1725</v>
      </c>
    </row>
    <row r="259" spans="1:14" s="308" customFormat="1" ht="15.5">
      <c r="A259" s="608">
        <f t="shared" si="11"/>
        <v>255</v>
      </c>
      <c r="B259" s="62">
        <v>37</v>
      </c>
      <c r="C259" s="990" t="s">
        <v>156</v>
      </c>
      <c r="D259" s="62" t="str">
        <f>IFERROR(VLOOKUP(C259,Foundation!$C$5:$D$554,2,0),"")</f>
        <v>DA-1.5</v>
      </c>
      <c r="E259" s="722">
        <v>45953</v>
      </c>
      <c r="F259" s="722">
        <v>45960</v>
      </c>
      <c r="G259" s="61" t="s">
        <v>1484</v>
      </c>
      <c r="H259" s="554">
        <f t="shared" si="12"/>
        <v>35.601761999999994</v>
      </c>
      <c r="I259" s="760">
        <f t="shared" si="10"/>
        <v>3.3169592027207995</v>
      </c>
      <c r="J259" s="61" t="s">
        <v>1171</v>
      </c>
      <c r="K259" s="995" t="s">
        <v>255</v>
      </c>
      <c r="L259" s="992" t="s">
        <v>1655</v>
      </c>
      <c r="M259" s="308" t="s">
        <v>1695</v>
      </c>
      <c r="N259" s="308" t="s">
        <v>1696</v>
      </c>
    </row>
    <row r="260" spans="1:14" s="308" customFormat="1" ht="15.5">
      <c r="A260" s="608">
        <f t="shared" si="11"/>
        <v>256</v>
      </c>
      <c r="B260" s="62">
        <v>38</v>
      </c>
      <c r="C260" s="990" t="s">
        <v>411</v>
      </c>
      <c r="D260" s="62" t="str">
        <f>IFERROR(VLOOKUP(C260,Foundation!$C$5:$D$554,2,0),"")</f>
        <v>DA+3</v>
      </c>
      <c r="E260" s="722">
        <v>45942</v>
      </c>
      <c r="F260" s="722">
        <v>45961</v>
      </c>
      <c r="G260" s="61" t="s">
        <v>1485</v>
      </c>
      <c r="H260" s="554">
        <f t="shared" si="12"/>
        <v>37.931087999999995</v>
      </c>
      <c r="I260" s="760">
        <f t="shared" si="10"/>
        <v>3.5339787792191997</v>
      </c>
      <c r="J260" s="61" t="s">
        <v>1545</v>
      </c>
      <c r="K260" s="995" t="s">
        <v>255</v>
      </c>
      <c r="L260" s="992" t="s">
        <v>1655</v>
      </c>
      <c r="M260" s="308" t="s">
        <v>1693</v>
      </c>
      <c r="N260" s="308" t="s">
        <v>1694</v>
      </c>
    </row>
    <row r="261" spans="1:14" s="308" customFormat="1" ht="15.5">
      <c r="A261" s="608">
        <f t="shared" si="11"/>
        <v>257</v>
      </c>
      <c r="B261" s="62">
        <v>39</v>
      </c>
      <c r="C261" s="990" t="s">
        <v>425</v>
      </c>
      <c r="D261" s="62" t="str">
        <f>IFERROR(VLOOKUP(C261,Foundation!$C$5:$D$554,2,0),"")</f>
        <v>DA+0</v>
      </c>
      <c r="E261" s="722">
        <v>45958</v>
      </c>
      <c r="F261" s="722">
        <v>45961</v>
      </c>
      <c r="G261" s="61" t="s">
        <v>1496</v>
      </c>
      <c r="H261" s="554">
        <f t="shared" si="12"/>
        <v>36.159755999999994</v>
      </c>
      <c r="I261" s="760">
        <f t="shared" ref="I261:I292" si="13">IFERROR(VLOOKUP(D261,$D$316:$K$345,8,0)/10^5,"")</f>
        <v>3.3689466109103994</v>
      </c>
      <c r="J261" s="61" t="s">
        <v>1535</v>
      </c>
      <c r="K261" s="995" t="s">
        <v>255</v>
      </c>
      <c r="L261" s="992" t="s">
        <v>1655</v>
      </c>
      <c r="M261" s="308" t="s">
        <v>1701</v>
      </c>
      <c r="N261" s="308" t="s">
        <v>1702</v>
      </c>
    </row>
    <row r="262" spans="1:14" s="308" customFormat="1" ht="15.5">
      <c r="A262" s="608">
        <f t="shared" ref="A262:A311" si="14">A261+1</f>
        <v>258</v>
      </c>
      <c r="B262" s="62">
        <v>1</v>
      </c>
      <c r="C262" s="990" t="s">
        <v>176</v>
      </c>
      <c r="D262" s="62" t="str">
        <f>IFERROR(VLOOKUP(C262,Foundation!$C$5:$D$554,2,0),"")</f>
        <v>DA+1.5</v>
      </c>
      <c r="E262" s="722">
        <v>45960</v>
      </c>
      <c r="F262" s="722">
        <v>45966</v>
      </c>
      <c r="G262" s="61" t="s">
        <v>1523</v>
      </c>
      <c r="H262" s="554">
        <f t="shared" si="12"/>
        <v>37.138323999999997</v>
      </c>
      <c r="I262" s="760">
        <f t="shared" si="13"/>
        <v>3.4601182257615997</v>
      </c>
      <c r="J262" s="61" t="s">
        <v>1540</v>
      </c>
      <c r="K262" s="995" t="s">
        <v>255</v>
      </c>
      <c r="L262" s="995" t="s">
        <v>1655</v>
      </c>
      <c r="M262" s="308" t="s">
        <v>1697</v>
      </c>
      <c r="N262" s="308" t="s">
        <v>1698</v>
      </c>
    </row>
    <row r="263" spans="1:14" s="308" customFormat="1" ht="15.5">
      <c r="A263" s="608">
        <f t="shared" si="14"/>
        <v>259</v>
      </c>
      <c r="B263" s="62">
        <v>2</v>
      </c>
      <c r="C263" s="990" t="s">
        <v>409</v>
      </c>
      <c r="D263" s="62" t="str">
        <f>IFERROR(VLOOKUP(C263,Foundation!$C$5:$D$554,2,0),"")</f>
        <v>DA+3</v>
      </c>
      <c r="E263" s="722">
        <v>45961</v>
      </c>
      <c r="F263" s="722">
        <v>45966</v>
      </c>
      <c r="G263" s="61" t="s">
        <v>1524</v>
      </c>
      <c r="H263" s="554">
        <f t="shared" si="12"/>
        <v>37.931087999999995</v>
      </c>
      <c r="I263" s="760">
        <f t="shared" si="13"/>
        <v>3.5339787792191997</v>
      </c>
      <c r="J263" s="61" t="s">
        <v>1478</v>
      </c>
      <c r="K263" s="995" t="s">
        <v>255</v>
      </c>
      <c r="L263" s="995" t="s">
        <v>1655</v>
      </c>
      <c r="M263" s="308" t="s">
        <v>1693</v>
      </c>
      <c r="N263" s="308" t="s">
        <v>1694</v>
      </c>
    </row>
    <row r="264" spans="1:14" s="308" customFormat="1" ht="15.5">
      <c r="A264" s="608">
        <f t="shared" si="14"/>
        <v>260</v>
      </c>
      <c r="B264" s="62">
        <v>3</v>
      </c>
      <c r="C264" s="990" t="s">
        <v>177</v>
      </c>
      <c r="D264" s="62" t="str">
        <f>IFERROR(VLOOKUP(C264,Foundation!$C$5:$D$554,2,0),"")</f>
        <v>DA+3</v>
      </c>
      <c r="E264" s="722">
        <v>45962</v>
      </c>
      <c r="F264" s="722">
        <v>45967</v>
      </c>
      <c r="G264" s="61" t="s">
        <v>1496</v>
      </c>
      <c r="H264" s="554">
        <f t="shared" si="12"/>
        <v>37.931087999999995</v>
      </c>
      <c r="I264" s="760">
        <f t="shared" si="13"/>
        <v>3.5339787792191997</v>
      </c>
      <c r="J264" s="61" t="s">
        <v>1535</v>
      </c>
      <c r="K264" s="995" t="s">
        <v>255</v>
      </c>
      <c r="L264" s="995" t="s">
        <v>1655</v>
      </c>
      <c r="M264" s="308" t="s">
        <v>1693</v>
      </c>
      <c r="N264" s="308" t="s">
        <v>1694</v>
      </c>
    </row>
    <row r="265" spans="1:14" s="308" customFormat="1" ht="15.5">
      <c r="A265" s="608">
        <f t="shared" si="14"/>
        <v>261</v>
      </c>
      <c r="B265" s="62">
        <v>4</v>
      </c>
      <c r="C265" s="990" t="s">
        <v>59</v>
      </c>
      <c r="D265" s="62" t="str">
        <f>IFERROR(VLOOKUP(C265,Foundation!$C$5:$D$554,2,0),"")</f>
        <v>DD60+35</v>
      </c>
      <c r="E265" s="722">
        <v>45940</v>
      </c>
      <c r="F265" s="722">
        <v>45968</v>
      </c>
      <c r="G265" s="61" t="s">
        <v>1520</v>
      </c>
      <c r="H265" s="554">
        <f t="shared" si="12"/>
        <v>173.560912</v>
      </c>
      <c r="I265" s="760">
        <f t="shared" si="13"/>
        <v>16.170392473580801</v>
      </c>
      <c r="J265" s="61" t="s">
        <v>1500</v>
      </c>
      <c r="K265" s="995" t="s">
        <v>255</v>
      </c>
      <c r="L265" s="995" t="s">
        <v>1655</v>
      </c>
      <c r="M265" s="308" t="s">
        <v>1726</v>
      </c>
      <c r="N265" s="308" t="s">
        <v>1727</v>
      </c>
    </row>
    <row r="266" spans="1:14" s="308" customFormat="1" ht="15.5">
      <c r="A266" s="608">
        <f t="shared" si="14"/>
        <v>262</v>
      </c>
      <c r="B266" s="62">
        <v>5</v>
      </c>
      <c r="C266" s="990" t="s">
        <v>1266</v>
      </c>
      <c r="D266" s="62" t="str">
        <f>IFERROR(VLOOKUP(C266,Foundation!$C$5:$D$554,2,0),"")</f>
        <v>DA+6</v>
      </c>
      <c r="E266" s="722">
        <v>45957</v>
      </c>
      <c r="F266" s="722">
        <v>45969</v>
      </c>
      <c r="G266" s="61" t="s">
        <v>1491</v>
      </c>
      <c r="H266" s="554">
        <f t="shared" si="12"/>
        <v>43.804423999999997</v>
      </c>
      <c r="I266" s="760">
        <f t="shared" si="13"/>
        <v>4.0811880970015997</v>
      </c>
      <c r="J266" s="61" t="s">
        <v>1539</v>
      </c>
      <c r="K266" s="995" t="s">
        <v>255</v>
      </c>
      <c r="L266" s="995" t="s">
        <v>1655</v>
      </c>
      <c r="M266" s="308" t="s">
        <v>1691</v>
      </c>
      <c r="N266" s="308" t="s">
        <v>1692</v>
      </c>
    </row>
    <row r="267" spans="1:14" s="308" customFormat="1" ht="15.5">
      <c r="A267" s="608">
        <f t="shared" si="14"/>
        <v>263</v>
      </c>
      <c r="B267" s="62">
        <v>6</v>
      </c>
      <c r="C267" s="990" t="s">
        <v>412</v>
      </c>
      <c r="D267" s="62" t="str">
        <f>IFERROR(VLOOKUP(C267,Foundation!$C$5:$D$554,2,0),"")</f>
        <v>DA+3</v>
      </c>
      <c r="E267" s="722">
        <v>45962</v>
      </c>
      <c r="F267" s="722">
        <v>45970</v>
      </c>
      <c r="G267" s="61" t="s">
        <v>1485</v>
      </c>
      <c r="H267" s="554">
        <f t="shared" si="12"/>
        <v>37.931087999999995</v>
      </c>
      <c r="I267" s="760">
        <f t="shared" si="13"/>
        <v>3.5339787792191997</v>
      </c>
      <c r="J267" s="61" t="s">
        <v>1545</v>
      </c>
      <c r="K267" s="995" t="s">
        <v>255</v>
      </c>
      <c r="L267" s="995" t="s">
        <v>1655</v>
      </c>
      <c r="M267" s="308" t="s">
        <v>1693</v>
      </c>
      <c r="N267" s="308" t="s">
        <v>1694</v>
      </c>
    </row>
    <row r="268" spans="1:14" s="308" customFormat="1" ht="15.5">
      <c r="A268" s="608">
        <f t="shared" si="14"/>
        <v>264</v>
      </c>
      <c r="B268" s="62">
        <v>7</v>
      </c>
      <c r="C268" s="990" t="s">
        <v>408</v>
      </c>
      <c r="D268" s="62" t="str">
        <f>IFERROR(VLOOKUP(C268,Foundation!$C$5:$D$554,2,0),"")</f>
        <v>DA+0</v>
      </c>
      <c r="E268" s="722">
        <v>45967</v>
      </c>
      <c r="F268" s="722">
        <v>45973</v>
      </c>
      <c r="G268" s="61" t="s">
        <v>1524</v>
      </c>
      <c r="H268" s="554">
        <f t="shared" si="12"/>
        <v>36.159755999999994</v>
      </c>
      <c r="I268" s="760">
        <f t="shared" si="13"/>
        <v>3.3689466109103994</v>
      </c>
      <c r="J268" s="61" t="s">
        <v>1498</v>
      </c>
      <c r="K268" s="995" t="s">
        <v>255</v>
      </c>
      <c r="L268" s="995" t="s">
        <v>1655</v>
      </c>
      <c r="M268" s="308" t="s">
        <v>1701</v>
      </c>
      <c r="N268" s="308" t="s">
        <v>1702</v>
      </c>
    </row>
    <row r="269" spans="1:14" s="308" customFormat="1" ht="15.5">
      <c r="A269" s="608">
        <f t="shared" si="14"/>
        <v>265</v>
      </c>
      <c r="B269" s="62">
        <v>8</v>
      </c>
      <c r="C269" s="990" t="s">
        <v>63</v>
      </c>
      <c r="D269" s="62" t="str">
        <f>IFERROR(VLOOKUP(C269,Foundation!$C$5:$D$554,2,0),"")</f>
        <v>DC2-3</v>
      </c>
      <c r="E269" s="722">
        <v>45961</v>
      </c>
      <c r="F269" s="722">
        <v>45973</v>
      </c>
      <c r="G269" s="61" t="s">
        <v>1484</v>
      </c>
      <c r="H269" s="554">
        <f t="shared" si="12"/>
        <v>64.884298000000001</v>
      </c>
      <c r="I269" s="760">
        <f t="shared" si="13"/>
        <v>6.0451662297831996</v>
      </c>
      <c r="J269" s="61" t="s">
        <v>1171</v>
      </c>
      <c r="K269" s="995" t="s">
        <v>255</v>
      </c>
      <c r="L269" s="995" t="s">
        <v>1655</v>
      </c>
      <c r="M269" s="308" t="s">
        <v>1728</v>
      </c>
      <c r="N269" s="308" t="s">
        <v>1729</v>
      </c>
    </row>
    <row r="270" spans="1:14" s="308" customFormat="1" ht="15.5">
      <c r="A270" s="608">
        <f t="shared" si="14"/>
        <v>266</v>
      </c>
      <c r="B270" s="62">
        <v>9</v>
      </c>
      <c r="C270" s="990" t="s">
        <v>427</v>
      </c>
      <c r="D270" s="62" t="str">
        <f>IFERROR(VLOOKUP(C270,Foundation!$C$5:$D$554,2,0),"")</f>
        <v>DA+0</v>
      </c>
      <c r="E270" s="722">
        <v>45968</v>
      </c>
      <c r="F270" s="722">
        <v>45973</v>
      </c>
      <c r="G270" s="61" t="s">
        <v>1496</v>
      </c>
      <c r="H270" s="554">
        <f t="shared" si="12"/>
        <v>36.159755999999994</v>
      </c>
      <c r="I270" s="760">
        <f t="shared" si="13"/>
        <v>3.3689466109103994</v>
      </c>
      <c r="J270" s="61" t="s">
        <v>1535</v>
      </c>
      <c r="K270" s="995" t="s">
        <v>255</v>
      </c>
      <c r="L270" s="995" t="s">
        <v>1655</v>
      </c>
      <c r="M270" s="308" t="s">
        <v>1701</v>
      </c>
      <c r="N270" s="308" t="s">
        <v>1702</v>
      </c>
    </row>
    <row r="271" spans="1:14" s="308" customFormat="1" ht="15.5">
      <c r="A271" s="608">
        <f t="shared" si="14"/>
        <v>267</v>
      </c>
      <c r="B271" s="62">
        <v>10</v>
      </c>
      <c r="C271" s="990" t="s">
        <v>180</v>
      </c>
      <c r="D271" s="62" t="str">
        <f>IFERROR(VLOOKUP(C271,Foundation!$C$5:$D$554,2,0),"")</f>
        <v>DA+6</v>
      </c>
      <c r="E271" s="722">
        <v>45967</v>
      </c>
      <c r="F271" s="722">
        <v>45974</v>
      </c>
      <c r="G271" s="61" t="s">
        <v>1523</v>
      </c>
      <c r="H271" s="554">
        <f t="shared" si="12"/>
        <v>43.804423999999997</v>
      </c>
      <c r="I271" s="760">
        <f t="shared" si="13"/>
        <v>4.0811880970015997</v>
      </c>
      <c r="J271" s="61" t="s">
        <v>1540</v>
      </c>
      <c r="K271" s="995" t="s">
        <v>255</v>
      </c>
      <c r="L271" s="995" t="s">
        <v>1655</v>
      </c>
      <c r="M271" s="308" t="s">
        <v>1691</v>
      </c>
      <c r="N271" s="308" t="s">
        <v>1692</v>
      </c>
    </row>
    <row r="272" spans="1:14" s="308" customFormat="1" ht="15.5">
      <c r="A272" s="608">
        <f t="shared" si="14"/>
        <v>268</v>
      </c>
      <c r="B272" s="62">
        <v>11</v>
      </c>
      <c r="C272" s="990" t="s">
        <v>55</v>
      </c>
      <c r="D272" s="62" t="str">
        <f>IFERROR(VLOOKUP(C272,Foundation!$C$5:$D$554,2,0),"")</f>
        <v>DC2+15</v>
      </c>
      <c r="E272" s="722">
        <v>45958</v>
      </c>
      <c r="F272" s="722">
        <v>45974</v>
      </c>
      <c r="G272" s="61" t="s">
        <v>1525</v>
      </c>
      <c r="H272" s="554">
        <f t="shared" si="12"/>
        <v>96.879900000000006</v>
      </c>
      <c r="I272" s="760">
        <f t="shared" si="13"/>
        <v>9.0261452751600011</v>
      </c>
      <c r="J272" s="61" t="s">
        <v>1543</v>
      </c>
      <c r="K272" s="995" t="s">
        <v>255</v>
      </c>
      <c r="L272" s="995" t="s">
        <v>1655</v>
      </c>
      <c r="M272" s="308" t="s">
        <v>1730</v>
      </c>
      <c r="N272" s="308" t="s">
        <v>1731</v>
      </c>
    </row>
    <row r="273" spans="1:14" s="308" customFormat="1" ht="15.5">
      <c r="A273" s="608">
        <f t="shared" si="14"/>
        <v>269</v>
      </c>
      <c r="B273" s="62">
        <v>12</v>
      </c>
      <c r="C273" s="990" t="s">
        <v>418</v>
      </c>
      <c r="D273" s="62" t="str">
        <f>IFERROR(VLOOKUP(C273,Foundation!$C$5:$D$554,2,0),"")</f>
        <v>DA+0</v>
      </c>
      <c r="E273" s="722">
        <v>45971</v>
      </c>
      <c r="F273" s="722">
        <v>45976</v>
      </c>
      <c r="G273" s="61" t="s">
        <v>1485</v>
      </c>
      <c r="H273" s="554">
        <f t="shared" si="12"/>
        <v>36.159755999999994</v>
      </c>
      <c r="I273" s="760">
        <f t="shared" si="13"/>
        <v>3.3689466109103994</v>
      </c>
      <c r="J273" s="61" t="s">
        <v>1545</v>
      </c>
      <c r="K273" s="995" t="s">
        <v>255</v>
      </c>
      <c r="L273" s="995" t="s">
        <v>1655</v>
      </c>
      <c r="M273" s="308" t="s">
        <v>1701</v>
      </c>
      <c r="N273" s="308" t="s">
        <v>1702</v>
      </c>
    </row>
    <row r="274" spans="1:14" s="308" customFormat="1" ht="15.5">
      <c r="A274" s="608">
        <f t="shared" si="14"/>
        <v>270</v>
      </c>
      <c r="B274" s="62">
        <v>13</v>
      </c>
      <c r="C274" s="990" t="s">
        <v>155</v>
      </c>
      <c r="D274" s="62" t="str">
        <f>IFERROR(VLOOKUP(C274,Foundation!$C$5:$D$554,2,0),"")</f>
        <v>DA+1.5</v>
      </c>
      <c r="E274" s="722">
        <v>45957</v>
      </c>
      <c r="F274" s="722">
        <v>45976</v>
      </c>
      <c r="G274" s="61" t="s">
        <v>1492</v>
      </c>
      <c r="H274" s="554">
        <f t="shared" si="12"/>
        <v>37.138323999999997</v>
      </c>
      <c r="I274" s="760">
        <f t="shared" si="13"/>
        <v>3.4601182257615997</v>
      </c>
      <c r="J274" s="61" t="s">
        <v>1542</v>
      </c>
      <c r="K274" s="995" t="s">
        <v>255</v>
      </c>
      <c r="L274" s="995" t="s">
        <v>1655</v>
      </c>
      <c r="M274" s="308" t="s">
        <v>1697</v>
      </c>
      <c r="N274" s="308" t="s">
        <v>1698</v>
      </c>
    </row>
    <row r="275" spans="1:14" s="308" customFormat="1" ht="15.5">
      <c r="A275" s="608">
        <f t="shared" si="14"/>
        <v>271</v>
      </c>
      <c r="B275" s="62">
        <v>14</v>
      </c>
      <c r="C275" s="990" t="s">
        <v>182</v>
      </c>
      <c r="D275" s="62" t="str">
        <f>IFERROR(VLOOKUP(C275,Foundation!$C$5:$D$554,2,0),"")</f>
        <v>DA+0</v>
      </c>
      <c r="E275" s="722">
        <v>45974</v>
      </c>
      <c r="F275" s="722">
        <v>45981</v>
      </c>
      <c r="G275" s="61" t="s">
        <v>1496</v>
      </c>
      <c r="H275" s="554">
        <f t="shared" si="12"/>
        <v>36.159755999999994</v>
      </c>
      <c r="I275" s="760">
        <f t="shared" si="13"/>
        <v>3.3689466109103994</v>
      </c>
      <c r="J275" s="61" t="s">
        <v>1535</v>
      </c>
      <c r="K275" s="995" t="s">
        <v>255</v>
      </c>
      <c r="L275" s="995" t="s">
        <v>1655</v>
      </c>
      <c r="M275" s="308" t="s">
        <v>1701</v>
      </c>
      <c r="N275" s="308" t="s">
        <v>1702</v>
      </c>
    </row>
    <row r="276" spans="1:14" s="308" customFormat="1" ht="15.5">
      <c r="A276" s="608">
        <f t="shared" si="14"/>
        <v>272</v>
      </c>
      <c r="B276" s="62">
        <v>15</v>
      </c>
      <c r="C276" s="990" t="s">
        <v>162</v>
      </c>
      <c r="D276" s="62" t="str">
        <f>IFERROR(VLOOKUP(C276,Foundation!$C$5:$D$554,2,0),"")</f>
        <v>DA-3</v>
      </c>
      <c r="E276" s="722">
        <v>45974</v>
      </c>
      <c r="F276" s="722">
        <v>45981</v>
      </c>
      <c r="G276" s="61" t="s">
        <v>1484</v>
      </c>
      <c r="H276" s="554">
        <f t="shared" si="12"/>
        <v>34.789810000000003</v>
      </c>
      <c r="I276" s="760">
        <f t="shared" si="13"/>
        <v>3.2413109340040003</v>
      </c>
      <c r="J276" s="61" t="s">
        <v>1171</v>
      </c>
      <c r="K276" s="995" t="s">
        <v>255</v>
      </c>
      <c r="L276" s="995" t="s">
        <v>1655</v>
      </c>
      <c r="M276" s="308" t="s">
        <v>1703</v>
      </c>
      <c r="N276" s="308" t="s">
        <v>1704</v>
      </c>
    </row>
    <row r="277" spans="1:14" s="308" customFormat="1" ht="15.5">
      <c r="A277" s="608">
        <f t="shared" si="14"/>
        <v>273</v>
      </c>
      <c r="B277" s="62">
        <v>16</v>
      </c>
      <c r="C277" s="990" t="s">
        <v>421</v>
      </c>
      <c r="D277" s="62" t="str">
        <f>IFERROR(VLOOKUP(C277,Foundation!$C$5:$D$554,2,0),"")</f>
        <v>DA-1.5</v>
      </c>
      <c r="E277" s="722">
        <v>45977</v>
      </c>
      <c r="F277" s="722">
        <v>45982</v>
      </c>
      <c r="G277" s="61" t="s">
        <v>1485</v>
      </c>
      <c r="H277" s="554">
        <f t="shared" si="12"/>
        <v>35.601761999999994</v>
      </c>
      <c r="I277" s="760">
        <f t="shared" si="13"/>
        <v>3.3169592027207995</v>
      </c>
      <c r="J277" s="61" t="s">
        <v>1545</v>
      </c>
      <c r="K277" s="995" t="s">
        <v>255</v>
      </c>
      <c r="L277" s="995" t="s">
        <v>1655</v>
      </c>
      <c r="M277" s="308" t="s">
        <v>1695</v>
      </c>
      <c r="N277" s="308" t="s">
        <v>1696</v>
      </c>
    </row>
    <row r="278" spans="1:14" s="308" customFormat="1" ht="15.5">
      <c r="A278" s="608">
        <f t="shared" si="14"/>
        <v>274</v>
      </c>
      <c r="B278" s="62">
        <v>17</v>
      </c>
      <c r="C278" s="990" t="s">
        <v>265</v>
      </c>
      <c r="D278" s="62" t="str">
        <f>IFERROR(VLOOKUP(C278,Foundation!$C$5:$D$554,2,0),"")</f>
        <v>DD45+0</v>
      </c>
      <c r="E278" s="722">
        <v>45974</v>
      </c>
      <c r="F278" s="722">
        <v>45987</v>
      </c>
      <c r="G278" s="61" t="s">
        <v>1524</v>
      </c>
      <c r="H278" s="554">
        <f t="shared" si="12"/>
        <v>73.244547999999995</v>
      </c>
      <c r="I278" s="760">
        <f t="shared" si="13"/>
        <v>6.8240773458832003</v>
      </c>
      <c r="J278" s="61" t="s">
        <v>1498</v>
      </c>
      <c r="K278" s="995" t="s">
        <v>255</v>
      </c>
      <c r="L278" s="995" t="s">
        <v>1655</v>
      </c>
      <c r="M278" s="308" t="s">
        <v>1732</v>
      </c>
      <c r="N278" s="308" t="s">
        <v>1733</v>
      </c>
    </row>
    <row r="279" spans="1:14" s="308" customFormat="1" ht="15.5">
      <c r="A279" s="608">
        <f t="shared" si="14"/>
        <v>275</v>
      </c>
      <c r="B279" s="62">
        <v>18</v>
      </c>
      <c r="C279" s="990" t="s">
        <v>57</v>
      </c>
      <c r="D279" s="62" t="str">
        <f>IFERROR(VLOOKUP(C279,Foundation!$C$5:$D$554,2,0),"")</f>
        <v>DD60+18</v>
      </c>
      <c r="E279" s="722">
        <v>45974</v>
      </c>
      <c r="F279" s="722">
        <v>45988</v>
      </c>
      <c r="G279" s="61" t="s">
        <v>1481</v>
      </c>
      <c r="H279" s="554">
        <f t="shared" si="12"/>
        <v>124.94995199999998</v>
      </c>
      <c r="I279" s="760">
        <f t="shared" si="13"/>
        <v>11.641387107916797</v>
      </c>
      <c r="J279" s="61" t="s">
        <v>1500</v>
      </c>
      <c r="K279" s="995" t="s">
        <v>255</v>
      </c>
      <c r="L279" s="995" t="s">
        <v>1655</v>
      </c>
      <c r="M279" s="308" t="s">
        <v>1734</v>
      </c>
      <c r="N279" s="308" t="s">
        <v>1735</v>
      </c>
    </row>
    <row r="280" spans="1:14" s="308" customFormat="1" ht="15.5">
      <c r="A280" s="608">
        <f t="shared" si="14"/>
        <v>276</v>
      </c>
      <c r="B280" s="62">
        <v>19</v>
      </c>
      <c r="C280" s="990" t="s">
        <v>62</v>
      </c>
      <c r="D280" s="62" t="str">
        <f>IFERROR(VLOOKUP(C280,Foundation!$C$5:$D$554,2,0),"")</f>
        <v>DA-1.5</v>
      </c>
      <c r="E280" s="722">
        <v>45982</v>
      </c>
      <c r="F280" s="722">
        <v>45988</v>
      </c>
      <c r="G280" s="61" t="s">
        <v>1484</v>
      </c>
      <c r="H280" s="554">
        <f t="shared" si="12"/>
        <v>35.601761999999994</v>
      </c>
      <c r="I280" s="760">
        <f t="shared" si="13"/>
        <v>3.3169592027207995</v>
      </c>
      <c r="J280" s="61" t="s">
        <v>660</v>
      </c>
      <c r="K280" s="995" t="s">
        <v>255</v>
      </c>
      <c r="L280" s="995" t="s">
        <v>1655</v>
      </c>
      <c r="M280" s="308" t="s">
        <v>1695</v>
      </c>
      <c r="N280" s="308" t="s">
        <v>1696</v>
      </c>
    </row>
    <row r="281" spans="1:14" s="308" customFormat="1" ht="15.5">
      <c r="A281" s="608">
        <f t="shared" si="14"/>
        <v>277</v>
      </c>
      <c r="B281" s="62">
        <v>20</v>
      </c>
      <c r="C281" s="990" t="s">
        <v>674</v>
      </c>
      <c r="D281" s="62" t="str">
        <f>IFERROR(VLOOKUP(C281,Foundation!$C$5:$D$554,2,0),"")</f>
        <v>DB1+9</v>
      </c>
      <c r="E281" s="722">
        <v>45975</v>
      </c>
      <c r="F281" s="722">
        <v>45988</v>
      </c>
      <c r="G281" s="61" t="s">
        <v>1523</v>
      </c>
      <c r="H281" s="554">
        <f t="shared" si="12"/>
        <v>66.780901</v>
      </c>
      <c r="I281" s="760">
        <f t="shared" si="13"/>
        <v>6.2218696967283993</v>
      </c>
      <c r="J281" s="61" t="s">
        <v>1532</v>
      </c>
      <c r="K281" s="995" t="s">
        <v>255</v>
      </c>
      <c r="L281" s="995" t="s">
        <v>1655</v>
      </c>
      <c r="M281" s="308" t="s">
        <v>1709</v>
      </c>
      <c r="N281" s="308" t="s">
        <v>1710</v>
      </c>
    </row>
    <row r="282" spans="1:14" s="308" customFormat="1" ht="15.5">
      <c r="A282" s="608">
        <f t="shared" si="14"/>
        <v>278</v>
      </c>
      <c r="B282" s="62">
        <v>21</v>
      </c>
      <c r="C282" s="990" t="s">
        <v>181</v>
      </c>
      <c r="D282" s="62" t="str">
        <f>IFERROR(VLOOKUP(C282,Foundation!$C$5:$D$554,2,0),"")</f>
        <v>DA+6</v>
      </c>
      <c r="E282" s="722">
        <v>45982</v>
      </c>
      <c r="F282" s="722">
        <v>45988</v>
      </c>
      <c r="G282" s="61" t="s">
        <v>1496</v>
      </c>
      <c r="H282" s="554">
        <f t="shared" si="12"/>
        <v>43.804423999999997</v>
      </c>
      <c r="I282" s="760">
        <f t="shared" si="13"/>
        <v>4.0811880970015997</v>
      </c>
      <c r="J282" s="61" t="s">
        <v>1535</v>
      </c>
      <c r="K282" s="995" t="s">
        <v>255</v>
      </c>
      <c r="L282" s="995" t="s">
        <v>1655</v>
      </c>
      <c r="M282" s="308" t="s">
        <v>1691</v>
      </c>
      <c r="N282" s="308" t="s">
        <v>1692</v>
      </c>
    </row>
    <row r="283" spans="1:14" s="308" customFormat="1" ht="15.5">
      <c r="A283" s="608">
        <f t="shared" si="14"/>
        <v>279</v>
      </c>
      <c r="B283" s="62">
        <v>22</v>
      </c>
      <c r="C283" s="990" t="s">
        <v>420</v>
      </c>
      <c r="D283" s="62" t="str">
        <f>IFERROR(VLOOKUP(C283,Foundation!$C$5:$D$554,2,0),"")</f>
        <v>DA+0</v>
      </c>
      <c r="E283" s="722">
        <v>45983</v>
      </c>
      <c r="F283" s="722">
        <v>45989</v>
      </c>
      <c r="G283" s="61" t="s">
        <v>1485</v>
      </c>
      <c r="H283" s="554">
        <f t="shared" si="12"/>
        <v>36.159755999999994</v>
      </c>
      <c r="I283" s="760">
        <f t="shared" si="13"/>
        <v>3.3689466109103994</v>
      </c>
      <c r="J283" s="61" t="s">
        <v>1545</v>
      </c>
      <c r="K283" s="995" t="s">
        <v>255</v>
      </c>
      <c r="L283" s="995" t="s">
        <v>1655</v>
      </c>
      <c r="M283" s="308" t="s">
        <v>1701</v>
      </c>
      <c r="N283" s="308" t="s">
        <v>1702</v>
      </c>
    </row>
    <row r="284" spans="1:14" s="308" customFormat="1" ht="15.5">
      <c r="A284" s="608">
        <f t="shared" si="14"/>
        <v>280</v>
      </c>
      <c r="B284" s="62">
        <v>23</v>
      </c>
      <c r="C284" s="990" t="s">
        <v>60</v>
      </c>
      <c r="D284" s="62" t="str">
        <f>IFERROR(VLOOKUP(C284,Foundation!$C$5:$D$554,2,0),"")</f>
        <v>DD60+35</v>
      </c>
      <c r="E284" s="722">
        <v>45969</v>
      </c>
      <c r="F284" s="722">
        <v>45990</v>
      </c>
      <c r="G284" s="61" t="s">
        <v>1520</v>
      </c>
      <c r="H284" s="554">
        <f t="shared" si="12"/>
        <v>173.560912</v>
      </c>
      <c r="I284" s="760">
        <f t="shared" si="13"/>
        <v>16.170392473580801</v>
      </c>
      <c r="J284" s="61" t="s">
        <v>1489</v>
      </c>
      <c r="K284" s="995" t="s">
        <v>255</v>
      </c>
      <c r="L284" s="995" t="s">
        <v>1655</v>
      </c>
      <c r="M284" s="308" t="s">
        <v>1726</v>
      </c>
      <c r="N284" s="308" t="s">
        <v>1727</v>
      </c>
    </row>
    <row r="285" spans="1:14" s="308" customFormat="1" ht="15.5">
      <c r="A285" s="608">
        <f t="shared" si="14"/>
        <v>281</v>
      </c>
      <c r="B285" s="62">
        <v>24</v>
      </c>
      <c r="C285" s="990" t="s">
        <v>58</v>
      </c>
      <c r="D285" s="62" t="str">
        <f>IFERROR(VLOOKUP(C285,Foundation!$C$5:$D$554,2,0),"")</f>
        <v>DD60+18</v>
      </c>
      <c r="E285" s="722">
        <v>45973</v>
      </c>
      <c r="F285" s="722">
        <v>45990</v>
      </c>
      <c r="G285" s="61" t="s">
        <v>1491</v>
      </c>
      <c r="H285" s="554">
        <f t="shared" si="12"/>
        <v>124.94995199999998</v>
      </c>
      <c r="I285" s="760">
        <f t="shared" si="13"/>
        <v>11.641387107916797</v>
      </c>
      <c r="J285" s="61" t="s">
        <v>1171</v>
      </c>
      <c r="K285" s="995" t="s">
        <v>255</v>
      </c>
      <c r="L285" s="995" t="s">
        <v>1655</v>
      </c>
      <c r="M285" s="308" t="s">
        <v>1734</v>
      </c>
      <c r="N285" s="308" t="s">
        <v>1735</v>
      </c>
    </row>
    <row r="286" spans="1:14" s="308" customFormat="1" ht="15.5">
      <c r="A286" s="608">
        <f t="shared" si="14"/>
        <v>282</v>
      </c>
      <c r="B286" s="62">
        <v>1</v>
      </c>
      <c r="C286" s="990" t="s">
        <v>308</v>
      </c>
      <c r="D286" s="62" t="str">
        <f>IFERROR(VLOOKUP(C286,Foundation!$C$5:$D$554,2,0),"")</f>
        <v>DA+6</v>
      </c>
      <c r="E286" s="722">
        <v>45988</v>
      </c>
      <c r="F286" s="722">
        <v>45994</v>
      </c>
      <c r="G286" s="61" t="s">
        <v>1524</v>
      </c>
      <c r="H286" s="554">
        <f t="shared" si="12"/>
        <v>43.804423999999997</v>
      </c>
      <c r="I286" s="760">
        <f t="shared" si="13"/>
        <v>4.0811880970015997</v>
      </c>
      <c r="J286" s="61" t="s">
        <v>1498</v>
      </c>
      <c r="K286" s="995" t="s">
        <v>255</v>
      </c>
      <c r="L286" s="995" t="s">
        <v>1655</v>
      </c>
      <c r="M286" s="308" t="s">
        <v>1691</v>
      </c>
      <c r="N286" s="308" t="s">
        <v>1692</v>
      </c>
    </row>
    <row r="287" spans="1:14" s="308" customFormat="1" ht="15.5">
      <c r="A287" s="608">
        <f t="shared" si="14"/>
        <v>283</v>
      </c>
      <c r="B287" s="62">
        <v>2</v>
      </c>
      <c r="C287" s="990" t="s">
        <v>153</v>
      </c>
      <c r="D287" s="62" t="str">
        <f>IFERROR(VLOOKUP(C287,Foundation!$C$5:$D$554,2,0),"")</f>
        <v>DA+1.5</v>
      </c>
      <c r="E287" s="722">
        <v>45989</v>
      </c>
      <c r="F287" s="722">
        <v>45996</v>
      </c>
      <c r="G287" s="61" t="s">
        <v>1484</v>
      </c>
      <c r="H287" s="554">
        <f t="shared" si="12"/>
        <v>37.138323999999997</v>
      </c>
      <c r="I287" s="760">
        <f t="shared" si="13"/>
        <v>3.4601182257615997</v>
      </c>
      <c r="J287" s="61" t="s">
        <v>660</v>
      </c>
      <c r="K287" s="995" t="s">
        <v>255</v>
      </c>
      <c r="L287" s="995" t="s">
        <v>1655</v>
      </c>
      <c r="M287" s="308" t="s">
        <v>1697</v>
      </c>
      <c r="N287" s="308" t="s">
        <v>1698</v>
      </c>
    </row>
    <row r="288" spans="1:14" s="308" customFormat="1" ht="15.5">
      <c r="A288" s="608">
        <f t="shared" si="14"/>
        <v>284</v>
      </c>
      <c r="B288" s="62">
        <v>3</v>
      </c>
      <c r="C288" s="990" t="s">
        <v>423</v>
      </c>
      <c r="D288" s="62" t="str">
        <f>IFERROR(VLOOKUP(C288,Foundation!$C$5:$D$554,2,0),"")</f>
        <v>DA+6</v>
      </c>
      <c r="E288" s="722">
        <v>45990</v>
      </c>
      <c r="F288" s="722">
        <v>45997</v>
      </c>
      <c r="G288" s="61" t="s">
        <v>1485</v>
      </c>
      <c r="H288" s="554">
        <f t="shared" si="12"/>
        <v>43.804423999999997</v>
      </c>
      <c r="I288" s="760">
        <f t="shared" si="13"/>
        <v>4.0811880970015997</v>
      </c>
      <c r="J288" s="61" t="s">
        <v>1545</v>
      </c>
      <c r="K288" s="995" t="s">
        <v>255</v>
      </c>
      <c r="L288" s="995" t="s">
        <v>1655</v>
      </c>
      <c r="M288" s="308" t="s">
        <v>1691</v>
      </c>
      <c r="N288" s="308" t="s">
        <v>1692</v>
      </c>
    </row>
    <row r="289" spans="1:15" s="308" customFormat="1" ht="15.5">
      <c r="A289" s="608">
        <f t="shared" si="14"/>
        <v>285</v>
      </c>
      <c r="B289" s="62">
        <v>4</v>
      </c>
      <c r="C289" s="990" t="s">
        <v>407</v>
      </c>
      <c r="D289" s="62" t="str">
        <f>IFERROR(VLOOKUP(C289,Foundation!$C$5:$D$554,2,0),"")</f>
        <v>DA+0</v>
      </c>
      <c r="E289" s="722">
        <f>F286+1</f>
        <v>45995</v>
      </c>
      <c r="F289" s="722">
        <v>46003</v>
      </c>
      <c r="G289" s="61" t="s">
        <v>1524</v>
      </c>
      <c r="H289" s="554">
        <f t="shared" si="12"/>
        <v>36.159755999999994</v>
      </c>
      <c r="I289" s="760">
        <f t="shared" si="13"/>
        <v>3.3689466109103994</v>
      </c>
      <c r="J289" s="61" t="s">
        <v>1498</v>
      </c>
      <c r="K289" s="995" t="s">
        <v>255</v>
      </c>
      <c r="L289" s="995" t="s">
        <v>1655</v>
      </c>
      <c r="M289" s="308" t="s">
        <v>1701</v>
      </c>
      <c r="N289" s="308" t="s">
        <v>1702</v>
      </c>
    </row>
    <row r="290" spans="1:15" s="308" customFormat="1" ht="15.5">
      <c r="A290" s="608">
        <f t="shared" si="14"/>
        <v>286</v>
      </c>
      <c r="B290" s="62">
        <v>5</v>
      </c>
      <c r="C290" s="990" t="s">
        <v>61</v>
      </c>
      <c r="D290" s="62" t="str">
        <f>IFERROR(VLOOKUP(C290,Foundation!$C$5:$D$554,2,0),"")</f>
        <v>DA+9</v>
      </c>
      <c r="E290" s="722">
        <v>45996</v>
      </c>
      <c r="F290" s="722">
        <v>46005</v>
      </c>
      <c r="G290" s="61" t="s">
        <v>1484</v>
      </c>
      <c r="H290" s="554">
        <f t="shared" si="12"/>
        <v>45.697022000000004</v>
      </c>
      <c r="I290" s="760">
        <f t="shared" si="13"/>
        <v>4.2575184245048003</v>
      </c>
      <c r="J290" s="61" t="s">
        <v>660</v>
      </c>
      <c r="K290" s="995" t="s">
        <v>255</v>
      </c>
      <c r="L290" s="995" t="s">
        <v>1655</v>
      </c>
      <c r="M290" s="308" t="s">
        <v>1699</v>
      </c>
      <c r="N290" s="308" t="s">
        <v>1700</v>
      </c>
    </row>
    <row r="291" spans="1:15" s="308" customFormat="1" ht="15.5">
      <c r="A291" s="608">
        <f t="shared" si="14"/>
        <v>287</v>
      </c>
      <c r="B291" s="62">
        <v>6</v>
      </c>
      <c r="C291" s="990" t="s">
        <v>11</v>
      </c>
      <c r="D291" s="62" t="str">
        <f>IFERROR(VLOOKUP(C291,Foundation!$C$5:$D$554,2,0),"")</f>
        <v>DD60+18</v>
      </c>
      <c r="E291" s="722">
        <v>45991</v>
      </c>
      <c r="F291" s="722">
        <v>46008</v>
      </c>
      <c r="G291" s="61" t="s">
        <v>1520</v>
      </c>
      <c r="H291" s="554">
        <f t="shared" si="12"/>
        <v>124.94995199999998</v>
      </c>
      <c r="I291" s="760">
        <f t="shared" si="13"/>
        <v>11.641387107916797</v>
      </c>
      <c r="J291" s="61" t="s">
        <v>1477</v>
      </c>
      <c r="K291" s="995" t="s">
        <v>255</v>
      </c>
      <c r="L291" s="995" t="s">
        <v>1655</v>
      </c>
      <c r="M291" s="308" t="s">
        <v>1734</v>
      </c>
      <c r="N291" s="308" t="s">
        <v>1735</v>
      </c>
    </row>
    <row r="292" spans="1:15" s="308" customFormat="1" ht="15.5">
      <c r="A292" s="608">
        <f t="shared" si="14"/>
        <v>288</v>
      </c>
      <c r="B292" s="62">
        <v>7</v>
      </c>
      <c r="C292" s="990" t="s">
        <v>431</v>
      </c>
      <c r="D292" s="62" t="str">
        <f>IFERROR(VLOOKUP(C292,Foundation!$C$5:$D$554,2,0),"")</f>
        <v>DA+0</v>
      </c>
      <c r="E292" s="722">
        <v>46003</v>
      </c>
      <c r="F292" s="722">
        <v>46011</v>
      </c>
      <c r="G292" s="61" t="s">
        <v>1485</v>
      </c>
      <c r="H292" s="554">
        <f t="shared" si="12"/>
        <v>36.159755999999994</v>
      </c>
      <c r="I292" s="760">
        <f t="shared" si="13"/>
        <v>3.3689466109103994</v>
      </c>
      <c r="J292" s="61" t="s">
        <v>660</v>
      </c>
      <c r="K292" s="995" t="s">
        <v>255</v>
      </c>
      <c r="L292" s="995" t="s">
        <v>1655</v>
      </c>
      <c r="M292" s="308" t="s">
        <v>1701</v>
      </c>
      <c r="N292" s="308" t="s">
        <v>1702</v>
      </c>
    </row>
    <row r="293" spans="1:15" s="308" customFormat="1" ht="15.5">
      <c r="A293" s="608">
        <f t="shared" si="14"/>
        <v>289</v>
      </c>
      <c r="B293" s="62">
        <v>8</v>
      </c>
      <c r="C293" s="990" t="s">
        <v>1785</v>
      </c>
      <c r="D293" s="62" t="s">
        <v>1616</v>
      </c>
      <c r="E293" s="722">
        <v>45991</v>
      </c>
      <c r="F293" s="722">
        <v>46012</v>
      </c>
      <c r="G293" s="61" t="s">
        <v>1488</v>
      </c>
      <c r="H293" s="554">
        <v>82.998000000000005</v>
      </c>
      <c r="I293" s="760">
        <f>H293*9316.84/10^5</f>
        <v>7.7327908632</v>
      </c>
      <c r="J293" s="61" t="s">
        <v>1171</v>
      </c>
      <c r="K293" s="995" t="s">
        <v>255</v>
      </c>
      <c r="L293" s="995" t="s">
        <v>1655</v>
      </c>
      <c r="M293" s="308" t="s">
        <v>1736</v>
      </c>
      <c r="N293" s="308" t="s">
        <v>1737</v>
      </c>
      <c r="O293" s="308" t="s">
        <v>1787</v>
      </c>
    </row>
    <row r="294" spans="1:15" s="308" customFormat="1" ht="15.5">
      <c r="A294" s="608">
        <f t="shared" si="14"/>
        <v>290</v>
      </c>
      <c r="B294" s="62">
        <v>9</v>
      </c>
      <c r="C294" s="990" t="s">
        <v>422</v>
      </c>
      <c r="D294" s="62" t="str">
        <f>IFERROR(VLOOKUP(C294,Foundation!$C$5:$D$554,2,0),"")</f>
        <v>DA+0</v>
      </c>
      <c r="E294" s="722">
        <v>45998</v>
      </c>
      <c r="F294" s="722">
        <v>46012</v>
      </c>
      <c r="G294" s="61" t="s">
        <v>1523</v>
      </c>
      <c r="H294" s="554">
        <f t="shared" ref="H294:H307" si="15">VLOOKUP(D294,$D$316:$I$345,6,0)</f>
        <v>36.159755999999994</v>
      </c>
      <c r="I294" s="760">
        <f t="shared" ref="I294:I308" si="16">IFERROR(VLOOKUP(D294,$D$316:$K$345,8,0)/10^5,"")</f>
        <v>3.3689466109103994</v>
      </c>
      <c r="J294" s="61" t="s">
        <v>1593</v>
      </c>
      <c r="K294" s="995" t="s">
        <v>255</v>
      </c>
      <c r="L294" s="995" t="s">
        <v>1655</v>
      </c>
      <c r="M294" s="308" t="s">
        <v>1701</v>
      </c>
      <c r="N294" s="308" t="s">
        <v>1702</v>
      </c>
    </row>
    <row r="295" spans="1:15" s="308" customFormat="1" ht="15.5">
      <c r="A295" s="608">
        <f t="shared" si="14"/>
        <v>291</v>
      </c>
      <c r="B295" s="62">
        <v>10</v>
      </c>
      <c r="C295" s="990" t="s">
        <v>13</v>
      </c>
      <c r="D295" s="62" t="str">
        <f>IFERROR(VLOOKUP(C295,Foundation!$C$5:$D$554,2,0),"")</f>
        <v>DC1+3</v>
      </c>
      <c r="E295" s="722">
        <v>45977</v>
      </c>
      <c r="F295" s="722">
        <v>46014</v>
      </c>
      <c r="G295" s="61" t="s">
        <v>1487</v>
      </c>
      <c r="H295" s="554">
        <f t="shared" si="15"/>
        <v>65.872484</v>
      </c>
      <c r="I295" s="760">
        <f t="shared" si="16"/>
        <v>6.1372339383056005</v>
      </c>
      <c r="J295" s="61" t="s">
        <v>1545</v>
      </c>
      <c r="K295" s="995" t="s">
        <v>255</v>
      </c>
      <c r="L295" s="995" t="s">
        <v>1655</v>
      </c>
      <c r="M295" s="308" t="s">
        <v>1738</v>
      </c>
      <c r="N295" s="308" t="s">
        <v>1739</v>
      </c>
    </row>
    <row r="296" spans="1:15" s="1085" customFormat="1" ht="15.5">
      <c r="A296" s="62">
        <f t="shared" si="14"/>
        <v>292</v>
      </c>
      <c r="B296" s="62">
        <v>11</v>
      </c>
      <c r="C296" s="990" t="s">
        <v>438</v>
      </c>
      <c r="D296" s="62" t="str">
        <f>IFERROR(VLOOKUP(C296,Foundation!$C$5:$D$554,2,0),"")</f>
        <v>DA+0</v>
      </c>
      <c r="E296" s="722">
        <v>46012</v>
      </c>
      <c r="F296" s="722">
        <v>46017</v>
      </c>
      <c r="G296" s="61" t="s">
        <v>1485</v>
      </c>
      <c r="H296" s="554">
        <f t="shared" si="15"/>
        <v>36.159755999999994</v>
      </c>
      <c r="I296" s="760">
        <f t="shared" si="16"/>
        <v>3.3689466109103994</v>
      </c>
      <c r="J296" s="61" t="s">
        <v>660</v>
      </c>
      <c r="K296" s="995" t="s">
        <v>255</v>
      </c>
      <c r="L296" s="995" t="s">
        <v>1655</v>
      </c>
      <c r="M296" s="308" t="s">
        <v>1701</v>
      </c>
      <c r="N296" s="308" t="s">
        <v>1702</v>
      </c>
    </row>
    <row r="297" spans="1:15" s="1085" customFormat="1" ht="15.5">
      <c r="A297" s="62">
        <f t="shared" si="14"/>
        <v>293</v>
      </c>
      <c r="B297" s="62">
        <v>12</v>
      </c>
      <c r="C297" s="990" t="s">
        <v>642</v>
      </c>
      <c r="D297" s="62" t="str">
        <f>IFERROR(VLOOKUP(C297,Foundation!$C$5:$D$554,2,0),"")</f>
        <v>DA-1.5</v>
      </c>
      <c r="E297" s="722">
        <v>46013</v>
      </c>
      <c r="F297" s="722">
        <v>46022</v>
      </c>
      <c r="G297" s="61" t="s">
        <v>1488</v>
      </c>
      <c r="H297" s="554">
        <f t="shared" si="15"/>
        <v>35.601761999999994</v>
      </c>
      <c r="I297" s="760">
        <f t="shared" si="16"/>
        <v>3.3169592027207995</v>
      </c>
      <c r="J297" s="61" t="s">
        <v>1171</v>
      </c>
      <c r="K297" s="995" t="s">
        <v>255</v>
      </c>
      <c r="L297" s="995" t="s">
        <v>1655</v>
      </c>
      <c r="M297" s="308" t="s">
        <v>1695</v>
      </c>
      <c r="N297" s="308" t="s">
        <v>1696</v>
      </c>
    </row>
    <row r="298" spans="1:15" s="308" customFormat="1" ht="15.5">
      <c r="A298" s="62">
        <f t="shared" si="14"/>
        <v>294</v>
      </c>
      <c r="B298" s="62">
        <v>13</v>
      </c>
      <c r="C298" s="990" t="s">
        <v>267</v>
      </c>
      <c r="D298" s="62" t="str">
        <f>IFERROR(VLOOKUP(C298,Foundation!$C$5:$D$554,2,0),"")</f>
        <v>DD60+9</v>
      </c>
      <c r="E298" s="722">
        <v>46009</v>
      </c>
      <c r="F298" s="722">
        <v>46022</v>
      </c>
      <c r="G298" s="61" t="s">
        <v>1520</v>
      </c>
      <c r="H298" s="554">
        <f t="shared" si="15"/>
        <v>101.952592</v>
      </c>
      <c r="I298" s="760">
        <f t="shared" si="16"/>
        <v>9.4987598724927995</v>
      </c>
      <c r="J298" s="61" t="s">
        <v>1477</v>
      </c>
      <c r="K298" s="995" t="s">
        <v>255</v>
      </c>
      <c r="L298" s="995" t="s">
        <v>1655</v>
      </c>
      <c r="M298" s="308" t="s">
        <v>1740</v>
      </c>
      <c r="N298" s="308" t="s">
        <v>1741</v>
      </c>
    </row>
    <row r="299" spans="1:15" s="308" customFormat="1" ht="15.5">
      <c r="A299" s="62">
        <f t="shared" si="14"/>
        <v>295</v>
      </c>
      <c r="B299" s="62">
        <v>1</v>
      </c>
      <c r="C299" s="990" t="s">
        <v>901</v>
      </c>
      <c r="D299" s="62" t="str">
        <f>IFERROR(VLOOKUP(C299,Foundation!$C$5:$D$554,2,0),"")</f>
        <v>DA+6</v>
      </c>
      <c r="E299" s="722">
        <v>46018</v>
      </c>
      <c r="F299" s="722">
        <v>46028</v>
      </c>
      <c r="G299" s="61" t="s">
        <v>1485</v>
      </c>
      <c r="H299" s="554">
        <f t="shared" si="15"/>
        <v>43.804423999999997</v>
      </c>
      <c r="I299" s="760">
        <f t="shared" si="16"/>
        <v>4.0811880970015997</v>
      </c>
      <c r="J299" s="61" t="s">
        <v>660</v>
      </c>
      <c r="K299" s="995" t="s">
        <v>255</v>
      </c>
      <c r="L299" s="995" t="s">
        <v>1655</v>
      </c>
      <c r="M299" s="308" t="s">
        <v>1691</v>
      </c>
      <c r="N299" s="308" t="s">
        <v>1692</v>
      </c>
    </row>
    <row r="300" spans="1:15" s="308" customFormat="1" ht="15.5">
      <c r="A300" s="62">
        <f t="shared" si="14"/>
        <v>296</v>
      </c>
      <c r="B300" s="62">
        <v>2</v>
      </c>
      <c r="C300" s="990" t="s">
        <v>590</v>
      </c>
      <c r="D300" s="62" t="str">
        <f>IFERROR(VLOOKUP(C300,Foundation!$C$5:$D$554,2,0),"")</f>
        <v>DA-3</v>
      </c>
      <c r="E300" s="722">
        <v>46029</v>
      </c>
      <c r="F300" s="722">
        <v>46033</v>
      </c>
      <c r="G300" s="61" t="s">
        <v>1485</v>
      </c>
      <c r="H300" s="554">
        <f t="shared" si="15"/>
        <v>34.789810000000003</v>
      </c>
      <c r="I300" s="760">
        <f t="shared" si="16"/>
        <v>3.2413109340040003</v>
      </c>
      <c r="J300" s="61" t="s">
        <v>660</v>
      </c>
      <c r="K300" s="995" t="s">
        <v>255</v>
      </c>
      <c r="L300" s="995" t="s">
        <v>1655</v>
      </c>
      <c r="M300" s="308" t="s">
        <v>1703</v>
      </c>
      <c r="N300" s="308" t="s">
        <v>1704</v>
      </c>
    </row>
    <row r="301" spans="1:15" s="308" customFormat="1" ht="15.5">
      <c r="A301" s="62">
        <f t="shared" si="14"/>
        <v>297</v>
      </c>
      <c r="B301" s="62">
        <v>3</v>
      </c>
      <c r="C301" s="990" t="s">
        <v>483</v>
      </c>
      <c r="D301" s="62" t="str">
        <f>IFERROR(VLOOKUP(C301,Foundation!$C$5:$D$554,2,0),"")</f>
        <v>DB1+9</v>
      </c>
      <c r="E301" s="722">
        <v>46023</v>
      </c>
      <c r="F301" s="722">
        <v>46042</v>
      </c>
      <c r="G301" s="61" t="s">
        <v>1520</v>
      </c>
      <c r="H301" s="554">
        <f t="shared" si="15"/>
        <v>66.780901</v>
      </c>
      <c r="I301" s="760">
        <f t="shared" si="16"/>
        <v>6.2218696967283993</v>
      </c>
      <c r="J301" s="61" t="s">
        <v>1593</v>
      </c>
      <c r="K301" s="995" t="s">
        <v>255</v>
      </c>
      <c r="L301" s="995" t="s">
        <v>1655</v>
      </c>
      <c r="M301" s="308" t="s">
        <v>1709</v>
      </c>
      <c r="N301" s="308" t="s">
        <v>1710</v>
      </c>
    </row>
    <row r="302" spans="1:15" s="308" customFormat="1" ht="15.5">
      <c r="A302" s="62">
        <f t="shared" si="14"/>
        <v>298</v>
      </c>
      <c r="B302" s="62">
        <v>4</v>
      </c>
      <c r="C302" s="990" t="s">
        <v>602</v>
      </c>
      <c r="D302" s="62" t="str">
        <f>IFERROR(VLOOKUP(C302,Foundation!$C$5:$D$554,2,0),"")</f>
        <v>DA+3</v>
      </c>
      <c r="E302" s="722">
        <v>46034</v>
      </c>
      <c r="F302" s="722">
        <v>46044</v>
      </c>
      <c r="G302" s="61" t="s">
        <v>1485</v>
      </c>
      <c r="H302" s="554">
        <f t="shared" si="15"/>
        <v>37.931087999999995</v>
      </c>
      <c r="I302" s="760">
        <f t="shared" si="16"/>
        <v>3.5339787792191997</v>
      </c>
      <c r="J302" s="61" t="s">
        <v>660</v>
      </c>
      <c r="K302" s="995" t="s">
        <v>255</v>
      </c>
      <c r="L302" s="995" t="s">
        <v>1655</v>
      </c>
      <c r="M302" s="308" t="s">
        <v>1693</v>
      </c>
      <c r="N302" s="308" t="s">
        <v>1694</v>
      </c>
    </row>
    <row r="303" spans="1:15" s="308" customFormat="1" ht="15.5">
      <c r="A303" s="62">
        <f t="shared" si="14"/>
        <v>299</v>
      </c>
      <c r="B303" s="62">
        <v>5</v>
      </c>
      <c r="C303" s="990" t="s">
        <v>1248</v>
      </c>
      <c r="D303" s="62" t="str">
        <f>IFERROR(VLOOKUP(C303,Foundation!$C$5:$D$554,2,0),"")</f>
        <v>DD45+0</v>
      </c>
      <c r="E303" s="722">
        <v>46023</v>
      </c>
      <c r="F303" s="722">
        <v>46047</v>
      </c>
      <c r="G303" s="61" t="s">
        <v>1488</v>
      </c>
      <c r="H303" s="554">
        <f t="shared" si="15"/>
        <v>73.244547999999995</v>
      </c>
      <c r="I303" s="760">
        <f t="shared" si="16"/>
        <v>6.8240773458832003</v>
      </c>
      <c r="J303" s="61" t="s">
        <v>1500</v>
      </c>
      <c r="K303" s="995" t="s">
        <v>255</v>
      </c>
      <c r="L303" s="995" t="s">
        <v>1655</v>
      </c>
      <c r="M303" s="308" t="s">
        <v>1732</v>
      </c>
      <c r="N303" s="308" t="s">
        <v>1733</v>
      </c>
    </row>
    <row r="304" spans="1:15" s="308" customFormat="1" ht="15.5">
      <c r="A304" s="62">
        <f t="shared" si="14"/>
        <v>300</v>
      </c>
      <c r="B304" s="62">
        <v>6</v>
      </c>
      <c r="C304" s="990" t="s">
        <v>603</v>
      </c>
      <c r="D304" s="62" t="str">
        <f>IFERROR(VLOOKUP(C304,Foundation!$C$5:$D$554,2,0),"")</f>
        <v>DA-1.5</v>
      </c>
      <c r="E304" s="722">
        <f>F302+1</f>
        <v>46045</v>
      </c>
      <c r="F304" s="722">
        <v>46051</v>
      </c>
      <c r="G304" s="61" t="s">
        <v>1485</v>
      </c>
      <c r="H304" s="554">
        <f t="shared" si="15"/>
        <v>35.601761999999994</v>
      </c>
      <c r="I304" s="760">
        <f t="shared" si="16"/>
        <v>3.3169592027207995</v>
      </c>
      <c r="J304" s="61" t="s">
        <v>660</v>
      </c>
      <c r="K304" s="995" t="s">
        <v>255</v>
      </c>
      <c r="L304" s="995" t="s">
        <v>1655</v>
      </c>
      <c r="M304" s="308" t="s">
        <v>1695</v>
      </c>
      <c r="N304" s="308" t="s">
        <v>1696</v>
      </c>
    </row>
    <row r="305" spans="1:14" s="308" customFormat="1" ht="15.5">
      <c r="A305" s="62">
        <f t="shared" si="14"/>
        <v>301</v>
      </c>
      <c r="B305" s="62">
        <v>1</v>
      </c>
      <c r="C305" s="990" t="s">
        <v>8</v>
      </c>
      <c r="D305" s="62" t="str">
        <f>IFERROR(VLOOKUP(C305,Foundation!$C$5:$D$554,2,0),"")</f>
        <v>DB2+3</v>
      </c>
      <c r="E305" s="722">
        <v>46044</v>
      </c>
      <c r="F305" s="722">
        <v>46057</v>
      </c>
      <c r="G305" s="61" t="s">
        <v>1520</v>
      </c>
      <c r="H305" s="554">
        <f t="shared" si="15"/>
        <v>62.116156000000004</v>
      </c>
      <c r="I305" s="760">
        <f t="shared" si="16"/>
        <v>5.7872628686704006</v>
      </c>
      <c r="J305" s="61" t="s">
        <v>1500</v>
      </c>
      <c r="K305" s="995" t="s">
        <v>255</v>
      </c>
      <c r="L305" s="995" t="s">
        <v>1655</v>
      </c>
      <c r="M305" s="308" t="s">
        <v>1705</v>
      </c>
      <c r="N305" s="308" t="s">
        <v>1742</v>
      </c>
    </row>
    <row r="306" spans="1:14" s="308" customFormat="1" ht="15.5">
      <c r="A306" s="62">
        <f t="shared" si="14"/>
        <v>302</v>
      </c>
      <c r="B306" s="62">
        <v>2</v>
      </c>
      <c r="C306" s="990" t="s">
        <v>78</v>
      </c>
      <c r="D306" s="62" t="str">
        <f>IFERROR(VLOOKUP(C306,Foundation!$C$5:$D$554,2,0),"")</f>
        <v>DB1+0</v>
      </c>
      <c r="E306" s="722">
        <v>46054</v>
      </c>
      <c r="F306" s="722">
        <v>46067</v>
      </c>
      <c r="G306" s="61" t="s">
        <v>1625</v>
      </c>
      <c r="H306" s="554">
        <f t="shared" si="15"/>
        <v>55.450851000000007</v>
      </c>
      <c r="I306" s="760">
        <f t="shared" si="16"/>
        <v>5.1662670663084009</v>
      </c>
      <c r="J306" s="61" t="s">
        <v>1626</v>
      </c>
      <c r="K306" s="995" t="s">
        <v>255</v>
      </c>
      <c r="L306" s="995" t="s">
        <v>1655</v>
      </c>
      <c r="M306" s="308" t="s">
        <v>1713</v>
      </c>
      <c r="N306" s="308" t="s">
        <v>1714</v>
      </c>
    </row>
    <row r="307" spans="1:14" s="308" customFormat="1" ht="15.5">
      <c r="A307" s="62">
        <f t="shared" si="14"/>
        <v>303</v>
      </c>
      <c r="B307" s="62">
        <v>3</v>
      </c>
      <c r="C307" s="990" t="s">
        <v>597</v>
      </c>
      <c r="D307" s="62" t="str">
        <f>IFERROR(VLOOKUP(C307,Foundation!$C$5:$D$554,2,0),"")</f>
        <v>DA+3</v>
      </c>
      <c r="E307" s="722">
        <v>46060</v>
      </c>
      <c r="F307" s="722">
        <v>46069</v>
      </c>
      <c r="G307" s="61" t="s">
        <v>1520</v>
      </c>
      <c r="H307" s="554">
        <f t="shared" si="15"/>
        <v>37.931087999999995</v>
      </c>
      <c r="I307" s="760">
        <f t="shared" si="16"/>
        <v>3.5339787792191997</v>
      </c>
      <c r="J307" s="61" t="s">
        <v>1500</v>
      </c>
      <c r="K307" s="995" t="s">
        <v>255</v>
      </c>
      <c r="L307" s="995" t="s">
        <v>1655</v>
      </c>
      <c r="M307" s="308" t="s">
        <v>1693</v>
      </c>
      <c r="N307" s="308" t="s">
        <v>1694</v>
      </c>
    </row>
    <row r="308" spans="1:14" s="308" customFormat="1" ht="15.5">
      <c r="A308" s="62">
        <f t="shared" si="14"/>
        <v>304</v>
      </c>
      <c r="B308" s="62">
        <v>1</v>
      </c>
      <c r="C308" s="990" t="s">
        <v>12</v>
      </c>
      <c r="D308" s="62" t="s">
        <v>173</v>
      </c>
      <c r="E308" s="722">
        <v>46175</v>
      </c>
      <c r="F308" s="722">
        <v>46192</v>
      </c>
      <c r="G308" s="61" t="s">
        <v>1473</v>
      </c>
      <c r="H308" s="554">
        <v>67.261727999999991</v>
      </c>
      <c r="I308" s="760">
        <f t="shared" si="16"/>
        <v>6.2666675789951984</v>
      </c>
      <c r="J308" s="61" t="s">
        <v>1829</v>
      </c>
      <c r="K308" s="995" t="s">
        <v>255</v>
      </c>
      <c r="L308" s="995"/>
    </row>
    <row r="309" spans="1:14" s="308" customFormat="1">
      <c r="A309" s="625">
        <v>305</v>
      </c>
      <c r="B309" s="625">
        <v>1</v>
      </c>
      <c r="C309" s="1018" t="s">
        <v>1774</v>
      </c>
      <c r="D309" s="625" t="s">
        <v>215</v>
      </c>
      <c r="E309" s="761">
        <v>46215</v>
      </c>
      <c r="F309" s="761"/>
      <c r="G309" s="664" t="s">
        <v>1851</v>
      </c>
      <c r="H309" s="626">
        <v>72.155540000000002</v>
      </c>
      <c r="I309" s="762"/>
      <c r="J309" s="664"/>
      <c r="K309" s="1029" t="s">
        <v>311</v>
      </c>
      <c r="L309" s="1029"/>
    </row>
    <row r="310" spans="1:14" s="308" customFormat="1">
      <c r="A310" s="625">
        <v>306</v>
      </c>
      <c r="B310" s="625"/>
      <c r="C310" s="1018" t="s">
        <v>1772</v>
      </c>
      <c r="D310" s="625" t="s">
        <v>215</v>
      </c>
      <c r="E310" s="761"/>
      <c r="F310" s="761"/>
      <c r="G310" s="664"/>
      <c r="H310" s="626">
        <v>72.155540000000002</v>
      </c>
      <c r="I310" s="762"/>
      <c r="J310" s="664"/>
      <c r="K310" s="1029"/>
      <c r="L310" s="1029"/>
    </row>
    <row r="311" spans="1:14" s="308" customFormat="1">
      <c r="A311" s="625">
        <f t="shared" si="14"/>
        <v>307</v>
      </c>
      <c r="B311" s="625"/>
      <c r="C311" s="1018" t="s">
        <v>1773</v>
      </c>
      <c r="D311" s="625" t="s">
        <v>428</v>
      </c>
      <c r="E311" s="761"/>
      <c r="F311" s="761"/>
      <c r="G311" s="664"/>
      <c r="H311" s="626">
        <v>96.880312000000004</v>
      </c>
      <c r="I311" s="762"/>
      <c r="J311" s="664"/>
      <c r="K311" s="1029"/>
      <c r="L311" s="1029"/>
    </row>
    <row r="312" spans="1:14" s="308" customFormat="1" ht="15" thickBot="1">
      <c r="C312" s="1027"/>
      <c r="E312" s="1113"/>
      <c r="F312" s="1113"/>
      <c r="G312" s="447"/>
      <c r="H312" s="723"/>
      <c r="I312" s="1114"/>
      <c r="J312" s="447"/>
      <c r="K312" s="1115"/>
      <c r="L312" s="1115"/>
    </row>
    <row r="313" spans="1:14">
      <c r="C313" s="1554" t="s">
        <v>1106</v>
      </c>
      <c r="D313" s="1556" t="s">
        <v>223</v>
      </c>
      <c r="E313" s="1558" t="s">
        <v>1107</v>
      </c>
      <c r="F313" s="1558"/>
      <c r="G313" s="1558"/>
      <c r="H313" s="1558"/>
      <c r="I313" s="1558"/>
      <c r="J313" s="25"/>
      <c r="K313" s="186"/>
    </row>
    <row r="314" spans="1:14" ht="29">
      <c r="C314" s="1555"/>
      <c r="D314" s="1557"/>
      <c r="E314" s="75" t="s">
        <v>1108</v>
      </c>
      <c r="F314" s="70" t="s">
        <v>1109</v>
      </c>
      <c r="G314" s="70" t="s">
        <v>1110</v>
      </c>
      <c r="H314" s="70" t="s">
        <v>1111</v>
      </c>
      <c r="I314" s="75" t="s">
        <v>1112</v>
      </c>
      <c r="J314" s="3"/>
      <c r="K314" s="1028" t="s">
        <v>1116</v>
      </c>
      <c r="L314" s="1048"/>
    </row>
    <row r="315" spans="1:14">
      <c r="C315" s="1030" t="s">
        <v>1113</v>
      </c>
      <c r="D315" s="1031"/>
      <c r="E315" s="1031"/>
      <c r="F315" s="1031"/>
      <c r="G315" s="1031"/>
      <c r="H315" s="1031"/>
      <c r="I315" s="1031"/>
      <c r="J315" s="1031"/>
      <c r="K315" s="1032"/>
      <c r="L315" s="1096"/>
    </row>
    <row r="316" spans="1:14">
      <c r="C316" s="590">
        <v>1</v>
      </c>
      <c r="D316" s="591" t="s">
        <v>3</v>
      </c>
      <c r="E316" s="592">
        <v>24.697671999999997</v>
      </c>
      <c r="F316" s="999">
        <v>9.9266880000000004</v>
      </c>
      <c r="G316" s="999">
        <v>3.0435E-2</v>
      </c>
      <c r="H316" s="999">
        <v>1.504961</v>
      </c>
      <c r="I316" s="592">
        <f>SUM(E316:H316)</f>
        <v>36.159755999999994</v>
      </c>
      <c r="J316" s="3"/>
      <c r="K316" s="29">
        <f>9316.84*I316</f>
        <v>336894.66109103995</v>
      </c>
    </row>
    <row r="317" spans="1:14">
      <c r="C317" s="590">
        <v>2</v>
      </c>
      <c r="D317" s="593" t="s">
        <v>2</v>
      </c>
      <c r="E317" s="589">
        <v>25.518809999999998</v>
      </c>
      <c r="F317" s="999">
        <v>10.831932</v>
      </c>
      <c r="G317" s="999">
        <v>3.0628999999999997E-2</v>
      </c>
      <c r="H317" s="999">
        <v>1.5497169999999998</v>
      </c>
      <c r="I317" s="592">
        <f t="shared" ref="I317:I346" si="17">SUM(E317:H317)</f>
        <v>37.931087999999995</v>
      </c>
      <c r="J317" s="3"/>
      <c r="K317" s="29">
        <f t="shared" ref="K317:K346" si="18">9316.84*I317</f>
        <v>353397.87792191998</v>
      </c>
    </row>
    <row r="318" spans="1:14">
      <c r="C318" s="590">
        <v>3</v>
      </c>
      <c r="D318" s="593" t="s">
        <v>79</v>
      </c>
      <c r="E318" s="589">
        <v>29.451642</v>
      </c>
      <c r="F318" s="999">
        <v>12.621458000000001</v>
      </c>
      <c r="G318" s="999">
        <v>3.0759000000000002E-2</v>
      </c>
      <c r="H318" s="999">
        <v>1.7005650000000001</v>
      </c>
      <c r="I318" s="592">
        <f t="shared" si="17"/>
        <v>43.804423999999997</v>
      </c>
      <c r="J318" s="3"/>
      <c r="K318" s="29">
        <f>9316.84*I318</f>
        <v>408118.80970016</v>
      </c>
    </row>
    <row r="319" spans="1:14">
      <c r="C319" s="590">
        <v>4</v>
      </c>
      <c r="D319" s="593" t="s">
        <v>49</v>
      </c>
      <c r="E319" s="589">
        <v>30.247433999999998</v>
      </c>
      <c r="F319" s="999">
        <v>13.658548000000001</v>
      </c>
      <c r="G319" s="999">
        <v>3.1054999999999999E-2</v>
      </c>
      <c r="H319" s="999">
        <v>1.7599850000000001</v>
      </c>
      <c r="I319" s="592">
        <f t="shared" si="17"/>
        <v>45.697022000000004</v>
      </c>
      <c r="J319" s="3"/>
      <c r="K319" s="29">
        <f t="shared" si="18"/>
        <v>425751.84245048004</v>
      </c>
    </row>
    <row r="320" spans="1:14">
      <c r="C320" s="590">
        <v>5</v>
      </c>
      <c r="D320" s="593" t="s">
        <v>154</v>
      </c>
      <c r="E320" s="592">
        <v>24.403597999999999</v>
      </c>
      <c r="F320" s="999">
        <v>9.6764360000000007</v>
      </c>
      <c r="G320" s="999">
        <v>3.0223E-2</v>
      </c>
      <c r="H320" s="999">
        <v>1.4915049999999999</v>
      </c>
      <c r="I320" s="592">
        <f t="shared" si="17"/>
        <v>35.601761999999994</v>
      </c>
      <c r="J320" s="3"/>
      <c r="K320" s="29">
        <f t="shared" si="18"/>
        <v>331695.92027207994</v>
      </c>
    </row>
    <row r="321" spans="3:12">
      <c r="C321" s="590">
        <v>6</v>
      </c>
      <c r="D321" s="593" t="s">
        <v>4</v>
      </c>
      <c r="E321" s="592">
        <v>23.948781999999998</v>
      </c>
      <c r="F321" s="999">
        <v>9.3495840000000001</v>
      </c>
      <c r="G321" s="999">
        <v>3.0210999999999998E-2</v>
      </c>
      <c r="H321" s="999">
        <v>1.461233</v>
      </c>
      <c r="I321" s="592">
        <f t="shared" si="17"/>
        <v>34.789810000000003</v>
      </c>
      <c r="J321" s="3"/>
      <c r="K321" s="29">
        <f t="shared" si="18"/>
        <v>324131.09340040002</v>
      </c>
    </row>
    <row r="322" spans="3:12">
      <c r="C322" s="590">
        <v>7</v>
      </c>
      <c r="D322" s="593" t="s">
        <v>987</v>
      </c>
      <c r="E322" s="592">
        <v>28.933322</v>
      </c>
      <c r="F322" s="999">
        <v>12.283810000000001</v>
      </c>
      <c r="G322" s="999">
        <v>3.0686999999999999E-2</v>
      </c>
      <c r="H322" s="999">
        <v>1.6739999999999999</v>
      </c>
      <c r="I322" s="592">
        <f t="shared" si="17"/>
        <v>42.921818999999999</v>
      </c>
      <c r="J322" s="3"/>
      <c r="K322" s="29">
        <f t="shared" si="18"/>
        <v>399895.72013196</v>
      </c>
    </row>
    <row r="323" spans="3:12">
      <c r="C323" s="590">
        <v>8</v>
      </c>
      <c r="D323" s="593" t="s">
        <v>170</v>
      </c>
      <c r="E323" s="592">
        <v>25.261426</v>
      </c>
      <c r="F323" s="999">
        <v>10.313587999999999</v>
      </c>
      <c r="G323" s="999">
        <v>3.0518999999999998E-2</v>
      </c>
      <c r="H323" s="999">
        <v>1.532791</v>
      </c>
      <c r="I323" s="592">
        <f t="shared" si="17"/>
        <v>37.138323999999997</v>
      </c>
      <c r="J323" s="3"/>
      <c r="K323" s="29">
        <f t="shared" si="18"/>
        <v>346011.82257615996</v>
      </c>
    </row>
    <row r="324" spans="3:12">
      <c r="C324" s="590">
        <v>9</v>
      </c>
      <c r="D324" s="593" t="s">
        <v>197</v>
      </c>
      <c r="E324" s="589">
        <v>42.084434000000002</v>
      </c>
      <c r="F324" s="999">
        <v>10.82634</v>
      </c>
      <c r="G324" s="999">
        <v>5.9184E-2</v>
      </c>
      <c r="H324" s="999">
        <v>2.480893</v>
      </c>
      <c r="I324" s="592">
        <f t="shared" si="17"/>
        <v>55.450851000000007</v>
      </c>
      <c r="J324" s="3"/>
      <c r="K324" s="29">
        <f t="shared" si="18"/>
        <v>516626.70663084008</v>
      </c>
    </row>
    <row r="325" spans="3:12">
      <c r="C325" s="1001">
        <v>10</v>
      </c>
      <c r="D325" s="994" t="s">
        <v>226</v>
      </c>
      <c r="E325" s="1000">
        <f>43746.578/1000</f>
        <v>43.746578</v>
      </c>
      <c r="F325" s="999">
        <f>11615.294/1000</f>
        <v>11.615294</v>
      </c>
      <c r="G325" s="999">
        <f>61.852/1000</f>
        <v>6.1851999999999997E-2</v>
      </c>
      <c r="H325" s="999">
        <f>2539.447/1000</f>
        <v>2.539447</v>
      </c>
      <c r="I325" s="999">
        <f t="shared" si="17"/>
        <v>57.963171000000003</v>
      </c>
      <c r="J325" s="10"/>
      <c r="K325" s="1002">
        <f t="shared" si="18"/>
        <v>540033.59009964007</v>
      </c>
      <c r="L325" s="13"/>
    </row>
    <row r="326" spans="3:12">
      <c r="C326" s="1001">
        <v>11</v>
      </c>
      <c r="D326" s="994" t="s">
        <v>227</v>
      </c>
      <c r="E326" s="1000">
        <f>49126.438/1000</f>
        <v>49.126438</v>
      </c>
      <c r="F326" s="999">
        <f>12988.792/1000</f>
        <v>12.988792</v>
      </c>
      <c r="G326" s="999">
        <f>74.512/1000</f>
        <v>7.4511999999999995E-2</v>
      </c>
      <c r="H326" s="999">
        <f>2838.037/1000</f>
        <v>2.8380369999999999</v>
      </c>
      <c r="I326" s="999">
        <f t="shared" si="17"/>
        <v>65.027778999999995</v>
      </c>
      <c r="J326" s="10"/>
      <c r="K326" s="1002">
        <f t="shared" si="18"/>
        <v>605853.41249835992</v>
      </c>
      <c r="L326" s="13"/>
    </row>
    <row r="327" spans="3:12">
      <c r="C327" s="1001">
        <v>12</v>
      </c>
      <c r="D327" s="994" t="s">
        <v>211</v>
      </c>
      <c r="E327" s="999">
        <v>49.741413999999999</v>
      </c>
      <c r="F327" s="999">
        <v>14.034192000000001</v>
      </c>
      <c r="G327" s="999">
        <v>7.4608000000000008E-2</v>
      </c>
      <c r="H327" s="999">
        <v>2.9306869999999998</v>
      </c>
      <c r="I327" s="999">
        <f t="shared" si="17"/>
        <v>66.780901</v>
      </c>
      <c r="J327" s="10"/>
      <c r="K327" s="1002">
        <f t="shared" si="18"/>
        <v>622186.96967283997</v>
      </c>
      <c r="L327" s="13"/>
    </row>
    <row r="328" spans="3:12">
      <c r="C328" s="1001">
        <v>13</v>
      </c>
      <c r="D328" s="994" t="s">
        <v>184</v>
      </c>
      <c r="E328" s="1000">
        <v>44.646487</v>
      </c>
      <c r="F328" s="999">
        <v>12.285440999999999</v>
      </c>
      <c r="G328" s="999">
        <v>6.6186000000000009E-2</v>
      </c>
      <c r="H328" s="999">
        <v>2.5025140000000001</v>
      </c>
      <c r="I328" s="999">
        <f t="shared" si="17"/>
        <v>59.500627999999999</v>
      </c>
      <c r="J328" s="10"/>
      <c r="K328" s="1002">
        <f t="shared" si="18"/>
        <v>554357.83097551996</v>
      </c>
      <c r="L328" s="13"/>
    </row>
    <row r="329" spans="3:12">
      <c r="C329" s="590">
        <v>14</v>
      </c>
      <c r="D329" s="593" t="s">
        <v>228</v>
      </c>
      <c r="E329" s="589">
        <v>46.281091000000004</v>
      </c>
      <c r="F329" s="999">
        <v>13.214246999999999</v>
      </c>
      <c r="G329" s="999">
        <v>6.9438E-2</v>
      </c>
      <c r="H329" s="999">
        <v>2.55138</v>
      </c>
      <c r="I329" s="592">
        <f t="shared" si="17"/>
        <v>62.116156000000004</v>
      </c>
      <c r="J329" s="3"/>
      <c r="K329" s="29">
        <f t="shared" si="18"/>
        <v>578726.28686704009</v>
      </c>
    </row>
    <row r="330" spans="3:12">
      <c r="C330" s="590">
        <v>15</v>
      </c>
      <c r="D330" s="593" t="s">
        <v>229</v>
      </c>
      <c r="E330" s="592">
        <v>51.442</v>
      </c>
      <c r="F330" s="999">
        <v>14.984</v>
      </c>
      <c r="G330" s="999">
        <v>8.1000000000000003E-2</v>
      </c>
      <c r="H330" s="999">
        <v>2.8690000000000002</v>
      </c>
      <c r="I330" s="592">
        <f t="shared" si="17"/>
        <v>69.376000000000005</v>
      </c>
      <c r="J330" s="3"/>
      <c r="K330" s="29">
        <f t="shared" si="18"/>
        <v>646365.09184000001</v>
      </c>
    </row>
    <row r="331" spans="3:12">
      <c r="C331" s="590">
        <v>16</v>
      </c>
      <c r="D331" s="593" t="s">
        <v>215</v>
      </c>
      <c r="E331" s="589">
        <v>52.841999999999999</v>
      </c>
      <c r="F331" s="999">
        <v>16.266999999999999</v>
      </c>
      <c r="G331" s="999">
        <v>8.2046000000000008E-2</v>
      </c>
      <c r="H331" s="999">
        <v>2.9644940000000002</v>
      </c>
      <c r="I331" s="592">
        <f t="shared" si="17"/>
        <v>72.155540000000002</v>
      </c>
      <c r="J331" s="3"/>
      <c r="K331" s="29">
        <f t="shared" si="18"/>
        <v>672261.62129360007</v>
      </c>
    </row>
    <row r="332" spans="3:12">
      <c r="C332" s="590">
        <v>17</v>
      </c>
      <c r="D332" s="593" t="s">
        <v>185</v>
      </c>
      <c r="E332" s="589">
        <v>47.969223</v>
      </c>
      <c r="F332" s="999">
        <v>11.841364000000002</v>
      </c>
      <c r="G332" s="999">
        <v>6.1932000000000001E-2</v>
      </c>
      <c r="H332" s="999">
        <v>2.5711870000000001</v>
      </c>
      <c r="I332" s="592">
        <f t="shared" si="17"/>
        <v>62.443705999999999</v>
      </c>
      <c r="J332" s="3"/>
      <c r="K332" s="29">
        <f t="shared" si="18"/>
        <v>581778.01780904003</v>
      </c>
    </row>
    <row r="333" spans="3:12">
      <c r="C333" s="590">
        <v>18</v>
      </c>
      <c r="D333" s="593" t="s">
        <v>217</v>
      </c>
      <c r="E333" s="589">
        <v>50.178643000000001</v>
      </c>
      <c r="F333" s="999">
        <v>12.958997999999999</v>
      </c>
      <c r="G333" s="999">
        <v>6.5039999999999987E-2</v>
      </c>
      <c r="H333" s="999">
        <v>2.6698029999999999</v>
      </c>
      <c r="I333" s="592">
        <f t="shared" si="17"/>
        <v>65.872484</v>
      </c>
      <c r="J333" s="3"/>
      <c r="K333" s="29">
        <f t="shared" si="18"/>
        <v>613723.39383056003</v>
      </c>
    </row>
    <row r="334" spans="3:12">
      <c r="C334" s="590">
        <v>19</v>
      </c>
      <c r="D334" s="593" t="s">
        <v>173</v>
      </c>
      <c r="E334" s="589">
        <v>51.846687999999993</v>
      </c>
      <c r="F334" s="1000">
        <v>12.818520000000001</v>
      </c>
      <c r="G334" s="1000">
        <v>6.2995999999999996E-2</v>
      </c>
      <c r="H334" s="1000">
        <v>2.5335239999999999</v>
      </c>
      <c r="I334" s="592">
        <f t="shared" si="17"/>
        <v>67.261727999999991</v>
      </c>
      <c r="J334" s="3"/>
      <c r="K334" s="29">
        <f t="shared" si="18"/>
        <v>626666.75789951987</v>
      </c>
    </row>
    <row r="335" spans="3:12">
      <c r="C335" s="590">
        <v>20</v>
      </c>
      <c r="D335" s="593" t="s">
        <v>250</v>
      </c>
      <c r="E335" s="589">
        <v>50.413368000000006</v>
      </c>
      <c r="F335" s="1000">
        <v>11.935082</v>
      </c>
      <c r="G335" s="1000">
        <v>6.1876E-2</v>
      </c>
      <c r="H335" s="1000">
        <v>2.4739719999999998</v>
      </c>
      <c r="I335" s="592">
        <f t="shared" si="17"/>
        <v>64.884298000000001</v>
      </c>
      <c r="J335" s="3"/>
      <c r="K335" s="29">
        <f t="shared" si="18"/>
        <v>604516.62297832</v>
      </c>
    </row>
    <row r="336" spans="3:12">
      <c r="C336" s="590">
        <v>21</v>
      </c>
      <c r="D336" s="593" t="s">
        <v>178</v>
      </c>
      <c r="E336" s="592">
        <v>55.813431999999999</v>
      </c>
      <c r="F336" s="999">
        <v>14.803932000000001</v>
      </c>
      <c r="G336" s="999">
        <v>5.8150999999999994E-2</v>
      </c>
      <c r="H336" s="999">
        <v>2.5690330000000006</v>
      </c>
      <c r="I336" s="592">
        <f t="shared" si="17"/>
        <v>73.244547999999995</v>
      </c>
      <c r="J336" s="3"/>
      <c r="K336" s="29">
        <f t="shared" si="18"/>
        <v>682407.73458832002</v>
      </c>
    </row>
    <row r="337" spans="3:11">
      <c r="C337" s="590">
        <v>22</v>
      </c>
      <c r="D337" s="593" t="s">
        <v>183</v>
      </c>
      <c r="E337" s="592">
        <v>60.957751999999999</v>
      </c>
      <c r="F337" s="999">
        <v>13.36816</v>
      </c>
      <c r="G337" s="999">
        <v>5.9057000000000005E-2</v>
      </c>
      <c r="H337" s="999">
        <v>2.6919630000000003</v>
      </c>
      <c r="I337" s="592">
        <f t="shared" si="17"/>
        <v>77.076931999999999</v>
      </c>
      <c r="J337" s="3"/>
      <c r="K337" s="29">
        <f t="shared" si="18"/>
        <v>718113.44313488004</v>
      </c>
    </row>
    <row r="338" spans="3:11">
      <c r="C338" s="590">
        <v>23</v>
      </c>
      <c r="D338" s="593" t="s">
        <v>188</v>
      </c>
      <c r="E338" s="589">
        <v>62.426788000000002</v>
      </c>
      <c r="F338" s="999">
        <v>17.631148</v>
      </c>
      <c r="G338" s="999">
        <v>6.7222000000000004E-2</v>
      </c>
      <c r="H338" s="999">
        <v>3.0083679999999999</v>
      </c>
      <c r="I338" s="592">
        <f t="shared" si="17"/>
        <v>83.133526000000003</v>
      </c>
      <c r="J338" s="3"/>
      <c r="K338" s="29">
        <f t="shared" si="18"/>
        <v>774541.76037784002</v>
      </c>
    </row>
    <row r="339" spans="3:11">
      <c r="C339" s="590">
        <v>24</v>
      </c>
      <c r="D339" s="593" t="s">
        <v>213</v>
      </c>
      <c r="E339" s="589">
        <v>66.109888000000012</v>
      </c>
      <c r="F339" s="999">
        <v>17.675502000000002</v>
      </c>
      <c r="G339" s="999">
        <v>6.9954000000000002E-2</v>
      </c>
      <c r="H339" s="999">
        <v>3.1659960000000003</v>
      </c>
      <c r="I339" s="592">
        <f t="shared" si="17"/>
        <v>87.021340000000009</v>
      </c>
      <c r="J339" s="3"/>
      <c r="K339" s="29">
        <f t="shared" si="18"/>
        <v>810763.90136560006</v>
      </c>
    </row>
    <row r="340" spans="3:11">
      <c r="C340" s="590">
        <v>25</v>
      </c>
      <c r="D340" s="593" t="s">
        <v>209</v>
      </c>
      <c r="E340" s="589">
        <v>73.456547999999998</v>
      </c>
      <c r="F340" s="1000">
        <v>24.850072000000001</v>
      </c>
      <c r="G340" s="1000">
        <v>7.8590000000000007E-2</v>
      </c>
      <c r="H340" s="1000">
        <v>3.5673820000000003</v>
      </c>
      <c r="I340" s="592">
        <f t="shared" si="17"/>
        <v>101.952592</v>
      </c>
      <c r="J340" s="3"/>
      <c r="K340" s="29">
        <f t="shared" si="18"/>
        <v>949875.98724927998</v>
      </c>
    </row>
    <row r="341" spans="3:11">
      <c r="C341" s="590">
        <v>26</v>
      </c>
      <c r="D341" s="593" t="s">
        <v>401</v>
      </c>
      <c r="E341" s="592">
        <v>49.541086</v>
      </c>
      <c r="F341" s="999">
        <v>18.166779999999999</v>
      </c>
      <c r="G341" s="999">
        <v>8.7379999999999999E-2</v>
      </c>
      <c r="H341" s="999">
        <v>2.9930190000000003</v>
      </c>
      <c r="I341" s="592">
        <f t="shared" si="17"/>
        <v>70.788264999999996</v>
      </c>
      <c r="J341" s="3"/>
      <c r="K341" s="29">
        <f t="shared" si="18"/>
        <v>659522.93888259993</v>
      </c>
    </row>
    <row r="342" spans="3:11">
      <c r="C342" s="590">
        <v>27</v>
      </c>
      <c r="D342" s="593" t="s">
        <v>428</v>
      </c>
      <c r="E342" s="589">
        <v>71.12</v>
      </c>
      <c r="F342" s="1000">
        <v>22.268999999999998</v>
      </c>
      <c r="G342" s="1000">
        <v>9.7335999999999978E-2</v>
      </c>
      <c r="H342" s="1000">
        <v>3.393564</v>
      </c>
      <c r="I342" s="592">
        <f t="shared" si="17"/>
        <v>96.879900000000006</v>
      </c>
      <c r="J342" s="3"/>
      <c r="K342" s="29">
        <f t="shared" si="18"/>
        <v>902614.52751600009</v>
      </c>
    </row>
    <row r="343" spans="3:11">
      <c r="C343" s="590">
        <v>28</v>
      </c>
      <c r="D343" s="593" t="s">
        <v>186</v>
      </c>
      <c r="E343" s="592">
        <v>84.601611999999989</v>
      </c>
      <c r="F343" s="999">
        <v>36.043199999999999</v>
      </c>
      <c r="G343" s="999">
        <v>0.10176600000000001</v>
      </c>
      <c r="H343" s="999">
        <v>4.2033740000000002</v>
      </c>
      <c r="I343" s="592">
        <f t="shared" si="17"/>
        <v>124.94995199999998</v>
      </c>
      <c r="J343" s="3"/>
      <c r="K343" s="29">
        <f t="shared" si="18"/>
        <v>1164138.7107916798</v>
      </c>
    </row>
    <row r="344" spans="3:11">
      <c r="C344" s="590">
        <v>29</v>
      </c>
      <c r="D344" s="593" t="s">
        <v>218</v>
      </c>
      <c r="E344" s="592">
        <v>90.602580000000003</v>
      </c>
      <c r="F344" s="999">
        <v>41.945982000000001</v>
      </c>
      <c r="G344" s="999">
        <v>0.10993</v>
      </c>
      <c r="H344" s="999">
        <v>4.3876200000000001</v>
      </c>
      <c r="I344" s="592">
        <f t="shared" si="17"/>
        <v>137.04611199999999</v>
      </c>
      <c r="J344" s="3"/>
      <c r="K344" s="29">
        <f t="shared" si="18"/>
        <v>1276836.69812608</v>
      </c>
    </row>
    <row r="345" spans="3:11">
      <c r="C345" s="590">
        <v>30</v>
      </c>
      <c r="D345" s="593" t="s">
        <v>429</v>
      </c>
      <c r="E345" s="592">
        <v>130.96920800000001</v>
      </c>
      <c r="F345" s="999">
        <v>37.303660000000001</v>
      </c>
      <c r="G345" s="999">
        <v>0.10993</v>
      </c>
      <c r="H345" s="999">
        <v>5.1781139999999999</v>
      </c>
      <c r="I345" s="592">
        <f t="shared" si="17"/>
        <v>173.560912</v>
      </c>
      <c r="J345" s="3"/>
      <c r="K345" s="29">
        <f t="shared" si="18"/>
        <v>1617039.24735808</v>
      </c>
    </row>
    <row r="346" spans="3:11" ht="15" thickBot="1">
      <c r="C346" s="27">
        <v>31</v>
      </c>
      <c r="D346" s="996" t="s">
        <v>1460</v>
      </c>
      <c r="E346" s="997">
        <v>59.533379999999994</v>
      </c>
      <c r="F346" s="998">
        <v>19.751999000000001</v>
      </c>
      <c r="G346" s="998">
        <v>0.11</v>
      </c>
      <c r="H346" s="998">
        <v>2.8679999999999999</v>
      </c>
      <c r="I346" s="605">
        <f t="shared" si="17"/>
        <v>82.263378999999986</v>
      </c>
      <c r="J346" s="28"/>
      <c r="K346" s="30">
        <f t="shared" si="18"/>
        <v>766434.74000235985</v>
      </c>
    </row>
    <row r="347" spans="3:11">
      <c r="D347" s="742"/>
    </row>
    <row r="348" spans="3:11">
      <c r="D348" s="742"/>
    </row>
    <row r="349" spans="3:11">
      <c r="D349" s="742"/>
    </row>
    <row r="350" spans="3:11">
      <c r="D350" s="742"/>
    </row>
    <row r="351" spans="3:11">
      <c r="D351" s="742"/>
    </row>
    <row r="352" spans="3:11">
      <c r="D352" s="742"/>
    </row>
    <row r="353" spans="4:4">
      <c r="D353" s="742"/>
    </row>
    <row r="354" spans="4:4">
      <c r="D354" s="742"/>
    </row>
    <row r="355" spans="4:4">
      <c r="D355" s="742"/>
    </row>
    <row r="356" spans="4:4">
      <c r="D356" s="742"/>
    </row>
    <row r="357" spans="4:4">
      <c r="D357" s="742"/>
    </row>
    <row r="358" spans="4:4">
      <c r="D358" s="742"/>
    </row>
    <row r="359" spans="4:4">
      <c r="D359" s="742"/>
    </row>
    <row r="360" spans="4:4">
      <c r="D360" s="742"/>
    </row>
    <row r="361" spans="4:4">
      <c r="D361" s="742"/>
    </row>
    <row r="362" spans="4:4">
      <c r="D362" s="742"/>
    </row>
    <row r="363" spans="4:4">
      <c r="D363" s="742"/>
    </row>
    <row r="364" spans="4:4">
      <c r="D364" s="742"/>
    </row>
  </sheetData>
  <autoFilter ref="A4:L311" xr:uid="{00000000-0001-0000-0700-000000000000}"/>
  <mergeCells count="5">
    <mergeCell ref="C313:C314"/>
    <mergeCell ref="D313:D314"/>
    <mergeCell ref="E313:I313"/>
    <mergeCell ref="A1:L1"/>
    <mergeCell ref="A2:L2"/>
  </mergeCells>
  <phoneticPr fontId="46" type="noConversion"/>
  <conditionalFormatting sqref="C309:C312">
    <cfRule type="duplicateValues" dxfId="203" priority="1558"/>
  </conditionalFormatting>
  <conditionalFormatting sqref="C313:C1048576 C1:C308">
    <cfRule type="duplicateValues" dxfId="202" priority="1476"/>
  </conditionalFormatting>
  <pageMargins left="0.25" right="0.25" top="0.75" bottom="0.75" header="0.3" footer="0.3"/>
  <pageSetup paperSize="9" scale="68" fitToHeight="0" orientation="portrait" r:id="rId1"/>
  <ignoredErrors>
    <ignoredError sqref="E77 E73 E83 E87 I293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7A4D2-C9A8-4D4B-BADF-A3F85A5D24A4}">
  <sheetPr codeName="Sheet7">
    <tabColor rgb="FFFF0000"/>
    <pageSetUpPr fitToPage="1"/>
  </sheetPr>
  <dimension ref="A1:AE50"/>
  <sheetViews>
    <sheetView zoomScale="93" zoomScaleNormal="93" workbookViewId="0">
      <pane xSplit="6" ySplit="5" topLeftCell="K29" activePane="bottomRight" state="frozen"/>
      <selection sqref="A1:J1"/>
      <selection pane="topRight" sqref="A1:J1"/>
      <selection pane="bottomLeft" sqref="A1:J1"/>
      <selection pane="bottomRight" activeCell="B12" sqref="A12:B37"/>
    </sheetView>
  </sheetViews>
  <sheetFormatPr defaultColWidth="8.7265625" defaultRowHeight="14.5"/>
  <cols>
    <col min="1" max="1" width="5.1796875" style="2" bestFit="1" customWidth="1"/>
    <col min="2" max="2" width="41.7265625" style="8" bestFit="1" customWidth="1"/>
    <col min="3" max="3" width="6.1796875" style="2" customWidth="1"/>
    <col min="4" max="4" width="9" style="2" customWidth="1"/>
    <col min="5" max="5" width="11.1796875" style="2" customWidth="1"/>
    <col min="6" max="6" width="10.453125" style="2" customWidth="1"/>
    <col min="7" max="9" width="8.81640625" style="2" customWidth="1"/>
    <col min="10" max="10" width="7.1796875" style="2" customWidth="1"/>
    <col min="11" max="11" width="7.1796875" style="196" customWidth="1"/>
    <col min="12" max="12" width="8.1796875" style="2" customWidth="1"/>
    <col min="13" max="13" width="7.1796875" style="197" customWidth="1"/>
    <col min="14" max="14" width="7.1796875" style="196" customWidth="1"/>
    <col min="15" max="15" width="8.453125" style="2" bestFit="1" customWidth="1"/>
    <col min="16" max="16" width="8.26953125" style="197" customWidth="1"/>
    <col min="17" max="17" width="7.1796875" style="196" customWidth="1"/>
    <col min="18" max="18" width="7.1796875" style="2" customWidth="1"/>
    <col min="19" max="19" width="7.1796875" style="197" customWidth="1"/>
    <col min="20" max="20" width="7.1796875" style="196" customWidth="1"/>
    <col min="21" max="21" width="7.1796875" style="2" customWidth="1"/>
    <col min="22" max="22" width="7.1796875" style="197" customWidth="1"/>
    <col min="23" max="23" width="7.1796875" style="196" customWidth="1"/>
    <col min="24" max="24" width="8.1796875" style="2" customWidth="1"/>
    <col min="25" max="25" width="7.1796875" style="197" customWidth="1"/>
    <col min="26" max="26" width="7.1796875" style="196" customWidth="1"/>
    <col min="27" max="27" width="7.1796875" style="2" customWidth="1"/>
    <col min="28" max="28" width="8.7265625" style="197" customWidth="1"/>
    <col min="29" max="29" width="7.1796875" style="196" customWidth="1"/>
    <col min="30" max="30" width="7.1796875" style="2" customWidth="1"/>
    <col min="31" max="31" width="7.1796875" style="197" customWidth="1"/>
    <col min="32" max="16384" width="8.7265625" style="2"/>
  </cols>
  <sheetData>
    <row r="1" spans="1:31">
      <c r="A1" s="193" t="s">
        <v>801</v>
      </c>
      <c r="K1" s="108"/>
      <c r="L1" s="194"/>
      <c r="M1" s="195"/>
      <c r="N1" s="108"/>
      <c r="O1" s="194"/>
      <c r="P1" s="195"/>
      <c r="Q1" s="108"/>
      <c r="R1" s="194"/>
      <c r="S1" s="195"/>
      <c r="T1" s="108"/>
      <c r="U1" s="194"/>
      <c r="V1" s="195"/>
      <c r="W1" s="108"/>
      <c r="X1" s="194"/>
      <c r="Y1" s="195"/>
      <c r="Z1" s="108"/>
      <c r="AA1" s="194"/>
      <c r="AB1" s="195"/>
      <c r="AC1" s="108"/>
      <c r="AD1" s="194"/>
      <c r="AE1" s="195"/>
    </row>
    <row r="2" spans="1:31">
      <c r="A2" s="193" t="s">
        <v>802</v>
      </c>
    </row>
    <row r="3" spans="1:31">
      <c r="A3" s="193" t="s">
        <v>803</v>
      </c>
      <c r="D3" s="198"/>
      <c r="E3" s="585" t="s">
        <v>804</v>
      </c>
      <c r="F3" s="586" t="str">
        <f>TA413_PBNTL!M1</f>
        <v>17.07.2026</v>
      </c>
      <c r="G3" s="198"/>
      <c r="H3" s="198"/>
      <c r="I3" s="198"/>
    </row>
    <row r="4" spans="1:31">
      <c r="A4" s="1560" t="s">
        <v>374</v>
      </c>
      <c r="B4" s="1560" t="s">
        <v>805</v>
      </c>
      <c r="C4" s="1561" t="s">
        <v>274</v>
      </c>
      <c r="D4" s="1560" t="s">
        <v>310</v>
      </c>
      <c r="E4" s="1560" t="s">
        <v>806</v>
      </c>
      <c r="F4" s="1560" t="s">
        <v>807</v>
      </c>
      <c r="G4" s="66" t="s">
        <v>844</v>
      </c>
      <c r="H4" s="1557" t="s">
        <v>808</v>
      </c>
      <c r="I4" s="1560" t="s">
        <v>0</v>
      </c>
      <c r="J4" s="199">
        <v>0</v>
      </c>
      <c r="K4" s="200">
        <f>J4+1</f>
        <v>1</v>
      </c>
      <c r="L4" s="66">
        <f t="shared" ref="L4:AE4" si="0">K4+1</f>
        <v>2</v>
      </c>
      <c r="M4" s="201">
        <f t="shared" si="0"/>
        <v>3</v>
      </c>
      <c r="N4" s="200">
        <f t="shared" si="0"/>
        <v>4</v>
      </c>
      <c r="O4" s="66">
        <f t="shared" si="0"/>
        <v>5</v>
      </c>
      <c r="P4" s="201">
        <f t="shared" si="0"/>
        <v>6</v>
      </c>
      <c r="Q4" s="200">
        <f t="shared" si="0"/>
        <v>7</v>
      </c>
      <c r="R4" s="66">
        <f t="shared" si="0"/>
        <v>8</v>
      </c>
      <c r="S4" s="201">
        <f t="shared" si="0"/>
        <v>9</v>
      </c>
      <c r="T4" s="200">
        <f t="shared" si="0"/>
        <v>10</v>
      </c>
      <c r="U4" s="66">
        <f t="shared" si="0"/>
        <v>11</v>
      </c>
      <c r="V4" s="201">
        <f t="shared" si="0"/>
        <v>12</v>
      </c>
      <c r="W4" s="200">
        <f t="shared" si="0"/>
        <v>13</v>
      </c>
      <c r="X4" s="66">
        <f t="shared" si="0"/>
        <v>14</v>
      </c>
      <c r="Y4" s="201">
        <f t="shared" si="0"/>
        <v>15</v>
      </c>
      <c r="Z4" s="200">
        <f t="shared" si="0"/>
        <v>16</v>
      </c>
      <c r="AA4" s="66">
        <f t="shared" si="0"/>
        <v>17</v>
      </c>
      <c r="AB4" s="201">
        <f t="shared" si="0"/>
        <v>18</v>
      </c>
      <c r="AC4" s="200">
        <f t="shared" si="0"/>
        <v>19</v>
      </c>
      <c r="AD4" s="66">
        <f t="shared" si="0"/>
        <v>20</v>
      </c>
      <c r="AE4" s="201">
        <f t="shared" si="0"/>
        <v>21</v>
      </c>
    </row>
    <row r="5" spans="1:31">
      <c r="A5" s="1560"/>
      <c r="B5" s="1560"/>
      <c r="C5" s="1561"/>
      <c r="D5" s="1560"/>
      <c r="E5" s="1560"/>
      <c r="F5" s="1560"/>
      <c r="G5" s="66" t="s">
        <v>845</v>
      </c>
      <c r="H5" s="1557"/>
      <c r="I5" s="1560"/>
      <c r="J5" s="202">
        <v>45352</v>
      </c>
      <c r="K5" s="203">
        <v>45383</v>
      </c>
      <c r="L5" s="117">
        <v>45413</v>
      </c>
      <c r="M5" s="204">
        <v>45444</v>
      </c>
      <c r="N5" s="203">
        <v>45474</v>
      </c>
      <c r="O5" s="117">
        <v>45505</v>
      </c>
      <c r="P5" s="204">
        <v>45536</v>
      </c>
      <c r="Q5" s="203">
        <v>45566</v>
      </c>
      <c r="R5" s="117">
        <v>45597</v>
      </c>
      <c r="S5" s="204">
        <v>45627</v>
      </c>
      <c r="T5" s="203">
        <v>45658</v>
      </c>
      <c r="U5" s="117">
        <v>45689</v>
      </c>
      <c r="V5" s="204">
        <v>45717</v>
      </c>
      <c r="W5" s="203">
        <v>45748</v>
      </c>
      <c r="X5" s="117">
        <v>45778</v>
      </c>
      <c r="Y5" s="204">
        <v>45809</v>
      </c>
      <c r="Z5" s="203">
        <v>45839</v>
      </c>
      <c r="AA5" s="117">
        <v>45870</v>
      </c>
      <c r="AB5" s="204">
        <v>45901</v>
      </c>
      <c r="AC5" s="203">
        <v>45931</v>
      </c>
      <c r="AD5" s="117">
        <v>45962</v>
      </c>
      <c r="AE5" s="204">
        <v>45992</v>
      </c>
    </row>
    <row r="6" spans="1:31">
      <c r="A6" s="205"/>
      <c r="B6" s="206" t="s">
        <v>809</v>
      </c>
      <c r="C6" s="205"/>
      <c r="D6" s="205"/>
      <c r="E6" s="205"/>
      <c r="F6" s="205"/>
      <c r="G6" s="247"/>
      <c r="H6" s="247"/>
      <c r="I6" s="247"/>
      <c r="J6" s="207"/>
      <c r="K6" s="208"/>
      <c r="L6" s="209"/>
      <c r="M6" s="210"/>
      <c r="N6" s="208"/>
      <c r="O6" s="209"/>
      <c r="P6" s="210"/>
      <c r="Q6" s="208"/>
      <c r="R6" s="209"/>
      <c r="S6" s="210"/>
      <c r="T6" s="208"/>
      <c r="U6" s="209"/>
      <c r="V6" s="210"/>
      <c r="W6" s="208"/>
      <c r="X6" s="209"/>
      <c r="Y6" s="210"/>
      <c r="Z6" s="208"/>
      <c r="AA6" s="209"/>
      <c r="AB6" s="210"/>
      <c r="AC6" s="208"/>
      <c r="AD6" s="209"/>
      <c r="AE6" s="210"/>
    </row>
    <row r="7" spans="1:31" ht="20.149999999999999" customHeight="1">
      <c r="A7" s="3">
        <v>1</v>
      </c>
      <c r="B7" s="69" t="s">
        <v>810</v>
      </c>
      <c r="C7" s="3" t="s">
        <v>811</v>
      </c>
      <c r="D7" s="3">
        <v>100</v>
      </c>
      <c r="E7" s="211">
        <v>45371</v>
      </c>
      <c r="F7" s="211">
        <v>45738</v>
      </c>
      <c r="G7" s="118"/>
      <c r="H7" s="118"/>
      <c r="I7" s="118"/>
      <c r="J7" s="212"/>
      <c r="K7" s="213"/>
      <c r="L7" s="214"/>
      <c r="M7" s="215"/>
      <c r="N7" s="213"/>
      <c r="O7" s="214"/>
      <c r="P7" s="215"/>
      <c r="Q7" s="213"/>
      <c r="R7" s="214"/>
      <c r="S7" s="215"/>
      <c r="T7" s="213"/>
      <c r="U7" s="214"/>
      <c r="V7" s="215"/>
      <c r="W7" s="213"/>
      <c r="X7" s="214"/>
      <c r="Y7" s="215"/>
      <c r="Z7" s="213"/>
      <c r="AA7" s="214"/>
      <c r="AB7" s="215"/>
      <c r="AC7" s="213"/>
      <c r="AD7" s="214"/>
      <c r="AE7" s="215"/>
    </row>
    <row r="8" spans="1:31" ht="20.149999999999999" customHeight="1">
      <c r="A8" s="3" t="s">
        <v>489</v>
      </c>
      <c r="B8" s="69" t="s">
        <v>812</v>
      </c>
      <c r="C8" s="3" t="s">
        <v>811</v>
      </c>
      <c r="D8" s="3">
        <v>100</v>
      </c>
      <c r="E8" s="211">
        <v>45371</v>
      </c>
      <c r="F8" s="211">
        <v>45406</v>
      </c>
      <c r="G8" s="118"/>
      <c r="H8" s="118"/>
      <c r="I8" s="118"/>
      <c r="J8" s="212"/>
      <c r="K8" s="213"/>
      <c r="L8" s="214"/>
      <c r="M8" s="215"/>
      <c r="N8" s="213"/>
      <c r="O8" s="214"/>
      <c r="P8" s="215"/>
      <c r="Q8" s="213"/>
      <c r="R8" s="214"/>
      <c r="S8" s="215"/>
      <c r="T8" s="213"/>
      <c r="U8" s="214"/>
      <c r="V8" s="215"/>
      <c r="W8" s="213"/>
      <c r="X8" s="214"/>
      <c r="Y8" s="215"/>
      <c r="Z8" s="213"/>
      <c r="AA8" s="214"/>
      <c r="AB8" s="215"/>
      <c r="AC8" s="213"/>
      <c r="AD8" s="214"/>
      <c r="AE8" s="215"/>
    </row>
    <row r="9" spans="1:31" ht="20.149999999999999" customHeight="1">
      <c r="A9" s="3" t="s">
        <v>499</v>
      </c>
      <c r="B9" s="69" t="s">
        <v>813</v>
      </c>
      <c r="C9" s="3" t="s">
        <v>811</v>
      </c>
      <c r="D9" s="3">
        <v>100</v>
      </c>
      <c r="E9" s="211">
        <v>45383</v>
      </c>
      <c r="F9" s="211">
        <v>45411</v>
      </c>
      <c r="G9" s="118"/>
      <c r="H9" s="118"/>
      <c r="I9" s="118"/>
      <c r="J9" s="212"/>
      <c r="K9" s="213">
        <v>1</v>
      </c>
      <c r="L9" s="214"/>
      <c r="M9" s="215"/>
      <c r="N9" s="213"/>
      <c r="O9" s="214"/>
      <c r="P9" s="215"/>
      <c r="Q9" s="213"/>
      <c r="R9" s="214"/>
      <c r="S9" s="215"/>
      <c r="T9" s="213"/>
      <c r="U9" s="214"/>
      <c r="V9" s="215"/>
      <c r="W9" s="213"/>
      <c r="X9" s="214"/>
      <c r="Y9" s="215"/>
      <c r="Z9" s="213"/>
      <c r="AA9" s="214"/>
      <c r="AB9" s="215"/>
      <c r="AC9" s="213"/>
      <c r="AD9" s="214"/>
      <c r="AE9" s="215"/>
    </row>
    <row r="10" spans="1:31" ht="20.149999999999999" customHeight="1">
      <c r="A10" s="3" t="s">
        <v>500</v>
      </c>
      <c r="B10" s="69" t="s">
        <v>814</v>
      </c>
      <c r="C10" s="3" t="s">
        <v>127</v>
      </c>
      <c r="D10" s="3">
        <v>287</v>
      </c>
      <c r="E10" s="211">
        <v>45400</v>
      </c>
      <c r="F10" s="211">
        <v>45616</v>
      </c>
      <c r="G10" s="118">
        <f>SUM(K10:V10)</f>
        <v>287</v>
      </c>
      <c r="H10" s="584"/>
      <c r="I10" s="118"/>
      <c r="J10" s="217"/>
      <c r="K10" s="218">
        <v>25</v>
      </c>
      <c r="L10" s="219">
        <v>50</v>
      </c>
      <c r="M10" s="220">
        <v>50</v>
      </c>
      <c r="N10" s="218">
        <v>50</v>
      </c>
      <c r="O10" s="219"/>
      <c r="P10" s="220">
        <v>80</v>
      </c>
      <c r="Q10" s="218"/>
      <c r="R10" s="219">
        <v>32</v>
      </c>
      <c r="S10" s="220"/>
      <c r="T10" s="218"/>
      <c r="U10" s="219"/>
      <c r="V10" s="220"/>
      <c r="W10" s="218"/>
      <c r="X10" s="219"/>
      <c r="Y10" s="220"/>
      <c r="Z10" s="218"/>
      <c r="AA10" s="219"/>
      <c r="AB10" s="220"/>
      <c r="AC10" s="218"/>
      <c r="AD10" s="219"/>
      <c r="AE10" s="220"/>
    </row>
    <row r="11" spans="1:31" s="224" customFormat="1" ht="20.149999999999999" customHeight="1">
      <c r="A11" s="221"/>
      <c r="B11" s="222" t="s">
        <v>815</v>
      </c>
      <c r="C11" s="223"/>
      <c r="D11" s="223"/>
      <c r="E11" s="225"/>
      <c r="F11" s="225"/>
      <c r="G11" s="223"/>
      <c r="H11" s="248">
        <v>313</v>
      </c>
      <c r="I11" s="249">
        <f>D10-H11</f>
        <v>-26</v>
      </c>
      <c r="J11" s="227"/>
      <c r="K11" s="228">
        <v>0</v>
      </c>
      <c r="L11" s="229">
        <v>5</v>
      </c>
      <c r="M11" s="230">
        <f>105+25</f>
        <v>130</v>
      </c>
      <c r="N11" s="228">
        <v>10</v>
      </c>
      <c r="O11" s="229"/>
      <c r="P11" s="230">
        <v>40</v>
      </c>
      <c r="Q11" s="228">
        <v>16</v>
      </c>
      <c r="R11" s="229"/>
      <c r="S11" s="230">
        <v>44</v>
      </c>
      <c r="T11" s="228">
        <v>34</v>
      </c>
      <c r="U11" s="229"/>
      <c r="V11" s="230"/>
      <c r="W11" s="228"/>
      <c r="X11" s="229"/>
      <c r="Y11" s="230"/>
      <c r="Z11" s="228"/>
      <c r="AA11" s="229"/>
      <c r="AB11" s="230"/>
      <c r="AC11" s="228"/>
      <c r="AD11" s="229"/>
      <c r="AE11" s="230"/>
    </row>
    <row r="12" spans="1:31" s="224" customFormat="1" ht="20.149999999999999" customHeight="1">
      <c r="A12" s="221"/>
      <c r="B12" s="222" t="s">
        <v>816</v>
      </c>
      <c r="C12" s="223"/>
      <c r="D12" s="223"/>
      <c r="E12" s="225"/>
      <c r="F12" s="225"/>
      <c r="G12" s="223"/>
      <c r="H12" s="248">
        <v>309</v>
      </c>
      <c r="I12" s="249">
        <f>D10-H12</f>
        <v>-22</v>
      </c>
      <c r="J12" s="227"/>
      <c r="K12" s="228"/>
      <c r="L12" s="229">
        <v>107</v>
      </c>
      <c r="M12" s="230">
        <v>13</v>
      </c>
      <c r="N12" s="228">
        <v>10</v>
      </c>
      <c r="O12" s="229">
        <v>45</v>
      </c>
      <c r="P12" s="230"/>
      <c r="Q12" s="228"/>
      <c r="R12" s="229">
        <v>25</v>
      </c>
      <c r="S12" s="230"/>
      <c r="T12" s="228">
        <v>79</v>
      </c>
      <c r="U12" s="229"/>
      <c r="V12" s="230"/>
      <c r="W12" s="228"/>
      <c r="X12" s="229"/>
      <c r="Y12" s="230"/>
      <c r="Z12" s="228"/>
      <c r="AA12" s="229"/>
      <c r="AB12" s="230"/>
      <c r="AC12" s="228"/>
      <c r="AD12" s="229"/>
      <c r="AE12" s="230"/>
    </row>
    <row r="13" spans="1:31" ht="20.149999999999999" customHeight="1">
      <c r="A13" s="216" t="s">
        <v>817</v>
      </c>
      <c r="B13" s="69" t="s">
        <v>818</v>
      </c>
      <c r="C13" s="3" t="s">
        <v>127</v>
      </c>
      <c r="D13" s="3">
        <v>287</v>
      </c>
      <c r="E13" s="211">
        <v>45434</v>
      </c>
      <c r="F13" s="211">
        <v>45708</v>
      </c>
      <c r="G13" s="118">
        <f>SUM(K13:V13)</f>
        <v>287</v>
      </c>
      <c r="H13" s="118"/>
      <c r="I13" s="118">
        <f>G13-H15</f>
        <v>-5</v>
      </c>
      <c r="J13" s="217"/>
      <c r="K13" s="218"/>
      <c r="L13" s="219">
        <v>40</v>
      </c>
      <c r="M13" s="220">
        <v>40</v>
      </c>
      <c r="N13" s="218"/>
      <c r="O13" s="219">
        <v>40</v>
      </c>
      <c r="P13" s="220">
        <v>30</v>
      </c>
      <c r="Q13" s="218">
        <v>30</v>
      </c>
      <c r="R13" s="219"/>
      <c r="S13" s="220">
        <v>70</v>
      </c>
      <c r="T13" s="218"/>
      <c r="U13" s="219">
        <v>37</v>
      </c>
      <c r="V13" s="220"/>
      <c r="W13" s="218"/>
      <c r="X13" s="219"/>
      <c r="Y13" s="220"/>
      <c r="Z13" s="218"/>
      <c r="AA13" s="219"/>
      <c r="AB13" s="220"/>
      <c r="AC13" s="218"/>
      <c r="AD13" s="219"/>
      <c r="AE13" s="220"/>
    </row>
    <row r="14" spans="1:31" ht="20.149999999999999" customHeight="1">
      <c r="A14" s="216"/>
      <c r="B14" s="69"/>
      <c r="C14" s="78"/>
      <c r="D14" s="119">
        <v>13873.344999999999</v>
      </c>
      <c r="E14" s="211"/>
      <c r="F14" s="211"/>
      <c r="G14" s="118">
        <f>SUM(K14:V14)</f>
        <v>13873.58</v>
      </c>
      <c r="H14" s="118"/>
      <c r="I14" s="594">
        <f>G14-H16</f>
        <v>898.57999999999993</v>
      </c>
      <c r="J14" s="217"/>
      <c r="K14" s="218"/>
      <c r="L14" s="219">
        <f>L13*48.34</f>
        <v>1933.6000000000001</v>
      </c>
      <c r="M14" s="219">
        <f>M13*48.34</f>
        <v>1933.6000000000001</v>
      </c>
      <c r="N14" s="218"/>
      <c r="O14" s="219">
        <f>O13*48.34</f>
        <v>1933.6000000000001</v>
      </c>
      <c r="P14" s="219">
        <f>P13*48.34</f>
        <v>1450.2</v>
      </c>
      <c r="Q14" s="526">
        <f>Q13*48.34</f>
        <v>1450.2</v>
      </c>
      <c r="R14" s="219"/>
      <c r="S14" s="219">
        <f>S13*48.34</f>
        <v>3383.8</v>
      </c>
      <c r="T14" s="218"/>
      <c r="U14" s="219">
        <f>U13*48.34</f>
        <v>1788.5800000000002</v>
      </c>
      <c r="V14" s="220"/>
      <c r="W14" s="218"/>
      <c r="X14" s="219"/>
      <c r="Y14" s="220"/>
      <c r="Z14" s="218"/>
      <c r="AA14" s="219"/>
      <c r="AB14" s="220"/>
      <c r="AC14" s="218"/>
      <c r="AD14" s="219"/>
      <c r="AE14" s="220"/>
    </row>
    <row r="15" spans="1:31" s="224" customFormat="1" ht="20.149999999999999" customHeight="1">
      <c r="A15" s="221"/>
      <c r="B15" s="222" t="s">
        <v>879</v>
      </c>
      <c r="C15" s="223" t="s">
        <v>127</v>
      </c>
      <c r="D15" s="226"/>
      <c r="E15" s="225"/>
      <c r="F15" s="225"/>
      <c r="G15" s="223"/>
      <c r="H15" s="248">
        <v>292</v>
      </c>
      <c r="I15" s="249">
        <f>D13-H15</f>
        <v>-5</v>
      </c>
      <c r="J15" s="227"/>
      <c r="K15" s="228"/>
      <c r="L15" s="229"/>
      <c r="M15" s="230"/>
      <c r="N15" s="228">
        <v>40</v>
      </c>
      <c r="O15" s="229">
        <v>80</v>
      </c>
      <c r="P15" s="230">
        <f>15+10+20</f>
        <v>45</v>
      </c>
      <c r="Q15" s="228">
        <v>21</v>
      </c>
      <c r="R15" s="229">
        <v>16</v>
      </c>
      <c r="S15" s="230">
        <v>21</v>
      </c>
      <c r="T15" s="228">
        <v>8</v>
      </c>
      <c r="U15" s="229">
        <v>2</v>
      </c>
      <c r="V15" s="230"/>
      <c r="W15" s="228"/>
      <c r="X15" s="229"/>
      <c r="Y15" s="230"/>
      <c r="Z15" s="228"/>
      <c r="AA15" s="229"/>
      <c r="AB15" s="230"/>
      <c r="AC15" s="228"/>
      <c r="AD15" s="229"/>
      <c r="AE15" s="230"/>
    </row>
    <row r="16" spans="1:31" s="224" customFormat="1" ht="20.149999999999999" customHeight="1">
      <c r="A16" s="221"/>
      <c r="B16" s="222" t="s">
        <v>879</v>
      </c>
      <c r="C16" s="223" t="s">
        <v>820</v>
      </c>
      <c r="D16" s="238"/>
      <c r="E16" s="225"/>
      <c r="F16" s="223"/>
      <c r="G16" s="223"/>
      <c r="H16" s="1012">
        <v>12975</v>
      </c>
      <c r="I16" s="250">
        <f>D14-H16</f>
        <v>898.34499999999935</v>
      </c>
      <c r="J16" s="227"/>
      <c r="K16" s="228"/>
      <c r="L16" s="229">
        <v>234.63800000000001</v>
      </c>
      <c r="M16" s="229">
        <f>396.581+1110.769</f>
        <v>1507.35</v>
      </c>
      <c r="N16" s="228">
        <v>1340.1590000000001</v>
      </c>
      <c r="O16" s="229">
        <v>1578.296</v>
      </c>
      <c r="P16" s="230">
        <v>1417.3520000000001</v>
      </c>
      <c r="Q16" s="228">
        <f>28.513*20</f>
        <v>570.26</v>
      </c>
      <c r="R16" s="229">
        <v>615.53099999999995</v>
      </c>
      <c r="S16" s="230">
        <v>1100</v>
      </c>
      <c r="T16" s="228">
        <v>1231.414</v>
      </c>
      <c r="U16" s="229"/>
      <c r="V16" s="230"/>
      <c r="W16" s="228"/>
      <c r="X16" s="229"/>
      <c r="Y16" s="230"/>
      <c r="Z16" s="228"/>
      <c r="AA16" s="229"/>
      <c r="AB16" s="230"/>
      <c r="AC16" s="228"/>
      <c r="AD16" s="229"/>
      <c r="AE16" s="230"/>
    </row>
    <row r="17" spans="1:31" ht="20.149999999999999" customHeight="1">
      <c r="A17" s="216" t="s">
        <v>821</v>
      </c>
      <c r="B17" s="69" t="s">
        <v>822</v>
      </c>
      <c r="C17" s="3" t="s">
        <v>127</v>
      </c>
      <c r="D17" s="3">
        <v>10480</v>
      </c>
      <c r="E17" s="211">
        <v>45482</v>
      </c>
      <c r="F17" s="211">
        <v>45646</v>
      </c>
      <c r="G17" s="118">
        <f>SUM(K17:S17)</f>
        <v>10480</v>
      </c>
      <c r="H17" s="118"/>
      <c r="I17" s="118">
        <f>G17-H18</f>
        <v>580</v>
      </c>
      <c r="J17" s="217"/>
      <c r="K17" s="218"/>
      <c r="L17" s="219"/>
      <c r="M17" s="220"/>
      <c r="N17" s="218">
        <v>4192</v>
      </c>
      <c r="O17" s="219"/>
      <c r="P17" s="220"/>
      <c r="Q17" s="218">
        <v>3144</v>
      </c>
      <c r="R17" s="219"/>
      <c r="S17" s="220">
        <v>3144</v>
      </c>
      <c r="T17" s="218"/>
      <c r="U17" s="219"/>
      <c r="V17" s="220"/>
      <c r="W17" s="218"/>
      <c r="X17" s="219"/>
      <c r="Y17" s="220"/>
      <c r="Z17" s="218"/>
      <c r="AA17" s="219"/>
      <c r="AB17" s="220"/>
      <c r="AC17" s="218"/>
      <c r="AD17" s="219"/>
      <c r="AE17" s="220"/>
    </row>
    <row r="18" spans="1:31" s="224" customFormat="1" ht="20.149999999999999" customHeight="1">
      <c r="A18" s="221"/>
      <c r="B18" s="222" t="s">
        <v>819</v>
      </c>
      <c r="C18" s="223"/>
      <c r="D18" s="226"/>
      <c r="E18" s="225"/>
      <c r="F18" s="225"/>
      <c r="G18" s="223"/>
      <c r="H18" s="248">
        <v>9900</v>
      </c>
      <c r="I18" s="249">
        <f>D17-H18</f>
        <v>580</v>
      </c>
      <c r="J18" s="227"/>
      <c r="K18" s="228"/>
      <c r="L18" s="229"/>
      <c r="M18" s="230"/>
      <c r="N18" s="228">
        <v>4192</v>
      </c>
      <c r="O18" s="229"/>
      <c r="P18" s="230"/>
      <c r="Q18" s="228"/>
      <c r="R18" s="229"/>
      <c r="S18" s="230"/>
      <c r="T18" s="228"/>
      <c r="U18" s="229"/>
      <c r="V18" s="230"/>
      <c r="W18" s="228"/>
      <c r="X18" s="229"/>
      <c r="Y18" s="230"/>
      <c r="Z18" s="228"/>
      <c r="AA18" s="229"/>
      <c r="AB18" s="230"/>
      <c r="AC18" s="228"/>
      <c r="AD18" s="229"/>
      <c r="AE18" s="230"/>
    </row>
    <row r="19" spans="1:31" ht="29">
      <c r="A19" s="216" t="s">
        <v>823</v>
      </c>
      <c r="B19" s="58" t="s">
        <v>824</v>
      </c>
      <c r="C19" s="3" t="s">
        <v>811</v>
      </c>
      <c r="D19" s="3">
        <v>100</v>
      </c>
      <c r="E19" s="211">
        <v>45482</v>
      </c>
      <c r="F19" s="211">
        <v>45646</v>
      </c>
      <c r="G19" s="263">
        <f>SUM(K19:T19)</f>
        <v>1</v>
      </c>
      <c r="H19" s="118"/>
      <c r="I19" s="263">
        <f>G19-H20</f>
        <v>1</v>
      </c>
      <c r="J19" s="212"/>
      <c r="K19" s="213"/>
      <c r="L19" s="214"/>
      <c r="M19" s="215"/>
      <c r="N19" s="213">
        <v>0.4</v>
      </c>
      <c r="O19" s="214"/>
      <c r="P19" s="215"/>
      <c r="Q19" s="213">
        <v>0.3</v>
      </c>
      <c r="R19" s="214"/>
      <c r="S19" s="215">
        <v>0.3</v>
      </c>
      <c r="T19" s="213"/>
      <c r="U19" s="214"/>
      <c r="V19" s="215"/>
      <c r="W19" s="213"/>
      <c r="X19" s="214"/>
      <c r="Y19" s="215"/>
      <c r="Z19" s="213"/>
      <c r="AA19" s="214"/>
      <c r="AB19" s="215"/>
      <c r="AC19" s="213"/>
      <c r="AD19" s="214"/>
      <c r="AE19" s="215"/>
    </row>
    <row r="20" spans="1:31" s="224" customFormat="1" ht="25" customHeight="1">
      <c r="A20" s="221"/>
      <c r="B20" s="222" t="s">
        <v>819</v>
      </c>
      <c r="C20" s="223"/>
      <c r="D20" s="226"/>
      <c r="E20" s="225"/>
      <c r="F20" s="225"/>
      <c r="G20" s="223"/>
      <c r="H20" s="248">
        <f>SUM(J20:AE20)</f>
        <v>0</v>
      </c>
      <c r="I20" s="249">
        <f>D19-H20</f>
        <v>100</v>
      </c>
      <c r="J20" s="231"/>
      <c r="K20" s="232"/>
      <c r="L20" s="233"/>
      <c r="M20" s="234"/>
      <c r="N20" s="232"/>
      <c r="O20" s="233"/>
      <c r="P20" s="234"/>
      <c r="Q20" s="232"/>
      <c r="R20" s="233"/>
      <c r="S20" s="234"/>
      <c r="T20" s="232"/>
      <c r="U20" s="233"/>
      <c r="V20" s="234"/>
      <c r="W20" s="232"/>
      <c r="X20" s="233"/>
      <c r="Y20" s="234"/>
      <c r="Z20" s="232"/>
      <c r="AA20" s="233"/>
      <c r="AB20" s="234"/>
      <c r="AC20" s="232"/>
      <c r="AD20" s="233"/>
      <c r="AE20" s="234"/>
    </row>
    <row r="21" spans="1:31" ht="20.149999999999999" customHeight="1">
      <c r="A21" s="216" t="s">
        <v>825</v>
      </c>
      <c r="B21" s="69" t="s">
        <v>826</v>
      </c>
      <c r="C21" s="3" t="s">
        <v>324</v>
      </c>
      <c r="D21" s="3">
        <v>4095</v>
      </c>
      <c r="E21" s="211">
        <v>45422</v>
      </c>
      <c r="F21" s="211">
        <v>45738</v>
      </c>
      <c r="G21" s="118">
        <f>SUM(K21:V21)</f>
        <v>4095</v>
      </c>
      <c r="H21" s="118"/>
      <c r="I21" s="594">
        <f>G21-H22</f>
        <v>1.4999999999872671E-2</v>
      </c>
      <c r="J21" s="217"/>
      <c r="K21" s="218"/>
      <c r="L21" s="219">
        <v>200</v>
      </c>
      <c r="M21" s="220">
        <v>500</v>
      </c>
      <c r="N21" s="218">
        <v>400</v>
      </c>
      <c r="O21" s="219">
        <v>300</v>
      </c>
      <c r="P21" s="220">
        <v>400</v>
      </c>
      <c r="Q21" s="218">
        <v>300</v>
      </c>
      <c r="R21" s="219">
        <v>300</v>
      </c>
      <c r="S21" s="220">
        <v>400</v>
      </c>
      <c r="T21" s="218">
        <v>400</v>
      </c>
      <c r="U21" s="219">
        <v>400</v>
      </c>
      <c r="V21" s="220">
        <v>495</v>
      </c>
      <c r="W21" s="218"/>
      <c r="X21" s="219"/>
      <c r="Y21" s="220"/>
      <c r="Z21" s="218"/>
      <c r="AA21" s="219"/>
      <c r="AB21" s="220"/>
      <c r="AC21" s="218"/>
      <c r="AD21" s="219"/>
      <c r="AE21" s="220"/>
    </row>
    <row r="22" spans="1:31" s="224" customFormat="1" ht="20.149999999999999" customHeight="1">
      <c r="A22" s="221"/>
      <c r="B22" s="222" t="s">
        <v>819</v>
      </c>
      <c r="C22" s="223"/>
      <c r="D22" s="226"/>
      <c r="E22" s="225"/>
      <c r="F22" s="225"/>
      <c r="G22" s="223"/>
      <c r="H22" s="1011">
        <v>4094.9850000000001</v>
      </c>
      <c r="I22" s="250">
        <f>D21-H22</f>
        <v>1.4999999999872671E-2</v>
      </c>
      <c r="J22" s="227"/>
      <c r="K22" s="228"/>
      <c r="L22" s="229">
        <v>264</v>
      </c>
      <c r="M22" s="230">
        <v>59.8</v>
      </c>
      <c r="N22" s="228">
        <v>524.23900000000003</v>
      </c>
      <c r="O22" s="229">
        <v>99.986999999999995</v>
      </c>
      <c r="P22" s="230">
        <v>249.458</v>
      </c>
      <c r="Q22" s="228">
        <f>200+299.972</f>
        <v>499.97199999999998</v>
      </c>
      <c r="R22" s="230">
        <v>249.898</v>
      </c>
      <c r="S22" s="228">
        <f>249.898+249.963</f>
        <v>499.86099999999999</v>
      </c>
      <c r="T22" s="229">
        <v>474.98700000000002</v>
      </c>
      <c r="U22" s="229">
        <v>1025.1679999999999</v>
      </c>
      <c r="V22" s="230"/>
      <c r="W22" s="228"/>
      <c r="X22" s="229"/>
      <c r="Y22" s="230"/>
      <c r="Z22" s="228"/>
      <c r="AA22" s="229"/>
      <c r="AB22" s="230"/>
      <c r="AC22" s="228"/>
      <c r="AD22" s="229"/>
      <c r="AE22" s="230"/>
    </row>
    <row r="23" spans="1:31" ht="20.149999999999999" customHeight="1">
      <c r="A23" s="216" t="s">
        <v>827</v>
      </c>
      <c r="B23" s="69" t="s">
        <v>828</v>
      </c>
      <c r="C23" s="3" t="s">
        <v>811</v>
      </c>
      <c r="D23" s="251">
        <v>1</v>
      </c>
      <c r="E23" s="211">
        <v>45485</v>
      </c>
      <c r="F23" s="211">
        <v>45651</v>
      </c>
      <c r="G23" s="263">
        <f>SUM(K23:S23)</f>
        <v>1</v>
      </c>
      <c r="H23" s="118"/>
      <c r="I23" s="263">
        <f>G23-H24</f>
        <v>0</v>
      </c>
      <c r="J23" s="212"/>
      <c r="K23" s="213"/>
      <c r="L23" s="214"/>
      <c r="M23" s="215"/>
      <c r="N23" s="213">
        <v>0.4</v>
      </c>
      <c r="O23" s="214"/>
      <c r="P23" s="215"/>
      <c r="Q23" s="213">
        <v>0.3</v>
      </c>
      <c r="R23" s="214"/>
      <c r="S23" s="215">
        <v>0.3</v>
      </c>
      <c r="T23" s="213"/>
      <c r="U23" s="214"/>
      <c r="V23" s="215"/>
      <c r="W23" s="213"/>
      <c r="X23" s="214"/>
      <c r="Y23" s="215"/>
      <c r="Z23" s="213"/>
      <c r="AA23" s="214"/>
      <c r="AB23" s="215"/>
      <c r="AC23" s="213"/>
      <c r="AD23" s="214"/>
      <c r="AE23" s="215"/>
    </row>
    <row r="24" spans="1:31" s="224" customFormat="1" ht="20.149999999999999" customHeight="1">
      <c r="A24" s="221"/>
      <c r="B24" s="222" t="s">
        <v>819</v>
      </c>
      <c r="C24" s="223"/>
      <c r="D24" s="226"/>
      <c r="E24" s="225"/>
      <c r="F24" s="225"/>
      <c r="G24" s="223"/>
      <c r="H24" s="235">
        <f>SUM(J24:AE24)</f>
        <v>1</v>
      </c>
      <c r="I24" s="252">
        <f>D23-H24</f>
        <v>0</v>
      </c>
      <c r="J24" s="231"/>
      <c r="K24" s="232"/>
      <c r="L24" s="233"/>
      <c r="M24" s="234"/>
      <c r="N24" s="232"/>
      <c r="O24" s="213">
        <v>0.4</v>
      </c>
      <c r="P24" s="234"/>
      <c r="Q24" s="232"/>
      <c r="R24" s="215">
        <v>0.3</v>
      </c>
      <c r="S24" s="215"/>
      <c r="T24" s="215">
        <v>0.3</v>
      </c>
      <c r="U24" s="233"/>
      <c r="V24" s="234"/>
      <c r="W24" s="232"/>
      <c r="X24" s="233"/>
      <c r="Y24" s="234"/>
      <c r="Z24" s="232"/>
      <c r="AA24" s="233"/>
      <c r="AB24" s="234"/>
      <c r="AC24" s="232"/>
      <c r="AD24" s="233"/>
      <c r="AE24" s="234"/>
    </row>
    <row r="25" spans="1:31" ht="25" customHeight="1">
      <c r="A25" s="216" t="s">
        <v>135</v>
      </c>
      <c r="B25" s="58" t="s">
        <v>829</v>
      </c>
      <c r="C25" s="3" t="s">
        <v>811</v>
      </c>
      <c r="D25" s="251">
        <v>1</v>
      </c>
      <c r="E25" s="211">
        <v>45470</v>
      </c>
      <c r="F25" s="211">
        <v>45651</v>
      </c>
      <c r="G25" s="263">
        <f>SUM(K25:T25)</f>
        <v>1</v>
      </c>
      <c r="H25" s="118"/>
      <c r="I25" s="646">
        <f>G25-H26</f>
        <v>0</v>
      </c>
      <c r="J25" s="212"/>
      <c r="K25" s="213"/>
      <c r="L25" s="214"/>
      <c r="M25" s="215">
        <v>0.4</v>
      </c>
      <c r="N25" s="213"/>
      <c r="O25" s="214"/>
      <c r="P25" s="215">
        <v>0.4</v>
      </c>
      <c r="Q25" s="213"/>
      <c r="R25" s="214"/>
      <c r="S25" s="215">
        <v>0.2</v>
      </c>
      <c r="T25" s="213"/>
      <c r="U25" s="214"/>
      <c r="V25" s="215"/>
      <c r="W25" s="213"/>
      <c r="X25" s="214"/>
      <c r="Y25" s="215"/>
      <c r="Z25" s="213"/>
      <c r="AA25" s="214"/>
      <c r="AB25" s="215"/>
      <c r="AC25" s="213"/>
      <c r="AD25" s="214"/>
      <c r="AE25" s="215"/>
    </row>
    <row r="26" spans="1:31" s="224" customFormat="1" ht="25" customHeight="1">
      <c r="A26" s="221"/>
      <c r="B26" s="222" t="s">
        <v>819</v>
      </c>
      <c r="C26" s="223"/>
      <c r="D26" s="235"/>
      <c r="E26" s="225"/>
      <c r="F26" s="225"/>
      <c r="G26" s="223"/>
      <c r="H26" s="235">
        <f>SUM(J26:AE26)</f>
        <v>1</v>
      </c>
      <c r="I26" s="252">
        <f>D25-H26</f>
        <v>0</v>
      </c>
      <c r="J26" s="231"/>
      <c r="K26" s="232"/>
      <c r="L26" s="233"/>
      <c r="M26" s="234"/>
      <c r="N26" s="232">
        <v>0.4</v>
      </c>
      <c r="O26" s="232">
        <v>0.4</v>
      </c>
      <c r="P26" s="234"/>
      <c r="Q26" s="232"/>
      <c r="R26" s="233"/>
      <c r="S26" s="234"/>
      <c r="T26" s="232">
        <v>0.2</v>
      </c>
      <c r="U26" s="233"/>
      <c r="V26" s="234"/>
      <c r="W26" s="232"/>
      <c r="X26" s="233"/>
      <c r="Y26" s="234"/>
      <c r="Z26" s="232"/>
      <c r="AA26" s="233"/>
      <c r="AB26" s="234"/>
      <c r="AC26" s="232"/>
      <c r="AD26" s="233"/>
      <c r="AE26" s="234"/>
    </row>
    <row r="27" spans="1:31" ht="20.149999999999999" customHeight="1">
      <c r="A27" s="216" t="s">
        <v>1063</v>
      </c>
      <c r="B27" s="58" t="s">
        <v>1064</v>
      </c>
      <c r="C27" s="3" t="s">
        <v>811</v>
      </c>
      <c r="D27" s="251">
        <v>1</v>
      </c>
      <c r="E27" s="211">
        <v>45544</v>
      </c>
      <c r="F27" s="211">
        <v>45651</v>
      </c>
      <c r="G27" s="550">
        <f>SUM(K27:S27)</f>
        <v>1</v>
      </c>
      <c r="H27" s="118"/>
      <c r="I27" s="263">
        <f>G27-H28</f>
        <v>1</v>
      </c>
      <c r="J27" s="212"/>
      <c r="K27" s="213"/>
      <c r="L27" s="214"/>
      <c r="M27" s="215"/>
      <c r="N27" s="213"/>
      <c r="O27" s="214"/>
      <c r="P27" s="215">
        <v>0.7</v>
      </c>
      <c r="Q27" s="213"/>
      <c r="R27" s="214"/>
      <c r="S27" s="215">
        <v>0.3</v>
      </c>
      <c r="T27" s="213"/>
      <c r="U27" s="214"/>
      <c r="V27" s="215"/>
      <c r="W27" s="213"/>
      <c r="X27" s="214"/>
      <c r="Y27" s="215"/>
      <c r="Z27" s="213"/>
      <c r="AA27" s="214"/>
      <c r="AB27" s="215"/>
      <c r="AC27" s="213"/>
      <c r="AD27" s="214"/>
      <c r="AE27" s="215"/>
    </row>
    <row r="28" spans="1:31" s="224" customFormat="1" ht="20.149999999999999" customHeight="1">
      <c r="A28" s="221"/>
      <c r="B28" s="222" t="s">
        <v>819</v>
      </c>
      <c r="C28" s="223"/>
      <c r="D28" s="235"/>
      <c r="E28" s="225"/>
      <c r="F28" s="225"/>
      <c r="G28" s="223"/>
      <c r="H28" s="235">
        <f>SUM(J28:AE28)</f>
        <v>0</v>
      </c>
      <c r="I28" s="252">
        <f>D27-H28</f>
        <v>1</v>
      </c>
      <c r="J28" s="231"/>
      <c r="K28" s="232"/>
      <c r="L28" s="233"/>
      <c r="M28" s="234"/>
      <c r="N28" s="232"/>
      <c r="O28" s="233"/>
      <c r="P28" s="234"/>
      <c r="Q28" s="232"/>
      <c r="R28" s="233"/>
      <c r="S28" s="234"/>
      <c r="T28" s="232"/>
      <c r="U28" s="233"/>
      <c r="V28" s="234"/>
      <c r="W28" s="232"/>
      <c r="X28" s="233"/>
      <c r="Y28" s="234"/>
      <c r="Z28" s="232"/>
      <c r="AA28" s="233"/>
      <c r="AB28" s="234"/>
      <c r="AC28" s="232"/>
      <c r="AD28" s="233"/>
      <c r="AE28" s="234"/>
    </row>
    <row r="29" spans="1:31" ht="20.149999999999999" customHeight="1">
      <c r="A29" s="216" t="s">
        <v>830</v>
      </c>
      <c r="B29" s="69" t="s">
        <v>831</v>
      </c>
      <c r="C29" s="3" t="s">
        <v>811</v>
      </c>
      <c r="D29" s="251">
        <v>1</v>
      </c>
      <c r="E29" s="211">
        <v>45658</v>
      </c>
      <c r="F29" s="211">
        <v>45688</v>
      </c>
      <c r="G29" s="550">
        <f>SUM(K29:Q29)</f>
        <v>0</v>
      </c>
      <c r="H29" s="118"/>
      <c r="I29" s="118">
        <f>G29-H30</f>
        <v>0</v>
      </c>
      <c r="J29" s="212"/>
      <c r="K29" s="213"/>
      <c r="L29" s="214"/>
      <c r="M29" s="215"/>
      <c r="N29" s="213"/>
      <c r="O29" s="214"/>
      <c r="P29" s="215"/>
      <c r="Q29" s="213"/>
      <c r="R29" s="214"/>
      <c r="S29" s="215"/>
      <c r="T29" s="213">
        <v>1</v>
      </c>
      <c r="U29" s="214"/>
      <c r="V29" s="215"/>
      <c r="W29" s="213"/>
      <c r="X29" s="214"/>
      <c r="Y29" s="215"/>
      <c r="Z29" s="213"/>
      <c r="AA29" s="214"/>
      <c r="AB29" s="215"/>
      <c r="AC29" s="213"/>
      <c r="AD29" s="214"/>
      <c r="AE29" s="215"/>
    </row>
    <row r="30" spans="1:31" s="224" customFormat="1" ht="20.149999999999999" customHeight="1">
      <c r="A30" s="221"/>
      <c r="B30" s="222" t="s">
        <v>819</v>
      </c>
      <c r="C30" s="223"/>
      <c r="D30" s="235"/>
      <c r="E30" s="225"/>
      <c r="F30" s="225"/>
      <c r="G30" s="223"/>
      <c r="H30" s="235">
        <f>SUM(J30:AE30)</f>
        <v>0</v>
      </c>
      <c r="I30" s="252">
        <f>D29-H30</f>
        <v>1</v>
      </c>
      <c r="J30" s="231"/>
      <c r="K30" s="232"/>
      <c r="L30" s="233"/>
      <c r="M30" s="234"/>
      <c r="N30" s="232"/>
      <c r="O30" s="233"/>
      <c r="P30" s="234"/>
      <c r="Q30" s="232"/>
      <c r="R30" s="233"/>
      <c r="S30" s="234"/>
      <c r="T30" s="232"/>
      <c r="U30" s="233"/>
      <c r="V30" s="234"/>
      <c r="W30" s="232"/>
      <c r="X30" s="233"/>
      <c r="Y30" s="234"/>
      <c r="Z30" s="232"/>
      <c r="AA30" s="233"/>
      <c r="AB30" s="234"/>
      <c r="AC30" s="232"/>
      <c r="AD30" s="233"/>
      <c r="AE30" s="234"/>
    </row>
    <row r="31" spans="1:31">
      <c r="A31" s="205"/>
      <c r="B31" s="206" t="s">
        <v>832</v>
      </c>
      <c r="C31" s="205"/>
      <c r="D31" s="205"/>
      <c r="E31" s="205"/>
      <c r="F31" s="205"/>
      <c r="G31" s="247"/>
      <c r="H31" s="247"/>
      <c r="I31" s="247"/>
      <c r="J31" s="207"/>
      <c r="K31" s="208"/>
      <c r="L31" s="209"/>
      <c r="M31" s="210"/>
      <c r="N31" s="208"/>
      <c r="O31" s="209"/>
      <c r="P31" s="210"/>
      <c r="Q31" s="208"/>
      <c r="R31" s="209"/>
      <c r="S31" s="210"/>
      <c r="T31" s="208"/>
      <c r="U31" s="209"/>
      <c r="V31" s="210"/>
      <c r="W31" s="208"/>
      <c r="X31" s="209"/>
      <c r="Y31" s="210"/>
      <c r="Z31" s="208"/>
      <c r="AA31" s="209"/>
      <c r="AB31" s="210"/>
      <c r="AC31" s="208"/>
      <c r="AD31" s="209"/>
      <c r="AE31" s="210"/>
    </row>
    <row r="32" spans="1:31" ht="30.75" customHeight="1">
      <c r="A32" s="3">
        <v>1</v>
      </c>
      <c r="B32" s="58" t="s">
        <v>833</v>
      </c>
      <c r="C32" s="3" t="s">
        <v>811</v>
      </c>
      <c r="D32" s="3">
        <v>100</v>
      </c>
      <c r="E32" s="211">
        <v>45371</v>
      </c>
      <c r="F32" s="211">
        <v>45411</v>
      </c>
      <c r="G32" s="118"/>
      <c r="H32" s="118"/>
      <c r="I32" s="118"/>
      <c r="J32" s="212"/>
      <c r="K32" s="213"/>
      <c r="L32" s="214"/>
      <c r="M32" s="215"/>
      <c r="N32" s="213"/>
      <c r="O32" s="214"/>
      <c r="P32" s="215"/>
      <c r="Q32" s="213"/>
      <c r="R32" s="214"/>
      <c r="S32" s="215"/>
      <c r="T32" s="213"/>
      <c r="U32" s="214"/>
      <c r="V32" s="215"/>
      <c r="W32" s="213"/>
      <c r="X32" s="214"/>
      <c r="Y32" s="215"/>
      <c r="Z32" s="213"/>
      <c r="AA32" s="214"/>
      <c r="AB32" s="215"/>
      <c r="AC32" s="213"/>
      <c r="AD32" s="214"/>
      <c r="AE32" s="215"/>
    </row>
    <row r="33" spans="1:31" ht="25" customHeight="1">
      <c r="A33" s="3">
        <f>A32+1</f>
        <v>2</v>
      </c>
      <c r="B33" s="69" t="s">
        <v>834</v>
      </c>
      <c r="C33" s="3" t="s">
        <v>324</v>
      </c>
      <c r="D33" s="3">
        <v>112</v>
      </c>
      <c r="E33" s="211">
        <v>45384</v>
      </c>
      <c r="F33" s="211">
        <v>45402</v>
      </c>
      <c r="G33" s="118"/>
      <c r="H33" s="118"/>
      <c r="I33" s="118"/>
      <c r="J33" s="217"/>
      <c r="K33" s="218">
        <v>112</v>
      </c>
      <c r="L33" s="219"/>
      <c r="M33" s="220"/>
      <c r="N33" s="218"/>
      <c r="O33" s="219"/>
      <c r="P33" s="220"/>
      <c r="Q33" s="218"/>
      <c r="R33" s="219"/>
      <c r="S33" s="220"/>
      <c r="T33" s="218"/>
      <c r="U33" s="219"/>
      <c r="V33" s="220"/>
      <c r="W33" s="218"/>
      <c r="X33" s="219"/>
      <c r="Y33" s="220"/>
      <c r="Z33" s="218"/>
      <c r="AA33" s="219"/>
      <c r="AB33" s="220"/>
      <c r="AC33" s="218"/>
      <c r="AD33" s="219"/>
      <c r="AE33" s="220"/>
    </row>
    <row r="34" spans="1:31" s="244" customFormat="1" ht="20.149999999999999" customHeight="1">
      <c r="A34" s="236"/>
      <c r="B34" s="237" t="s">
        <v>819</v>
      </c>
      <c r="C34" s="238"/>
      <c r="D34" s="226">
        <f>SUM(J34:AE34)</f>
        <v>115</v>
      </c>
      <c r="E34" s="238"/>
      <c r="F34" s="238"/>
      <c r="G34" s="248"/>
      <c r="H34" s="226">
        <f>SUM(J34:AE34)</f>
        <v>115</v>
      </c>
      <c r="I34" s="239"/>
      <c r="J34" s="240"/>
      <c r="K34" s="241"/>
      <c r="L34" s="242">
        <v>115</v>
      </c>
      <c r="M34" s="243"/>
      <c r="N34" s="241"/>
      <c r="O34" s="242"/>
      <c r="P34" s="243"/>
      <c r="Q34" s="241"/>
      <c r="R34" s="242"/>
      <c r="S34" s="243"/>
      <c r="T34" s="241"/>
      <c r="U34" s="242"/>
      <c r="V34" s="243"/>
      <c r="W34" s="241"/>
      <c r="X34" s="242"/>
      <c r="Y34" s="243"/>
      <c r="Z34" s="241"/>
      <c r="AA34" s="242"/>
      <c r="AB34" s="243"/>
      <c r="AC34" s="241"/>
      <c r="AD34" s="242"/>
      <c r="AE34" s="243"/>
    </row>
    <row r="35" spans="1:31" ht="25" customHeight="1">
      <c r="A35" s="3">
        <f>A33+1</f>
        <v>3</v>
      </c>
      <c r="B35" s="69" t="s">
        <v>835</v>
      </c>
      <c r="C35" s="3" t="s">
        <v>324</v>
      </c>
      <c r="D35" s="3">
        <v>112</v>
      </c>
      <c r="E35" s="211">
        <v>45404</v>
      </c>
      <c r="F35" s="211">
        <v>45532</v>
      </c>
      <c r="G35" s="118">
        <f>SUM(K35:Q35)</f>
        <v>112</v>
      </c>
      <c r="H35" s="118"/>
      <c r="I35" s="118">
        <f>G35-H36</f>
        <v>-3</v>
      </c>
      <c r="J35" s="217"/>
      <c r="K35" s="218">
        <v>10</v>
      </c>
      <c r="L35" s="219">
        <v>22</v>
      </c>
      <c r="M35" s="220">
        <v>34</v>
      </c>
      <c r="N35" s="218">
        <v>34</v>
      </c>
      <c r="O35" s="219">
        <v>12</v>
      </c>
      <c r="P35" s="220"/>
      <c r="Q35" s="218"/>
      <c r="R35" s="219"/>
      <c r="S35" s="220"/>
      <c r="T35" s="218"/>
      <c r="U35" s="219"/>
      <c r="V35" s="220"/>
      <c r="W35" s="218"/>
      <c r="X35" s="219"/>
      <c r="Y35" s="220"/>
      <c r="Z35" s="218"/>
      <c r="AA35" s="219"/>
      <c r="AB35" s="220"/>
      <c r="AC35" s="218"/>
      <c r="AD35" s="219"/>
      <c r="AE35" s="220"/>
    </row>
    <row r="36" spans="1:31" s="244" customFormat="1" ht="20.149999999999999" customHeight="1">
      <c r="A36" s="236"/>
      <c r="B36" s="237" t="s">
        <v>819</v>
      </c>
      <c r="C36" s="238"/>
      <c r="D36" s="226">
        <f>SUM(J36:AE36)</f>
        <v>115</v>
      </c>
      <c r="E36" s="238"/>
      <c r="F36" s="238"/>
      <c r="G36" s="248"/>
      <c r="H36" s="925">
        <f>SUM(J36:AE36)</f>
        <v>115</v>
      </c>
      <c r="I36" s="239"/>
      <c r="J36" s="240"/>
      <c r="K36" s="241"/>
      <c r="L36" s="245">
        <v>32.706000000000003</v>
      </c>
      <c r="M36" s="246">
        <v>31.917999999999999</v>
      </c>
      <c r="N36" s="241"/>
      <c r="O36" s="242">
        <v>50.376000000000005</v>
      </c>
      <c r="P36" s="243"/>
      <c r="Q36" s="241"/>
      <c r="R36" s="242"/>
      <c r="S36" s="243"/>
      <c r="T36" s="241"/>
      <c r="U36" s="242"/>
      <c r="V36" s="243"/>
      <c r="W36" s="241"/>
      <c r="X36" s="242"/>
      <c r="Y36" s="243"/>
      <c r="Z36" s="241"/>
      <c r="AA36" s="242"/>
      <c r="AB36" s="243"/>
      <c r="AC36" s="241"/>
      <c r="AD36" s="242"/>
      <c r="AE36" s="243"/>
    </row>
    <row r="37" spans="1:31" ht="25" customHeight="1">
      <c r="A37" s="3">
        <f>A35+1</f>
        <v>4</v>
      </c>
      <c r="B37" s="69" t="s">
        <v>836</v>
      </c>
      <c r="C37" s="3" t="s">
        <v>324</v>
      </c>
      <c r="D37" s="3">
        <v>112</v>
      </c>
      <c r="E37" s="211">
        <v>45409</v>
      </c>
      <c r="F37" s="211">
        <v>45592</v>
      </c>
      <c r="G37" s="594">
        <f>SUM(K37:Q37)</f>
        <v>112</v>
      </c>
      <c r="H37" s="118"/>
      <c r="I37" s="118">
        <f>G37-H38</f>
        <v>-2.97199999999998</v>
      </c>
      <c r="J37" s="217"/>
      <c r="K37" s="547">
        <v>5</v>
      </c>
      <c r="L37" s="548">
        <v>12</v>
      </c>
      <c r="M37" s="549">
        <v>20</v>
      </c>
      <c r="N37" s="547">
        <v>20</v>
      </c>
      <c r="O37" s="548">
        <v>20</v>
      </c>
      <c r="P37" s="549">
        <v>20</v>
      </c>
      <c r="Q37" s="547">
        <v>15</v>
      </c>
      <c r="R37" s="219"/>
      <c r="S37" s="220"/>
      <c r="T37" s="218"/>
      <c r="U37" s="219"/>
      <c r="V37" s="220"/>
      <c r="W37" s="218"/>
      <c r="X37" s="219"/>
      <c r="Y37" s="220"/>
      <c r="Z37" s="218"/>
      <c r="AA37" s="219"/>
      <c r="AB37" s="220"/>
      <c r="AC37" s="218"/>
      <c r="AD37" s="219"/>
      <c r="AE37" s="220"/>
    </row>
    <row r="38" spans="1:31" s="244" customFormat="1" ht="20.149999999999999" customHeight="1">
      <c r="A38" s="236"/>
      <c r="B38" s="237" t="s">
        <v>819</v>
      </c>
      <c r="C38" s="238"/>
      <c r="D38" s="226">
        <f>SUM(J38:AE38)</f>
        <v>114.97199999999998</v>
      </c>
      <c r="E38" s="238"/>
      <c r="F38" s="238"/>
      <c r="G38" s="248"/>
      <c r="H38" s="924">
        <f>SUM(J38:AE38)</f>
        <v>114.97199999999998</v>
      </c>
      <c r="I38" s="239"/>
      <c r="J38" s="240"/>
      <c r="K38" s="241"/>
      <c r="L38" s="245">
        <v>5.9690000000000003</v>
      </c>
      <c r="M38" s="246">
        <v>9.9410000000000007</v>
      </c>
      <c r="N38" s="241">
        <v>33.643000000000001</v>
      </c>
      <c r="O38" s="242">
        <v>29.495999999999999</v>
      </c>
      <c r="P38" s="243">
        <v>5.08</v>
      </c>
      <c r="Q38" s="241">
        <v>7.984</v>
      </c>
      <c r="R38" s="242">
        <v>15.688000000000001</v>
      </c>
      <c r="S38" s="243">
        <f>2.21+0.048</f>
        <v>2.258</v>
      </c>
      <c r="T38" s="241">
        <f>0.226+4.687</f>
        <v>4.9130000000000003</v>
      </c>
      <c r="U38" s="242"/>
      <c r="V38" s="243"/>
      <c r="W38" s="241"/>
      <c r="X38" s="242"/>
      <c r="Y38" s="243"/>
      <c r="Z38" s="241"/>
      <c r="AA38" s="242"/>
      <c r="AB38" s="243"/>
      <c r="AC38" s="241"/>
      <c r="AD38" s="242"/>
      <c r="AE38" s="243"/>
    </row>
    <row r="39" spans="1:31" ht="25" customHeight="1">
      <c r="A39" s="3">
        <f>A37+1</f>
        <v>5</v>
      </c>
      <c r="B39" s="69" t="s">
        <v>837</v>
      </c>
      <c r="C39" s="3" t="s">
        <v>811</v>
      </c>
      <c r="D39" s="3">
        <v>100</v>
      </c>
      <c r="E39" s="211">
        <v>45444</v>
      </c>
      <c r="F39" s="211">
        <v>45473</v>
      </c>
      <c r="G39" s="263">
        <f>SUM(K39:N39)</f>
        <v>1</v>
      </c>
      <c r="H39" s="118"/>
      <c r="I39" s="263">
        <f>G39-H40</f>
        <v>0</v>
      </c>
      <c r="J39" s="212"/>
      <c r="K39" s="213"/>
      <c r="L39" s="214"/>
      <c r="M39" s="215">
        <v>1</v>
      </c>
      <c r="N39" s="213"/>
      <c r="O39" s="214"/>
      <c r="P39" s="215"/>
      <c r="Q39" s="213"/>
      <c r="R39" s="214"/>
      <c r="S39" s="215"/>
      <c r="T39" s="213"/>
      <c r="U39" s="214"/>
      <c r="V39" s="215"/>
      <c r="W39" s="213"/>
      <c r="X39" s="214"/>
      <c r="Y39" s="215"/>
      <c r="Z39" s="213"/>
      <c r="AA39" s="214"/>
      <c r="AB39" s="215"/>
      <c r="AC39" s="213"/>
      <c r="AD39" s="214"/>
      <c r="AE39" s="215"/>
    </row>
    <row r="40" spans="1:31" s="244" customFormat="1" ht="20.149999999999999" customHeight="1">
      <c r="A40" s="236"/>
      <c r="B40" s="237" t="s">
        <v>819</v>
      </c>
      <c r="C40" s="238"/>
      <c r="D40" s="235">
        <f>SUM(J40:AE40)</f>
        <v>1</v>
      </c>
      <c r="E40" s="238"/>
      <c r="F40" s="238"/>
      <c r="G40" s="248"/>
      <c r="H40" s="926">
        <f>SUM(J40:AE40)</f>
        <v>1</v>
      </c>
      <c r="I40" s="239"/>
      <c r="J40" s="240"/>
      <c r="K40" s="241"/>
      <c r="L40" s="242"/>
      <c r="M40" s="234">
        <v>1</v>
      </c>
      <c r="N40" s="241"/>
      <c r="O40" s="242"/>
      <c r="P40" s="243"/>
      <c r="Q40" s="241"/>
      <c r="R40" s="242"/>
      <c r="S40" s="243"/>
      <c r="T40" s="241"/>
      <c r="U40" s="242"/>
      <c r="V40" s="243"/>
      <c r="W40" s="241"/>
      <c r="X40" s="242"/>
      <c r="Y40" s="243"/>
      <c r="Z40" s="241"/>
      <c r="AA40" s="242"/>
      <c r="AB40" s="243"/>
      <c r="AC40" s="241"/>
      <c r="AD40" s="242"/>
      <c r="AE40" s="243"/>
    </row>
    <row r="41" spans="1:31" ht="25" customHeight="1">
      <c r="A41" s="3">
        <f>A39+1</f>
        <v>6</v>
      </c>
      <c r="B41" s="69" t="s">
        <v>99</v>
      </c>
      <c r="C41" s="3" t="s">
        <v>127</v>
      </c>
      <c r="D41" s="3">
        <v>287</v>
      </c>
      <c r="E41" s="211">
        <v>45431</v>
      </c>
      <c r="F41" s="211">
        <v>45860</v>
      </c>
      <c r="G41" s="118">
        <f>SUM(K41:Z41)</f>
        <v>287</v>
      </c>
      <c r="H41" s="927"/>
      <c r="I41" s="595">
        <f>G41-H42</f>
        <v>-26</v>
      </c>
      <c r="J41" s="217"/>
      <c r="K41" s="218"/>
      <c r="L41" s="219">
        <v>6</v>
      </c>
      <c r="M41" s="220">
        <v>18</v>
      </c>
      <c r="N41" s="218">
        <v>18</v>
      </c>
      <c r="O41" s="219">
        <v>20</v>
      </c>
      <c r="P41" s="220">
        <v>22</v>
      </c>
      <c r="Q41" s="218">
        <v>22</v>
      </c>
      <c r="R41" s="219">
        <v>25</v>
      </c>
      <c r="S41" s="220">
        <v>25</v>
      </c>
      <c r="T41" s="218">
        <v>30</v>
      </c>
      <c r="U41" s="219">
        <v>30</v>
      </c>
      <c r="V41" s="220">
        <v>25</v>
      </c>
      <c r="W41" s="218">
        <v>15</v>
      </c>
      <c r="X41" s="219">
        <v>15</v>
      </c>
      <c r="Y41" s="220">
        <v>10</v>
      </c>
      <c r="Z41" s="218">
        <v>6</v>
      </c>
      <c r="AA41" s="219"/>
      <c r="AB41" s="220"/>
      <c r="AC41" s="218"/>
      <c r="AD41" s="219"/>
      <c r="AE41" s="220"/>
    </row>
    <row r="42" spans="1:31" s="244" customFormat="1" ht="20.149999999999999" customHeight="1">
      <c r="A42" s="236"/>
      <c r="B42" s="237" t="s">
        <v>819</v>
      </c>
      <c r="C42" s="238"/>
      <c r="D42" s="226">
        <f>SUM(J42:AE42)</f>
        <v>313</v>
      </c>
      <c r="E42" s="238"/>
      <c r="F42" s="238"/>
      <c r="G42" s="248"/>
      <c r="H42" s="1005">
        <f>SUM(J42:AE42)</f>
        <v>313</v>
      </c>
      <c r="I42" s="239"/>
      <c r="J42" s="240"/>
      <c r="K42" s="241"/>
      <c r="L42" s="242">
        <v>0</v>
      </c>
      <c r="M42" s="602">
        <v>14</v>
      </c>
      <c r="N42" s="603">
        <v>20</v>
      </c>
      <c r="O42" s="604">
        <v>23</v>
      </c>
      <c r="P42" s="602">
        <v>40</v>
      </c>
      <c r="Q42" s="603">
        <v>36</v>
      </c>
      <c r="R42" s="604">
        <v>24</v>
      </c>
      <c r="S42" s="624">
        <v>32</v>
      </c>
      <c r="T42" s="662">
        <v>35</v>
      </c>
      <c r="U42" s="720">
        <v>31</v>
      </c>
      <c r="V42" s="624">
        <v>19</v>
      </c>
      <c r="W42" s="662">
        <v>23</v>
      </c>
      <c r="X42" s="720">
        <v>10</v>
      </c>
      <c r="Y42" s="624">
        <v>4</v>
      </c>
      <c r="Z42" s="662">
        <v>2</v>
      </c>
      <c r="AA42" s="242"/>
      <c r="AB42" s="243"/>
      <c r="AC42" s="241"/>
      <c r="AD42" s="242"/>
      <c r="AE42" s="243"/>
    </row>
    <row r="43" spans="1:31" ht="25" customHeight="1">
      <c r="A43" s="3">
        <f>A41+1</f>
        <v>7</v>
      </c>
      <c r="B43" s="69" t="s">
        <v>275</v>
      </c>
      <c r="C43" s="3" t="s">
        <v>127</v>
      </c>
      <c r="D43" s="3">
        <v>287</v>
      </c>
      <c r="E43" s="211">
        <v>45457</v>
      </c>
      <c r="F43" s="211">
        <v>45925</v>
      </c>
      <c r="G43" s="118">
        <f>SUM(K43:AB43)</f>
        <v>287</v>
      </c>
      <c r="H43" s="927"/>
      <c r="I43" s="118">
        <f>G43-H44</f>
        <v>-7</v>
      </c>
      <c r="J43" s="217"/>
      <c r="K43" s="218"/>
      <c r="L43" s="219"/>
      <c r="M43" s="220">
        <v>4</v>
      </c>
      <c r="N43" s="218">
        <v>15</v>
      </c>
      <c r="O43" s="219">
        <v>15</v>
      </c>
      <c r="P43" s="220">
        <v>22</v>
      </c>
      <c r="Q43" s="218">
        <v>20</v>
      </c>
      <c r="R43" s="219">
        <v>22</v>
      </c>
      <c r="S43" s="220">
        <v>22</v>
      </c>
      <c r="T43" s="218">
        <v>22</v>
      </c>
      <c r="U43" s="219">
        <v>22</v>
      </c>
      <c r="V43" s="220">
        <v>22</v>
      </c>
      <c r="W43" s="218">
        <v>22</v>
      </c>
      <c r="X43" s="219">
        <v>20</v>
      </c>
      <c r="Y43" s="220">
        <v>20</v>
      </c>
      <c r="Z43" s="218">
        <v>20</v>
      </c>
      <c r="AA43" s="219">
        <v>12</v>
      </c>
      <c r="AB43" s="220">
        <v>7</v>
      </c>
      <c r="AC43" s="218"/>
      <c r="AD43" s="219"/>
      <c r="AE43" s="220"/>
    </row>
    <row r="44" spans="1:31" s="244" customFormat="1" ht="20.149999999999999" customHeight="1">
      <c r="A44" s="236"/>
      <c r="B44" s="237" t="s">
        <v>819</v>
      </c>
      <c r="C44" s="238"/>
      <c r="D44" s="238">
        <f>SUM(J44:AE44)</f>
        <v>294</v>
      </c>
      <c r="E44" s="238"/>
      <c r="F44" s="238"/>
      <c r="G44" s="248"/>
      <c r="H44" s="925">
        <f>SUM(J44:AE44)</f>
        <v>294</v>
      </c>
      <c r="I44" s="239"/>
      <c r="J44" s="240"/>
      <c r="K44" s="241"/>
      <c r="L44" s="242"/>
      <c r="M44" s="243">
        <v>0</v>
      </c>
      <c r="N44" s="241">
        <v>0</v>
      </c>
      <c r="O44" s="242"/>
      <c r="P44" s="663">
        <v>2</v>
      </c>
      <c r="Q44" s="603">
        <v>5</v>
      </c>
      <c r="R44" s="604">
        <v>2</v>
      </c>
      <c r="S44" s="602">
        <v>13</v>
      </c>
      <c r="T44" s="603">
        <v>25</v>
      </c>
      <c r="U44" s="604">
        <v>21</v>
      </c>
      <c r="V44" s="602">
        <v>25</v>
      </c>
      <c r="W44" s="603">
        <v>11</v>
      </c>
      <c r="X44" s="1017"/>
      <c r="Y44" s="1022"/>
      <c r="Z44" s="1036">
        <v>8</v>
      </c>
      <c r="AA44" s="1034">
        <v>44</v>
      </c>
      <c r="AB44" s="1035">
        <v>62</v>
      </c>
      <c r="AC44" s="662">
        <v>39</v>
      </c>
      <c r="AD44" s="720">
        <v>24</v>
      </c>
      <c r="AE44" s="624">
        <v>13</v>
      </c>
    </row>
    <row r="45" spans="1:31" ht="25" customHeight="1">
      <c r="A45" s="3">
        <f>A43+1</f>
        <v>8</v>
      </c>
      <c r="B45" s="69" t="s">
        <v>838</v>
      </c>
      <c r="C45" s="3" t="s">
        <v>324</v>
      </c>
      <c r="D45" s="3">
        <v>112</v>
      </c>
      <c r="E45" s="211">
        <v>45520</v>
      </c>
      <c r="F45" s="211">
        <v>45958</v>
      </c>
      <c r="G45" s="118">
        <f>SUM(K45:AC45)</f>
        <v>112</v>
      </c>
      <c r="H45" s="927"/>
      <c r="I45" s="118">
        <f>G45-H46</f>
        <v>72.450999999999993</v>
      </c>
      <c r="J45" s="217"/>
      <c r="K45" s="218"/>
      <c r="L45" s="219"/>
      <c r="M45" s="220"/>
      <c r="N45" s="218"/>
      <c r="O45" s="219">
        <v>4</v>
      </c>
      <c r="P45" s="220">
        <v>4</v>
      </c>
      <c r="Q45" s="218">
        <v>8</v>
      </c>
      <c r="R45" s="219">
        <v>8</v>
      </c>
      <c r="S45" s="220">
        <v>8</v>
      </c>
      <c r="T45" s="218">
        <v>8</v>
      </c>
      <c r="U45" s="219">
        <v>10</v>
      </c>
      <c r="V45" s="220">
        <v>10</v>
      </c>
      <c r="W45" s="218">
        <v>10</v>
      </c>
      <c r="X45" s="219">
        <v>10</v>
      </c>
      <c r="Y45" s="220">
        <v>8</v>
      </c>
      <c r="Z45" s="218">
        <v>8</v>
      </c>
      <c r="AA45" s="219">
        <v>8</v>
      </c>
      <c r="AB45" s="220">
        <v>4</v>
      </c>
      <c r="AC45" s="218">
        <v>4</v>
      </c>
      <c r="AD45" s="219"/>
      <c r="AE45" s="220"/>
    </row>
    <row r="46" spans="1:31" s="244" customFormat="1" ht="20.149999999999999" customHeight="1">
      <c r="A46" s="236"/>
      <c r="B46" s="237" t="s">
        <v>819</v>
      </c>
      <c r="C46" s="238"/>
      <c r="D46" s="238">
        <f>SUM(J46:AE46)</f>
        <v>39.548999999999999</v>
      </c>
      <c r="E46" s="238"/>
      <c r="F46" s="238"/>
      <c r="G46" s="248"/>
      <c r="H46" s="925">
        <f>SUM(J46:AE46)</f>
        <v>39.548999999999999</v>
      </c>
      <c r="I46" s="239"/>
      <c r="J46" s="240"/>
      <c r="K46" s="241"/>
      <c r="L46" s="242"/>
      <c r="M46" s="243"/>
      <c r="N46" s="241"/>
      <c r="O46" s="242"/>
      <c r="P46" s="243"/>
      <c r="Q46" s="241"/>
      <c r="R46" s="242"/>
      <c r="S46" s="243"/>
      <c r="T46" s="241"/>
      <c r="U46" s="242"/>
      <c r="V46" s="246">
        <v>4.899</v>
      </c>
      <c r="W46" s="948">
        <v>11.464</v>
      </c>
      <c r="X46" s="242"/>
      <c r="Y46" s="243"/>
      <c r="Z46" s="241"/>
      <c r="AA46" s="242"/>
      <c r="AB46" s="243">
        <v>5.1340000000000003</v>
      </c>
      <c r="AC46" s="241">
        <v>4.9219999999999997</v>
      </c>
      <c r="AD46" s="242">
        <v>4.9009999999999998</v>
      </c>
      <c r="AE46" s="243">
        <v>8.2289999999999992</v>
      </c>
    </row>
    <row r="47" spans="1:31" ht="25" customHeight="1">
      <c r="A47" s="3">
        <f>A45+1</f>
        <v>9</v>
      </c>
      <c r="B47" s="69" t="s">
        <v>839</v>
      </c>
      <c r="C47" s="3" t="s">
        <v>324</v>
      </c>
      <c r="D47" s="3">
        <v>112</v>
      </c>
      <c r="E47" s="211">
        <v>45386</v>
      </c>
      <c r="F47" s="211">
        <v>45991</v>
      </c>
      <c r="G47" s="118">
        <f>SUM(K47:AD47)</f>
        <v>112</v>
      </c>
      <c r="H47" s="927"/>
      <c r="I47" s="118">
        <f>G47-H48</f>
        <v>98.388000000000005</v>
      </c>
      <c r="J47" s="217"/>
      <c r="K47" s="218"/>
      <c r="L47" s="219"/>
      <c r="M47" s="220"/>
      <c r="N47" s="218"/>
      <c r="O47" s="219"/>
      <c r="P47" s="220"/>
      <c r="Q47" s="218"/>
      <c r="R47" s="219"/>
      <c r="S47" s="220"/>
      <c r="T47" s="218"/>
      <c r="U47" s="219"/>
      <c r="V47" s="220"/>
      <c r="W47" s="218">
        <v>15</v>
      </c>
      <c r="X47" s="219">
        <v>20</v>
      </c>
      <c r="Y47" s="220">
        <v>20</v>
      </c>
      <c r="Z47" s="218">
        <v>20</v>
      </c>
      <c r="AA47" s="219">
        <v>10</v>
      </c>
      <c r="AB47" s="220">
        <v>10</v>
      </c>
      <c r="AC47" s="218">
        <v>10</v>
      </c>
      <c r="AD47" s="219">
        <v>7</v>
      </c>
      <c r="AE47" s="220"/>
    </row>
    <row r="48" spans="1:31" s="244" customFormat="1" ht="20.149999999999999" customHeight="1">
      <c r="A48" s="236"/>
      <c r="B48" s="237" t="s">
        <v>819</v>
      </c>
      <c r="C48" s="238"/>
      <c r="D48" s="226">
        <f>SUM(J48:AE48)</f>
        <v>13.612</v>
      </c>
      <c r="E48" s="238"/>
      <c r="F48" s="238"/>
      <c r="G48" s="248"/>
      <c r="H48" s="925">
        <f>SUM(J48:AE48)</f>
        <v>13.612</v>
      </c>
      <c r="I48" s="239"/>
      <c r="J48" s="240"/>
      <c r="K48" s="241"/>
      <c r="L48" s="242"/>
      <c r="M48" s="243"/>
      <c r="N48" s="241"/>
      <c r="O48" s="242"/>
      <c r="P48" s="243"/>
      <c r="Q48" s="241"/>
      <c r="R48" s="242"/>
      <c r="S48" s="243"/>
      <c r="T48" s="241"/>
      <c r="U48" s="242"/>
      <c r="V48" s="243"/>
      <c r="W48" s="662">
        <v>13.612</v>
      </c>
      <c r="X48" s="242"/>
      <c r="Y48" s="243"/>
      <c r="Z48" s="241"/>
      <c r="AA48" s="242"/>
      <c r="AB48" s="243"/>
      <c r="AC48" s="241"/>
      <c r="AD48" s="242"/>
      <c r="AE48" s="243"/>
    </row>
    <row r="49" spans="1:31" ht="25" customHeight="1">
      <c r="A49" s="3">
        <f>A47+1</f>
        <v>10</v>
      </c>
      <c r="B49" s="69" t="s">
        <v>840</v>
      </c>
      <c r="C49" s="3" t="s">
        <v>811</v>
      </c>
      <c r="D49" s="3">
        <v>100</v>
      </c>
      <c r="E49" s="211">
        <v>45931</v>
      </c>
      <c r="F49" s="211">
        <v>46002</v>
      </c>
      <c r="G49" s="550">
        <f>SUM(K49:S49)</f>
        <v>0</v>
      </c>
      <c r="H49" s="118"/>
      <c r="I49" s="118">
        <f>G49-H50</f>
        <v>0</v>
      </c>
      <c r="J49" s="212"/>
      <c r="K49" s="213"/>
      <c r="L49" s="214"/>
      <c r="M49" s="215"/>
      <c r="N49" s="213"/>
      <c r="O49" s="214"/>
      <c r="P49" s="215"/>
      <c r="Q49" s="213"/>
      <c r="R49" s="214"/>
      <c r="S49" s="215"/>
      <c r="T49" s="213"/>
      <c r="U49" s="214"/>
      <c r="V49" s="215"/>
      <c r="W49" s="213"/>
      <c r="X49" s="214"/>
      <c r="Y49" s="215"/>
      <c r="Z49" s="213"/>
      <c r="AA49" s="214"/>
      <c r="AB49" s="215"/>
      <c r="AC49" s="213">
        <v>0.4</v>
      </c>
      <c r="AD49" s="214">
        <v>0.5</v>
      </c>
      <c r="AE49" s="215">
        <v>0.1</v>
      </c>
    </row>
    <row r="50" spans="1:31" s="244" customFormat="1" ht="20.149999999999999" customHeight="1">
      <c r="A50" s="236"/>
      <c r="B50" s="237" t="s">
        <v>819</v>
      </c>
      <c r="C50" s="238"/>
      <c r="D50" s="238">
        <f>SUM(J50:AE50)</f>
        <v>0</v>
      </c>
      <c r="E50" s="238"/>
      <c r="F50" s="238"/>
      <c r="G50" s="248"/>
      <c r="H50" s="248">
        <f>SUM(J50:AE50)</f>
        <v>0</v>
      </c>
      <c r="I50" s="239"/>
      <c r="J50" s="240"/>
      <c r="K50" s="241"/>
      <c r="L50" s="242"/>
      <c r="M50" s="243"/>
      <c r="N50" s="241"/>
      <c r="O50" s="242"/>
      <c r="P50" s="243"/>
      <c r="Q50" s="241"/>
      <c r="R50" s="242"/>
      <c r="S50" s="243"/>
      <c r="T50" s="241"/>
      <c r="U50" s="242"/>
      <c r="V50" s="243"/>
      <c r="W50" s="241"/>
      <c r="X50" s="242"/>
      <c r="Y50" s="243"/>
      <c r="Z50" s="241"/>
      <c r="AA50" s="242"/>
      <c r="AB50" s="243"/>
      <c r="AC50" s="241"/>
      <c r="AD50" s="242"/>
      <c r="AE50" s="243"/>
    </row>
  </sheetData>
  <mergeCells count="8">
    <mergeCell ref="H4:H5"/>
    <mergeCell ref="I4:I5"/>
    <mergeCell ref="A4:A5"/>
    <mergeCell ref="B4:B5"/>
    <mergeCell ref="C4:C5"/>
    <mergeCell ref="D4:D5"/>
    <mergeCell ref="E4:E5"/>
    <mergeCell ref="F4:F5"/>
  </mergeCells>
  <pageMargins left="0.26" right="0.21" top="0.74" bottom="0.18" header="0.17" footer="0.3"/>
  <pageSetup paperSize="9" scale="50" orientation="landscape" r:id="rId1"/>
  <ignoredErrors>
    <ignoredError sqref="I18:I22 I23:I29" formula="1"/>
    <ignoredError sqref="G36 G38:G40 G46 G50 G42 G15:G16 G18 G20 G24 G26 G28:G30 G44 G22 G48" formulaRange="1"/>
  </ignoredError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F6A88-411A-4E52-8DF1-D6B23AABBCD7}">
  <sheetPr codeName="Sheet19">
    <tabColor rgb="FFFF0000"/>
    <pageSetUpPr fitToPage="1"/>
  </sheetPr>
  <dimension ref="A1:O2733"/>
  <sheetViews>
    <sheetView zoomScaleNormal="100" workbookViewId="0">
      <pane xSplit="3" ySplit="2" topLeftCell="D3" activePane="bottomRight" state="frozen"/>
      <selection activeCell="K6" sqref="K6:L6"/>
      <selection pane="topRight" activeCell="K6" sqref="K6:L6"/>
      <selection pane="bottomLeft" activeCell="K6" sqref="K6:L6"/>
      <selection pane="bottomRight" activeCell="C23" sqref="C23"/>
    </sheetView>
  </sheetViews>
  <sheetFormatPr defaultColWidth="9.1796875" defaultRowHeight="14.5"/>
  <cols>
    <col min="1" max="1" width="9.1796875" style="2"/>
    <col min="2" max="2" width="14.54296875" style="67" customWidth="1"/>
    <col min="3" max="3" width="9.54296875" style="2" customWidth="1"/>
    <col min="4" max="4" width="12" style="2" customWidth="1"/>
    <col min="5" max="10" width="13" style="67" customWidth="1"/>
    <col min="11" max="11" width="14.453125" style="7" customWidth="1"/>
    <col min="12" max="12" width="21.453125" style="7" hidden="1" customWidth="1"/>
    <col min="13" max="13" width="13.26953125" style="7" customWidth="1"/>
    <col min="14" max="14" width="13" style="7" customWidth="1"/>
    <col min="15" max="15" width="17.7265625" style="67" customWidth="1"/>
    <col min="16" max="16" width="13.453125" style="67" customWidth="1"/>
    <col min="17" max="16384" width="9.1796875" style="67"/>
  </cols>
  <sheetData>
    <row r="1" spans="1:14" ht="15" thickBot="1">
      <c r="A1" s="1562" t="s">
        <v>371</v>
      </c>
      <c r="B1" s="1563"/>
      <c r="C1" s="1563"/>
      <c r="D1" s="1563"/>
      <c r="E1" s="1564" t="s">
        <v>372</v>
      </c>
      <c r="F1" s="1564"/>
      <c r="G1" s="1564"/>
      <c r="H1" s="1564"/>
      <c r="I1" s="1564"/>
      <c r="J1" s="1564"/>
      <c r="K1" s="1565" t="s">
        <v>373</v>
      </c>
      <c r="L1" s="1565"/>
      <c r="M1" s="1565"/>
      <c r="N1" s="1566"/>
    </row>
    <row r="2" spans="1:14" s="2" customFormat="1" ht="31.5" customHeight="1" thickBot="1">
      <c r="A2" s="667" t="s">
        <v>374</v>
      </c>
      <c r="B2" s="668" t="s">
        <v>94</v>
      </c>
      <c r="C2" s="668" t="s">
        <v>375</v>
      </c>
      <c r="D2" s="669" t="s">
        <v>376</v>
      </c>
      <c r="E2" s="669" t="s">
        <v>377</v>
      </c>
      <c r="F2" s="669" t="s">
        <v>378</v>
      </c>
      <c r="G2" s="669" t="s">
        <v>486</v>
      </c>
      <c r="H2" s="669" t="s">
        <v>379</v>
      </c>
      <c r="I2" s="669" t="s">
        <v>380</v>
      </c>
      <c r="J2" s="669" t="s">
        <v>381</v>
      </c>
      <c r="K2" s="670" t="s">
        <v>40</v>
      </c>
      <c r="L2" s="670" t="s">
        <v>382</v>
      </c>
      <c r="M2" s="670" t="s">
        <v>380</v>
      </c>
      <c r="N2" s="671" t="s">
        <v>386</v>
      </c>
    </row>
    <row r="3" spans="1:14" s="2" customFormat="1">
      <c r="A3" s="253">
        <v>1</v>
      </c>
      <c r="B3" s="254" t="s">
        <v>913</v>
      </c>
      <c r="C3" s="672">
        <f>772.154/1000</f>
        <v>0.77215400000000001</v>
      </c>
      <c r="D3" s="673">
        <v>45435</v>
      </c>
      <c r="E3" s="673">
        <v>45442</v>
      </c>
      <c r="F3" s="673">
        <v>45442</v>
      </c>
      <c r="G3" s="673">
        <v>45434</v>
      </c>
      <c r="H3" s="674">
        <v>45516</v>
      </c>
      <c r="I3" s="674">
        <v>45516</v>
      </c>
      <c r="J3" s="674">
        <v>45516</v>
      </c>
      <c r="K3" s="255"/>
      <c r="L3" s="255"/>
      <c r="M3" s="255"/>
      <c r="N3" s="256"/>
    </row>
    <row r="4" spans="1:14">
      <c r="A4" s="4">
        <v>2</v>
      </c>
      <c r="B4" s="450" t="s">
        <v>914</v>
      </c>
      <c r="C4" s="449">
        <f>4860.728/1000</f>
        <v>4.8607279999999999</v>
      </c>
      <c r="D4" s="141">
        <v>45435</v>
      </c>
      <c r="E4" s="141">
        <v>45442</v>
      </c>
      <c r="F4" s="141">
        <v>45442</v>
      </c>
      <c r="G4" s="141">
        <v>45434</v>
      </c>
      <c r="H4" s="141">
        <v>45437</v>
      </c>
      <c r="I4" s="141">
        <v>45437</v>
      </c>
      <c r="J4" s="141">
        <v>45513</v>
      </c>
      <c r="K4" s="151">
        <v>45516</v>
      </c>
      <c r="L4" s="151"/>
      <c r="M4" s="151">
        <v>45516</v>
      </c>
      <c r="N4" s="257">
        <v>45516</v>
      </c>
    </row>
    <row r="5" spans="1:14" s="131" customFormat="1">
      <c r="A5" s="200">
        <v>3</v>
      </c>
      <c r="B5" s="450" t="s">
        <v>487</v>
      </c>
      <c r="C5" s="449">
        <f>5066.611/1000</f>
        <v>5.066611</v>
      </c>
      <c r="D5" s="141">
        <v>45420</v>
      </c>
      <c r="E5" s="141">
        <v>45427</v>
      </c>
      <c r="F5" s="141">
        <v>45429</v>
      </c>
      <c r="G5" s="141">
        <v>45434</v>
      </c>
      <c r="H5" s="141">
        <v>45437</v>
      </c>
      <c r="I5" s="141">
        <v>45437</v>
      </c>
      <c r="J5" s="141">
        <v>45440</v>
      </c>
      <c r="K5" s="151">
        <v>45526</v>
      </c>
      <c r="L5" s="151"/>
      <c r="M5" s="151">
        <v>45526</v>
      </c>
      <c r="N5" s="257">
        <v>45492</v>
      </c>
    </row>
    <row r="6" spans="1:14" s="131" customFormat="1">
      <c r="A6" s="200">
        <f>A5+1</f>
        <v>4</v>
      </c>
      <c r="B6" s="450" t="s">
        <v>488</v>
      </c>
      <c r="C6" s="449">
        <f>4837.87/1000</f>
        <v>4.8378699999999997</v>
      </c>
      <c r="D6" s="141">
        <v>45420</v>
      </c>
      <c r="E6" s="141">
        <v>45427</v>
      </c>
      <c r="F6" s="141">
        <v>45429</v>
      </c>
      <c r="G6" s="141">
        <v>45447</v>
      </c>
      <c r="H6" s="141">
        <v>45447</v>
      </c>
      <c r="I6" s="141">
        <v>45448</v>
      </c>
      <c r="J6" s="141">
        <v>45456</v>
      </c>
      <c r="K6" s="151">
        <v>45500</v>
      </c>
      <c r="L6" s="151"/>
      <c r="M6" s="151">
        <v>2</v>
      </c>
      <c r="N6" s="257">
        <v>45503</v>
      </c>
    </row>
    <row r="7" spans="1:14" s="131" customFormat="1">
      <c r="A7" s="200">
        <f>A6+1</f>
        <v>5</v>
      </c>
      <c r="B7" s="450" t="s">
        <v>880</v>
      </c>
      <c r="C7" s="449">
        <f>4901.24/1000</f>
        <v>4.9012399999999996</v>
      </c>
      <c r="D7" s="141">
        <v>45420</v>
      </c>
      <c r="E7" s="141">
        <v>45427</v>
      </c>
      <c r="F7" s="141">
        <v>45429</v>
      </c>
      <c r="G7" s="141">
        <v>45434</v>
      </c>
      <c r="H7" s="141">
        <v>45440</v>
      </c>
      <c r="I7" s="141">
        <v>45440</v>
      </c>
      <c r="J7" s="141">
        <v>45440</v>
      </c>
      <c r="K7" s="151">
        <v>45526</v>
      </c>
      <c r="L7" s="151"/>
      <c r="M7" s="151">
        <v>45526</v>
      </c>
      <c r="N7" s="257">
        <v>45523</v>
      </c>
    </row>
    <row r="8" spans="1:14" s="131" customFormat="1">
      <c r="A8" s="200">
        <f>A7+1</f>
        <v>6</v>
      </c>
      <c r="B8" s="450" t="s">
        <v>881</v>
      </c>
      <c r="C8" s="449">
        <f>5134.054/1000</f>
        <v>5.1340539999999999</v>
      </c>
      <c r="D8" s="141">
        <v>45420</v>
      </c>
      <c r="E8" s="141">
        <v>45427</v>
      </c>
      <c r="F8" s="141">
        <v>45429</v>
      </c>
      <c r="G8" s="141">
        <v>45434</v>
      </c>
      <c r="H8" s="141">
        <v>45440</v>
      </c>
      <c r="I8" s="141">
        <v>45440</v>
      </c>
      <c r="J8" s="141">
        <v>45440</v>
      </c>
      <c r="K8" s="151">
        <v>45500</v>
      </c>
      <c r="L8" s="151"/>
      <c r="M8" s="151">
        <v>45500</v>
      </c>
      <c r="N8" s="257">
        <v>45503</v>
      </c>
    </row>
    <row r="9" spans="1:14" s="131" customFormat="1">
      <c r="A9" s="200">
        <f>A8+1</f>
        <v>7</v>
      </c>
      <c r="B9" s="450" t="s">
        <v>383</v>
      </c>
      <c r="C9" s="449">
        <f>4921.629/1000</f>
        <v>4.9216290000000003</v>
      </c>
      <c r="D9" s="141">
        <v>45418</v>
      </c>
      <c r="E9" s="141">
        <v>45420</v>
      </c>
      <c r="F9" s="141">
        <v>45421</v>
      </c>
      <c r="G9" s="141">
        <v>45429</v>
      </c>
      <c r="H9" s="141">
        <v>45429</v>
      </c>
      <c r="I9" s="141">
        <v>45430</v>
      </c>
      <c r="J9" s="141">
        <v>45440</v>
      </c>
      <c r="K9" s="151">
        <v>45448</v>
      </c>
      <c r="L9" s="151"/>
      <c r="M9" s="151">
        <v>45456</v>
      </c>
      <c r="N9" s="257">
        <v>45456</v>
      </c>
    </row>
    <row r="10" spans="1:14" s="131" customFormat="1">
      <c r="A10" s="200">
        <f t="shared" ref="A10:A23" si="0">A9+1</f>
        <v>8</v>
      </c>
      <c r="B10" s="450" t="s">
        <v>384</v>
      </c>
      <c r="C10" s="449">
        <f>5969.103/1000</f>
        <v>5.9691030000000005</v>
      </c>
      <c r="D10" s="141">
        <v>45416</v>
      </c>
      <c r="E10" s="141">
        <v>45420</v>
      </c>
      <c r="F10" s="141">
        <v>45421</v>
      </c>
      <c r="G10" s="141">
        <v>45425</v>
      </c>
      <c r="H10" s="141">
        <v>45426</v>
      </c>
      <c r="I10" s="141">
        <v>45428</v>
      </c>
      <c r="J10" s="141">
        <v>45428</v>
      </c>
      <c r="K10" s="151">
        <v>45427</v>
      </c>
      <c r="L10" s="151">
        <v>45427</v>
      </c>
      <c r="M10" s="151">
        <v>45428</v>
      </c>
      <c r="N10" s="257">
        <v>45428</v>
      </c>
    </row>
    <row r="11" spans="1:14" s="131" customFormat="1">
      <c r="A11" s="200">
        <f t="shared" si="0"/>
        <v>9</v>
      </c>
      <c r="B11" s="450" t="s">
        <v>669</v>
      </c>
      <c r="C11" s="449">
        <f>1693.584/1000</f>
        <v>1.693584</v>
      </c>
      <c r="D11" s="141">
        <v>45425</v>
      </c>
      <c r="E11" s="141">
        <v>45427</v>
      </c>
      <c r="F11" s="141">
        <v>45433</v>
      </c>
      <c r="G11" s="141">
        <v>45438</v>
      </c>
      <c r="H11" s="141">
        <v>45439</v>
      </c>
      <c r="I11" s="141">
        <v>45439</v>
      </c>
      <c r="J11" s="141">
        <v>45439</v>
      </c>
      <c r="K11" s="151">
        <v>45497</v>
      </c>
      <c r="L11" s="151"/>
      <c r="M11" s="151">
        <v>45497</v>
      </c>
      <c r="N11" s="257">
        <v>45632</v>
      </c>
    </row>
    <row r="12" spans="1:14" s="131" customFormat="1">
      <c r="A12" s="200">
        <f>A11+1</f>
        <v>10</v>
      </c>
      <c r="B12" s="450" t="s">
        <v>670</v>
      </c>
      <c r="C12" s="449">
        <f>5019.34/1000</f>
        <v>5.0193400000000006</v>
      </c>
      <c r="D12" s="141">
        <v>45425</v>
      </c>
      <c r="E12" s="141">
        <v>45427</v>
      </c>
      <c r="F12" s="141">
        <v>45433</v>
      </c>
      <c r="G12" s="141">
        <v>45438</v>
      </c>
      <c r="H12" s="141">
        <v>45439</v>
      </c>
      <c r="I12" s="141">
        <v>45439</v>
      </c>
      <c r="J12" s="141">
        <v>45439</v>
      </c>
      <c r="K12" s="151">
        <v>45454</v>
      </c>
      <c r="L12" s="151"/>
      <c r="M12" s="151">
        <v>45454</v>
      </c>
      <c r="N12" s="257">
        <v>45454</v>
      </c>
    </row>
    <row r="13" spans="1:14" s="131" customFormat="1">
      <c r="A13" s="200">
        <f t="shared" si="0"/>
        <v>11</v>
      </c>
      <c r="B13" s="450" t="s">
        <v>1095</v>
      </c>
      <c r="C13" s="449">
        <v>3.8210000000000002</v>
      </c>
      <c r="D13" s="141">
        <v>45425</v>
      </c>
      <c r="E13" s="141">
        <v>45427</v>
      </c>
      <c r="F13" s="141">
        <v>45433</v>
      </c>
      <c r="G13" s="141">
        <v>45447</v>
      </c>
      <c r="H13" s="141">
        <v>45448</v>
      </c>
      <c r="I13" s="141">
        <v>45448</v>
      </c>
      <c r="J13" s="141">
        <v>45456</v>
      </c>
      <c r="K13" s="151">
        <v>45583</v>
      </c>
      <c r="L13" s="151"/>
      <c r="M13" s="151">
        <v>45583</v>
      </c>
      <c r="N13" s="257">
        <v>45583</v>
      </c>
    </row>
    <row r="14" spans="1:14" s="131" customFormat="1">
      <c r="A14" s="200">
        <f t="shared" si="0"/>
        <v>12</v>
      </c>
      <c r="B14" s="450" t="s">
        <v>1096</v>
      </c>
      <c r="C14" s="449">
        <f>279.36/1000</f>
        <v>0.27936</v>
      </c>
      <c r="D14" s="141">
        <v>45425</v>
      </c>
      <c r="E14" s="141">
        <v>45427</v>
      </c>
      <c r="F14" s="141">
        <v>45433</v>
      </c>
      <c r="G14" s="141">
        <v>45447</v>
      </c>
      <c r="H14" s="141">
        <v>45448</v>
      </c>
      <c r="I14" s="141">
        <v>45448</v>
      </c>
      <c r="J14" s="141">
        <v>45456</v>
      </c>
      <c r="K14" s="151">
        <v>45528</v>
      </c>
      <c r="L14" s="151"/>
      <c r="M14" s="151">
        <v>45528</v>
      </c>
      <c r="N14" s="257"/>
    </row>
    <row r="15" spans="1:14" s="131" customFormat="1">
      <c r="A15" s="200">
        <f t="shared" si="0"/>
        <v>13</v>
      </c>
      <c r="B15" s="450" t="s">
        <v>691</v>
      </c>
      <c r="C15" s="449">
        <f>2550.167/1000</f>
        <v>2.5501670000000001</v>
      </c>
      <c r="D15" s="141">
        <v>45425</v>
      </c>
      <c r="E15" s="141">
        <v>45427</v>
      </c>
      <c r="F15" s="141">
        <v>45433</v>
      </c>
      <c r="G15" s="141">
        <v>45447</v>
      </c>
      <c r="H15" s="141">
        <v>45448</v>
      </c>
      <c r="I15" s="141">
        <v>45448</v>
      </c>
      <c r="J15" s="141">
        <v>45456</v>
      </c>
      <c r="K15" s="151">
        <v>45465</v>
      </c>
      <c r="L15" s="151"/>
      <c r="M15" s="151">
        <v>45465</v>
      </c>
      <c r="N15" s="257">
        <v>45484</v>
      </c>
    </row>
    <row r="16" spans="1:14" s="131" customFormat="1">
      <c r="A16" s="200">
        <f t="shared" si="0"/>
        <v>14</v>
      </c>
      <c r="B16" s="450" t="s">
        <v>1217</v>
      </c>
      <c r="C16" s="449">
        <v>2.2835000000000001</v>
      </c>
      <c r="D16" s="141">
        <v>45425</v>
      </c>
      <c r="E16" s="141">
        <v>45427</v>
      </c>
      <c r="F16" s="141">
        <v>45433</v>
      </c>
      <c r="G16" s="141">
        <v>45447</v>
      </c>
      <c r="H16" s="141">
        <v>45448</v>
      </c>
      <c r="I16" s="141">
        <v>45448</v>
      </c>
      <c r="J16" s="141">
        <v>45456</v>
      </c>
      <c r="K16" s="151">
        <v>45693</v>
      </c>
      <c r="L16" s="151"/>
      <c r="M16" s="151">
        <v>45693</v>
      </c>
      <c r="N16" s="257"/>
    </row>
    <row r="17" spans="1:15" s="131" customFormat="1">
      <c r="A17" s="200">
        <f t="shared" si="0"/>
        <v>15</v>
      </c>
      <c r="B17" s="450" t="s">
        <v>756</v>
      </c>
      <c r="C17" s="449">
        <v>1.881</v>
      </c>
      <c r="D17" s="141">
        <v>45425</v>
      </c>
      <c r="E17" s="141">
        <v>45427</v>
      </c>
      <c r="F17" s="141">
        <v>45433</v>
      </c>
      <c r="G17" s="141">
        <v>45446</v>
      </c>
      <c r="H17" s="141">
        <v>45455</v>
      </c>
      <c r="I17" s="141">
        <v>45455</v>
      </c>
      <c r="J17" s="141">
        <v>45456</v>
      </c>
      <c r="K17" s="151">
        <v>45497</v>
      </c>
      <c r="L17" s="151"/>
      <c r="M17" s="151">
        <v>45497</v>
      </c>
      <c r="N17" s="257" t="s">
        <v>1175</v>
      </c>
    </row>
    <row r="18" spans="1:15" s="131" customFormat="1">
      <c r="A18" s="200">
        <f t="shared" si="0"/>
        <v>16</v>
      </c>
      <c r="B18" s="450" t="s">
        <v>757</v>
      </c>
      <c r="C18" s="449">
        <f>2548.275/1000</f>
        <v>2.5482750000000003</v>
      </c>
      <c r="D18" s="141">
        <v>45425</v>
      </c>
      <c r="E18" s="141">
        <v>45427</v>
      </c>
      <c r="F18" s="141">
        <v>45433</v>
      </c>
      <c r="G18" s="141">
        <v>45446</v>
      </c>
      <c r="H18" s="141">
        <v>45455</v>
      </c>
      <c r="I18" s="141">
        <v>45455</v>
      </c>
      <c r="J18" s="141">
        <v>45456</v>
      </c>
      <c r="K18" s="151">
        <v>45476</v>
      </c>
      <c r="L18" s="151"/>
      <c r="M18" s="151">
        <v>45477</v>
      </c>
      <c r="N18" s="257">
        <v>45484</v>
      </c>
    </row>
    <row r="19" spans="1:15" s="131" customFormat="1">
      <c r="A19" s="200">
        <f t="shared" si="0"/>
        <v>17</v>
      </c>
      <c r="B19" s="450" t="s">
        <v>800</v>
      </c>
      <c r="C19" s="449">
        <f>211.209/1000</f>
        <v>0.21120900000000001</v>
      </c>
      <c r="D19" s="141">
        <v>45425</v>
      </c>
      <c r="E19" s="141">
        <v>45427</v>
      </c>
      <c r="F19" s="141">
        <v>45433</v>
      </c>
      <c r="G19" s="141">
        <v>45446</v>
      </c>
      <c r="H19" s="141">
        <v>45455</v>
      </c>
      <c r="I19" s="141">
        <v>45455</v>
      </c>
      <c r="J19" s="141">
        <v>45456</v>
      </c>
      <c r="K19" s="151">
        <v>45497</v>
      </c>
      <c r="L19" s="151"/>
      <c r="M19" s="151">
        <v>45497</v>
      </c>
      <c r="N19" s="257">
        <v>45693</v>
      </c>
    </row>
    <row r="20" spans="1:15" s="131" customFormat="1">
      <c r="A20" s="200">
        <f t="shared" si="0"/>
        <v>18</v>
      </c>
      <c r="B20" s="450" t="s">
        <v>1003</v>
      </c>
      <c r="C20" s="449">
        <f>5048.211/1000</f>
        <v>5.0482110000000002</v>
      </c>
      <c r="D20" s="141">
        <v>45425</v>
      </c>
      <c r="E20" s="141">
        <v>45427</v>
      </c>
      <c r="F20" s="141">
        <v>45433</v>
      </c>
      <c r="G20" s="141">
        <v>45446</v>
      </c>
      <c r="H20" s="141">
        <v>45455</v>
      </c>
      <c r="I20" s="141">
        <v>45455</v>
      </c>
      <c r="J20" s="141">
        <v>45456</v>
      </c>
      <c r="K20" s="151">
        <v>45490</v>
      </c>
      <c r="L20" s="151"/>
      <c r="M20" s="151">
        <v>45490</v>
      </c>
      <c r="N20" s="257">
        <v>45491</v>
      </c>
    </row>
    <row r="21" spans="1:15" s="131" customFormat="1">
      <c r="A21" s="200">
        <f t="shared" si="0"/>
        <v>19</v>
      </c>
      <c r="B21" s="450" t="s">
        <v>980</v>
      </c>
      <c r="C21" s="449">
        <f>4124.232/1000</f>
        <v>4.1242320000000001</v>
      </c>
      <c r="D21" s="141">
        <v>45425</v>
      </c>
      <c r="E21" s="141">
        <v>45427</v>
      </c>
      <c r="F21" s="141">
        <v>45433</v>
      </c>
      <c r="G21" s="141">
        <v>45446</v>
      </c>
      <c r="H21" s="141">
        <v>45455</v>
      </c>
      <c r="I21" s="141">
        <v>45455</v>
      </c>
      <c r="J21" s="141">
        <v>45456</v>
      </c>
      <c r="K21" s="151">
        <v>45490</v>
      </c>
      <c r="L21" s="151">
        <v>45490</v>
      </c>
      <c r="M21" s="151">
        <v>45490</v>
      </c>
      <c r="N21" s="257">
        <v>45490</v>
      </c>
    </row>
    <row r="22" spans="1:15" s="131" customFormat="1">
      <c r="A22" s="200">
        <f t="shared" si="0"/>
        <v>20</v>
      </c>
      <c r="B22" s="450" t="s">
        <v>758</v>
      </c>
      <c r="C22" s="449">
        <f>4333.369/1000</f>
        <v>4.3333689999999994</v>
      </c>
      <c r="D22" s="141">
        <v>45425</v>
      </c>
      <c r="E22" s="141">
        <v>45427</v>
      </c>
      <c r="F22" s="141">
        <v>45433</v>
      </c>
      <c r="G22" s="141">
        <v>45446</v>
      </c>
      <c r="H22" s="141">
        <v>45455</v>
      </c>
      <c r="I22" s="141">
        <v>45455</v>
      </c>
      <c r="J22" s="141">
        <v>45456</v>
      </c>
      <c r="K22" s="151">
        <v>45477</v>
      </c>
      <c r="L22" s="151">
        <v>45477</v>
      </c>
      <c r="M22" s="151">
        <v>45477</v>
      </c>
      <c r="N22" s="257">
        <v>45484</v>
      </c>
    </row>
    <row r="23" spans="1:15" s="131" customFormat="1">
      <c r="A23" s="200">
        <f t="shared" si="0"/>
        <v>21</v>
      </c>
      <c r="B23" s="450" t="s">
        <v>769</v>
      </c>
      <c r="C23" s="449">
        <f>4123.949/1000</f>
        <v>4.1239489999999996</v>
      </c>
      <c r="D23" s="141">
        <v>45434</v>
      </c>
      <c r="E23" s="141">
        <v>45442</v>
      </c>
      <c r="F23" s="141">
        <v>45449</v>
      </c>
      <c r="G23" s="141" t="s">
        <v>1016</v>
      </c>
      <c r="H23" s="141">
        <v>45502</v>
      </c>
      <c r="I23" s="141">
        <v>45502</v>
      </c>
      <c r="J23" s="141">
        <v>45502</v>
      </c>
      <c r="K23" s="151">
        <v>45516</v>
      </c>
      <c r="L23" s="151"/>
      <c r="M23" s="151">
        <v>45516</v>
      </c>
      <c r="N23" s="257">
        <v>45516</v>
      </c>
    </row>
    <row r="24" spans="1:15" s="131" customFormat="1">
      <c r="A24" s="200">
        <f>A23+1</f>
        <v>22</v>
      </c>
      <c r="B24" s="450" t="s">
        <v>770</v>
      </c>
      <c r="C24" s="449">
        <f>4049.764/1000</f>
        <v>4.0497639999999997</v>
      </c>
      <c r="D24" s="141">
        <v>45434</v>
      </c>
      <c r="E24" s="141">
        <v>45442</v>
      </c>
      <c r="F24" s="141">
        <v>45449</v>
      </c>
      <c r="G24" s="141" t="s">
        <v>1016</v>
      </c>
      <c r="H24" s="141">
        <v>45502</v>
      </c>
      <c r="I24" s="141">
        <v>45502</v>
      </c>
      <c r="J24" s="141">
        <v>45502</v>
      </c>
      <c r="K24" s="151">
        <v>45516</v>
      </c>
      <c r="L24" s="151"/>
      <c r="M24" s="151">
        <v>45516</v>
      </c>
      <c r="N24" s="257">
        <v>45516</v>
      </c>
    </row>
    <row r="25" spans="1:15" s="131" customFormat="1">
      <c r="A25" s="200">
        <f t="shared" ref="A25:A32" si="1">A24+1</f>
        <v>23</v>
      </c>
      <c r="B25" s="450" t="s">
        <v>1020</v>
      </c>
      <c r="C25" s="449">
        <f>4898.588/1000</f>
        <v>4.8985880000000002</v>
      </c>
      <c r="D25" s="141">
        <v>45434</v>
      </c>
      <c r="E25" s="141">
        <v>45442</v>
      </c>
      <c r="F25" s="141">
        <v>45449</v>
      </c>
      <c r="G25" s="141" t="s">
        <v>1017</v>
      </c>
      <c r="H25" s="141">
        <v>45502</v>
      </c>
      <c r="I25" s="141">
        <v>45502</v>
      </c>
      <c r="J25" s="141">
        <v>45502</v>
      </c>
      <c r="K25" s="151">
        <v>45516</v>
      </c>
      <c r="L25" s="151"/>
      <c r="M25" s="151">
        <v>45516</v>
      </c>
      <c r="N25" s="257">
        <v>45516</v>
      </c>
    </row>
    <row r="26" spans="1:15" s="131" customFormat="1">
      <c r="A26" s="200">
        <f t="shared" si="1"/>
        <v>24</v>
      </c>
      <c r="B26" s="450" t="s">
        <v>1021</v>
      </c>
      <c r="C26" s="449">
        <f>6661.82/1000</f>
        <v>6.6618199999999996</v>
      </c>
      <c r="D26" s="141">
        <v>45434</v>
      </c>
      <c r="E26" s="141">
        <v>45442</v>
      </c>
      <c r="F26" s="141">
        <v>45449</v>
      </c>
      <c r="G26" s="141" t="s">
        <v>1017</v>
      </c>
      <c r="H26" s="141">
        <v>45502</v>
      </c>
      <c r="I26" s="141">
        <v>45502</v>
      </c>
      <c r="J26" s="141">
        <v>45502</v>
      </c>
      <c r="K26" s="151">
        <v>45516</v>
      </c>
      <c r="L26" s="151"/>
      <c r="M26" s="151">
        <v>45516</v>
      </c>
      <c r="N26" s="257">
        <v>45516</v>
      </c>
    </row>
    <row r="27" spans="1:15" s="131" customFormat="1">
      <c r="A27" s="200">
        <f t="shared" si="1"/>
        <v>25</v>
      </c>
      <c r="B27" s="450" t="s">
        <v>1022</v>
      </c>
      <c r="C27" s="449">
        <f>5079.983/1000</f>
        <v>5.0799830000000004</v>
      </c>
      <c r="D27" s="141">
        <v>45434</v>
      </c>
      <c r="E27" s="141">
        <v>45442</v>
      </c>
      <c r="F27" s="141">
        <v>45449</v>
      </c>
      <c r="G27" s="141" t="s">
        <v>1018</v>
      </c>
      <c r="H27" s="141">
        <v>45502</v>
      </c>
      <c r="I27" s="141">
        <v>45502</v>
      </c>
      <c r="J27" s="141">
        <v>45502</v>
      </c>
      <c r="K27" s="151">
        <v>45551</v>
      </c>
      <c r="L27" s="151"/>
      <c r="M27" s="151">
        <v>45551</v>
      </c>
      <c r="N27" s="257">
        <v>45551</v>
      </c>
    </row>
    <row r="28" spans="1:15" s="131" customFormat="1">
      <c r="A28" s="200">
        <f t="shared" si="1"/>
        <v>26</v>
      </c>
      <c r="B28" s="450" t="s">
        <v>1093</v>
      </c>
      <c r="C28" s="449">
        <v>4.1630000000000003</v>
      </c>
      <c r="D28" s="141">
        <v>45434</v>
      </c>
      <c r="E28" s="141">
        <v>45442</v>
      </c>
      <c r="F28" s="141">
        <v>45449</v>
      </c>
      <c r="G28" s="141" t="s">
        <v>1018</v>
      </c>
      <c r="H28" s="141">
        <v>45502</v>
      </c>
      <c r="I28" s="141">
        <v>45502</v>
      </c>
      <c r="J28" s="141">
        <v>45502</v>
      </c>
      <c r="K28" s="151">
        <v>45583</v>
      </c>
      <c r="L28" s="151"/>
      <c r="M28" s="151">
        <v>45583</v>
      </c>
      <c r="N28" s="257">
        <v>45583</v>
      </c>
    </row>
    <row r="29" spans="1:15" s="131" customFormat="1">
      <c r="A29" s="200">
        <f t="shared" si="1"/>
        <v>27</v>
      </c>
      <c r="B29" s="450" t="s">
        <v>1094</v>
      </c>
      <c r="C29" s="449">
        <v>4.7169999999999996</v>
      </c>
      <c r="D29" s="141">
        <v>45434</v>
      </c>
      <c r="E29" s="141">
        <v>45442</v>
      </c>
      <c r="F29" s="141">
        <v>45449</v>
      </c>
      <c r="G29" s="141" t="s">
        <v>1018</v>
      </c>
      <c r="H29" s="141">
        <v>45502</v>
      </c>
      <c r="I29" s="141">
        <v>45502</v>
      </c>
      <c r="J29" s="141">
        <v>45502</v>
      </c>
      <c r="K29" s="151">
        <v>45597</v>
      </c>
      <c r="L29" s="151"/>
      <c r="M29" s="151">
        <v>45597</v>
      </c>
      <c r="N29" s="257">
        <v>45597</v>
      </c>
    </row>
    <row r="30" spans="1:15" s="131" customFormat="1">
      <c r="A30" s="200">
        <f t="shared" si="1"/>
        <v>28</v>
      </c>
      <c r="B30" s="450" t="s">
        <v>771</v>
      </c>
      <c r="C30" s="449">
        <f>5026.525/1000</f>
        <v>5.0265249999999995</v>
      </c>
      <c r="D30" s="141">
        <v>45434</v>
      </c>
      <c r="E30" s="141">
        <v>45442</v>
      </c>
      <c r="F30" s="141">
        <v>45449</v>
      </c>
      <c r="G30" s="141" t="s">
        <v>1019</v>
      </c>
      <c r="H30" s="141">
        <v>45502</v>
      </c>
      <c r="I30" s="141">
        <v>45502</v>
      </c>
      <c r="J30" s="141">
        <v>45502</v>
      </c>
      <c r="K30" s="151">
        <v>45597</v>
      </c>
      <c r="L30" s="151"/>
      <c r="M30" s="151">
        <v>45597</v>
      </c>
      <c r="N30" s="257">
        <v>45597</v>
      </c>
      <c r="O30" s="587"/>
    </row>
    <row r="31" spans="1:15" s="131" customFormat="1">
      <c r="A31" s="200">
        <f t="shared" si="1"/>
        <v>29</v>
      </c>
      <c r="B31" s="450" t="s">
        <v>772</v>
      </c>
      <c r="C31" s="449">
        <f>5944.083/1000</f>
        <v>5.944083</v>
      </c>
      <c r="D31" s="141">
        <v>45434</v>
      </c>
      <c r="E31" s="141">
        <v>45442</v>
      </c>
      <c r="F31" s="141">
        <v>45449</v>
      </c>
      <c r="G31" s="141" t="s">
        <v>1019</v>
      </c>
      <c r="H31" s="141">
        <v>45502</v>
      </c>
      <c r="I31" s="141">
        <v>45502</v>
      </c>
      <c r="J31" s="141">
        <v>45502</v>
      </c>
      <c r="K31" s="151">
        <v>45597</v>
      </c>
      <c r="L31" s="151"/>
      <c r="M31" s="151">
        <v>45597</v>
      </c>
      <c r="N31" s="257">
        <v>45597</v>
      </c>
    </row>
    <row r="32" spans="1:15" ht="18" customHeight="1">
      <c r="A32" s="200">
        <f t="shared" si="1"/>
        <v>30</v>
      </c>
      <c r="B32" s="450" t="s">
        <v>1273</v>
      </c>
      <c r="C32" s="138">
        <f>2591.68/1000</f>
        <v>2.5916799999999998</v>
      </c>
      <c r="D32" s="141">
        <v>45708</v>
      </c>
      <c r="E32" s="141">
        <v>45708</v>
      </c>
      <c r="F32" s="141">
        <v>45708</v>
      </c>
      <c r="G32" s="141">
        <v>45708</v>
      </c>
      <c r="H32" s="141">
        <v>45708</v>
      </c>
      <c r="I32" s="141">
        <v>45708</v>
      </c>
      <c r="J32" s="141">
        <v>45708</v>
      </c>
      <c r="K32" s="151">
        <v>45708</v>
      </c>
      <c r="L32" s="151"/>
      <c r="M32" s="151">
        <v>45708</v>
      </c>
      <c r="N32" s="257">
        <v>45708</v>
      </c>
    </row>
    <row r="33" spans="1:14" s="131" customFormat="1">
      <c r="A33" s="200"/>
      <c r="B33" s="130" t="s">
        <v>385</v>
      </c>
      <c r="C33" s="138">
        <f>SUM(C3:C32)</f>
        <v>117.51302799999999</v>
      </c>
      <c r="D33" s="266">
        <f t="shared" ref="D33:J33" si="2">SUMIF(D3:D32,"&lt;&gt;",$C$3:$C$32)</f>
        <v>117.51302799999999</v>
      </c>
      <c r="E33" s="266">
        <f t="shared" si="2"/>
        <v>117.51302799999999</v>
      </c>
      <c r="F33" s="266">
        <f t="shared" si="2"/>
        <v>117.51302799999999</v>
      </c>
      <c r="G33" s="266">
        <f t="shared" si="2"/>
        <v>117.51302799999999</v>
      </c>
      <c r="H33" s="266">
        <f t="shared" si="2"/>
        <v>117.51302799999999</v>
      </c>
      <c r="I33" s="266">
        <f t="shared" si="2"/>
        <v>117.51302799999999</v>
      </c>
      <c r="J33" s="266">
        <f t="shared" si="2"/>
        <v>117.51302799999999</v>
      </c>
      <c r="K33" s="302">
        <f>SUMIF(K4:K32,"&lt;&gt;",$C$4:$C$32)</f>
        <v>116.74087399999999</v>
      </c>
      <c r="L33" s="302">
        <f>SUMIF(L4:L32,"&lt;&gt;",$C$4:$C$32)</f>
        <v>14.426703999999999</v>
      </c>
      <c r="M33" s="302">
        <f>SUMIF(M4:M32,"&lt;&gt;",$C$4:$C$32)</f>
        <v>116.74087399999999</v>
      </c>
      <c r="N33" s="301">
        <f>SUMIF(N4:N32,"&lt;&gt;",$C$4:$C$32)</f>
        <v>114.17801399999999</v>
      </c>
    </row>
    <row r="34" spans="1:14" s="131" customFormat="1" ht="15" thickBot="1">
      <c r="A34" s="258"/>
      <c r="B34" s="259" t="s">
        <v>0</v>
      </c>
      <c r="C34" s="22"/>
      <c r="D34" s="260">
        <f t="shared" ref="D34:J34" si="3">$D$33-D33</f>
        <v>0</v>
      </c>
      <c r="E34" s="260">
        <f t="shared" si="3"/>
        <v>0</v>
      </c>
      <c r="F34" s="260">
        <f t="shared" si="3"/>
        <v>0</v>
      </c>
      <c r="G34" s="260">
        <f t="shared" si="3"/>
        <v>0</v>
      </c>
      <c r="H34" s="260">
        <f t="shared" si="3"/>
        <v>0</v>
      </c>
      <c r="I34" s="260">
        <f t="shared" si="3"/>
        <v>0</v>
      </c>
      <c r="J34" s="260">
        <f t="shared" si="3"/>
        <v>0</v>
      </c>
      <c r="K34" s="261">
        <f>$D$33-K33</f>
        <v>0.77215400000000045</v>
      </c>
      <c r="L34" s="261">
        <f>$D$33-L33</f>
        <v>103.08632399999999</v>
      </c>
      <c r="M34" s="261">
        <f>$D$33-M33</f>
        <v>0.77215400000000045</v>
      </c>
      <c r="N34" s="262">
        <f>$D$33-N33</f>
        <v>3.335014000000001</v>
      </c>
    </row>
    <row r="35" spans="1:14">
      <c r="K35" s="152"/>
      <c r="L35" s="152"/>
      <c r="M35" s="152"/>
      <c r="N35" s="152"/>
    </row>
    <row r="36" spans="1:14">
      <c r="I36" s="33" t="s">
        <v>843</v>
      </c>
      <c r="J36" s="131">
        <f>I33-J33</f>
        <v>0</v>
      </c>
      <c r="K36" s="152"/>
      <c r="L36" s="152"/>
      <c r="M36" s="183" t="s">
        <v>843</v>
      </c>
      <c r="N36" s="601">
        <f>M33-N33</f>
        <v>2.5628600000000006</v>
      </c>
    </row>
    <row r="37" spans="1:14">
      <c r="G37" s="154"/>
      <c r="H37" s="154"/>
      <c r="K37" s="67"/>
      <c r="L37" s="67"/>
      <c r="M37" s="67"/>
      <c r="N37" s="67"/>
    </row>
    <row r="38" spans="1:14">
      <c r="C38" s="2">
        <v>2.2829999999999999</v>
      </c>
      <c r="G38" s="154"/>
      <c r="H38" s="154"/>
      <c r="K38" s="67"/>
      <c r="L38" s="67"/>
      <c r="M38" s="67"/>
      <c r="N38" s="67"/>
    </row>
    <row r="39" spans="1:14">
      <c r="K39" s="67"/>
      <c r="L39" s="67"/>
      <c r="M39" s="67"/>
      <c r="N39" s="67"/>
    </row>
    <row r="40" spans="1:14">
      <c r="K40" s="67"/>
      <c r="L40" s="67"/>
      <c r="M40" s="67"/>
      <c r="N40" s="67"/>
    </row>
    <row r="41" spans="1:14">
      <c r="K41" s="67"/>
      <c r="L41" s="67"/>
      <c r="M41" s="67"/>
      <c r="N41" s="67"/>
    </row>
    <row r="42" spans="1:14">
      <c r="K42" s="67"/>
      <c r="L42" s="67"/>
      <c r="M42" s="67"/>
      <c r="N42" s="67"/>
    </row>
    <row r="43" spans="1:14">
      <c r="K43" s="67"/>
      <c r="L43" s="67"/>
      <c r="M43" s="67"/>
      <c r="N43" s="67"/>
    </row>
    <row r="44" spans="1:14">
      <c r="K44" s="67"/>
      <c r="L44" s="67"/>
      <c r="M44" s="67"/>
      <c r="N44" s="67"/>
    </row>
    <row r="45" spans="1:14">
      <c r="K45" s="67"/>
      <c r="L45" s="67"/>
      <c r="M45" s="67"/>
      <c r="N45" s="67"/>
    </row>
    <row r="46" spans="1:14">
      <c r="K46" s="67"/>
      <c r="L46" s="67"/>
      <c r="M46" s="67"/>
      <c r="N46" s="67"/>
    </row>
    <row r="47" spans="1:14">
      <c r="K47" s="67"/>
      <c r="L47" s="67"/>
      <c r="M47" s="67"/>
      <c r="N47" s="67"/>
    </row>
    <row r="48" spans="1:14">
      <c r="K48" s="67"/>
      <c r="L48" s="67"/>
      <c r="M48" s="67"/>
      <c r="N48" s="67"/>
    </row>
    <row r="49" spans="11:14">
      <c r="K49" s="67"/>
      <c r="L49" s="67"/>
      <c r="M49" s="67"/>
      <c r="N49" s="67"/>
    </row>
    <row r="50" spans="11:14">
      <c r="K50" s="67"/>
      <c r="L50" s="67"/>
      <c r="M50" s="67"/>
      <c r="N50" s="67"/>
    </row>
    <row r="51" spans="11:14">
      <c r="K51" s="67"/>
      <c r="L51" s="67"/>
      <c r="M51" s="67"/>
      <c r="N51" s="67"/>
    </row>
    <row r="52" spans="11:14">
      <c r="K52" s="67"/>
      <c r="L52" s="67"/>
      <c r="M52" s="67"/>
      <c r="N52" s="67"/>
    </row>
    <row r="53" spans="11:14">
      <c r="K53" s="67"/>
      <c r="L53" s="67"/>
      <c r="M53" s="67"/>
      <c r="N53" s="67"/>
    </row>
    <row r="54" spans="11:14">
      <c r="K54" s="67"/>
      <c r="L54" s="67"/>
      <c r="M54" s="67"/>
      <c r="N54" s="67"/>
    </row>
    <row r="55" spans="11:14">
      <c r="K55" s="67"/>
      <c r="L55" s="67"/>
      <c r="M55" s="67"/>
      <c r="N55" s="67"/>
    </row>
    <row r="56" spans="11:14">
      <c r="K56" s="67"/>
      <c r="L56" s="67"/>
      <c r="M56" s="67"/>
      <c r="N56" s="67"/>
    </row>
    <row r="57" spans="11:14">
      <c r="K57" s="67"/>
      <c r="L57" s="67"/>
      <c r="M57" s="67"/>
      <c r="N57" s="67"/>
    </row>
    <row r="58" spans="11:14">
      <c r="K58" s="67"/>
      <c r="L58" s="67"/>
      <c r="M58" s="67"/>
      <c r="N58" s="67"/>
    </row>
    <row r="59" spans="11:14">
      <c r="K59" s="67"/>
      <c r="L59" s="67"/>
      <c r="M59" s="67"/>
      <c r="N59" s="67"/>
    </row>
    <row r="60" spans="11:14">
      <c r="K60" s="67"/>
      <c r="L60" s="67"/>
      <c r="M60" s="67"/>
      <c r="N60" s="67"/>
    </row>
    <row r="61" spans="11:14">
      <c r="K61" s="67"/>
      <c r="L61" s="67"/>
      <c r="M61" s="67"/>
      <c r="N61" s="67"/>
    </row>
    <row r="62" spans="11:14">
      <c r="K62" s="67"/>
      <c r="L62" s="67"/>
      <c r="M62" s="67"/>
      <c r="N62" s="67"/>
    </row>
    <row r="63" spans="11:14">
      <c r="K63" s="67"/>
      <c r="L63" s="67"/>
      <c r="M63" s="67"/>
      <c r="N63" s="67"/>
    </row>
    <row r="64" spans="11:14">
      <c r="K64" s="67"/>
      <c r="L64" s="67"/>
      <c r="M64" s="67"/>
      <c r="N64" s="67"/>
    </row>
    <row r="65" spans="11:14">
      <c r="K65" s="67"/>
      <c r="L65" s="67"/>
      <c r="M65" s="67"/>
      <c r="N65" s="67"/>
    </row>
    <row r="66" spans="11:14">
      <c r="K66" s="67"/>
      <c r="L66" s="67"/>
      <c r="M66" s="67"/>
      <c r="N66" s="67"/>
    </row>
    <row r="67" spans="11:14">
      <c r="K67" s="67"/>
      <c r="L67" s="67"/>
      <c r="M67" s="67"/>
      <c r="N67" s="67"/>
    </row>
    <row r="68" spans="11:14">
      <c r="K68" s="67"/>
      <c r="L68" s="67"/>
      <c r="M68" s="67"/>
      <c r="N68" s="67"/>
    </row>
    <row r="69" spans="11:14">
      <c r="K69" s="67"/>
      <c r="L69" s="67"/>
      <c r="M69" s="67"/>
      <c r="N69" s="67"/>
    </row>
    <row r="70" spans="11:14">
      <c r="K70" s="67"/>
      <c r="L70" s="67"/>
      <c r="M70" s="67"/>
      <c r="N70" s="67"/>
    </row>
    <row r="71" spans="11:14">
      <c r="K71" s="67"/>
      <c r="L71" s="67"/>
      <c r="M71" s="67"/>
      <c r="N71" s="67"/>
    </row>
    <row r="72" spans="11:14">
      <c r="K72" s="67"/>
      <c r="L72" s="67"/>
      <c r="M72" s="67"/>
      <c r="N72" s="67"/>
    </row>
    <row r="73" spans="11:14">
      <c r="K73" s="67"/>
      <c r="L73" s="67"/>
      <c r="M73" s="67"/>
      <c r="N73" s="67"/>
    </row>
    <row r="74" spans="11:14">
      <c r="K74" s="67"/>
      <c r="L74" s="67"/>
      <c r="M74" s="67"/>
      <c r="N74" s="67"/>
    </row>
    <row r="75" spans="11:14">
      <c r="K75" s="67"/>
      <c r="L75" s="67"/>
      <c r="M75" s="67"/>
      <c r="N75" s="67"/>
    </row>
    <row r="76" spans="11:14">
      <c r="K76" s="67"/>
      <c r="L76" s="67"/>
      <c r="M76" s="67"/>
      <c r="N76" s="67"/>
    </row>
    <row r="77" spans="11:14">
      <c r="K77" s="67"/>
      <c r="L77" s="67"/>
      <c r="M77" s="67"/>
      <c r="N77" s="67"/>
    </row>
    <row r="78" spans="11:14">
      <c r="K78" s="67"/>
      <c r="L78" s="67"/>
      <c r="M78" s="67"/>
      <c r="N78" s="67"/>
    </row>
    <row r="79" spans="11:14">
      <c r="K79" s="67"/>
      <c r="L79" s="67"/>
      <c r="M79" s="67"/>
      <c r="N79" s="67"/>
    </row>
    <row r="80" spans="11:14">
      <c r="K80" s="67"/>
      <c r="L80" s="67"/>
      <c r="M80" s="67"/>
      <c r="N80" s="67"/>
    </row>
    <row r="81" spans="11:14">
      <c r="K81" s="67"/>
      <c r="L81" s="67"/>
      <c r="M81" s="67"/>
      <c r="N81" s="67"/>
    </row>
    <row r="82" spans="11:14">
      <c r="K82" s="67"/>
      <c r="L82" s="67"/>
      <c r="M82" s="67"/>
      <c r="N82" s="67"/>
    </row>
    <row r="83" spans="11:14">
      <c r="K83" s="67"/>
      <c r="L83" s="67"/>
      <c r="M83" s="67"/>
      <c r="N83" s="67"/>
    </row>
    <row r="84" spans="11:14">
      <c r="K84" s="67"/>
      <c r="L84" s="67"/>
      <c r="M84" s="67"/>
      <c r="N84" s="67"/>
    </row>
    <row r="85" spans="11:14">
      <c r="K85" s="67"/>
      <c r="L85" s="67"/>
      <c r="M85" s="67"/>
      <c r="N85" s="67"/>
    </row>
    <row r="86" spans="11:14">
      <c r="K86" s="67"/>
      <c r="L86" s="67"/>
      <c r="M86" s="67"/>
      <c r="N86" s="67"/>
    </row>
    <row r="87" spans="11:14">
      <c r="K87" s="67"/>
      <c r="L87" s="67"/>
      <c r="M87" s="67"/>
      <c r="N87" s="67"/>
    </row>
    <row r="88" spans="11:14">
      <c r="K88" s="67"/>
      <c r="L88" s="67"/>
      <c r="M88" s="67"/>
      <c r="N88" s="67"/>
    </row>
    <row r="89" spans="11:14">
      <c r="K89" s="67"/>
      <c r="L89" s="67"/>
      <c r="M89" s="67"/>
      <c r="N89" s="67"/>
    </row>
    <row r="90" spans="11:14">
      <c r="K90" s="67"/>
      <c r="L90" s="67"/>
      <c r="M90" s="67"/>
      <c r="N90" s="67"/>
    </row>
    <row r="91" spans="11:14">
      <c r="K91" s="67"/>
      <c r="L91" s="67"/>
      <c r="M91" s="67"/>
      <c r="N91" s="67"/>
    </row>
    <row r="92" spans="11:14">
      <c r="K92" s="67"/>
      <c r="L92" s="67"/>
      <c r="M92" s="67"/>
      <c r="N92" s="67"/>
    </row>
    <row r="93" spans="11:14">
      <c r="K93" s="67"/>
      <c r="L93" s="67"/>
      <c r="M93" s="67"/>
      <c r="N93" s="67"/>
    </row>
    <row r="94" spans="11:14">
      <c r="K94" s="67"/>
      <c r="L94" s="67"/>
      <c r="M94" s="67"/>
      <c r="N94" s="67"/>
    </row>
    <row r="95" spans="11:14">
      <c r="K95" s="67"/>
      <c r="L95" s="67"/>
      <c r="M95" s="67"/>
      <c r="N95" s="67"/>
    </row>
    <row r="96" spans="11:14">
      <c r="K96" s="67"/>
      <c r="L96" s="67"/>
      <c r="M96" s="67"/>
      <c r="N96" s="67"/>
    </row>
    <row r="97" spans="11:14">
      <c r="K97" s="67"/>
      <c r="L97" s="67"/>
      <c r="M97" s="67"/>
      <c r="N97" s="67"/>
    </row>
    <row r="98" spans="11:14">
      <c r="K98" s="67"/>
      <c r="L98" s="67"/>
      <c r="M98" s="67"/>
      <c r="N98" s="67"/>
    </row>
    <row r="99" spans="11:14">
      <c r="K99" s="67"/>
      <c r="L99" s="67"/>
      <c r="M99" s="67"/>
      <c r="N99" s="67"/>
    </row>
    <row r="100" spans="11:14">
      <c r="K100" s="67"/>
      <c r="L100" s="67"/>
      <c r="M100" s="67"/>
      <c r="N100" s="67"/>
    </row>
    <row r="101" spans="11:14">
      <c r="K101" s="67"/>
      <c r="L101" s="67"/>
      <c r="M101" s="67"/>
      <c r="N101" s="67"/>
    </row>
    <row r="102" spans="11:14">
      <c r="K102" s="67"/>
      <c r="L102" s="67"/>
      <c r="M102" s="67"/>
      <c r="N102" s="67"/>
    </row>
    <row r="103" spans="11:14">
      <c r="K103" s="67"/>
      <c r="L103" s="67"/>
      <c r="M103" s="67"/>
      <c r="N103" s="67"/>
    </row>
    <row r="104" spans="11:14">
      <c r="K104" s="67"/>
      <c r="L104" s="67"/>
      <c r="M104" s="67"/>
      <c r="N104" s="67"/>
    </row>
    <row r="105" spans="11:14">
      <c r="K105" s="67"/>
      <c r="L105" s="67"/>
      <c r="M105" s="67"/>
      <c r="N105" s="67"/>
    </row>
    <row r="106" spans="11:14">
      <c r="K106" s="67"/>
      <c r="L106" s="67"/>
      <c r="M106" s="67"/>
      <c r="N106" s="67"/>
    </row>
    <row r="107" spans="11:14">
      <c r="K107" s="67"/>
      <c r="L107" s="67"/>
      <c r="M107" s="67"/>
      <c r="N107" s="67"/>
    </row>
    <row r="108" spans="11:14">
      <c r="K108" s="67"/>
      <c r="L108" s="67"/>
      <c r="M108" s="67"/>
      <c r="N108" s="67"/>
    </row>
    <row r="109" spans="11:14">
      <c r="K109" s="67"/>
      <c r="L109" s="67"/>
      <c r="M109" s="67"/>
      <c r="N109" s="67"/>
    </row>
    <row r="110" spans="11:14">
      <c r="K110" s="67"/>
      <c r="L110" s="67"/>
      <c r="M110" s="67"/>
      <c r="N110" s="67"/>
    </row>
    <row r="111" spans="11:14">
      <c r="K111" s="67"/>
      <c r="L111" s="67"/>
      <c r="M111" s="67"/>
      <c r="N111" s="67"/>
    </row>
    <row r="112" spans="11:14">
      <c r="K112" s="67"/>
      <c r="L112" s="67"/>
      <c r="M112" s="67"/>
      <c r="N112" s="67"/>
    </row>
    <row r="113" spans="11:14">
      <c r="K113" s="67"/>
      <c r="L113" s="67"/>
      <c r="M113" s="67"/>
      <c r="N113" s="67"/>
    </row>
    <row r="114" spans="11:14">
      <c r="K114" s="67"/>
      <c r="L114" s="67"/>
      <c r="M114" s="67"/>
      <c r="N114" s="67"/>
    </row>
    <row r="115" spans="11:14">
      <c r="K115" s="67"/>
      <c r="L115" s="67"/>
      <c r="M115" s="67"/>
      <c r="N115" s="67"/>
    </row>
    <row r="116" spans="11:14">
      <c r="K116" s="67"/>
      <c r="L116" s="67"/>
      <c r="M116" s="67"/>
      <c r="N116" s="67"/>
    </row>
    <row r="117" spans="11:14">
      <c r="K117" s="67"/>
      <c r="L117" s="67"/>
      <c r="M117" s="67"/>
      <c r="N117" s="67"/>
    </row>
    <row r="118" spans="11:14">
      <c r="K118" s="67"/>
      <c r="L118" s="67"/>
      <c r="M118" s="67"/>
      <c r="N118" s="67"/>
    </row>
    <row r="119" spans="11:14">
      <c r="K119" s="67"/>
      <c r="L119" s="67"/>
      <c r="M119" s="67"/>
      <c r="N119" s="67"/>
    </row>
    <row r="120" spans="11:14">
      <c r="K120" s="67"/>
      <c r="L120" s="67"/>
      <c r="M120" s="67"/>
      <c r="N120" s="67"/>
    </row>
    <row r="121" spans="11:14">
      <c r="K121" s="67"/>
      <c r="L121" s="67"/>
      <c r="M121" s="67"/>
      <c r="N121" s="67"/>
    </row>
    <row r="122" spans="11:14">
      <c r="K122" s="67"/>
      <c r="L122" s="67"/>
      <c r="M122" s="67"/>
      <c r="N122" s="67"/>
    </row>
    <row r="123" spans="11:14">
      <c r="K123" s="67"/>
      <c r="L123" s="67"/>
      <c r="M123" s="67"/>
      <c r="N123" s="67"/>
    </row>
    <row r="124" spans="11:14">
      <c r="K124" s="67"/>
      <c r="L124" s="67"/>
      <c r="M124" s="67"/>
      <c r="N124" s="67"/>
    </row>
    <row r="125" spans="11:14">
      <c r="K125" s="67"/>
      <c r="L125" s="67"/>
      <c r="M125" s="67"/>
      <c r="N125" s="67"/>
    </row>
    <row r="126" spans="11:14">
      <c r="K126" s="67"/>
      <c r="L126" s="67"/>
      <c r="M126" s="67"/>
      <c r="N126" s="67"/>
    </row>
    <row r="127" spans="11:14">
      <c r="K127" s="67"/>
      <c r="L127" s="67"/>
      <c r="M127" s="67"/>
      <c r="N127" s="67"/>
    </row>
    <row r="128" spans="11:14">
      <c r="K128" s="67"/>
      <c r="L128" s="67"/>
      <c r="M128" s="67"/>
      <c r="N128" s="67"/>
    </row>
    <row r="129" spans="11:14">
      <c r="K129" s="67"/>
      <c r="L129" s="67"/>
      <c r="M129" s="67"/>
      <c r="N129" s="67"/>
    </row>
    <row r="130" spans="11:14">
      <c r="K130" s="67"/>
      <c r="L130" s="67"/>
      <c r="M130" s="67"/>
      <c r="N130" s="67"/>
    </row>
    <row r="131" spans="11:14">
      <c r="K131" s="67"/>
      <c r="L131" s="67"/>
      <c r="M131" s="67"/>
      <c r="N131" s="67"/>
    </row>
    <row r="132" spans="11:14">
      <c r="K132" s="67"/>
      <c r="L132" s="67"/>
      <c r="M132" s="67"/>
      <c r="N132" s="67"/>
    </row>
    <row r="133" spans="11:14">
      <c r="K133" s="67"/>
      <c r="L133" s="67"/>
      <c r="M133" s="67"/>
      <c r="N133" s="67"/>
    </row>
    <row r="134" spans="11:14">
      <c r="K134" s="67"/>
      <c r="L134" s="67"/>
      <c r="M134" s="67"/>
      <c r="N134" s="67"/>
    </row>
    <row r="135" spans="11:14">
      <c r="K135" s="67"/>
      <c r="L135" s="67"/>
      <c r="M135" s="67"/>
      <c r="N135" s="67"/>
    </row>
    <row r="136" spans="11:14">
      <c r="K136" s="67"/>
      <c r="L136" s="67"/>
      <c r="M136" s="67"/>
      <c r="N136" s="67"/>
    </row>
    <row r="137" spans="11:14">
      <c r="K137" s="67"/>
      <c r="L137" s="67"/>
      <c r="M137" s="67"/>
      <c r="N137" s="67"/>
    </row>
    <row r="138" spans="11:14">
      <c r="K138" s="67"/>
      <c r="L138" s="67"/>
      <c r="M138" s="67"/>
      <c r="N138" s="67"/>
    </row>
    <row r="139" spans="11:14">
      <c r="K139" s="67"/>
      <c r="L139" s="67"/>
      <c r="M139" s="67"/>
      <c r="N139" s="67"/>
    </row>
    <row r="140" spans="11:14">
      <c r="K140" s="67"/>
      <c r="L140" s="67"/>
      <c r="M140" s="67"/>
      <c r="N140" s="67"/>
    </row>
    <row r="141" spans="11:14">
      <c r="K141" s="67"/>
      <c r="L141" s="67"/>
      <c r="M141" s="67"/>
      <c r="N141" s="67"/>
    </row>
    <row r="142" spans="11:14">
      <c r="K142" s="67"/>
      <c r="L142" s="67"/>
      <c r="M142" s="67"/>
      <c r="N142" s="67"/>
    </row>
    <row r="143" spans="11:14">
      <c r="K143" s="67"/>
      <c r="L143" s="67"/>
      <c r="M143" s="67"/>
      <c r="N143" s="67"/>
    </row>
    <row r="144" spans="11:14">
      <c r="K144" s="67"/>
      <c r="L144" s="67"/>
      <c r="M144" s="67"/>
      <c r="N144" s="67"/>
    </row>
    <row r="145" spans="11:14">
      <c r="K145" s="67"/>
      <c r="L145" s="67"/>
      <c r="M145" s="67"/>
      <c r="N145" s="67"/>
    </row>
    <row r="146" spans="11:14">
      <c r="K146" s="67"/>
      <c r="L146" s="67"/>
      <c r="M146" s="67"/>
      <c r="N146" s="67"/>
    </row>
    <row r="147" spans="11:14">
      <c r="K147" s="67"/>
      <c r="L147" s="67"/>
      <c r="M147" s="67"/>
      <c r="N147" s="67"/>
    </row>
    <row r="148" spans="11:14">
      <c r="K148" s="67"/>
      <c r="L148" s="67"/>
      <c r="M148" s="67"/>
      <c r="N148" s="67"/>
    </row>
    <row r="149" spans="11:14">
      <c r="K149" s="67"/>
      <c r="L149" s="67"/>
      <c r="M149" s="67"/>
      <c r="N149" s="67"/>
    </row>
    <row r="150" spans="11:14">
      <c r="K150" s="67"/>
      <c r="L150" s="67"/>
      <c r="M150" s="67"/>
      <c r="N150" s="67"/>
    </row>
    <row r="151" spans="11:14">
      <c r="K151" s="67"/>
      <c r="L151" s="67"/>
      <c r="M151" s="67"/>
      <c r="N151" s="67"/>
    </row>
    <row r="152" spans="11:14">
      <c r="K152" s="67"/>
      <c r="L152" s="67"/>
      <c r="M152" s="67"/>
      <c r="N152" s="67"/>
    </row>
    <row r="153" spans="11:14">
      <c r="K153" s="67"/>
      <c r="L153" s="67"/>
      <c r="M153" s="67"/>
      <c r="N153" s="67"/>
    </row>
    <row r="154" spans="11:14">
      <c r="K154" s="67"/>
      <c r="L154" s="67"/>
      <c r="M154" s="67"/>
      <c r="N154" s="67"/>
    </row>
    <row r="155" spans="11:14">
      <c r="K155" s="67"/>
      <c r="L155" s="67"/>
      <c r="M155" s="67"/>
      <c r="N155" s="67"/>
    </row>
    <row r="156" spans="11:14">
      <c r="K156" s="67"/>
      <c r="L156" s="67"/>
      <c r="M156" s="67"/>
      <c r="N156" s="67"/>
    </row>
    <row r="157" spans="11:14">
      <c r="K157" s="67"/>
      <c r="L157" s="67"/>
      <c r="M157" s="67"/>
      <c r="N157" s="67"/>
    </row>
    <row r="158" spans="11:14">
      <c r="K158" s="67"/>
      <c r="L158" s="67"/>
      <c r="M158" s="67"/>
      <c r="N158" s="67"/>
    </row>
    <row r="159" spans="11:14">
      <c r="K159" s="67"/>
      <c r="L159" s="67"/>
      <c r="M159" s="67"/>
      <c r="N159" s="67"/>
    </row>
    <row r="160" spans="11:14">
      <c r="K160" s="67"/>
      <c r="L160" s="67"/>
      <c r="M160" s="67"/>
      <c r="N160" s="67"/>
    </row>
    <row r="161" spans="11:14">
      <c r="K161" s="67"/>
      <c r="L161" s="67"/>
      <c r="M161" s="67"/>
      <c r="N161" s="67"/>
    </row>
    <row r="162" spans="11:14">
      <c r="K162" s="67"/>
      <c r="L162" s="67"/>
      <c r="M162" s="67"/>
      <c r="N162" s="67"/>
    </row>
    <row r="163" spans="11:14">
      <c r="K163" s="67"/>
      <c r="L163" s="67"/>
      <c r="M163" s="67"/>
      <c r="N163" s="67"/>
    </row>
    <row r="164" spans="11:14">
      <c r="K164" s="67"/>
      <c r="L164" s="67"/>
      <c r="M164" s="67"/>
      <c r="N164" s="67"/>
    </row>
    <row r="165" spans="11:14">
      <c r="K165" s="67"/>
      <c r="L165" s="67"/>
      <c r="M165" s="67"/>
      <c r="N165" s="67"/>
    </row>
    <row r="166" spans="11:14">
      <c r="K166" s="67"/>
      <c r="L166" s="67"/>
      <c r="M166" s="67"/>
      <c r="N166" s="67"/>
    </row>
    <row r="167" spans="11:14">
      <c r="K167" s="67"/>
      <c r="L167" s="67"/>
      <c r="M167" s="67"/>
      <c r="N167" s="67"/>
    </row>
    <row r="168" spans="11:14">
      <c r="K168" s="67"/>
      <c r="L168" s="67"/>
      <c r="M168" s="67"/>
      <c r="N168" s="67"/>
    </row>
    <row r="169" spans="11:14">
      <c r="K169" s="67"/>
      <c r="L169" s="67"/>
      <c r="M169" s="67"/>
      <c r="N169" s="67"/>
    </row>
    <row r="170" spans="11:14">
      <c r="K170" s="67"/>
      <c r="L170" s="67"/>
      <c r="M170" s="67"/>
      <c r="N170" s="67"/>
    </row>
    <row r="171" spans="11:14">
      <c r="K171" s="67"/>
      <c r="L171" s="67"/>
      <c r="M171" s="67"/>
      <c r="N171" s="67"/>
    </row>
    <row r="172" spans="11:14">
      <c r="K172" s="67"/>
      <c r="L172" s="67"/>
      <c r="M172" s="67"/>
      <c r="N172" s="67"/>
    </row>
    <row r="173" spans="11:14">
      <c r="K173" s="67"/>
      <c r="L173" s="67"/>
      <c r="M173" s="67"/>
      <c r="N173" s="67"/>
    </row>
    <row r="174" spans="11:14">
      <c r="K174" s="67"/>
      <c r="L174" s="67"/>
      <c r="M174" s="67"/>
      <c r="N174" s="67"/>
    </row>
    <row r="175" spans="11:14">
      <c r="K175" s="67"/>
      <c r="L175" s="67"/>
      <c r="M175" s="67"/>
      <c r="N175" s="67"/>
    </row>
    <row r="176" spans="11:14">
      <c r="K176" s="67"/>
      <c r="L176" s="67"/>
      <c r="M176" s="67"/>
      <c r="N176" s="67"/>
    </row>
    <row r="177" spans="11:14">
      <c r="K177" s="67"/>
      <c r="L177" s="67"/>
      <c r="M177" s="67"/>
      <c r="N177" s="67"/>
    </row>
    <row r="178" spans="11:14">
      <c r="K178" s="67"/>
      <c r="L178" s="67"/>
      <c r="M178" s="67"/>
      <c r="N178" s="67"/>
    </row>
    <row r="179" spans="11:14">
      <c r="K179" s="67"/>
      <c r="L179" s="67"/>
      <c r="M179" s="67"/>
      <c r="N179" s="67"/>
    </row>
    <row r="180" spans="11:14">
      <c r="K180" s="67"/>
      <c r="L180" s="67"/>
      <c r="M180" s="67"/>
      <c r="N180" s="67"/>
    </row>
    <row r="181" spans="11:14">
      <c r="K181" s="67"/>
      <c r="L181" s="67"/>
      <c r="M181" s="67"/>
      <c r="N181" s="67"/>
    </row>
    <row r="182" spans="11:14">
      <c r="K182" s="67"/>
      <c r="L182" s="67"/>
      <c r="M182" s="67"/>
      <c r="N182" s="67"/>
    </row>
    <row r="183" spans="11:14">
      <c r="K183" s="67"/>
      <c r="L183" s="67"/>
      <c r="M183" s="67"/>
      <c r="N183" s="67"/>
    </row>
    <row r="184" spans="11:14">
      <c r="K184" s="67"/>
      <c r="L184" s="67"/>
      <c r="M184" s="67"/>
      <c r="N184" s="67"/>
    </row>
    <row r="185" spans="11:14">
      <c r="K185" s="67"/>
      <c r="L185" s="67"/>
      <c r="M185" s="67"/>
      <c r="N185" s="67"/>
    </row>
    <row r="186" spans="11:14">
      <c r="K186" s="67"/>
      <c r="L186" s="67"/>
      <c r="M186" s="67"/>
      <c r="N186" s="67"/>
    </row>
    <row r="187" spans="11:14">
      <c r="K187" s="67"/>
      <c r="L187" s="67"/>
      <c r="M187" s="67"/>
      <c r="N187" s="67"/>
    </row>
    <row r="188" spans="11:14">
      <c r="K188" s="67"/>
      <c r="L188" s="67"/>
      <c r="M188" s="67"/>
      <c r="N188" s="67"/>
    </row>
    <row r="189" spans="11:14">
      <c r="K189" s="67"/>
      <c r="L189" s="67"/>
      <c r="M189" s="67"/>
      <c r="N189" s="67"/>
    </row>
    <row r="190" spans="11:14">
      <c r="K190" s="67"/>
      <c r="L190" s="67"/>
      <c r="M190" s="67"/>
      <c r="N190" s="67"/>
    </row>
    <row r="191" spans="11:14">
      <c r="K191" s="67"/>
      <c r="L191" s="67"/>
      <c r="M191" s="67"/>
      <c r="N191" s="67"/>
    </row>
    <row r="192" spans="11:14">
      <c r="K192" s="67"/>
      <c r="L192" s="67"/>
      <c r="M192" s="67"/>
      <c r="N192" s="67"/>
    </row>
    <row r="193" spans="11:14">
      <c r="K193" s="67"/>
      <c r="L193" s="67"/>
      <c r="M193" s="67"/>
      <c r="N193" s="67"/>
    </row>
    <row r="194" spans="11:14">
      <c r="K194" s="67"/>
      <c r="L194" s="67"/>
      <c r="M194" s="67"/>
      <c r="N194" s="67"/>
    </row>
    <row r="195" spans="11:14">
      <c r="K195" s="67"/>
      <c r="L195" s="67"/>
      <c r="M195" s="67"/>
      <c r="N195" s="67"/>
    </row>
    <row r="196" spans="11:14">
      <c r="K196" s="67"/>
      <c r="L196" s="67"/>
      <c r="M196" s="67"/>
      <c r="N196" s="67"/>
    </row>
    <row r="197" spans="11:14">
      <c r="K197" s="67"/>
      <c r="L197" s="67"/>
      <c r="M197" s="67"/>
      <c r="N197" s="67"/>
    </row>
    <row r="198" spans="11:14">
      <c r="K198" s="67"/>
      <c r="L198" s="67"/>
      <c r="M198" s="67"/>
      <c r="N198" s="67"/>
    </row>
    <row r="199" spans="11:14">
      <c r="K199" s="67"/>
      <c r="L199" s="67"/>
      <c r="M199" s="67"/>
      <c r="N199" s="67"/>
    </row>
    <row r="200" spans="11:14">
      <c r="K200" s="67"/>
      <c r="L200" s="67"/>
      <c r="M200" s="67"/>
      <c r="N200" s="67"/>
    </row>
    <row r="201" spans="11:14">
      <c r="K201" s="67"/>
      <c r="L201" s="67"/>
      <c r="M201" s="67"/>
      <c r="N201" s="67"/>
    </row>
    <row r="202" spans="11:14">
      <c r="K202" s="67"/>
      <c r="L202" s="67"/>
      <c r="M202" s="67"/>
      <c r="N202" s="67"/>
    </row>
    <row r="203" spans="11:14">
      <c r="K203" s="67"/>
      <c r="L203" s="67"/>
      <c r="M203" s="67"/>
      <c r="N203" s="67"/>
    </row>
    <row r="204" spans="11:14">
      <c r="K204" s="67"/>
      <c r="L204" s="67"/>
      <c r="M204" s="67"/>
      <c r="N204" s="67"/>
    </row>
    <row r="205" spans="11:14">
      <c r="K205" s="67"/>
      <c r="L205" s="67"/>
      <c r="M205" s="67"/>
      <c r="N205" s="67"/>
    </row>
    <row r="206" spans="11:14">
      <c r="K206" s="67"/>
      <c r="L206" s="67"/>
      <c r="M206" s="67"/>
      <c r="N206" s="67"/>
    </row>
    <row r="207" spans="11:14">
      <c r="K207" s="67"/>
      <c r="L207" s="67"/>
      <c r="M207" s="67"/>
      <c r="N207" s="67"/>
    </row>
    <row r="208" spans="11:14">
      <c r="K208" s="67"/>
      <c r="L208" s="67"/>
      <c r="M208" s="67"/>
      <c r="N208" s="67"/>
    </row>
    <row r="209" spans="11:14">
      <c r="K209" s="67"/>
      <c r="L209" s="67"/>
      <c r="M209" s="67"/>
      <c r="N209" s="67"/>
    </row>
    <row r="210" spans="11:14">
      <c r="K210" s="67"/>
      <c r="L210" s="67"/>
      <c r="M210" s="67"/>
      <c r="N210" s="67"/>
    </row>
    <row r="211" spans="11:14">
      <c r="K211" s="67"/>
      <c r="L211" s="67"/>
      <c r="M211" s="67"/>
      <c r="N211" s="67"/>
    </row>
    <row r="212" spans="11:14">
      <c r="K212" s="67"/>
      <c r="L212" s="67"/>
      <c r="M212" s="67"/>
      <c r="N212" s="67"/>
    </row>
    <row r="213" spans="11:14">
      <c r="K213" s="67"/>
      <c r="L213" s="67"/>
      <c r="M213" s="67"/>
      <c r="N213" s="67"/>
    </row>
    <row r="214" spans="11:14">
      <c r="K214" s="67"/>
      <c r="L214" s="67"/>
      <c r="M214" s="67"/>
      <c r="N214" s="67"/>
    </row>
    <row r="215" spans="11:14">
      <c r="K215" s="67"/>
      <c r="L215" s="67"/>
      <c r="M215" s="67"/>
      <c r="N215" s="67"/>
    </row>
    <row r="216" spans="11:14">
      <c r="K216" s="67"/>
      <c r="L216" s="67"/>
      <c r="M216" s="67"/>
      <c r="N216" s="67"/>
    </row>
    <row r="217" spans="11:14">
      <c r="K217" s="67"/>
      <c r="L217" s="67"/>
      <c r="M217" s="67"/>
      <c r="N217" s="67"/>
    </row>
    <row r="218" spans="11:14">
      <c r="K218" s="67"/>
      <c r="L218" s="67"/>
      <c r="M218" s="67"/>
      <c r="N218" s="67"/>
    </row>
    <row r="219" spans="11:14">
      <c r="K219" s="67"/>
      <c r="L219" s="67"/>
      <c r="M219" s="67"/>
      <c r="N219" s="67"/>
    </row>
    <row r="220" spans="11:14">
      <c r="K220" s="67"/>
      <c r="L220" s="67"/>
      <c r="M220" s="67"/>
      <c r="N220" s="67"/>
    </row>
    <row r="221" spans="11:14">
      <c r="K221" s="67"/>
      <c r="L221" s="67"/>
      <c r="M221" s="67"/>
      <c r="N221" s="67"/>
    </row>
    <row r="222" spans="11:14">
      <c r="K222" s="67"/>
      <c r="L222" s="67"/>
      <c r="M222" s="67"/>
      <c r="N222" s="67"/>
    </row>
    <row r="223" spans="11:14">
      <c r="K223" s="67"/>
      <c r="L223" s="67"/>
      <c r="M223" s="67"/>
      <c r="N223" s="67"/>
    </row>
    <row r="224" spans="11:14">
      <c r="K224" s="67"/>
      <c r="L224" s="67"/>
      <c r="M224" s="67"/>
      <c r="N224" s="67"/>
    </row>
    <row r="225" spans="11:14">
      <c r="K225" s="67"/>
      <c r="L225" s="67"/>
      <c r="M225" s="67"/>
      <c r="N225" s="67"/>
    </row>
    <row r="226" spans="11:14">
      <c r="K226" s="67"/>
      <c r="L226" s="67"/>
      <c r="M226" s="67"/>
      <c r="N226" s="67"/>
    </row>
    <row r="227" spans="11:14">
      <c r="K227" s="67"/>
      <c r="L227" s="67"/>
      <c r="M227" s="67"/>
      <c r="N227" s="67"/>
    </row>
    <row r="228" spans="11:14">
      <c r="K228" s="67"/>
      <c r="L228" s="67"/>
      <c r="M228" s="67"/>
      <c r="N228" s="67"/>
    </row>
    <row r="229" spans="11:14">
      <c r="K229" s="67"/>
      <c r="L229" s="67"/>
      <c r="M229" s="67"/>
      <c r="N229" s="67"/>
    </row>
    <row r="230" spans="11:14">
      <c r="K230" s="67"/>
      <c r="L230" s="67"/>
      <c r="M230" s="67"/>
      <c r="N230" s="67"/>
    </row>
    <row r="231" spans="11:14">
      <c r="K231" s="67"/>
      <c r="L231" s="67"/>
      <c r="M231" s="67"/>
      <c r="N231" s="67"/>
    </row>
    <row r="232" spans="11:14">
      <c r="K232" s="67"/>
      <c r="L232" s="67"/>
      <c r="M232" s="67"/>
      <c r="N232" s="67"/>
    </row>
    <row r="233" spans="11:14">
      <c r="K233" s="67"/>
      <c r="L233" s="67"/>
      <c r="M233" s="67"/>
      <c r="N233" s="67"/>
    </row>
    <row r="234" spans="11:14">
      <c r="K234" s="67"/>
      <c r="L234" s="67"/>
      <c r="M234" s="67"/>
      <c r="N234" s="67"/>
    </row>
    <row r="235" spans="11:14">
      <c r="K235" s="67"/>
      <c r="L235" s="67"/>
      <c r="M235" s="67"/>
      <c r="N235" s="67"/>
    </row>
    <row r="236" spans="11:14">
      <c r="K236" s="67"/>
      <c r="L236" s="67"/>
      <c r="M236" s="67"/>
      <c r="N236" s="67"/>
    </row>
    <row r="237" spans="11:14">
      <c r="K237" s="67"/>
      <c r="L237" s="67"/>
      <c r="M237" s="67"/>
      <c r="N237" s="67"/>
    </row>
    <row r="238" spans="11:14">
      <c r="K238" s="67"/>
      <c r="L238" s="67"/>
      <c r="M238" s="67"/>
      <c r="N238" s="67"/>
    </row>
    <row r="239" spans="11:14">
      <c r="K239" s="67"/>
      <c r="L239" s="67"/>
      <c r="M239" s="67"/>
      <c r="N239" s="67"/>
    </row>
    <row r="240" spans="11:14">
      <c r="K240" s="67"/>
      <c r="L240" s="67"/>
      <c r="M240" s="67"/>
      <c r="N240" s="67"/>
    </row>
    <row r="241" spans="11:14">
      <c r="K241" s="67"/>
      <c r="L241" s="67"/>
      <c r="M241" s="67"/>
      <c r="N241" s="67"/>
    </row>
    <row r="242" spans="11:14">
      <c r="K242" s="67"/>
      <c r="L242" s="67"/>
      <c r="M242" s="67"/>
      <c r="N242" s="67"/>
    </row>
    <row r="243" spans="11:14">
      <c r="K243" s="67"/>
      <c r="L243" s="67"/>
      <c r="M243" s="67"/>
      <c r="N243" s="67"/>
    </row>
    <row r="244" spans="11:14">
      <c r="K244" s="67"/>
      <c r="L244" s="67"/>
      <c r="M244" s="67"/>
      <c r="N244" s="67"/>
    </row>
    <row r="245" spans="11:14">
      <c r="K245" s="67"/>
      <c r="L245" s="67"/>
      <c r="M245" s="67"/>
      <c r="N245" s="67"/>
    </row>
    <row r="246" spans="11:14">
      <c r="K246" s="67"/>
      <c r="L246" s="67"/>
      <c r="M246" s="67"/>
      <c r="N246" s="67"/>
    </row>
    <row r="247" spans="11:14">
      <c r="K247" s="67"/>
      <c r="L247" s="67"/>
      <c r="M247" s="67"/>
      <c r="N247" s="67"/>
    </row>
    <row r="248" spans="11:14">
      <c r="K248" s="67"/>
      <c r="L248" s="67"/>
      <c r="M248" s="67"/>
      <c r="N248" s="67"/>
    </row>
    <row r="249" spans="11:14">
      <c r="K249" s="67"/>
      <c r="L249" s="67"/>
      <c r="M249" s="67"/>
      <c r="N249" s="67"/>
    </row>
    <row r="250" spans="11:14">
      <c r="K250" s="67"/>
      <c r="L250" s="67"/>
      <c r="M250" s="67"/>
      <c r="N250" s="67"/>
    </row>
    <row r="251" spans="11:14">
      <c r="K251" s="67"/>
      <c r="L251" s="67"/>
      <c r="M251" s="67"/>
      <c r="N251" s="67"/>
    </row>
    <row r="252" spans="11:14">
      <c r="K252" s="67"/>
      <c r="L252" s="67"/>
      <c r="M252" s="67"/>
      <c r="N252" s="67"/>
    </row>
    <row r="253" spans="11:14">
      <c r="K253" s="67"/>
      <c r="L253" s="67"/>
      <c r="M253" s="67"/>
      <c r="N253" s="67"/>
    </row>
    <row r="254" spans="11:14">
      <c r="K254" s="67"/>
      <c r="L254" s="67"/>
      <c r="M254" s="67"/>
      <c r="N254" s="67"/>
    </row>
    <row r="255" spans="11:14">
      <c r="K255" s="67"/>
      <c r="L255" s="67"/>
      <c r="M255" s="67"/>
      <c r="N255" s="67"/>
    </row>
    <row r="256" spans="11:14">
      <c r="K256" s="67"/>
      <c r="L256" s="67"/>
      <c r="M256" s="67"/>
      <c r="N256" s="67"/>
    </row>
    <row r="257" spans="11:14">
      <c r="K257" s="67"/>
      <c r="L257" s="67"/>
      <c r="M257" s="67"/>
      <c r="N257" s="67"/>
    </row>
    <row r="258" spans="11:14">
      <c r="K258" s="67"/>
      <c r="L258" s="67"/>
      <c r="M258" s="67"/>
      <c r="N258" s="67"/>
    </row>
    <row r="259" spans="11:14">
      <c r="K259" s="67"/>
      <c r="L259" s="67"/>
      <c r="M259" s="67"/>
      <c r="N259" s="67"/>
    </row>
    <row r="260" spans="11:14">
      <c r="K260" s="67"/>
      <c r="L260" s="67"/>
      <c r="M260" s="67"/>
      <c r="N260" s="67"/>
    </row>
    <row r="261" spans="11:14">
      <c r="K261" s="67"/>
      <c r="L261" s="67"/>
      <c r="M261" s="67"/>
      <c r="N261" s="67"/>
    </row>
    <row r="262" spans="11:14">
      <c r="K262" s="67"/>
      <c r="L262" s="67"/>
      <c r="M262" s="67"/>
      <c r="N262" s="67"/>
    </row>
    <row r="263" spans="11:14">
      <c r="K263" s="67"/>
      <c r="L263" s="67"/>
      <c r="M263" s="67"/>
      <c r="N263" s="67"/>
    </row>
    <row r="264" spans="11:14">
      <c r="K264" s="67"/>
      <c r="L264" s="67"/>
      <c r="M264" s="67"/>
      <c r="N264" s="67"/>
    </row>
    <row r="265" spans="11:14">
      <c r="K265" s="67"/>
      <c r="L265" s="67"/>
      <c r="M265" s="67"/>
      <c r="N265" s="67"/>
    </row>
    <row r="266" spans="11:14">
      <c r="K266" s="67"/>
      <c r="L266" s="67"/>
      <c r="M266" s="67"/>
      <c r="N266" s="67"/>
    </row>
    <row r="267" spans="11:14">
      <c r="K267" s="67"/>
      <c r="L267" s="67"/>
      <c r="M267" s="67"/>
      <c r="N267" s="67"/>
    </row>
    <row r="268" spans="11:14">
      <c r="K268" s="67"/>
      <c r="L268" s="67"/>
      <c r="M268" s="67"/>
      <c r="N268" s="67"/>
    </row>
    <row r="269" spans="11:14">
      <c r="K269" s="67"/>
      <c r="L269" s="67"/>
      <c r="M269" s="67"/>
      <c r="N269" s="67"/>
    </row>
    <row r="270" spans="11:14">
      <c r="K270" s="67"/>
      <c r="L270" s="67"/>
      <c r="M270" s="67"/>
      <c r="N270" s="67"/>
    </row>
    <row r="271" spans="11:14">
      <c r="K271" s="67"/>
      <c r="L271" s="67"/>
      <c r="M271" s="67"/>
      <c r="N271" s="67"/>
    </row>
    <row r="272" spans="11:14">
      <c r="K272" s="67"/>
      <c r="L272" s="67"/>
      <c r="M272" s="67"/>
      <c r="N272" s="67"/>
    </row>
    <row r="273" spans="11:14">
      <c r="K273" s="67"/>
      <c r="L273" s="67"/>
      <c r="M273" s="67"/>
      <c r="N273" s="67"/>
    </row>
    <row r="274" spans="11:14">
      <c r="K274" s="67"/>
      <c r="L274" s="67"/>
      <c r="M274" s="67"/>
      <c r="N274" s="67"/>
    </row>
    <row r="275" spans="11:14">
      <c r="K275" s="67"/>
      <c r="L275" s="67"/>
      <c r="M275" s="67"/>
      <c r="N275" s="67"/>
    </row>
    <row r="276" spans="11:14">
      <c r="K276" s="67"/>
      <c r="L276" s="67"/>
      <c r="M276" s="67"/>
      <c r="N276" s="67"/>
    </row>
    <row r="277" spans="11:14">
      <c r="K277" s="67"/>
      <c r="L277" s="67"/>
      <c r="M277" s="67"/>
      <c r="N277" s="67"/>
    </row>
    <row r="278" spans="11:14">
      <c r="K278" s="67"/>
      <c r="L278" s="67"/>
      <c r="M278" s="67"/>
      <c r="N278" s="67"/>
    </row>
    <row r="279" spans="11:14">
      <c r="K279" s="67"/>
      <c r="L279" s="67"/>
      <c r="M279" s="67"/>
      <c r="N279" s="67"/>
    </row>
    <row r="280" spans="11:14">
      <c r="K280" s="67"/>
      <c r="L280" s="67"/>
      <c r="M280" s="67"/>
      <c r="N280" s="67"/>
    </row>
    <row r="281" spans="11:14">
      <c r="K281" s="67"/>
      <c r="L281" s="67"/>
      <c r="M281" s="67"/>
      <c r="N281" s="67"/>
    </row>
    <row r="282" spans="11:14">
      <c r="K282" s="67"/>
      <c r="L282" s="67"/>
      <c r="M282" s="67"/>
      <c r="N282" s="67"/>
    </row>
    <row r="283" spans="11:14">
      <c r="K283" s="67"/>
      <c r="L283" s="67"/>
      <c r="M283" s="67"/>
      <c r="N283" s="67"/>
    </row>
    <row r="284" spans="11:14">
      <c r="K284" s="67"/>
      <c r="L284" s="67"/>
      <c r="M284" s="67"/>
      <c r="N284" s="67"/>
    </row>
    <row r="285" spans="11:14">
      <c r="K285" s="67"/>
      <c r="L285" s="67"/>
      <c r="M285" s="67"/>
      <c r="N285" s="67"/>
    </row>
    <row r="286" spans="11:14">
      <c r="K286" s="67"/>
      <c r="L286" s="67"/>
      <c r="M286" s="67"/>
      <c r="N286" s="67"/>
    </row>
    <row r="287" spans="11:14">
      <c r="K287" s="67"/>
      <c r="L287" s="67"/>
      <c r="M287" s="67"/>
      <c r="N287" s="67"/>
    </row>
    <row r="288" spans="11:14">
      <c r="K288" s="67"/>
      <c r="L288" s="67"/>
      <c r="M288" s="67"/>
      <c r="N288" s="67"/>
    </row>
    <row r="289" spans="11:14">
      <c r="K289" s="67"/>
      <c r="L289" s="67"/>
      <c r="M289" s="67"/>
      <c r="N289" s="67"/>
    </row>
    <row r="290" spans="11:14">
      <c r="K290" s="67"/>
      <c r="L290" s="67"/>
      <c r="M290" s="67"/>
      <c r="N290" s="67"/>
    </row>
    <row r="291" spans="11:14">
      <c r="K291" s="67"/>
      <c r="L291" s="67"/>
      <c r="M291" s="67"/>
      <c r="N291" s="67"/>
    </row>
    <row r="292" spans="11:14">
      <c r="K292" s="67"/>
      <c r="L292" s="67"/>
      <c r="M292" s="67"/>
      <c r="N292" s="67"/>
    </row>
    <row r="293" spans="11:14">
      <c r="K293" s="67"/>
      <c r="L293" s="67"/>
      <c r="M293" s="67"/>
      <c r="N293" s="67"/>
    </row>
    <row r="294" spans="11:14">
      <c r="K294" s="67"/>
      <c r="L294" s="67"/>
      <c r="M294" s="67"/>
      <c r="N294" s="67"/>
    </row>
    <row r="295" spans="11:14">
      <c r="K295" s="67"/>
      <c r="L295" s="67"/>
      <c r="M295" s="67"/>
      <c r="N295" s="67"/>
    </row>
    <row r="296" spans="11:14">
      <c r="K296" s="67"/>
      <c r="L296" s="67"/>
      <c r="M296" s="67"/>
      <c r="N296" s="67"/>
    </row>
    <row r="297" spans="11:14">
      <c r="K297" s="67"/>
      <c r="L297" s="67"/>
      <c r="M297" s="67"/>
      <c r="N297" s="67"/>
    </row>
    <row r="298" spans="11:14">
      <c r="K298" s="67"/>
      <c r="L298" s="67"/>
      <c r="M298" s="67"/>
      <c r="N298" s="67"/>
    </row>
    <row r="299" spans="11:14">
      <c r="K299" s="67"/>
      <c r="L299" s="67"/>
      <c r="M299" s="67"/>
      <c r="N299" s="67"/>
    </row>
    <row r="300" spans="11:14">
      <c r="K300" s="67"/>
      <c r="L300" s="67"/>
      <c r="M300" s="67"/>
      <c r="N300" s="67"/>
    </row>
    <row r="301" spans="11:14">
      <c r="K301" s="67"/>
      <c r="L301" s="67"/>
      <c r="M301" s="67"/>
      <c r="N301" s="67"/>
    </row>
    <row r="302" spans="11:14">
      <c r="K302" s="67"/>
      <c r="L302" s="67"/>
      <c r="M302" s="67"/>
      <c r="N302" s="67"/>
    </row>
    <row r="303" spans="11:14">
      <c r="K303" s="67"/>
      <c r="L303" s="67"/>
      <c r="M303" s="67"/>
      <c r="N303" s="67"/>
    </row>
    <row r="304" spans="11:14">
      <c r="K304" s="67"/>
      <c r="L304" s="67"/>
      <c r="M304" s="67"/>
      <c r="N304" s="67"/>
    </row>
    <row r="305" spans="11:14">
      <c r="K305" s="67"/>
      <c r="L305" s="67"/>
      <c r="M305" s="67"/>
      <c r="N305" s="67"/>
    </row>
    <row r="306" spans="11:14">
      <c r="K306" s="67"/>
      <c r="L306" s="67"/>
      <c r="M306" s="67"/>
      <c r="N306" s="67"/>
    </row>
    <row r="307" spans="11:14">
      <c r="K307" s="67"/>
      <c r="L307" s="67"/>
      <c r="M307" s="67"/>
      <c r="N307" s="67"/>
    </row>
    <row r="308" spans="11:14">
      <c r="K308" s="67"/>
      <c r="L308" s="67"/>
      <c r="M308" s="67"/>
      <c r="N308" s="67"/>
    </row>
    <row r="309" spans="11:14">
      <c r="K309" s="67"/>
      <c r="L309" s="67"/>
      <c r="M309" s="67"/>
      <c r="N309" s="67"/>
    </row>
    <row r="310" spans="11:14">
      <c r="K310" s="67"/>
      <c r="L310" s="67"/>
      <c r="M310" s="67"/>
      <c r="N310" s="67"/>
    </row>
    <row r="311" spans="11:14">
      <c r="K311" s="67"/>
      <c r="L311" s="67"/>
      <c r="M311" s="67"/>
      <c r="N311" s="67"/>
    </row>
    <row r="312" spans="11:14">
      <c r="K312" s="67"/>
      <c r="L312" s="67"/>
      <c r="M312" s="67"/>
      <c r="N312" s="67"/>
    </row>
    <row r="313" spans="11:14">
      <c r="K313" s="67"/>
      <c r="L313" s="67"/>
      <c r="M313" s="67"/>
      <c r="N313" s="67"/>
    </row>
    <row r="314" spans="11:14">
      <c r="K314" s="67"/>
      <c r="L314" s="67"/>
      <c r="M314" s="67"/>
      <c r="N314" s="67"/>
    </row>
    <row r="315" spans="11:14">
      <c r="K315" s="67"/>
      <c r="L315" s="67"/>
      <c r="M315" s="67"/>
      <c r="N315" s="67"/>
    </row>
    <row r="316" spans="11:14">
      <c r="K316" s="67"/>
      <c r="L316" s="67"/>
      <c r="M316" s="67"/>
      <c r="N316" s="67"/>
    </row>
    <row r="317" spans="11:14">
      <c r="K317" s="67"/>
      <c r="L317" s="67"/>
      <c r="M317" s="67"/>
      <c r="N317" s="67"/>
    </row>
    <row r="318" spans="11:14">
      <c r="K318" s="67"/>
      <c r="L318" s="67"/>
      <c r="M318" s="67"/>
      <c r="N318" s="67"/>
    </row>
    <row r="319" spans="11:14">
      <c r="K319" s="67"/>
      <c r="L319" s="67"/>
      <c r="M319" s="67"/>
      <c r="N319" s="67"/>
    </row>
    <row r="320" spans="11:14">
      <c r="K320" s="67"/>
      <c r="L320" s="67"/>
      <c r="M320" s="67"/>
      <c r="N320" s="67"/>
    </row>
    <row r="321" spans="11:14">
      <c r="K321" s="67"/>
      <c r="L321" s="67"/>
      <c r="M321" s="67"/>
      <c r="N321" s="67"/>
    </row>
    <row r="322" spans="11:14">
      <c r="K322" s="67"/>
      <c r="L322" s="67"/>
      <c r="M322" s="67"/>
      <c r="N322" s="67"/>
    </row>
    <row r="323" spans="11:14">
      <c r="K323" s="67"/>
      <c r="L323" s="67"/>
      <c r="M323" s="67"/>
      <c r="N323" s="67"/>
    </row>
    <row r="324" spans="11:14">
      <c r="K324" s="67"/>
      <c r="L324" s="67"/>
      <c r="M324" s="67"/>
      <c r="N324" s="67"/>
    </row>
    <row r="325" spans="11:14">
      <c r="K325" s="67"/>
      <c r="L325" s="67"/>
      <c r="M325" s="67"/>
      <c r="N325" s="67"/>
    </row>
    <row r="326" spans="11:14">
      <c r="K326" s="67"/>
      <c r="L326" s="67"/>
      <c r="M326" s="67"/>
      <c r="N326" s="67"/>
    </row>
    <row r="327" spans="11:14">
      <c r="K327" s="67"/>
      <c r="L327" s="67"/>
      <c r="M327" s="67"/>
      <c r="N327" s="67"/>
    </row>
    <row r="328" spans="11:14">
      <c r="K328" s="67"/>
      <c r="L328" s="67"/>
      <c r="M328" s="67"/>
      <c r="N328" s="67"/>
    </row>
    <row r="329" spans="11:14">
      <c r="K329" s="67"/>
      <c r="L329" s="67"/>
      <c r="M329" s="67"/>
      <c r="N329" s="67"/>
    </row>
    <row r="330" spans="11:14">
      <c r="K330" s="67"/>
      <c r="L330" s="67"/>
      <c r="M330" s="67"/>
      <c r="N330" s="67"/>
    </row>
    <row r="331" spans="11:14">
      <c r="K331" s="67"/>
      <c r="L331" s="67"/>
      <c r="M331" s="67"/>
      <c r="N331" s="67"/>
    </row>
    <row r="332" spans="11:14">
      <c r="K332" s="67"/>
      <c r="L332" s="67"/>
      <c r="M332" s="67"/>
      <c r="N332" s="67"/>
    </row>
    <row r="333" spans="11:14">
      <c r="K333" s="67"/>
      <c r="L333" s="67"/>
      <c r="M333" s="67"/>
      <c r="N333" s="67"/>
    </row>
    <row r="334" spans="11:14">
      <c r="K334" s="67"/>
      <c r="L334" s="67"/>
      <c r="M334" s="67"/>
      <c r="N334" s="67"/>
    </row>
    <row r="335" spans="11:14">
      <c r="K335" s="67"/>
      <c r="L335" s="67"/>
      <c r="M335" s="67"/>
      <c r="N335" s="67"/>
    </row>
    <row r="336" spans="11:14">
      <c r="K336" s="67"/>
      <c r="L336" s="67"/>
      <c r="M336" s="67"/>
      <c r="N336" s="67"/>
    </row>
    <row r="337" spans="11:14">
      <c r="K337" s="67"/>
      <c r="L337" s="67"/>
      <c r="M337" s="67"/>
      <c r="N337" s="67"/>
    </row>
    <row r="338" spans="11:14">
      <c r="K338" s="67"/>
      <c r="L338" s="67"/>
      <c r="M338" s="67"/>
      <c r="N338" s="67"/>
    </row>
    <row r="339" spans="11:14">
      <c r="K339" s="67"/>
      <c r="L339" s="67"/>
      <c r="M339" s="67"/>
      <c r="N339" s="67"/>
    </row>
    <row r="340" spans="11:14">
      <c r="K340" s="67"/>
      <c r="L340" s="67"/>
      <c r="M340" s="67"/>
      <c r="N340" s="67"/>
    </row>
    <row r="341" spans="11:14">
      <c r="K341" s="67"/>
      <c r="L341" s="67"/>
      <c r="M341" s="67"/>
      <c r="N341" s="67"/>
    </row>
    <row r="342" spans="11:14">
      <c r="K342" s="67"/>
      <c r="L342" s="67"/>
      <c r="M342" s="67"/>
      <c r="N342" s="67"/>
    </row>
    <row r="343" spans="11:14">
      <c r="K343" s="67"/>
      <c r="L343" s="67"/>
      <c r="M343" s="67"/>
      <c r="N343" s="67"/>
    </row>
    <row r="344" spans="11:14">
      <c r="K344" s="67"/>
      <c r="L344" s="67"/>
      <c r="M344" s="67"/>
      <c r="N344" s="67"/>
    </row>
    <row r="345" spans="11:14">
      <c r="K345" s="67"/>
      <c r="L345" s="67"/>
      <c r="M345" s="67"/>
      <c r="N345" s="67"/>
    </row>
    <row r="346" spans="11:14">
      <c r="K346" s="67"/>
      <c r="L346" s="67"/>
      <c r="M346" s="67"/>
      <c r="N346" s="67"/>
    </row>
    <row r="347" spans="11:14">
      <c r="K347" s="67"/>
      <c r="L347" s="67"/>
      <c r="M347" s="67"/>
      <c r="N347" s="67"/>
    </row>
    <row r="348" spans="11:14">
      <c r="K348" s="67"/>
      <c r="L348" s="67"/>
      <c r="M348" s="67"/>
      <c r="N348" s="67"/>
    </row>
    <row r="349" spans="11:14">
      <c r="K349" s="67"/>
      <c r="L349" s="67"/>
      <c r="M349" s="67"/>
      <c r="N349" s="67"/>
    </row>
    <row r="350" spans="11:14">
      <c r="K350" s="67"/>
      <c r="L350" s="67"/>
      <c r="M350" s="67"/>
      <c r="N350" s="67"/>
    </row>
    <row r="351" spans="11:14">
      <c r="K351" s="67"/>
      <c r="L351" s="67"/>
      <c r="M351" s="67"/>
      <c r="N351" s="67"/>
    </row>
    <row r="352" spans="11:14">
      <c r="K352" s="67"/>
      <c r="L352" s="67"/>
      <c r="M352" s="67"/>
      <c r="N352" s="67"/>
    </row>
    <row r="353" spans="11:14">
      <c r="K353" s="67"/>
      <c r="L353" s="67"/>
      <c r="M353" s="67"/>
      <c r="N353" s="67"/>
    </row>
    <row r="354" spans="11:14">
      <c r="K354" s="67"/>
      <c r="L354" s="67"/>
      <c r="M354" s="67"/>
      <c r="N354" s="67"/>
    </row>
    <row r="355" spans="11:14">
      <c r="K355" s="67"/>
      <c r="L355" s="67"/>
      <c r="M355" s="67"/>
      <c r="N355" s="67"/>
    </row>
    <row r="356" spans="11:14">
      <c r="K356" s="67"/>
      <c r="L356" s="67"/>
      <c r="M356" s="67"/>
      <c r="N356" s="67"/>
    </row>
    <row r="357" spans="11:14">
      <c r="K357" s="67"/>
      <c r="L357" s="67"/>
      <c r="M357" s="67"/>
      <c r="N357" s="67"/>
    </row>
    <row r="358" spans="11:14">
      <c r="K358" s="67"/>
      <c r="L358" s="67"/>
      <c r="M358" s="67"/>
      <c r="N358" s="67"/>
    </row>
    <row r="359" spans="11:14">
      <c r="K359" s="67"/>
      <c r="L359" s="67"/>
      <c r="M359" s="67"/>
      <c r="N359" s="67"/>
    </row>
    <row r="360" spans="11:14">
      <c r="K360" s="67"/>
      <c r="L360" s="67"/>
      <c r="M360" s="67"/>
      <c r="N360" s="67"/>
    </row>
    <row r="361" spans="11:14">
      <c r="K361" s="67"/>
      <c r="L361" s="67"/>
      <c r="M361" s="67"/>
      <c r="N361" s="67"/>
    </row>
    <row r="362" spans="11:14">
      <c r="K362" s="67"/>
      <c r="L362" s="67"/>
      <c r="M362" s="67"/>
      <c r="N362" s="67"/>
    </row>
    <row r="363" spans="11:14">
      <c r="K363" s="67"/>
      <c r="L363" s="67"/>
      <c r="M363" s="67"/>
      <c r="N363" s="67"/>
    </row>
    <row r="364" spans="11:14">
      <c r="K364" s="67"/>
      <c r="L364" s="67"/>
      <c r="M364" s="67"/>
      <c r="N364" s="67"/>
    </row>
    <row r="365" spans="11:14">
      <c r="K365" s="67"/>
      <c r="L365" s="67"/>
      <c r="M365" s="67"/>
      <c r="N365" s="67"/>
    </row>
    <row r="366" spans="11:14">
      <c r="K366" s="67"/>
      <c r="L366" s="67"/>
      <c r="M366" s="67"/>
      <c r="N366" s="67"/>
    </row>
    <row r="367" spans="11:14">
      <c r="K367" s="67"/>
      <c r="L367" s="67"/>
      <c r="M367" s="67"/>
      <c r="N367" s="67"/>
    </row>
    <row r="368" spans="11:14">
      <c r="K368" s="67"/>
      <c r="L368" s="67"/>
      <c r="M368" s="67"/>
      <c r="N368" s="67"/>
    </row>
    <row r="369" spans="11:14">
      <c r="K369" s="67"/>
      <c r="L369" s="67"/>
      <c r="M369" s="67"/>
      <c r="N369" s="67"/>
    </row>
    <row r="370" spans="11:14">
      <c r="K370" s="67"/>
      <c r="L370" s="67"/>
      <c r="M370" s="67"/>
      <c r="N370" s="67"/>
    </row>
    <row r="371" spans="11:14">
      <c r="K371" s="67"/>
      <c r="L371" s="67"/>
      <c r="M371" s="67"/>
      <c r="N371" s="67"/>
    </row>
    <row r="372" spans="11:14">
      <c r="K372" s="67"/>
      <c r="L372" s="67"/>
      <c r="M372" s="67"/>
      <c r="N372" s="67"/>
    </row>
    <row r="373" spans="11:14">
      <c r="K373" s="67"/>
      <c r="L373" s="67"/>
      <c r="M373" s="67"/>
      <c r="N373" s="67"/>
    </row>
    <row r="374" spans="11:14">
      <c r="K374" s="67"/>
      <c r="L374" s="67"/>
      <c r="M374" s="67"/>
      <c r="N374" s="67"/>
    </row>
    <row r="375" spans="11:14">
      <c r="K375" s="67"/>
      <c r="L375" s="67"/>
      <c r="M375" s="67"/>
      <c r="N375" s="67"/>
    </row>
    <row r="376" spans="11:14">
      <c r="K376" s="67"/>
      <c r="L376" s="67"/>
      <c r="M376" s="67"/>
      <c r="N376" s="67"/>
    </row>
    <row r="377" spans="11:14">
      <c r="K377" s="67"/>
      <c r="L377" s="67"/>
      <c r="M377" s="67"/>
      <c r="N377" s="67"/>
    </row>
    <row r="378" spans="11:14">
      <c r="K378" s="67"/>
      <c r="L378" s="67"/>
      <c r="M378" s="67"/>
      <c r="N378" s="67"/>
    </row>
    <row r="379" spans="11:14">
      <c r="K379" s="67"/>
      <c r="L379" s="67"/>
      <c r="M379" s="67"/>
      <c r="N379" s="67"/>
    </row>
    <row r="380" spans="11:14">
      <c r="K380" s="67"/>
      <c r="L380" s="67"/>
      <c r="M380" s="67"/>
      <c r="N380" s="67"/>
    </row>
    <row r="381" spans="11:14">
      <c r="K381" s="67"/>
      <c r="L381" s="67"/>
      <c r="M381" s="67"/>
      <c r="N381" s="67"/>
    </row>
    <row r="382" spans="11:14">
      <c r="K382" s="67"/>
      <c r="L382" s="67"/>
      <c r="M382" s="67"/>
      <c r="N382" s="67"/>
    </row>
    <row r="383" spans="11:14">
      <c r="K383" s="67"/>
      <c r="L383" s="67"/>
      <c r="M383" s="67"/>
      <c r="N383" s="67"/>
    </row>
    <row r="384" spans="11:14">
      <c r="K384" s="67"/>
      <c r="L384" s="67"/>
      <c r="M384" s="67"/>
      <c r="N384" s="67"/>
    </row>
    <row r="385" spans="11:14">
      <c r="K385" s="67"/>
      <c r="L385" s="67"/>
      <c r="M385" s="67"/>
      <c r="N385" s="67"/>
    </row>
    <row r="386" spans="11:14">
      <c r="K386" s="67"/>
      <c r="L386" s="67"/>
      <c r="M386" s="67"/>
      <c r="N386" s="67"/>
    </row>
    <row r="387" spans="11:14">
      <c r="K387" s="67"/>
      <c r="L387" s="67"/>
      <c r="M387" s="67"/>
      <c r="N387" s="67"/>
    </row>
    <row r="388" spans="11:14">
      <c r="K388" s="67"/>
      <c r="L388" s="67"/>
      <c r="M388" s="67"/>
      <c r="N388" s="67"/>
    </row>
    <row r="389" spans="11:14">
      <c r="K389" s="67"/>
      <c r="L389" s="67"/>
      <c r="M389" s="67"/>
      <c r="N389" s="67"/>
    </row>
    <row r="390" spans="11:14">
      <c r="K390" s="67"/>
      <c r="L390" s="67"/>
      <c r="M390" s="67"/>
      <c r="N390" s="67"/>
    </row>
    <row r="391" spans="11:14">
      <c r="K391" s="67"/>
      <c r="L391" s="67"/>
      <c r="M391" s="67"/>
      <c r="N391" s="67"/>
    </row>
    <row r="392" spans="11:14">
      <c r="K392" s="67"/>
      <c r="L392" s="67"/>
      <c r="M392" s="67"/>
      <c r="N392" s="67"/>
    </row>
    <row r="393" spans="11:14">
      <c r="K393" s="67"/>
      <c r="L393" s="67"/>
      <c r="M393" s="67"/>
      <c r="N393" s="67"/>
    </row>
    <row r="394" spans="11:14">
      <c r="K394" s="67"/>
      <c r="L394" s="67"/>
      <c r="M394" s="67"/>
      <c r="N394" s="67"/>
    </row>
    <row r="395" spans="11:14">
      <c r="K395" s="67"/>
      <c r="L395" s="67"/>
      <c r="M395" s="67"/>
      <c r="N395" s="67"/>
    </row>
    <row r="396" spans="11:14">
      <c r="K396" s="67"/>
      <c r="L396" s="67"/>
      <c r="M396" s="67"/>
      <c r="N396" s="67"/>
    </row>
    <row r="397" spans="11:14">
      <c r="K397" s="67"/>
      <c r="L397" s="67"/>
      <c r="M397" s="67"/>
      <c r="N397" s="67"/>
    </row>
    <row r="398" spans="11:14">
      <c r="K398" s="67"/>
      <c r="L398" s="67"/>
      <c r="M398" s="67"/>
      <c r="N398" s="67"/>
    </row>
    <row r="399" spans="11:14">
      <c r="K399" s="67"/>
      <c r="L399" s="67"/>
      <c r="M399" s="67"/>
      <c r="N399" s="67"/>
    </row>
    <row r="400" spans="11:14">
      <c r="K400" s="67"/>
      <c r="L400" s="67"/>
      <c r="M400" s="67"/>
      <c r="N400" s="67"/>
    </row>
    <row r="401" spans="11:14">
      <c r="K401" s="67"/>
      <c r="L401" s="67"/>
      <c r="M401" s="67"/>
      <c r="N401" s="67"/>
    </row>
    <row r="402" spans="11:14">
      <c r="K402" s="67"/>
      <c r="L402" s="67"/>
      <c r="M402" s="67"/>
      <c r="N402" s="67"/>
    </row>
    <row r="403" spans="11:14">
      <c r="K403" s="67"/>
      <c r="L403" s="67"/>
      <c r="M403" s="67"/>
      <c r="N403" s="67"/>
    </row>
    <row r="404" spans="11:14">
      <c r="K404" s="67"/>
      <c r="L404" s="67"/>
      <c r="M404" s="67"/>
      <c r="N404" s="67"/>
    </row>
    <row r="405" spans="11:14">
      <c r="K405" s="67"/>
      <c r="L405" s="67"/>
      <c r="M405" s="67"/>
      <c r="N405" s="67"/>
    </row>
    <row r="406" spans="11:14">
      <c r="K406" s="67"/>
      <c r="L406" s="67"/>
      <c r="M406" s="67"/>
      <c r="N406" s="67"/>
    </row>
    <row r="407" spans="11:14">
      <c r="K407" s="67"/>
      <c r="L407" s="67"/>
      <c r="M407" s="67"/>
      <c r="N407" s="67"/>
    </row>
    <row r="408" spans="11:14">
      <c r="K408" s="67"/>
      <c r="L408" s="67"/>
      <c r="M408" s="67"/>
      <c r="N408" s="67"/>
    </row>
    <row r="409" spans="11:14">
      <c r="K409" s="67"/>
      <c r="L409" s="67"/>
      <c r="M409" s="67"/>
      <c r="N409" s="67"/>
    </row>
    <row r="410" spans="11:14">
      <c r="K410" s="67"/>
      <c r="L410" s="67"/>
      <c r="M410" s="67"/>
      <c r="N410" s="67"/>
    </row>
    <row r="411" spans="11:14">
      <c r="K411" s="67"/>
      <c r="L411" s="67"/>
      <c r="M411" s="67"/>
      <c r="N411" s="67"/>
    </row>
    <row r="412" spans="11:14">
      <c r="K412" s="67"/>
      <c r="L412" s="67"/>
      <c r="M412" s="67"/>
      <c r="N412" s="67"/>
    </row>
    <row r="413" spans="11:14">
      <c r="K413" s="67"/>
      <c r="L413" s="67"/>
      <c r="M413" s="67"/>
      <c r="N413" s="67"/>
    </row>
    <row r="414" spans="11:14">
      <c r="K414" s="67"/>
      <c r="L414" s="67"/>
      <c r="M414" s="67"/>
      <c r="N414" s="67"/>
    </row>
    <row r="415" spans="11:14">
      <c r="K415" s="67"/>
      <c r="L415" s="67"/>
      <c r="M415" s="67"/>
      <c r="N415" s="67"/>
    </row>
    <row r="416" spans="11:14">
      <c r="K416" s="67"/>
      <c r="L416" s="67"/>
      <c r="M416" s="67"/>
      <c r="N416" s="67"/>
    </row>
    <row r="417" spans="11:14">
      <c r="K417" s="67"/>
      <c r="L417" s="67"/>
      <c r="M417" s="67"/>
      <c r="N417" s="67"/>
    </row>
    <row r="418" spans="11:14">
      <c r="K418" s="67"/>
      <c r="L418" s="67"/>
      <c r="M418" s="67"/>
      <c r="N418" s="67"/>
    </row>
    <row r="419" spans="11:14">
      <c r="K419" s="67"/>
      <c r="L419" s="67"/>
      <c r="M419" s="67"/>
      <c r="N419" s="67"/>
    </row>
    <row r="420" spans="11:14">
      <c r="K420" s="67"/>
      <c r="L420" s="67"/>
      <c r="M420" s="67"/>
      <c r="N420" s="67"/>
    </row>
    <row r="421" spans="11:14">
      <c r="K421" s="67"/>
      <c r="L421" s="67"/>
      <c r="M421" s="67"/>
      <c r="N421" s="67"/>
    </row>
    <row r="422" spans="11:14">
      <c r="K422" s="67"/>
      <c r="L422" s="67"/>
      <c r="M422" s="67"/>
      <c r="N422" s="67"/>
    </row>
    <row r="423" spans="11:14">
      <c r="K423" s="67"/>
      <c r="L423" s="67"/>
      <c r="M423" s="67"/>
      <c r="N423" s="67"/>
    </row>
    <row r="424" spans="11:14">
      <c r="K424" s="67"/>
      <c r="L424" s="67"/>
      <c r="M424" s="67"/>
      <c r="N424" s="67"/>
    </row>
    <row r="425" spans="11:14">
      <c r="K425" s="67"/>
      <c r="L425" s="67"/>
      <c r="M425" s="67"/>
      <c r="N425" s="67"/>
    </row>
    <row r="426" spans="11:14">
      <c r="K426" s="67"/>
      <c r="L426" s="67"/>
      <c r="M426" s="67"/>
      <c r="N426" s="67"/>
    </row>
    <row r="427" spans="11:14">
      <c r="K427" s="67"/>
      <c r="L427" s="67"/>
      <c r="M427" s="67"/>
      <c r="N427" s="67"/>
    </row>
    <row r="428" spans="11:14">
      <c r="K428" s="67"/>
      <c r="L428" s="67"/>
      <c r="M428" s="67"/>
      <c r="N428" s="67"/>
    </row>
    <row r="429" spans="11:14">
      <c r="K429" s="67"/>
      <c r="L429" s="67"/>
      <c r="M429" s="67"/>
      <c r="N429" s="67"/>
    </row>
    <row r="430" spans="11:14">
      <c r="K430" s="67"/>
      <c r="L430" s="67"/>
      <c r="M430" s="67"/>
      <c r="N430" s="67"/>
    </row>
    <row r="431" spans="11:14">
      <c r="K431" s="67"/>
      <c r="L431" s="67"/>
      <c r="M431" s="67"/>
      <c r="N431" s="67"/>
    </row>
    <row r="432" spans="11:14">
      <c r="K432" s="67"/>
      <c r="L432" s="67"/>
      <c r="M432" s="67"/>
      <c r="N432" s="67"/>
    </row>
    <row r="433" spans="11:14">
      <c r="K433" s="67"/>
      <c r="L433" s="67"/>
      <c r="M433" s="67"/>
      <c r="N433" s="67"/>
    </row>
    <row r="434" spans="11:14">
      <c r="K434" s="67"/>
      <c r="L434" s="67"/>
      <c r="M434" s="67"/>
      <c r="N434" s="67"/>
    </row>
    <row r="435" spans="11:14">
      <c r="K435" s="67"/>
      <c r="L435" s="67"/>
      <c r="M435" s="67"/>
      <c r="N435" s="67"/>
    </row>
    <row r="436" spans="11:14">
      <c r="K436" s="67"/>
      <c r="L436" s="67"/>
      <c r="M436" s="67"/>
      <c r="N436" s="67"/>
    </row>
    <row r="437" spans="11:14">
      <c r="K437" s="67"/>
      <c r="L437" s="67"/>
      <c r="M437" s="67"/>
      <c r="N437" s="67"/>
    </row>
    <row r="438" spans="11:14">
      <c r="K438" s="67"/>
      <c r="L438" s="67"/>
      <c r="M438" s="67"/>
      <c r="N438" s="67"/>
    </row>
    <row r="439" spans="11:14">
      <c r="K439" s="67"/>
      <c r="L439" s="67"/>
      <c r="M439" s="67"/>
      <c r="N439" s="67"/>
    </row>
    <row r="440" spans="11:14">
      <c r="K440" s="67"/>
      <c r="L440" s="67"/>
      <c r="M440" s="67"/>
      <c r="N440" s="67"/>
    </row>
    <row r="441" spans="11:14">
      <c r="K441" s="67"/>
      <c r="L441" s="67"/>
      <c r="M441" s="67"/>
      <c r="N441" s="67"/>
    </row>
    <row r="442" spans="11:14">
      <c r="K442" s="67"/>
      <c r="L442" s="67"/>
      <c r="M442" s="67"/>
      <c r="N442" s="67"/>
    </row>
    <row r="443" spans="11:14">
      <c r="K443" s="67"/>
      <c r="L443" s="67"/>
      <c r="M443" s="67"/>
      <c r="N443" s="67"/>
    </row>
    <row r="444" spans="11:14">
      <c r="K444" s="67"/>
      <c r="L444" s="67"/>
      <c r="M444" s="67"/>
      <c r="N444" s="67"/>
    </row>
    <row r="445" spans="11:14">
      <c r="K445" s="67"/>
      <c r="L445" s="67"/>
      <c r="M445" s="67"/>
      <c r="N445" s="67"/>
    </row>
    <row r="446" spans="11:14">
      <c r="K446" s="67"/>
      <c r="L446" s="67"/>
      <c r="M446" s="67"/>
      <c r="N446" s="67"/>
    </row>
    <row r="447" spans="11:14">
      <c r="K447" s="67"/>
      <c r="L447" s="67"/>
      <c r="M447" s="67"/>
      <c r="N447" s="67"/>
    </row>
    <row r="448" spans="11:14">
      <c r="K448" s="67"/>
      <c r="L448" s="67"/>
      <c r="M448" s="67"/>
      <c r="N448" s="67"/>
    </row>
    <row r="449" spans="11:14">
      <c r="K449" s="67"/>
      <c r="L449" s="67"/>
      <c r="M449" s="67"/>
      <c r="N449" s="67"/>
    </row>
    <row r="450" spans="11:14">
      <c r="K450" s="67"/>
      <c r="L450" s="67"/>
      <c r="M450" s="67"/>
      <c r="N450" s="67"/>
    </row>
    <row r="451" spans="11:14">
      <c r="K451" s="67"/>
      <c r="L451" s="67"/>
      <c r="M451" s="67"/>
      <c r="N451" s="67"/>
    </row>
    <row r="452" spans="11:14">
      <c r="K452" s="67"/>
      <c r="L452" s="67"/>
      <c r="M452" s="67"/>
      <c r="N452" s="67"/>
    </row>
    <row r="453" spans="11:14">
      <c r="K453" s="67"/>
      <c r="L453" s="67"/>
      <c r="M453" s="67"/>
      <c r="N453" s="67"/>
    </row>
    <row r="454" spans="11:14">
      <c r="K454" s="67"/>
      <c r="L454" s="67"/>
      <c r="M454" s="67"/>
      <c r="N454" s="67"/>
    </row>
    <row r="455" spans="11:14">
      <c r="K455" s="67"/>
      <c r="L455" s="67"/>
      <c r="M455" s="67"/>
      <c r="N455" s="67"/>
    </row>
    <row r="456" spans="11:14">
      <c r="K456" s="67"/>
      <c r="L456" s="67"/>
      <c r="M456" s="67"/>
      <c r="N456" s="67"/>
    </row>
    <row r="457" spans="11:14">
      <c r="K457" s="67"/>
      <c r="L457" s="67"/>
      <c r="M457" s="67"/>
      <c r="N457" s="67"/>
    </row>
    <row r="458" spans="11:14">
      <c r="K458" s="67"/>
      <c r="L458" s="67"/>
      <c r="M458" s="67"/>
      <c r="N458" s="67"/>
    </row>
    <row r="459" spans="11:14">
      <c r="K459" s="67"/>
      <c r="L459" s="67"/>
      <c r="M459" s="67"/>
      <c r="N459" s="67"/>
    </row>
    <row r="460" spans="11:14">
      <c r="K460" s="67"/>
      <c r="L460" s="67"/>
      <c r="M460" s="67"/>
      <c r="N460" s="67"/>
    </row>
    <row r="461" spans="11:14">
      <c r="K461" s="67"/>
      <c r="L461" s="67"/>
      <c r="M461" s="67"/>
      <c r="N461" s="67"/>
    </row>
    <row r="462" spans="11:14">
      <c r="K462" s="67"/>
      <c r="L462" s="67"/>
      <c r="M462" s="67"/>
      <c r="N462" s="67"/>
    </row>
    <row r="463" spans="11:14">
      <c r="K463" s="67"/>
      <c r="L463" s="67"/>
      <c r="M463" s="67"/>
      <c r="N463" s="67"/>
    </row>
    <row r="464" spans="11:14">
      <c r="K464" s="67"/>
      <c r="L464" s="67"/>
      <c r="M464" s="67"/>
      <c r="N464" s="67"/>
    </row>
    <row r="465" spans="11:14">
      <c r="K465" s="67"/>
      <c r="L465" s="67"/>
      <c r="M465" s="67"/>
      <c r="N465" s="67"/>
    </row>
    <row r="466" spans="11:14">
      <c r="K466" s="67"/>
      <c r="L466" s="67"/>
      <c r="M466" s="67"/>
      <c r="N466" s="67"/>
    </row>
    <row r="467" spans="11:14">
      <c r="K467" s="67"/>
      <c r="L467" s="67"/>
      <c r="M467" s="67"/>
      <c r="N467" s="67"/>
    </row>
    <row r="468" spans="11:14">
      <c r="K468" s="67"/>
      <c r="L468" s="67"/>
      <c r="M468" s="67"/>
      <c r="N468" s="67"/>
    </row>
    <row r="469" spans="11:14">
      <c r="K469" s="67"/>
      <c r="L469" s="67"/>
      <c r="M469" s="67"/>
      <c r="N469" s="67"/>
    </row>
    <row r="470" spans="11:14">
      <c r="K470" s="67"/>
      <c r="L470" s="67"/>
      <c r="M470" s="67"/>
      <c r="N470" s="67"/>
    </row>
    <row r="471" spans="11:14">
      <c r="K471" s="67"/>
      <c r="L471" s="67"/>
      <c r="M471" s="67"/>
      <c r="N471" s="67"/>
    </row>
    <row r="472" spans="11:14">
      <c r="K472" s="67"/>
      <c r="L472" s="67"/>
      <c r="M472" s="67"/>
      <c r="N472" s="67"/>
    </row>
    <row r="473" spans="11:14">
      <c r="K473" s="67"/>
      <c r="L473" s="67"/>
      <c r="M473" s="67"/>
      <c r="N473" s="67"/>
    </row>
    <row r="474" spans="11:14">
      <c r="K474" s="67"/>
      <c r="L474" s="67"/>
      <c r="M474" s="67"/>
      <c r="N474" s="67"/>
    </row>
    <row r="475" spans="11:14">
      <c r="K475" s="67"/>
      <c r="L475" s="67"/>
      <c r="M475" s="67"/>
      <c r="N475" s="67"/>
    </row>
    <row r="476" spans="11:14">
      <c r="K476" s="67"/>
      <c r="L476" s="67"/>
      <c r="M476" s="67"/>
      <c r="N476" s="67"/>
    </row>
    <row r="477" spans="11:14">
      <c r="K477" s="67"/>
      <c r="L477" s="67"/>
      <c r="M477" s="67"/>
      <c r="N477" s="67"/>
    </row>
    <row r="478" spans="11:14">
      <c r="K478" s="67"/>
      <c r="L478" s="67"/>
      <c r="M478" s="67"/>
      <c r="N478" s="67"/>
    </row>
    <row r="479" spans="11:14">
      <c r="K479" s="67"/>
      <c r="L479" s="67"/>
      <c r="M479" s="67"/>
      <c r="N479" s="67"/>
    </row>
    <row r="480" spans="11:14">
      <c r="K480" s="67"/>
      <c r="L480" s="67"/>
      <c r="M480" s="67"/>
      <c r="N480" s="67"/>
    </row>
    <row r="481" spans="11:14">
      <c r="K481" s="67"/>
      <c r="L481" s="67"/>
      <c r="M481" s="67"/>
      <c r="N481" s="67"/>
    </row>
    <row r="482" spans="11:14">
      <c r="K482" s="67"/>
      <c r="L482" s="67"/>
      <c r="M482" s="67"/>
      <c r="N482" s="67"/>
    </row>
    <row r="483" spans="11:14">
      <c r="K483" s="67"/>
      <c r="L483" s="67"/>
      <c r="M483" s="67"/>
      <c r="N483" s="67"/>
    </row>
    <row r="484" spans="11:14">
      <c r="K484" s="67"/>
      <c r="L484" s="67"/>
      <c r="M484" s="67"/>
      <c r="N484" s="67"/>
    </row>
    <row r="485" spans="11:14">
      <c r="K485" s="67"/>
      <c r="L485" s="67"/>
      <c r="M485" s="67"/>
      <c r="N485" s="67"/>
    </row>
    <row r="486" spans="11:14">
      <c r="K486" s="67"/>
      <c r="L486" s="67"/>
      <c r="M486" s="67"/>
      <c r="N486" s="67"/>
    </row>
    <row r="487" spans="11:14">
      <c r="K487" s="67"/>
      <c r="L487" s="67"/>
      <c r="M487" s="67"/>
      <c r="N487" s="67"/>
    </row>
    <row r="488" spans="11:14">
      <c r="K488" s="67"/>
      <c r="L488" s="67"/>
      <c r="M488" s="67"/>
      <c r="N488" s="67"/>
    </row>
    <row r="489" spans="11:14">
      <c r="K489" s="67"/>
      <c r="L489" s="67"/>
      <c r="M489" s="67"/>
      <c r="N489" s="67"/>
    </row>
    <row r="490" spans="11:14">
      <c r="K490" s="67"/>
      <c r="L490" s="67"/>
      <c r="M490" s="67"/>
      <c r="N490" s="67"/>
    </row>
    <row r="491" spans="11:14">
      <c r="K491" s="67"/>
      <c r="L491" s="67"/>
      <c r="M491" s="67"/>
      <c r="N491" s="67"/>
    </row>
    <row r="492" spans="11:14">
      <c r="K492" s="67"/>
      <c r="L492" s="67"/>
      <c r="M492" s="67"/>
      <c r="N492" s="67"/>
    </row>
    <row r="493" spans="11:14">
      <c r="K493" s="67"/>
      <c r="L493" s="67"/>
      <c r="M493" s="67"/>
      <c r="N493" s="67"/>
    </row>
    <row r="494" spans="11:14">
      <c r="K494" s="67"/>
      <c r="L494" s="67"/>
      <c r="M494" s="67"/>
      <c r="N494" s="67"/>
    </row>
    <row r="495" spans="11:14">
      <c r="K495" s="67"/>
      <c r="L495" s="67"/>
      <c r="M495" s="67"/>
      <c r="N495" s="67"/>
    </row>
    <row r="496" spans="11:14">
      <c r="K496" s="67"/>
      <c r="L496" s="67"/>
      <c r="M496" s="67"/>
      <c r="N496" s="67"/>
    </row>
    <row r="497" spans="11:14">
      <c r="K497" s="67"/>
      <c r="L497" s="67"/>
      <c r="M497" s="67"/>
      <c r="N497" s="67"/>
    </row>
    <row r="498" spans="11:14">
      <c r="K498" s="67"/>
      <c r="L498" s="67"/>
      <c r="M498" s="67"/>
      <c r="N498" s="67"/>
    </row>
    <row r="499" spans="11:14">
      <c r="K499" s="67"/>
      <c r="L499" s="67"/>
      <c r="M499" s="67"/>
      <c r="N499" s="67"/>
    </row>
    <row r="500" spans="11:14">
      <c r="K500" s="67"/>
      <c r="L500" s="67"/>
      <c r="M500" s="67"/>
      <c r="N500" s="67"/>
    </row>
    <row r="501" spans="11:14">
      <c r="K501" s="67"/>
      <c r="L501" s="67"/>
      <c r="M501" s="67"/>
      <c r="N501" s="67"/>
    </row>
    <row r="502" spans="11:14">
      <c r="K502" s="67"/>
      <c r="L502" s="67"/>
      <c r="M502" s="67"/>
      <c r="N502" s="67"/>
    </row>
    <row r="503" spans="11:14">
      <c r="K503" s="67"/>
      <c r="L503" s="67"/>
      <c r="M503" s="67"/>
      <c r="N503" s="67"/>
    </row>
    <row r="504" spans="11:14">
      <c r="K504" s="67"/>
      <c r="L504" s="67"/>
      <c r="M504" s="67"/>
      <c r="N504" s="67"/>
    </row>
    <row r="505" spans="11:14">
      <c r="K505" s="67"/>
      <c r="L505" s="67"/>
      <c r="M505" s="67"/>
      <c r="N505" s="67"/>
    </row>
    <row r="506" spans="11:14">
      <c r="K506" s="67"/>
      <c r="L506" s="67"/>
      <c r="M506" s="67"/>
      <c r="N506" s="67"/>
    </row>
    <row r="507" spans="11:14">
      <c r="K507" s="67"/>
      <c r="L507" s="67"/>
      <c r="M507" s="67"/>
      <c r="N507" s="67"/>
    </row>
    <row r="508" spans="11:14">
      <c r="K508" s="67"/>
      <c r="L508" s="67"/>
      <c r="M508" s="67"/>
      <c r="N508" s="67"/>
    </row>
    <row r="509" spans="11:14">
      <c r="K509" s="67"/>
      <c r="L509" s="67"/>
      <c r="M509" s="67"/>
      <c r="N509" s="67"/>
    </row>
    <row r="510" spans="11:14">
      <c r="K510" s="67"/>
      <c r="L510" s="67"/>
      <c r="M510" s="67"/>
      <c r="N510" s="67"/>
    </row>
    <row r="511" spans="11:14">
      <c r="K511" s="67"/>
      <c r="L511" s="67"/>
      <c r="M511" s="67"/>
      <c r="N511" s="67"/>
    </row>
    <row r="512" spans="11:14">
      <c r="K512" s="67"/>
      <c r="L512" s="67"/>
      <c r="M512" s="67"/>
      <c r="N512" s="67"/>
    </row>
    <row r="513" spans="11:14">
      <c r="K513" s="67"/>
      <c r="L513" s="67"/>
      <c r="M513" s="67"/>
      <c r="N513" s="67"/>
    </row>
    <row r="514" spans="11:14">
      <c r="K514" s="67"/>
      <c r="L514" s="67"/>
      <c r="M514" s="67"/>
      <c r="N514" s="67"/>
    </row>
    <row r="515" spans="11:14">
      <c r="K515" s="67"/>
      <c r="L515" s="67"/>
      <c r="M515" s="67"/>
      <c r="N515" s="67"/>
    </row>
    <row r="516" spans="11:14">
      <c r="K516" s="67"/>
      <c r="L516" s="67"/>
      <c r="M516" s="67"/>
      <c r="N516" s="67"/>
    </row>
    <row r="517" spans="11:14">
      <c r="K517" s="67"/>
      <c r="L517" s="67"/>
      <c r="M517" s="67"/>
      <c r="N517" s="67"/>
    </row>
    <row r="518" spans="11:14">
      <c r="K518" s="67"/>
      <c r="L518" s="67"/>
      <c r="M518" s="67"/>
      <c r="N518" s="67"/>
    </row>
    <row r="519" spans="11:14">
      <c r="K519" s="67"/>
      <c r="L519" s="67"/>
      <c r="M519" s="67"/>
      <c r="N519" s="67"/>
    </row>
    <row r="520" spans="11:14">
      <c r="K520" s="67"/>
      <c r="L520" s="67"/>
      <c r="M520" s="67"/>
      <c r="N520" s="67"/>
    </row>
    <row r="521" spans="11:14">
      <c r="K521" s="67"/>
      <c r="L521" s="67"/>
      <c r="M521" s="67"/>
      <c r="N521" s="67"/>
    </row>
    <row r="522" spans="11:14">
      <c r="K522" s="67"/>
      <c r="L522" s="67"/>
      <c r="M522" s="67"/>
      <c r="N522" s="67"/>
    </row>
    <row r="523" spans="11:14">
      <c r="K523" s="67"/>
      <c r="L523" s="67"/>
      <c r="M523" s="67"/>
      <c r="N523" s="67"/>
    </row>
    <row r="524" spans="11:14">
      <c r="K524" s="67"/>
      <c r="L524" s="67"/>
      <c r="M524" s="67"/>
      <c r="N524" s="67"/>
    </row>
    <row r="525" spans="11:14">
      <c r="K525" s="67"/>
      <c r="L525" s="67"/>
      <c r="M525" s="67"/>
      <c r="N525" s="67"/>
    </row>
    <row r="526" spans="11:14">
      <c r="K526" s="67"/>
      <c r="L526" s="67"/>
      <c r="M526" s="67"/>
      <c r="N526" s="67"/>
    </row>
    <row r="527" spans="11:14">
      <c r="K527" s="67"/>
      <c r="L527" s="67"/>
      <c r="M527" s="67"/>
      <c r="N527" s="67"/>
    </row>
    <row r="528" spans="11:14">
      <c r="K528" s="67"/>
      <c r="L528" s="67"/>
      <c r="M528" s="67"/>
      <c r="N528" s="67"/>
    </row>
    <row r="529" spans="11:14">
      <c r="K529" s="67"/>
      <c r="L529" s="67"/>
      <c r="M529" s="67"/>
      <c r="N529" s="67"/>
    </row>
    <row r="530" spans="11:14">
      <c r="K530" s="67"/>
      <c r="L530" s="67"/>
      <c r="M530" s="67"/>
      <c r="N530" s="67"/>
    </row>
    <row r="531" spans="11:14">
      <c r="K531" s="67"/>
      <c r="L531" s="67"/>
      <c r="M531" s="67"/>
      <c r="N531" s="67"/>
    </row>
    <row r="532" spans="11:14">
      <c r="K532" s="67"/>
      <c r="L532" s="67"/>
      <c r="M532" s="67"/>
      <c r="N532" s="67"/>
    </row>
    <row r="533" spans="11:14">
      <c r="K533" s="67"/>
      <c r="L533" s="67"/>
      <c r="M533" s="67"/>
      <c r="N533" s="67"/>
    </row>
    <row r="534" spans="11:14">
      <c r="K534" s="67"/>
      <c r="L534" s="67"/>
      <c r="M534" s="67"/>
      <c r="N534" s="67"/>
    </row>
    <row r="535" spans="11:14">
      <c r="K535" s="67"/>
      <c r="L535" s="67"/>
      <c r="M535" s="67"/>
      <c r="N535" s="67"/>
    </row>
    <row r="536" spans="11:14">
      <c r="K536" s="67"/>
      <c r="L536" s="67"/>
      <c r="M536" s="67"/>
      <c r="N536" s="67"/>
    </row>
    <row r="537" spans="11:14">
      <c r="K537" s="67"/>
      <c r="L537" s="67"/>
      <c r="M537" s="67"/>
      <c r="N537" s="67"/>
    </row>
    <row r="538" spans="11:14">
      <c r="K538" s="67"/>
      <c r="L538" s="67"/>
      <c r="M538" s="67"/>
      <c r="N538" s="67"/>
    </row>
    <row r="539" spans="11:14">
      <c r="K539" s="67"/>
      <c r="L539" s="67"/>
      <c r="M539" s="67"/>
      <c r="N539" s="67"/>
    </row>
    <row r="540" spans="11:14">
      <c r="K540" s="67"/>
      <c r="L540" s="67"/>
      <c r="M540" s="67"/>
      <c r="N540" s="67"/>
    </row>
    <row r="541" spans="11:14">
      <c r="K541" s="67"/>
      <c r="L541" s="67"/>
      <c r="M541" s="67"/>
      <c r="N541" s="67"/>
    </row>
    <row r="542" spans="11:14">
      <c r="K542" s="67"/>
      <c r="L542" s="67"/>
      <c r="M542" s="67"/>
      <c r="N542" s="67"/>
    </row>
    <row r="543" spans="11:14">
      <c r="K543" s="67"/>
      <c r="L543" s="67"/>
      <c r="M543" s="67"/>
      <c r="N543" s="67"/>
    </row>
    <row r="544" spans="11:14">
      <c r="K544" s="67"/>
      <c r="L544" s="67"/>
      <c r="M544" s="67"/>
      <c r="N544" s="67"/>
    </row>
    <row r="545" spans="11:14">
      <c r="K545" s="67"/>
      <c r="L545" s="67"/>
      <c r="M545" s="67"/>
      <c r="N545" s="67"/>
    </row>
    <row r="546" spans="11:14">
      <c r="K546" s="67"/>
      <c r="L546" s="67"/>
      <c r="M546" s="67"/>
      <c r="N546" s="67"/>
    </row>
    <row r="547" spans="11:14">
      <c r="K547" s="67"/>
      <c r="L547" s="67"/>
      <c r="M547" s="67"/>
      <c r="N547" s="67"/>
    </row>
    <row r="548" spans="11:14">
      <c r="K548" s="67"/>
      <c r="L548" s="67"/>
      <c r="M548" s="67"/>
      <c r="N548" s="67"/>
    </row>
    <row r="549" spans="11:14">
      <c r="K549" s="67"/>
      <c r="L549" s="67"/>
      <c r="M549" s="67"/>
      <c r="N549" s="67"/>
    </row>
    <row r="550" spans="11:14">
      <c r="K550" s="67"/>
      <c r="L550" s="67"/>
      <c r="M550" s="67"/>
      <c r="N550" s="67"/>
    </row>
    <row r="551" spans="11:14">
      <c r="K551" s="67"/>
      <c r="L551" s="67"/>
      <c r="M551" s="67"/>
      <c r="N551" s="67"/>
    </row>
    <row r="552" spans="11:14">
      <c r="K552" s="67"/>
      <c r="L552" s="67"/>
      <c r="M552" s="67"/>
      <c r="N552" s="67"/>
    </row>
    <row r="553" spans="11:14">
      <c r="K553" s="67"/>
      <c r="L553" s="67"/>
      <c r="M553" s="67"/>
      <c r="N553" s="67"/>
    </row>
    <row r="554" spans="11:14">
      <c r="K554" s="67"/>
      <c r="L554" s="67"/>
      <c r="M554" s="67"/>
      <c r="N554" s="67"/>
    </row>
    <row r="555" spans="11:14">
      <c r="K555" s="67"/>
      <c r="L555" s="67"/>
      <c r="M555" s="67"/>
      <c r="N555" s="67"/>
    </row>
    <row r="556" spans="11:14">
      <c r="K556" s="67"/>
      <c r="L556" s="67"/>
      <c r="M556" s="67"/>
      <c r="N556" s="67"/>
    </row>
    <row r="557" spans="11:14">
      <c r="K557" s="67"/>
      <c r="L557" s="67"/>
      <c r="M557" s="67"/>
      <c r="N557" s="67"/>
    </row>
    <row r="558" spans="11:14">
      <c r="K558" s="67"/>
      <c r="L558" s="67"/>
      <c r="M558" s="67"/>
      <c r="N558" s="67"/>
    </row>
    <row r="559" spans="11:14">
      <c r="K559" s="67"/>
      <c r="L559" s="67"/>
      <c r="M559" s="67"/>
      <c r="N559" s="67"/>
    </row>
    <row r="560" spans="11:14">
      <c r="K560" s="67"/>
      <c r="L560" s="67"/>
      <c r="M560" s="67"/>
      <c r="N560" s="67"/>
    </row>
    <row r="561" spans="11:14">
      <c r="K561" s="67"/>
      <c r="L561" s="67"/>
      <c r="M561" s="67"/>
      <c r="N561" s="67"/>
    </row>
    <row r="562" spans="11:14">
      <c r="K562" s="67"/>
      <c r="L562" s="67"/>
      <c r="M562" s="67"/>
      <c r="N562" s="67"/>
    </row>
    <row r="563" spans="11:14">
      <c r="K563" s="67"/>
      <c r="L563" s="67"/>
      <c r="M563" s="67"/>
      <c r="N563" s="67"/>
    </row>
    <row r="564" spans="11:14">
      <c r="K564" s="67"/>
      <c r="L564" s="67"/>
      <c r="M564" s="67"/>
      <c r="N564" s="67"/>
    </row>
    <row r="565" spans="11:14">
      <c r="K565" s="67"/>
      <c r="L565" s="67"/>
      <c r="M565" s="67"/>
      <c r="N565" s="67"/>
    </row>
    <row r="566" spans="11:14">
      <c r="K566" s="67"/>
      <c r="L566" s="67"/>
      <c r="M566" s="67"/>
      <c r="N566" s="67"/>
    </row>
    <row r="567" spans="11:14">
      <c r="K567" s="67"/>
      <c r="L567" s="67"/>
      <c r="M567" s="67"/>
      <c r="N567" s="67"/>
    </row>
    <row r="568" spans="11:14">
      <c r="K568" s="67"/>
      <c r="L568" s="67"/>
      <c r="M568" s="67"/>
      <c r="N568" s="67"/>
    </row>
    <row r="569" spans="11:14">
      <c r="K569" s="67"/>
      <c r="L569" s="67"/>
      <c r="M569" s="67"/>
      <c r="N569" s="67"/>
    </row>
    <row r="570" spans="11:14">
      <c r="K570" s="67"/>
      <c r="L570" s="67"/>
      <c r="M570" s="67"/>
      <c r="N570" s="67"/>
    </row>
    <row r="571" spans="11:14">
      <c r="K571" s="67"/>
      <c r="L571" s="67"/>
      <c r="M571" s="67"/>
      <c r="N571" s="67"/>
    </row>
    <row r="572" spans="11:14">
      <c r="K572" s="67"/>
      <c r="L572" s="67"/>
      <c r="M572" s="67"/>
      <c r="N572" s="67"/>
    </row>
    <row r="573" spans="11:14">
      <c r="K573" s="67"/>
      <c r="L573" s="67"/>
      <c r="M573" s="67"/>
      <c r="N573" s="67"/>
    </row>
    <row r="574" spans="11:14">
      <c r="K574" s="67"/>
      <c r="L574" s="67"/>
      <c r="M574" s="67"/>
      <c r="N574" s="67"/>
    </row>
    <row r="575" spans="11:14">
      <c r="K575" s="67"/>
      <c r="L575" s="67"/>
      <c r="M575" s="67"/>
      <c r="N575" s="67"/>
    </row>
    <row r="576" spans="11:14">
      <c r="K576" s="67"/>
      <c r="L576" s="67"/>
      <c r="M576" s="67"/>
      <c r="N576" s="67"/>
    </row>
    <row r="577" spans="11:14">
      <c r="K577" s="67"/>
      <c r="L577" s="67"/>
      <c r="M577" s="67"/>
      <c r="N577" s="67"/>
    </row>
    <row r="578" spans="11:14">
      <c r="K578" s="67"/>
      <c r="L578" s="67"/>
      <c r="M578" s="67"/>
      <c r="N578" s="67"/>
    </row>
    <row r="579" spans="11:14">
      <c r="K579" s="67"/>
      <c r="L579" s="67"/>
      <c r="M579" s="67"/>
      <c r="N579" s="67"/>
    </row>
    <row r="580" spans="11:14">
      <c r="K580" s="67"/>
      <c r="L580" s="67"/>
      <c r="M580" s="67"/>
      <c r="N580" s="67"/>
    </row>
    <row r="581" spans="11:14">
      <c r="K581" s="67"/>
      <c r="L581" s="67"/>
      <c r="M581" s="67"/>
      <c r="N581" s="67"/>
    </row>
    <row r="582" spans="11:14">
      <c r="K582" s="67"/>
      <c r="L582" s="67"/>
      <c r="M582" s="67"/>
      <c r="N582" s="67"/>
    </row>
    <row r="583" spans="11:14">
      <c r="K583" s="67"/>
      <c r="L583" s="67"/>
      <c r="M583" s="67"/>
      <c r="N583" s="67"/>
    </row>
    <row r="584" spans="11:14">
      <c r="K584" s="67"/>
      <c r="L584" s="67"/>
      <c r="M584" s="67"/>
      <c r="N584" s="67"/>
    </row>
    <row r="585" spans="11:14">
      <c r="K585" s="67"/>
      <c r="L585" s="67"/>
      <c r="M585" s="67"/>
      <c r="N585" s="67"/>
    </row>
    <row r="586" spans="11:14">
      <c r="K586" s="67"/>
      <c r="L586" s="67"/>
      <c r="M586" s="67"/>
      <c r="N586" s="67"/>
    </row>
    <row r="587" spans="11:14">
      <c r="K587" s="67"/>
      <c r="L587" s="67"/>
      <c r="M587" s="67"/>
      <c r="N587" s="67"/>
    </row>
    <row r="588" spans="11:14">
      <c r="K588" s="67"/>
      <c r="L588" s="67"/>
      <c r="M588" s="67"/>
      <c r="N588" s="67"/>
    </row>
    <row r="589" spans="11:14">
      <c r="K589" s="67"/>
      <c r="L589" s="67"/>
      <c r="M589" s="67"/>
      <c r="N589" s="67"/>
    </row>
    <row r="590" spans="11:14">
      <c r="K590" s="67"/>
      <c r="L590" s="67"/>
      <c r="M590" s="67"/>
      <c r="N590" s="67"/>
    </row>
    <row r="591" spans="11:14">
      <c r="K591" s="67"/>
      <c r="L591" s="67"/>
      <c r="M591" s="67"/>
      <c r="N591" s="67"/>
    </row>
    <row r="592" spans="11:14">
      <c r="K592" s="67"/>
      <c r="L592" s="67"/>
      <c r="M592" s="67"/>
      <c r="N592" s="67"/>
    </row>
    <row r="593" spans="11:14">
      <c r="K593" s="67"/>
      <c r="L593" s="67"/>
      <c r="M593" s="67"/>
      <c r="N593" s="67"/>
    </row>
    <row r="594" spans="11:14">
      <c r="K594" s="67"/>
      <c r="L594" s="67"/>
      <c r="M594" s="67"/>
      <c r="N594" s="67"/>
    </row>
    <row r="595" spans="11:14">
      <c r="K595" s="67"/>
      <c r="L595" s="67"/>
      <c r="M595" s="67"/>
      <c r="N595" s="67"/>
    </row>
    <row r="596" spans="11:14">
      <c r="K596" s="67"/>
      <c r="L596" s="67"/>
      <c r="M596" s="67"/>
      <c r="N596" s="67"/>
    </row>
    <row r="597" spans="11:14">
      <c r="K597" s="67"/>
      <c r="L597" s="67"/>
      <c r="M597" s="67"/>
      <c r="N597" s="67"/>
    </row>
    <row r="598" spans="11:14">
      <c r="K598" s="67"/>
      <c r="L598" s="67"/>
      <c r="M598" s="67"/>
      <c r="N598" s="67"/>
    </row>
    <row r="599" spans="11:14">
      <c r="K599" s="67"/>
      <c r="L599" s="67"/>
      <c r="M599" s="67"/>
      <c r="N599" s="67"/>
    </row>
    <row r="600" spans="11:14">
      <c r="K600" s="67"/>
      <c r="L600" s="67"/>
      <c r="M600" s="67"/>
      <c r="N600" s="67"/>
    </row>
    <row r="601" spans="11:14">
      <c r="K601" s="67"/>
      <c r="L601" s="67"/>
      <c r="M601" s="67"/>
      <c r="N601" s="67"/>
    </row>
    <row r="602" spans="11:14">
      <c r="K602" s="67"/>
      <c r="L602" s="67"/>
      <c r="M602" s="67"/>
      <c r="N602" s="67"/>
    </row>
    <row r="603" spans="11:14">
      <c r="K603" s="67"/>
      <c r="L603" s="67"/>
      <c r="M603" s="67"/>
      <c r="N603" s="67"/>
    </row>
    <row r="604" spans="11:14">
      <c r="K604" s="67"/>
      <c r="L604" s="67"/>
      <c r="M604" s="67"/>
      <c r="N604" s="67"/>
    </row>
    <row r="605" spans="11:14">
      <c r="K605" s="67"/>
      <c r="L605" s="67"/>
      <c r="M605" s="67"/>
      <c r="N605" s="67"/>
    </row>
    <row r="606" spans="11:14">
      <c r="K606" s="67"/>
      <c r="L606" s="67"/>
      <c r="M606" s="67"/>
      <c r="N606" s="67"/>
    </row>
    <row r="607" spans="11:14">
      <c r="K607" s="67"/>
      <c r="L607" s="67"/>
      <c r="M607" s="67"/>
      <c r="N607" s="67"/>
    </row>
    <row r="608" spans="11:14">
      <c r="K608" s="67"/>
      <c r="L608" s="67"/>
      <c r="M608" s="67"/>
      <c r="N608" s="67"/>
    </row>
    <row r="609" spans="11:14">
      <c r="K609" s="67"/>
      <c r="L609" s="67"/>
      <c r="M609" s="67"/>
      <c r="N609" s="67"/>
    </row>
    <row r="610" spans="11:14">
      <c r="K610" s="67"/>
      <c r="L610" s="67"/>
      <c r="M610" s="67"/>
      <c r="N610" s="67"/>
    </row>
    <row r="611" spans="11:14">
      <c r="K611" s="67"/>
      <c r="L611" s="67"/>
      <c r="M611" s="67"/>
      <c r="N611" s="67"/>
    </row>
    <row r="612" spans="11:14">
      <c r="K612" s="67"/>
      <c r="L612" s="67"/>
      <c r="M612" s="67"/>
      <c r="N612" s="67"/>
    </row>
    <row r="613" spans="11:14">
      <c r="K613" s="67"/>
      <c r="L613" s="67"/>
      <c r="M613" s="67"/>
      <c r="N613" s="67"/>
    </row>
    <row r="614" spans="11:14">
      <c r="K614" s="67"/>
      <c r="L614" s="67"/>
      <c r="M614" s="67"/>
      <c r="N614" s="67"/>
    </row>
    <row r="615" spans="11:14">
      <c r="K615" s="67"/>
      <c r="L615" s="67"/>
      <c r="M615" s="67"/>
      <c r="N615" s="67"/>
    </row>
    <row r="616" spans="11:14">
      <c r="K616" s="67"/>
      <c r="L616" s="67"/>
      <c r="M616" s="67"/>
      <c r="N616" s="67"/>
    </row>
    <row r="617" spans="11:14">
      <c r="K617" s="67"/>
      <c r="L617" s="67"/>
      <c r="M617" s="67"/>
      <c r="N617" s="67"/>
    </row>
    <row r="618" spans="11:14">
      <c r="K618" s="67"/>
      <c r="L618" s="67"/>
      <c r="M618" s="67"/>
      <c r="N618" s="67"/>
    </row>
    <row r="619" spans="11:14">
      <c r="K619" s="67"/>
      <c r="L619" s="67"/>
      <c r="M619" s="67"/>
      <c r="N619" s="67"/>
    </row>
    <row r="620" spans="11:14">
      <c r="K620" s="67"/>
      <c r="L620" s="67"/>
      <c r="M620" s="67"/>
      <c r="N620" s="67"/>
    </row>
    <row r="621" spans="11:14">
      <c r="K621" s="67"/>
      <c r="L621" s="67"/>
      <c r="M621" s="67"/>
      <c r="N621" s="67"/>
    </row>
    <row r="622" spans="11:14">
      <c r="K622" s="67"/>
      <c r="L622" s="67"/>
      <c r="M622" s="67"/>
      <c r="N622" s="67"/>
    </row>
    <row r="623" spans="11:14">
      <c r="K623" s="67"/>
      <c r="L623" s="67"/>
      <c r="M623" s="67"/>
      <c r="N623" s="67"/>
    </row>
    <row r="624" spans="11:14">
      <c r="K624" s="67"/>
      <c r="L624" s="67"/>
      <c r="M624" s="67"/>
      <c r="N624" s="67"/>
    </row>
    <row r="625" spans="11:14">
      <c r="K625" s="67"/>
      <c r="L625" s="67"/>
      <c r="M625" s="67"/>
      <c r="N625" s="67"/>
    </row>
    <row r="626" spans="11:14">
      <c r="K626" s="67"/>
      <c r="L626" s="67"/>
      <c r="M626" s="67"/>
      <c r="N626" s="67"/>
    </row>
    <row r="627" spans="11:14">
      <c r="K627" s="67"/>
      <c r="L627" s="67"/>
      <c r="M627" s="67"/>
      <c r="N627" s="67"/>
    </row>
    <row r="628" spans="11:14">
      <c r="K628" s="67"/>
      <c r="L628" s="67"/>
      <c r="M628" s="67"/>
      <c r="N628" s="67"/>
    </row>
    <row r="629" spans="11:14">
      <c r="K629" s="67"/>
      <c r="L629" s="67"/>
      <c r="M629" s="67"/>
      <c r="N629" s="67"/>
    </row>
    <row r="630" spans="11:14">
      <c r="K630" s="67"/>
      <c r="L630" s="67"/>
      <c r="M630" s="67"/>
      <c r="N630" s="67"/>
    </row>
    <row r="631" spans="11:14">
      <c r="K631" s="67"/>
      <c r="L631" s="67"/>
      <c r="M631" s="67"/>
      <c r="N631" s="67"/>
    </row>
    <row r="632" spans="11:14">
      <c r="K632" s="67"/>
      <c r="L632" s="67"/>
      <c r="M632" s="67"/>
      <c r="N632" s="67"/>
    </row>
    <row r="633" spans="11:14">
      <c r="K633" s="67"/>
      <c r="L633" s="67"/>
      <c r="M633" s="67"/>
      <c r="N633" s="67"/>
    </row>
    <row r="634" spans="11:14">
      <c r="K634" s="67"/>
      <c r="L634" s="67"/>
      <c r="M634" s="67"/>
      <c r="N634" s="67"/>
    </row>
    <row r="635" spans="11:14">
      <c r="K635" s="67"/>
      <c r="L635" s="67"/>
      <c r="M635" s="67"/>
      <c r="N635" s="67"/>
    </row>
    <row r="636" spans="11:14">
      <c r="K636" s="67"/>
      <c r="L636" s="67"/>
      <c r="M636" s="67"/>
      <c r="N636" s="67"/>
    </row>
    <row r="637" spans="11:14">
      <c r="K637" s="67"/>
      <c r="L637" s="67"/>
      <c r="M637" s="67"/>
      <c r="N637" s="67"/>
    </row>
    <row r="638" spans="11:14">
      <c r="K638" s="67"/>
      <c r="L638" s="67"/>
      <c r="M638" s="67"/>
      <c r="N638" s="67"/>
    </row>
    <row r="639" spans="11:14">
      <c r="K639" s="67"/>
      <c r="L639" s="67"/>
      <c r="M639" s="67"/>
      <c r="N639" s="67"/>
    </row>
    <row r="640" spans="11:14">
      <c r="K640" s="67"/>
      <c r="L640" s="67"/>
      <c r="M640" s="67"/>
      <c r="N640" s="67"/>
    </row>
    <row r="641" spans="11:14">
      <c r="K641" s="67"/>
      <c r="L641" s="67"/>
      <c r="M641" s="67"/>
      <c r="N641" s="67"/>
    </row>
    <row r="642" spans="11:14">
      <c r="K642" s="67"/>
      <c r="L642" s="67"/>
      <c r="M642" s="67"/>
      <c r="N642" s="67"/>
    </row>
    <row r="643" spans="11:14">
      <c r="K643" s="67"/>
      <c r="L643" s="67"/>
      <c r="M643" s="67"/>
      <c r="N643" s="67"/>
    </row>
    <row r="644" spans="11:14">
      <c r="K644" s="67"/>
      <c r="L644" s="67"/>
      <c r="M644" s="67"/>
      <c r="N644" s="67"/>
    </row>
    <row r="645" spans="11:14">
      <c r="K645" s="67"/>
      <c r="L645" s="67"/>
      <c r="M645" s="67"/>
      <c r="N645" s="67"/>
    </row>
    <row r="646" spans="11:14">
      <c r="K646" s="67"/>
      <c r="L646" s="67"/>
      <c r="M646" s="67"/>
      <c r="N646" s="67"/>
    </row>
    <row r="647" spans="11:14">
      <c r="K647" s="67"/>
      <c r="L647" s="67"/>
      <c r="M647" s="67"/>
      <c r="N647" s="67"/>
    </row>
    <row r="648" spans="11:14">
      <c r="K648" s="67"/>
      <c r="L648" s="67"/>
      <c r="M648" s="67"/>
      <c r="N648" s="67"/>
    </row>
    <row r="649" spans="11:14">
      <c r="K649" s="67"/>
      <c r="L649" s="67"/>
      <c r="M649" s="67"/>
      <c r="N649" s="67"/>
    </row>
    <row r="650" spans="11:14">
      <c r="K650" s="67"/>
      <c r="L650" s="67"/>
      <c r="M650" s="67"/>
      <c r="N650" s="67"/>
    </row>
    <row r="651" spans="11:14">
      <c r="K651" s="67"/>
      <c r="L651" s="67"/>
      <c r="M651" s="67"/>
      <c r="N651" s="67"/>
    </row>
    <row r="652" spans="11:14">
      <c r="K652" s="67"/>
      <c r="L652" s="67"/>
      <c r="M652" s="67"/>
      <c r="N652" s="67"/>
    </row>
    <row r="653" spans="11:14">
      <c r="K653" s="67"/>
      <c r="L653" s="67"/>
      <c r="M653" s="67"/>
      <c r="N653" s="67"/>
    </row>
    <row r="654" spans="11:14">
      <c r="K654" s="67"/>
      <c r="L654" s="67"/>
      <c r="M654" s="67"/>
      <c r="N654" s="67"/>
    </row>
    <row r="655" spans="11:14">
      <c r="K655" s="67"/>
      <c r="L655" s="67"/>
      <c r="M655" s="67"/>
      <c r="N655" s="67"/>
    </row>
    <row r="656" spans="11:14">
      <c r="K656" s="67"/>
      <c r="L656" s="67"/>
      <c r="M656" s="67"/>
      <c r="N656" s="67"/>
    </row>
    <row r="657" spans="11:14">
      <c r="K657" s="67"/>
      <c r="L657" s="67"/>
      <c r="M657" s="67"/>
      <c r="N657" s="67"/>
    </row>
    <row r="658" spans="11:14">
      <c r="K658" s="67"/>
      <c r="L658" s="67"/>
      <c r="M658" s="67"/>
      <c r="N658" s="67"/>
    </row>
    <row r="659" spans="11:14">
      <c r="K659" s="67"/>
      <c r="L659" s="67"/>
      <c r="M659" s="67"/>
      <c r="N659" s="67"/>
    </row>
    <row r="660" spans="11:14">
      <c r="K660" s="67"/>
      <c r="L660" s="67"/>
      <c r="M660" s="67"/>
      <c r="N660" s="67"/>
    </row>
    <row r="661" spans="11:14">
      <c r="K661" s="67"/>
      <c r="L661" s="67"/>
      <c r="M661" s="67"/>
      <c r="N661" s="67"/>
    </row>
    <row r="662" spans="11:14">
      <c r="K662" s="67"/>
      <c r="L662" s="67"/>
      <c r="M662" s="67"/>
      <c r="N662" s="67"/>
    </row>
    <row r="663" spans="11:14">
      <c r="K663" s="67"/>
      <c r="L663" s="67"/>
      <c r="M663" s="67"/>
      <c r="N663" s="67"/>
    </row>
    <row r="664" spans="11:14">
      <c r="K664" s="67"/>
      <c r="L664" s="67"/>
      <c r="M664" s="67"/>
      <c r="N664" s="67"/>
    </row>
    <row r="665" spans="11:14">
      <c r="K665" s="67"/>
      <c r="L665" s="67"/>
      <c r="M665" s="67"/>
      <c r="N665" s="67"/>
    </row>
    <row r="666" spans="11:14">
      <c r="K666" s="67"/>
      <c r="L666" s="67"/>
      <c r="M666" s="67"/>
      <c r="N666" s="67"/>
    </row>
    <row r="667" spans="11:14">
      <c r="K667" s="67"/>
      <c r="L667" s="67"/>
      <c r="M667" s="67"/>
      <c r="N667" s="67"/>
    </row>
    <row r="668" spans="11:14">
      <c r="K668" s="67"/>
      <c r="L668" s="67"/>
      <c r="M668" s="67"/>
      <c r="N668" s="67"/>
    </row>
    <row r="669" spans="11:14">
      <c r="K669" s="67"/>
      <c r="L669" s="67"/>
      <c r="M669" s="67"/>
      <c r="N669" s="67"/>
    </row>
    <row r="670" spans="11:14">
      <c r="K670" s="67"/>
      <c r="L670" s="67"/>
      <c r="M670" s="67"/>
      <c r="N670" s="67"/>
    </row>
    <row r="671" spans="11:14">
      <c r="K671" s="67"/>
      <c r="L671" s="67"/>
      <c r="M671" s="67"/>
      <c r="N671" s="67"/>
    </row>
    <row r="672" spans="11:14">
      <c r="K672" s="67"/>
      <c r="L672" s="67"/>
      <c r="M672" s="67"/>
      <c r="N672" s="67"/>
    </row>
    <row r="673" spans="11:14">
      <c r="K673" s="67"/>
      <c r="L673" s="67"/>
      <c r="M673" s="67"/>
      <c r="N673" s="67"/>
    </row>
    <row r="674" spans="11:14">
      <c r="K674" s="67"/>
      <c r="L674" s="67"/>
      <c r="M674" s="67"/>
      <c r="N674" s="67"/>
    </row>
    <row r="675" spans="11:14">
      <c r="K675" s="67"/>
      <c r="L675" s="67"/>
      <c r="M675" s="67"/>
      <c r="N675" s="67"/>
    </row>
    <row r="676" spans="11:14">
      <c r="K676" s="67"/>
      <c r="L676" s="67"/>
      <c r="M676" s="67"/>
      <c r="N676" s="67"/>
    </row>
    <row r="677" spans="11:14">
      <c r="K677" s="67"/>
      <c r="L677" s="67"/>
      <c r="M677" s="67"/>
      <c r="N677" s="67"/>
    </row>
    <row r="678" spans="11:14">
      <c r="K678" s="67"/>
      <c r="L678" s="67"/>
      <c r="M678" s="67"/>
      <c r="N678" s="67"/>
    </row>
    <row r="679" spans="11:14">
      <c r="K679" s="67"/>
      <c r="L679" s="67"/>
      <c r="M679" s="67"/>
      <c r="N679" s="67"/>
    </row>
    <row r="680" spans="11:14">
      <c r="K680" s="67"/>
      <c r="L680" s="67"/>
      <c r="M680" s="67"/>
      <c r="N680" s="67"/>
    </row>
    <row r="681" spans="11:14">
      <c r="K681" s="67"/>
      <c r="L681" s="67"/>
      <c r="M681" s="67"/>
      <c r="N681" s="67"/>
    </row>
    <row r="682" spans="11:14">
      <c r="K682" s="67"/>
      <c r="L682" s="67"/>
      <c r="M682" s="67"/>
      <c r="N682" s="67"/>
    </row>
    <row r="683" spans="11:14">
      <c r="K683" s="67"/>
      <c r="L683" s="67"/>
      <c r="M683" s="67"/>
      <c r="N683" s="67"/>
    </row>
    <row r="684" spans="11:14">
      <c r="K684" s="67"/>
      <c r="L684" s="67"/>
      <c r="M684" s="67"/>
      <c r="N684" s="67"/>
    </row>
    <row r="685" spans="11:14">
      <c r="K685" s="67"/>
      <c r="L685" s="67"/>
      <c r="M685" s="67"/>
      <c r="N685" s="67"/>
    </row>
    <row r="686" spans="11:14">
      <c r="K686" s="67"/>
      <c r="L686" s="67"/>
      <c r="M686" s="67"/>
      <c r="N686" s="67"/>
    </row>
    <row r="687" spans="11:14">
      <c r="K687" s="67"/>
      <c r="L687" s="67"/>
      <c r="M687" s="67"/>
      <c r="N687" s="67"/>
    </row>
    <row r="688" spans="11:14">
      <c r="K688" s="67"/>
      <c r="L688" s="67"/>
      <c r="M688" s="67"/>
      <c r="N688" s="67"/>
    </row>
    <row r="689" spans="11:14">
      <c r="K689" s="67"/>
      <c r="L689" s="67"/>
      <c r="M689" s="67"/>
      <c r="N689" s="67"/>
    </row>
    <row r="690" spans="11:14">
      <c r="K690" s="67"/>
      <c r="L690" s="67"/>
      <c r="M690" s="67"/>
      <c r="N690" s="67"/>
    </row>
    <row r="691" spans="11:14">
      <c r="K691" s="67"/>
      <c r="L691" s="67"/>
      <c r="M691" s="67"/>
      <c r="N691" s="67"/>
    </row>
    <row r="692" spans="11:14">
      <c r="K692" s="67"/>
      <c r="L692" s="67"/>
      <c r="M692" s="67"/>
      <c r="N692" s="67"/>
    </row>
    <row r="693" spans="11:14">
      <c r="K693" s="67"/>
      <c r="L693" s="67"/>
      <c r="M693" s="67"/>
      <c r="N693" s="67"/>
    </row>
    <row r="694" spans="11:14">
      <c r="K694" s="67"/>
      <c r="L694" s="67"/>
      <c r="M694" s="67"/>
      <c r="N694" s="67"/>
    </row>
    <row r="695" spans="11:14">
      <c r="K695" s="67"/>
      <c r="L695" s="67"/>
      <c r="M695" s="67"/>
      <c r="N695" s="67"/>
    </row>
    <row r="696" spans="11:14">
      <c r="K696" s="67"/>
      <c r="L696" s="67"/>
      <c r="M696" s="67"/>
      <c r="N696" s="67"/>
    </row>
    <row r="697" spans="11:14">
      <c r="K697" s="67"/>
      <c r="L697" s="67"/>
      <c r="M697" s="67"/>
      <c r="N697" s="67"/>
    </row>
    <row r="698" spans="11:14">
      <c r="K698" s="67"/>
      <c r="L698" s="67"/>
      <c r="M698" s="67"/>
      <c r="N698" s="67"/>
    </row>
    <row r="699" spans="11:14">
      <c r="K699" s="67"/>
      <c r="L699" s="67"/>
      <c r="M699" s="67"/>
      <c r="N699" s="67"/>
    </row>
    <row r="700" spans="11:14">
      <c r="K700" s="67"/>
      <c r="L700" s="67"/>
      <c r="M700" s="67"/>
      <c r="N700" s="67"/>
    </row>
    <row r="701" spans="11:14">
      <c r="K701" s="67"/>
      <c r="L701" s="67"/>
      <c r="M701" s="67"/>
      <c r="N701" s="67"/>
    </row>
    <row r="702" spans="11:14">
      <c r="K702" s="67"/>
      <c r="L702" s="67"/>
      <c r="M702" s="67"/>
      <c r="N702" s="67"/>
    </row>
    <row r="703" spans="11:14">
      <c r="K703" s="67"/>
      <c r="L703" s="67"/>
      <c r="M703" s="67"/>
      <c r="N703" s="67"/>
    </row>
    <row r="704" spans="11:14">
      <c r="K704" s="67"/>
      <c r="L704" s="67"/>
      <c r="M704" s="67"/>
      <c r="N704" s="67"/>
    </row>
    <row r="705" spans="11:14">
      <c r="K705" s="67"/>
      <c r="L705" s="67"/>
      <c r="M705" s="67"/>
      <c r="N705" s="67"/>
    </row>
    <row r="706" spans="11:14">
      <c r="K706" s="67"/>
      <c r="L706" s="67"/>
      <c r="M706" s="67"/>
      <c r="N706" s="67"/>
    </row>
    <row r="707" spans="11:14">
      <c r="K707" s="67"/>
      <c r="L707" s="67"/>
      <c r="M707" s="67"/>
      <c r="N707" s="67"/>
    </row>
    <row r="708" spans="11:14">
      <c r="K708" s="67"/>
      <c r="L708" s="67"/>
      <c r="M708" s="67"/>
      <c r="N708" s="67"/>
    </row>
    <row r="709" spans="11:14">
      <c r="K709" s="67"/>
      <c r="L709" s="67"/>
      <c r="M709" s="67"/>
      <c r="N709" s="67"/>
    </row>
    <row r="710" spans="11:14">
      <c r="K710" s="67"/>
      <c r="L710" s="67"/>
      <c r="M710" s="67"/>
      <c r="N710" s="67"/>
    </row>
    <row r="711" spans="11:14">
      <c r="K711" s="67"/>
      <c r="L711" s="67"/>
      <c r="M711" s="67"/>
      <c r="N711" s="67"/>
    </row>
    <row r="712" spans="11:14">
      <c r="K712" s="67"/>
      <c r="L712" s="67"/>
      <c r="M712" s="67"/>
      <c r="N712" s="67"/>
    </row>
    <row r="713" spans="11:14">
      <c r="K713" s="67"/>
      <c r="L713" s="67"/>
      <c r="M713" s="67"/>
      <c r="N713" s="67"/>
    </row>
    <row r="714" spans="11:14">
      <c r="K714" s="67"/>
      <c r="L714" s="67"/>
      <c r="M714" s="67"/>
      <c r="N714" s="67"/>
    </row>
    <row r="715" spans="11:14">
      <c r="K715" s="67"/>
      <c r="L715" s="67"/>
      <c r="M715" s="67"/>
      <c r="N715" s="67"/>
    </row>
    <row r="716" spans="11:14">
      <c r="K716" s="67"/>
      <c r="L716" s="67"/>
      <c r="M716" s="67"/>
      <c r="N716" s="67"/>
    </row>
    <row r="717" spans="11:14">
      <c r="K717" s="67"/>
      <c r="L717" s="67"/>
      <c r="M717" s="67"/>
      <c r="N717" s="67"/>
    </row>
    <row r="718" spans="11:14">
      <c r="K718" s="67"/>
      <c r="L718" s="67"/>
      <c r="M718" s="67"/>
      <c r="N718" s="67"/>
    </row>
    <row r="719" spans="11:14">
      <c r="K719" s="67"/>
      <c r="L719" s="67"/>
      <c r="M719" s="67"/>
      <c r="N719" s="67"/>
    </row>
    <row r="720" spans="11:14">
      <c r="K720" s="67"/>
      <c r="L720" s="67"/>
      <c r="M720" s="67"/>
      <c r="N720" s="67"/>
    </row>
    <row r="721" spans="11:14">
      <c r="K721" s="67"/>
      <c r="L721" s="67"/>
      <c r="M721" s="67"/>
      <c r="N721" s="67"/>
    </row>
    <row r="722" spans="11:14">
      <c r="K722" s="67"/>
      <c r="L722" s="67"/>
      <c r="M722" s="67"/>
      <c r="N722" s="67"/>
    </row>
    <row r="723" spans="11:14">
      <c r="K723" s="67"/>
      <c r="L723" s="67"/>
      <c r="M723" s="67"/>
      <c r="N723" s="67"/>
    </row>
    <row r="724" spans="11:14">
      <c r="K724" s="67"/>
      <c r="L724" s="67"/>
      <c r="M724" s="67"/>
      <c r="N724" s="67"/>
    </row>
    <row r="725" spans="11:14">
      <c r="K725" s="67"/>
      <c r="L725" s="67"/>
      <c r="M725" s="67"/>
      <c r="N725" s="67"/>
    </row>
    <row r="726" spans="11:14">
      <c r="K726" s="67"/>
      <c r="L726" s="67"/>
      <c r="M726" s="67"/>
      <c r="N726" s="67"/>
    </row>
    <row r="727" spans="11:14">
      <c r="K727" s="67"/>
      <c r="L727" s="67"/>
      <c r="M727" s="67"/>
      <c r="N727" s="67"/>
    </row>
    <row r="728" spans="11:14">
      <c r="K728" s="67"/>
      <c r="L728" s="67"/>
      <c r="M728" s="67"/>
      <c r="N728" s="67"/>
    </row>
    <row r="729" spans="11:14">
      <c r="K729" s="67"/>
      <c r="L729" s="67"/>
      <c r="M729" s="67"/>
      <c r="N729" s="67"/>
    </row>
    <row r="730" spans="11:14">
      <c r="K730" s="67"/>
      <c r="L730" s="67"/>
      <c r="M730" s="67"/>
      <c r="N730" s="67"/>
    </row>
    <row r="731" spans="11:14">
      <c r="K731" s="67"/>
      <c r="L731" s="67"/>
      <c r="M731" s="67"/>
      <c r="N731" s="67"/>
    </row>
    <row r="732" spans="11:14">
      <c r="K732" s="67"/>
      <c r="L732" s="67"/>
      <c r="M732" s="67"/>
      <c r="N732" s="67"/>
    </row>
    <row r="733" spans="11:14">
      <c r="K733" s="67"/>
      <c r="L733" s="67"/>
      <c r="M733" s="67"/>
      <c r="N733" s="67"/>
    </row>
    <row r="734" spans="11:14">
      <c r="K734" s="67"/>
      <c r="L734" s="67"/>
      <c r="M734" s="67"/>
      <c r="N734" s="67"/>
    </row>
    <row r="735" spans="11:14">
      <c r="K735" s="67"/>
      <c r="L735" s="67"/>
      <c r="M735" s="67"/>
      <c r="N735" s="67"/>
    </row>
    <row r="736" spans="11:14">
      <c r="K736" s="67"/>
      <c r="L736" s="67"/>
      <c r="M736" s="67"/>
      <c r="N736" s="67"/>
    </row>
    <row r="737" spans="11:14">
      <c r="K737" s="67"/>
      <c r="L737" s="67"/>
      <c r="M737" s="67"/>
      <c r="N737" s="67"/>
    </row>
    <row r="738" spans="11:14">
      <c r="K738" s="67"/>
      <c r="L738" s="67"/>
      <c r="M738" s="67"/>
      <c r="N738" s="67"/>
    </row>
    <row r="739" spans="11:14">
      <c r="K739" s="67"/>
      <c r="L739" s="67"/>
      <c r="M739" s="67"/>
      <c r="N739" s="67"/>
    </row>
    <row r="740" spans="11:14">
      <c r="K740" s="67"/>
      <c r="L740" s="67"/>
      <c r="M740" s="67"/>
      <c r="N740" s="67"/>
    </row>
    <row r="741" spans="11:14">
      <c r="K741" s="67"/>
      <c r="L741" s="67"/>
      <c r="M741" s="67"/>
      <c r="N741" s="67"/>
    </row>
    <row r="742" spans="11:14">
      <c r="K742" s="67"/>
      <c r="L742" s="67"/>
      <c r="M742" s="67"/>
      <c r="N742" s="67"/>
    </row>
    <row r="743" spans="11:14">
      <c r="K743" s="67"/>
      <c r="L743" s="67"/>
      <c r="M743" s="67"/>
      <c r="N743" s="67"/>
    </row>
    <row r="744" spans="11:14">
      <c r="K744" s="67"/>
      <c r="L744" s="67"/>
      <c r="M744" s="67"/>
      <c r="N744" s="67"/>
    </row>
    <row r="745" spans="11:14">
      <c r="K745" s="67"/>
      <c r="L745" s="67"/>
      <c r="M745" s="67"/>
      <c r="N745" s="67"/>
    </row>
    <row r="746" spans="11:14">
      <c r="K746" s="67"/>
      <c r="L746" s="67"/>
      <c r="M746" s="67"/>
      <c r="N746" s="67"/>
    </row>
    <row r="747" spans="11:14">
      <c r="K747" s="67"/>
      <c r="L747" s="67"/>
      <c r="M747" s="67"/>
      <c r="N747" s="67"/>
    </row>
    <row r="748" spans="11:14">
      <c r="K748" s="67"/>
      <c r="L748" s="67"/>
      <c r="M748" s="67"/>
      <c r="N748" s="67"/>
    </row>
    <row r="749" spans="11:14">
      <c r="K749" s="67"/>
      <c r="L749" s="67"/>
      <c r="M749" s="67"/>
      <c r="N749" s="67"/>
    </row>
    <row r="750" spans="11:14">
      <c r="K750" s="67"/>
      <c r="L750" s="67"/>
      <c r="M750" s="67"/>
      <c r="N750" s="67"/>
    </row>
    <row r="751" spans="11:14">
      <c r="K751" s="67"/>
      <c r="L751" s="67"/>
      <c r="M751" s="67"/>
      <c r="N751" s="67"/>
    </row>
    <row r="752" spans="11:14">
      <c r="K752" s="67"/>
      <c r="L752" s="67"/>
      <c r="M752" s="67"/>
      <c r="N752" s="67"/>
    </row>
    <row r="753" spans="11:14">
      <c r="K753" s="67"/>
      <c r="L753" s="67"/>
      <c r="M753" s="67"/>
      <c r="N753" s="67"/>
    </row>
    <row r="754" spans="11:14">
      <c r="K754" s="67"/>
      <c r="L754" s="67"/>
      <c r="M754" s="67"/>
      <c r="N754" s="67"/>
    </row>
    <row r="755" spans="11:14">
      <c r="K755" s="67"/>
      <c r="L755" s="67"/>
      <c r="M755" s="67"/>
      <c r="N755" s="67"/>
    </row>
    <row r="756" spans="11:14">
      <c r="K756" s="67"/>
      <c r="L756" s="67"/>
      <c r="M756" s="67"/>
      <c r="N756" s="67"/>
    </row>
    <row r="757" spans="11:14">
      <c r="K757" s="67"/>
      <c r="L757" s="67"/>
      <c r="M757" s="67"/>
      <c r="N757" s="67"/>
    </row>
    <row r="758" spans="11:14">
      <c r="K758" s="67"/>
      <c r="L758" s="67"/>
      <c r="M758" s="67"/>
      <c r="N758" s="67"/>
    </row>
    <row r="759" spans="11:14">
      <c r="K759" s="67"/>
      <c r="L759" s="67"/>
      <c r="M759" s="67"/>
      <c r="N759" s="67"/>
    </row>
    <row r="760" spans="11:14">
      <c r="K760" s="67"/>
      <c r="L760" s="67"/>
      <c r="M760" s="67"/>
      <c r="N760" s="67"/>
    </row>
    <row r="761" spans="11:14">
      <c r="K761" s="67"/>
      <c r="L761" s="67"/>
      <c r="M761" s="67"/>
      <c r="N761" s="67"/>
    </row>
    <row r="762" spans="11:14">
      <c r="K762" s="67"/>
      <c r="L762" s="67"/>
      <c r="M762" s="67"/>
      <c r="N762" s="67"/>
    </row>
    <row r="763" spans="11:14">
      <c r="K763" s="67"/>
      <c r="L763" s="67"/>
      <c r="M763" s="67"/>
      <c r="N763" s="67"/>
    </row>
    <row r="764" spans="11:14">
      <c r="K764" s="67"/>
      <c r="L764" s="67"/>
      <c r="M764" s="67"/>
      <c r="N764" s="67"/>
    </row>
    <row r="765" spans="11:14">
      <c r="K765" s="67"/>
      <c r="L765" s="67"/>
      <c r="M765" s="67"/>
      <c r="N765" s="67"/>
    </row>
    <row r="766" spans="11:14">
      <c r="K766" s="67"/>
      <c r="L766" s="67"/>
      <c r="M766" s="67"/>
      <c r="N766" s="67"/>
    </row>
    <row r="767" spans="11:14">
      <c r="K767" s="67"/>
      <c r="L767" s="67"/>
      <c r="M767" s="67"/>
      <c r="N767" s="67"/>
    </row>
    <row r="768" spans="11:14">
      <c r="K768" s="67"/>
      <c r="L768" s="67"/>
      <c r="M768" s="67"/>
      <c r="N768" s="67"/>
    </row>
    <row r="769" spans="11:14">
      <c r="K769" s="67"/>
      <c r="L769" s="67"/>
      <c r="M769" s="67"/>
      <c r="N769" s="67"/>
    </row>
    <row r="770" spans="11:14">
      <c r="K770" s="67"/>
      <c r="L770" s="67"/>
      <c r="M770" s="67"/>
      <c r="N770" s="67"/>
    </row>
    <row r="771" spans="11:14">
      <c r="K771" s="67"/>
      <c r="L771" s="67"/>
      <c r="M771" s="67"/>
      <c r="N771" s="67"/>
    </row>
    <row r="772" spans="11:14">
      <c r="K772" s="67"/>
      <c r="L772" s="67"/>
      <c r="M772" s="67"/>
      <c r="N772" s="67"/>
    </row>
    <row r="773" spans="11:14">
      <c r="K773" s="67"/>
      <c r="L773" s="67"/>
      <c r="M773" s="67"/>
      <c r="N773" s="67"/>
    </row>
    <row r="774" spans="11:14">
      <c r="K774" s="67"/>
      <c r="L774" s="67"/>
      <c r="M774" s="67"/>
      <c r="N774" s="67"/>
    </row>
    <row r="775" spans="11:14">
      <c r="K775" s="67"/>
      <c r="L775" s="67"/>
      <c r="M775" s="67"/>
      <c r="N775" s="67"/>
    </row>
    <row r="776" spans="11:14">
      <c r="K776" s="67"/>
      <c r="L776" s="67"/>
      <c r="M776" s="67"/>
      <c r="N776" s="67"/>
    </row>
    <row r="777" spans="11:14">
      <c r="K777" s="67"/>
      <c r="L777" s="67"/>
      <c r="M777" s="67"/>
      <c r="N777" s="67"/>
    </row>
    <row r="778" spans="11:14">
      <c r="K778" s="67"/>
      <c r="L778" s="67"/>
      <c r="M778" s="67"/>
      <c r="N778" s="67"/>
    </row>
    <row r="779" spans="11:14">
      <c r="K779" s="67"/>
      <c r="L779" s="67"/>
      <c r="M779" s="67"/>
      <c r="N779" s="67"/>
    </row>
    <row r="780" spans="11:14">
      <c r="K780" s="67"/>
      <c r="L780" s="67"/>
      <c r="M780" s="67"/>
      <c r="N780" s="67"/>
    </row>
    <row r="781" spans="11:14">
      <c r="K781" s="67"/>
      <c r="L781" s="67"/>
      <c r="M781" s="67"/>
      <c r="N781" s="67"/>
    </row>
    <row r="782" spans="11:14">
      <c r="K782" s="67"/>
      <c r="L782" s="67"/>
      <c r="M782" s="67"/>
      <c r="N782" s="67"/>
    </row>
    <row r="783" spans="11:14">
      <c r="K783" s="67"/>
      <c r="L783" s="67"/>
      <c r="M783" s="67"/>
      <c r="N783" s="67"/>
    </row>
    <row r="784" spans="11:14">
      <c r="K784" s="67"/>
      <c r="L784" s="67"/>
      <c r="M784" s="67"/>
      <c r="N784" s="67"/>
    </row>
    <row r="785" spans="11:14">
      <c r="K785" s="67"/>
      <c r="L785" s="67"/>
      <c r="M785" s="67"/>
      <c r="N785" s="67"/>
    </row>
    <row r="786" spans="11:14">
      <c r="K786" s="67"/>
      <c r="L786" s="67"/>
      <c r="M786" s="67"/>
      <c r="N786" s="67"/>
    </row>
    <row r="787" spans="11:14">
      <c r="K787" s="67"/>
      <c r="L787" s="67"/>
      <c r="M787" s="67"/>
      <c r="N787" s="67"/>
    </row>
    <row r="788" spans="11:14">
      <c r="K788" s="67"/>
      <c r="L788" s="67"/>
      <c r="M788" s="67"/>
      <c r="N788" s="67"/>
    </row>
    <row r="789" spans="11:14">
      <c r="K789" s="67"/>
      <c r="L789" s="67"/>
      <c r="M789" s="67"/>
      <c r="N789" s="67"/>
    </row>
    <row r="790" spans="11:14">
      <c r="K790" s="67"/>
      <c r="L790" s="67"/>
      <c r="M790" s="67"/>
      <c r="N790" s="67"/>
    </row>
    <row r="791" spans="11:14">
      <c r="K791" s="67"/>
      <c r="L791" s="67"/>
      <c r="M791" s="67"/>
      <c r="N791" s="67"/>
    </row>
    <row r="792" spans="11:14">
      <c r="K792" s="67"/>
      <c r="L792" s="67"/>
      <c r="M792" s="67"/>
      <c r="N792" s="67"/>
    </row>
    <row r="793" spans="11:14">
      <c r="K793" s="67"/>
      <c r="L793" s="67"/>
      <c r="M793" s="67"/>
      <c r="N793" s="67"/>
    </row>
    <row r="794" spans="11:14">
      <c r="K794" s="67"/>
      <c r="L794" s="67"/>
      <c r="M794" s="67"/>
      <c r="N794" s="67"/>
    </row>
    <row r="795" spans="11:14">
      <c r="K795" s="67"/>
      <c r="L795" s="67"/>
      <c r="M795" s="67"/>
      <c r="N795" s="67"/>
    </row>
    <row r="796" spans="11:14">
      <c r="K796" s="67"/>
      <c r="L796" s="67"/>
      <c r="M796" s="67"/>
      <c r="N796" s="67"/>
    </row>
    <row r="797" spans="11:14">
      <c r="K797" s="67"/>
      <c r="L797" s="67"/>
      <c r="M797" s="67"/>
      <c r="N797" s="67"/>
    </row>
    <row r="798" spans="11:14">
      <c r="K798" s="67"/>
      <c r="L798" s="67"/>
      <c r="M798" s="67"/>
      <c r="N798" s="67"/>
    </row>
    <row r="799" spans="11:14">
      <c r="K799" s="67"/>
      <c r="L799" s="67"/>
      <c r="M799" s="67"/>
      <c r="N799" s="67"/>
    </row>
    <row r="800" spans="11:14">
      <c r="K800" s="67"/>
      <c r="L800" s="67"/>
      <c r="M800" s="67"/>
      <c r="N800" s="67"/>
    </row>
    <row r="801" spans="11:14">
      <c r="K801" s="67"/>
      <c r="L801" s="67"/>
      <c r="M801" s="67"/>
      <c r="N801" s="67"/>
    </row>
    <row r="802" spans="11:14">
      <c r="K802" s="67"/>
      <c r="L802" s="67"/>
      <c r="M802" s="67"/>
      <c r="N802" s="67"/>
    </row>
    <row r="803" spans="11:14">
      <c r="K803" s="67"/>
      <c r="L803" s="67"/>
      <c r="M803" s="67"/>
      <c r="N803" s="67"/>
    </row>
    <row r="804" spans="11:14">
      <c r="K804" s="67"/>
      <c r="L804" s="67"/>
      <c r="M804" s="67"/>
      <c r="N804" s="67"/>
    </row>
    <row r="805" spans="11:14">
      <c r="K805" s="67"/>
      <c r="L805" s="67"/>
      <c r="M805" s="67"/>
      <c r="N805" s="67"/>
    </row>
    <row r="806" spans="11:14">
      <c r="K806" s="67"/>
      <c r="L806" s="67"/>
      <c r="M806" s="67"/>
      <c r="N806" s="67"/>
    </row>
    <row r="807" spans="11:14">
      <c r="K807" s="67"/>
      <c r="L807" s="67"/>
      <c r="M807" s="67"/>
      <c r="N807" s="67"/>
    </row>
    <row r="808" spans="11:14">
      <c r="K808" s="67"/>
      <c r="L808" s="67"/>
      <c r="M808" s="67"/>
      <c r="N808" s="67"/>
    </row>
    <row r="809" spans="11:14">
      <c r="K809" s="67"/>
      <c r="L809" s="67"/>
      <c r="M809" s="67"/>
      <c r="N809" s="67"/>
    </row>
    <row r="810" spans="11:14">
      <c r="K810" s="67"/>
      <c r="L810" s="67"/>
      <c r="M810" s="67"/>
      <c r="N810" s="67"/>
    </row>
    <row r="811" spans="11:14">
      <c r="K811" s="67"/>
      <c r="L811" s="67"/>
      <c r="M811" s="67"/>
      <c r="N811" s="67"/>
    </row>
    <row r="812" spans="11:14">
      <c r="K812" s="67"/>
      <c r="L812" s="67"/>
      <c r="M812" s="67"/>
      <c r="N812" s="67"/>
    </row>
    <row r="813" spans="11:14">
      <c r="K813" s="67"/>
      <c r="L813" s="67"/>
      <c r="M813" s="67"/>
      <c r="N813" s="67"/>
    </row>
    <row r="814" spans="11:14">
      <c r="K814" s="67"/>
      <c r="L814" s="67"/>
      <c r="M814" s="67"/>
      <c r="N814" s="67"/>
    </row>
    <row r="815" spans="11:14">
      <c r="K815" s="67"/>
      <c r="L815" s="67"/>
      <c r="M815" s="67"/>
      <c r="N815" s="67"/>
    </row>
    <row r="816" spans="11:14">
      <c r="K816" s="67"/>
      <c r="L816" s="67"/>
      <c r="M816" s="67"/>
      <c r="N816" s="67"/>
    </row>
    <row r="817" spans="11:14">
      <c r="K817" s="67"/>
      <c r="L817" s="67"/>
      <c r="M817" s="67"/>
      <c r="N817" s="67"/>
    </row>
    <row r="818" spans="11:14">
      <c r="K818" s="67"/>
      <c r="L818" s="67"/>
      <c r="M818" s="67"/>
      <c r="N818" s="67"/>
    </row>
    <row r="819" spans="11:14">
      <c r="K819" s="67"/>
      <c r="L819" s="67"/>
      <c r="M819" s="67"/>
      <c r="N819" s="67"/>
    </row>
    <row r="820" spans="11:14">
      <c r="K820" s="67"/>
      <c r="L820" s="67"/>
      <c r="M820" s="67"/>
      <c r="N820" s="67"/>
    </row>
    <row r="821" spans="11:14">
      <c r="K821" s="67"/>
      <c r="L821" s="67"/>
      <c r="M821" s="67"/>
      <c r="N821" s="67"/>
    </row>
    <row r="822" spans="11:14">
      <c r="K822" s="67"/>
      <c r="L822" s="67"/>
      <c r="M822" s="67"/>
      <c r="N822" s="67"/>
    </row>
    <row r="823" spans="11:14">
      <c r="K823" s="67"/>
      <c r="L823" s="67"/>
      <c r="M823" s="67"/>
      <c r="N823" s="67"/>
    </row>
    <row r="824" spans="11:14">
      <c r="K824" s="67"/>
      <c r="L824" s="67"/>
      <c r="M824" s="67"/>
      <c r="N824" s="67"/>
    </row>
    <row r="825" spans="11:14">
      <c r="K825" s="67"/>
      <c r="L825" s="67"/>
      <c r="M825" s="67"/>
      <c r="N825" s="67"/>
    </row>
    <row r="826" spans="11:14">
      <c r="K826" s="67"/>
      <c r="L826" s="67"/>
      <c r="M826" s="67"/>
      <c r="N826" s="67"/>
    </row>
    <row r="827" spans="11:14">
      <c r="K827" s="67"/>
      <c r="L827" s="67"/>
      <c r="M827" s="67"/>
      <c r="N827" s="67"/>
    </row>
    <row r="828" spans="11:14">
      <c r="K828" s="67"/>
      <c r="L828" s="67"/>
      <c r="M828" s="67"/>
      <c r="N828" s="67"/>
    </row>
    <row r="829" spans="11:14">
      <c r="K829" s="67"/>
      <c r="L829" s="67"/>
      <c r="M829" s="67"/>
      <c r="N829" s="67"/>
    </row>
    <row r="830" spans="11:14">
      <c r="K830" s="67"/>
      <c r="L830" s="67"/>
      <c r="M830" s="67"/>
      <c r="N830" s="67"/>
    </row>
    <row r="831" spans="11:14">
      <c r="K831" s="67"/>
      <c r="L831" s="67"/>
      <c r="M831" s="67"/>
      <c r="N831" s="67"/>
    </row>
    <row r="832" spans="11:14">
      <c r="K832" s="67"/>
      <c r="L832" s="67"/>
      <c r="M832" s="67"/>
      <c r="N832" s="67"/>
    </row>
    <row r="833" spans="11:14">
      <c r="K833" s="67"/>
      <c r="L833" s="67"/>
      <c r="M833" s="67"/>
      <c r="N833" s="67"/>
    </row>
    <row r="834" spans="11:14">
      <c r="K834" s="67"/>
      <c r="L834" s="67"/>
      <c r="M834" s="67"/>
      <c r="N834" s="67"/>
    </row>
    <row r="835" spans="11:14">
      <c r="K835" s="67"/>
      <c r="L835" s="67"/>
      <c r="M835" s="67"/>
      <c r="N835" s="67"/>
    </row>
    <row r="836" spans="11:14">
      <c r="K836" s="67"/>
      <c r="L836" s="67"/>
      <c r="M836" s="67"/>
      <c r="N836" s="67"/>
    </row>
    <row r="837" spans="11:14">
      <c r="K837" s="67"/>
      <c r="L837" s="67"/>
      <c r="M837" s="67"/>
      <c r="N837" s="67"/>
    </row>
    <row r="838" spans="11:14">
      <c r="K838" s="67"/>
      <c r="L838" s="67"/>
      <c r="M838" s="67"/>
      <c r="N838" s="67"/>
    </row>
    <row r="839" spans="11:14">
      <c r="K839" s="67"/>
      <c r="L839" s="67"/>
      <c r="M839" s="67"/>
      <c r="N839" s="67"/>
    </row>
    <row r="840" spans="11:14">
      <c r="K840" s="67"/>
      <c r="L840" s="67"/>
      <c r="M840" s="67"/>
      <c r="N840" s="67"/>
    </row>
    <row r="841" spans="11:14">
      <c r="K841" s="67"/>
      <c r="L841" s="67"/>
      <c r="M841" s="67"/>
      <c r="N841" s="67"/>
    </row>
    <row r="842" spans="11:14">
      <c r="K842" s="67"/>
      <c r="L842" s="67"/>
      <c r="M842" s="67"/>
      <c r="N842" s="67"/>
    </row>
    <row r="843" spans="11:14">
      <c r="K843" s="67"/>
      <c r="L843" s="67"/>
      <c r="M843" s="67"/>
      <c r="N843" s="67"/>
    </row>
    <row r="844" spans="11:14">
      <c r="K844" s="67"/>
      <c r="L844" s="67"/>
      <c r="M844" s="67"/>
      <c r="N844" s="67"/>
    </row>
    <row r="845" spans="11:14">
      <c r="K845" s="67"/>
      <c r="L845" s="67"/>
      <c r="M845" s="67"/>
      <c r="N845" s="67"/>
    </row>
    <row r="846" spans="11:14">
      <c r="K846" s="67"/>
      <c r="L846" s="67"/>
      <c r="M846" s="67"/>
      <c r="N846" s="67"/>
    </row>
    <row r="847" spans="11:14">
      <c r="K847" s="67"/>
      <c r="L847" s="67"/>
      <c r="M847" s="67"/>
      <c r="N847" s="67"/>
    </row>
    <row r="848" spans="11:14">
      <c r="K848" s="67"/>
      <c r="L848" s="67"/>
      <c r="M848" s="67"/>
      <c r="N848" s="67"/>
    </row>
    <row r="849" spans="11:14">
      <c r="K849" s="67"/>
      <c r="L849" s="67"/>
      <c r="M849" s="67"/>
      <c r="N849" s="67"/>
    </row>
    <row r="850" spans="11:14">
      <c r="K850" s="67"/>
      <c r="L850" s="67"/>
      <c r="M850" s="67"/>
      <c r="N850" s="67"/>
    </row>
    <row r="851" spans="11:14">
      <c r="K851" s="67"/>
      <c r="L851" s="67"/>
      <c r="M851" s="67"/>
      <c r="N851" s="67"/>
    </row>
    <row r="852" spans="11:14">
      <c r="K852" s="67"/>
      <c r="L852" s="67"/>
      <c r="M852" s="67"/>
      <c r="N852" s="67"/>
    </row>
    <row r="853" spans="11:14">
      <c r="K853" s="67"/>
      <c r="L853" s="67"/>
      <c r="M853" s="67"/>
      <c r="N853" s="67"/>
    </row>
    <row r="854" spans="11:14">
      <c r="K854" s="67"/>
      <c r="L854" s="67"/>
      <c r="M854" s="67"/>
      <c r="N854" s="67"/>
    </row>
    <row r="855" spans="11:14">
      <c r="K855" s="67"/>
      <c r="L855" s="67"/>
      <c r="M855" s="67"/>
      <c r="N855" s="67"/>
    </row>
    <row r="856" spans="11:14">
      <c r="K856" s="67"/>
      <c r="L856" s="67"/>
      <c r="M856" s="67"/>
      <c r="N856" s="67"/>
    </row>
    <row r="857" spans="11:14">
      <c r="K857" s="67"/>
      <c r="L857" s="67"/>
      <c r="M857" s="67"/>
      <c r="N857" s="67"/>
    </row>
    <row r="858" spans="11:14">
      <c r="K858" s="67"/>
      <c r="L858" s="67"/>
      <c r="M858" s="67"/>
      <c r="N858" s="67"/>
    </row>
    <row r="859" spans="11:14">
      <c r="K859" s="67"/>
      <c r="L859" s="67"/>
      <c r="M859" s="67"/>
      <c r="N859" s="67"/>
    </row>
    <row r="860" spans="11:14">
      <c r="K860" s="67"/>
      <c r="L860" s="67"/>
      <c r="M860" s="67"/>
      <c r="N860" s="67"/>
    </row>
    <row r="861" spans="11:14">
      <c r="K861" s="67"/>
      <c r="L861" s="67"/>
      <c r="M861" s="67"/>
      <c r="N861" s="67"/>
    </row>
    <row r="862" spans="11:14">
      <c r="K862" s="67"/>
      <c r="L862" s="67"/>
      <c r="M862" s="67"/>
      <c r="N862" s="67"/>
    </row>
    <row r="863" spans="11:14">
      <c r="K863" s="67"/>
      <c r="L863" s="67"/>
      <c r="M863" s="67"/>
      <c r="N863" s="67"/>
    </row>
    <row r="864" spans="11:14">
      <c r="K864" s="67"/>
      <c r="L864" s="67"/>
      <c r="M864" s="67"/>
      <c r="N864" s="67"/>
    </row>
    <row r="865" spans="11:14">
      <c r="K865" s="67"/>
      <c r="L865" s="67"/>
      <c r="M865" s="67"/>
      <c r="N865" s="67"/>
    </row>
    <row r="866" spans="11:14">
      <c r="K866" s="67"/>
      <c r="L866" s="67"/>
      <c r="M866" s="67"/>
      <c r="N866" s="67"/>
    </row>
    <row r="867" spans="11:14">
      <c r="K867" s="67"/>
      <c r="L867" s="67"/>
      <c r="M867" s="67"/>
      <c r="N867" s="67"/>
    </row>
    <row r="868" spans="11:14">
      <c r="K868" s="67"/>
      <c r="L868" s="67"/>
      <c r="M868" s="67"/>
      <c r="N868" s="67"/>
    </row>
    <row r="869" spans="11:14">
      <c r="K869" s="67"/>
      <c r="L869" s="67"/>
      <c r="M869" s="67"/>
      <c r="N869" s="67"/>
    </row>
    <row r="870" spans="11:14">
      <c r="K870" s="67"/>
      <c r="L870" s="67"/>
      <c r="M870" s="67"/>
      <c r="N870" s="67"/>
    </row>
    <row r="871" spans="11:14">
      <c r="K871" s="67"/>
      <c r="L871" s="67"/>
      <c r="M871" s="67"/>
      <c r="N871" s="67"/>
    </row>
    <row r="872" spans="11:14">
      <c r="K872" s="67"/>
      <c r="L872" s="67"/>
      <c r="M872" s="67"/>
      <c r="N872" s="67"/>
    </row>
    <row r="873" spans="11:14">
      <c r="K873" s="67"/>
      <c r="L873" s="67"/>
      <c r="M873" s="67"/>
      <c r="N873" s="67"/>
    </row>
    <row r="874" spans="11:14">
      <c r="K874" s="67"/>
      <c r="L874" s="67"/>
      <c r="M874" s="67"/>
      <c r="N874" s="67"/>
    </row>
    <row r="875" spans="11:14">
      <c r="K875" s="67"/>
      <c r="L875" s="67"/>
      <c r="M875" s="67"/>
      <c r="N875" s="67"/>
    </row>
    <row r="876" spans="11:14">
      <c r="K876" s="67"/>
      <c r="L876" s="67"/>
      <c r="M876" s="67"/>
      <c r="N876" s="67"/>
    </row>
    <row r="877" spans="11:14">
      <c r="K877" s="67"/>
      <c r="L877" s="67"/>
      <c r="M877" s="67"/>
      <c r="N877" s="67"/>
    </row>
    <row r="878" spans="11:14">
      <c r="K878" s="67"/>
      <c r="L878" s="67"/>
      <c r="M878" s="67"/>
      <c r="N878" s="67"/>
    </row>
    <row r="879" spans="11:14">
      <c r="K879" s="67"/>
      <c r="L879" s="67"/>
      <c r="M879" s="67"/>
      <c r="N879" s="67"/>
    </row>
    <row r="880" spans="11:14">
      <c r="K880" s="67"/>
      <c r="L880" s="67"/>
      <c r="M880" s="67"/>
      <c r="N880" s="67"/>
    </row>
    <row r="881" spans="11:14">
      <c r="K881" s="67"/>
      <c r="L881" s="67"/>
      <c r="M881" s="67"/>
      <c r="N881" s="67"/>
    </row>
    <row r="882" spans="11:14">
      <c r="K882" s="67"/>
      <c r="L882" s="67"/>
      <c r="M882" s="67"/>
      <c r="N882" s="67"/>
    </row>
    <row r="883" spans="11:14">
      <c r="K883" s="67"/>
      <c r="L883" s="67"/>
      <c r="M883" s="67"/>
      <c r="N883" s="67"/>
    </row>
    <row r="884" spans="11:14">
      <c r="K884" s="67"/>
      <c r="L884" s="67"/>
      <c r="M884" s="67"/>
      <c r="N884" s="67"/>
    </row>
    <row r="885" spans="11:14">
      <c r="K885" s="67"/>
      <c r="L885" s="67"/>
      <c r="M885" s="67"/>
      <c r="N885" s="67"/>
    </row>
    <row r="886" spans="11:14">
      <c r="K886" s="67"/>
      <c r="L886" s="67"/>
      <c r="M886" s="67"/>
      <c r="N886" s="67"/>
    </row>
    <row r="887" spans="11:14">
      <c r="K887" s="67"/>
      <c r="L887" s="67"/>
      <c r="M887" s="67"/>
      <c r="N887" s="67"/>
    </row>
    <row r="888" spans="11:14">
      <c r="K888" s="67"/>
      <c r="L888" s="67"/>
      <c r="M888" s="67"/>
      <c r="N888" s="67"/>
    </row>
    <row r="889" spans="11:14">
      <c r="K889" s="67"/>
      <c r="L889" s="67"/>
      <c r="M889" s="67"/>
      <c r="N889" s="67"/>
    </row>
    <row r="890" spans="11:14">
      <c r="K890" s="67"/>
      <c r="L890" s="67"/>
      <c r="M890" s="67"/>
      <c r="N890" s="67"/>
    </row>
    <row r="891" spans="11:14">
      <c r="K891" s="67"/>
      <c r="L891" s="67"/>
      <c r="M891" s="67"/>
      <c r="N891" s="67"/>
    </row>
    <row r="892" spans="11:14">
      <c r="K892" s="67"/>
      <c r="L892" s="67"/>
      <c r="M892" s="67"/>
      <c r="N892" s="67"/>
    </row>
    <row r="893" spans="11:14">
      <c r="K893" s="67"/>
      <c r="L893" s="67"/>
      <c r="M893" s="67"/>
      <c r="N893" s="67"/>
    </row>
    <row r="894" spans="11:14">
      <c r="K894" s="67"/>
      <c r="L894" s="67"/>
      <c r="M894" s="67"/>
      <c r="N894" s="67"/>
    </row>
    <row r="895" spans="11:14">
      <c r="K895" s="67"/>
      <c r="L895" s="67"/>
      <c r="M895" s="67"/>
      <c r="N895" s="67"/>
    </row>
    <row r="896" spans="11:14">
      <c r="K896" s="67"/>
      <c r="L896" s="67"/>
      <c r="M896" s="67"/>
      <c r="N896" s="67"/>
    </row>
    <row r="897" spans="11:14">
      <c r="K897" s="67"/>
      <c r="L897" s="67"/>
      <c r="M897" s="67"/>
      <c r="N897" s="67"/>
    </row>
    <row r="898" spans="11:14">
      <c r="K898" s="67"/>
      <c r="L898" s="67"/>
      <c r="M898" s="67"/>
      <c r="N898" s="67"/>
    </row>
    <row r="899" spans="11:14">
      <c r="K899" s="67"/>
      <c r="L899" s="67"/>
      <c r="M899" s="67"/>
      <c r="N899" s="67"/>
    </row>
    <row r="900" spans="11:14">
      <c r="K900" s="67"/>
      <c r="L900" s="67"/>
      <c r="M900" s="67"/>
      <c r="N900" s="67"/>
    </row>
    <row r="901" spans="11:14">
      <c r="K901" s="67"/>
      <c r="L901" s="67"/>
      <c r="M901" s="67"/>
      <c r="N901" s="67"/>
    </row>
    <row r="902" spans="11:14">
      <c r="K902" s="67"/>
      <c r="L902" s="67"/>
      <c r="M902" s="67"/>
      <c r="N902" s="67"/>
    </row>
    <row r="903" spans="11:14">
      <c r="K903" s="67"/>
      <c r="L903" s="67"/>
      <c r="M903" s="67"/>
      <c r="N903" s="67"/>
    </row>
    <row r="904" spans="11:14">
      <c r="K904" s="67"/>
      <c r="L904" s="67"/>
      <c r="M904" s="67"/>
      <c r="N904" s="67"/>
    </row>
    <row r="905" spans="11:14">
      <c r="K905" s="67"/>
      <c r="L905" s="67"/>
      <c r="M905" s="67"/>
      <c r="N905" s="67"/>
    </row>
    <row r="906" spans="11:14">
      <c r="K906" s="67"/>
      <c r="L906" s="67"/>
      <c r="M906" s="67"/>
      <c r="N906" s="67"/>
    </row>
    <row r="907" spans="11:14">
      <c r="K907" s="67"/>
      <c r="L907" s="67"/>
      <c r="M907" s="67"/>
      <c r="N907" s="67"/>
    </row>
    <row r="908" spans="11:14">
      <c r="K908" s="67"/>
      <c r="L908" s="67"/>
      <c r="M908" s="67"/>
      <c r="N908" s="67"/>
    </row>
    <row r="909" spans="11:14">
      <c r="K909" s="67"/>
      <c r="L909" s="67"/>
      <c r="M909" s="67"/>
      <c r="N909" s="67"/>
    </row>
    <row r="910" spans="11:14">
      <c r="K910" s="67"/>
      <c r="L910" s="67"/>
      <c r="M910" s="67"/>
      <c r="N910" s="67"/>
    </row>
    <row r="911" spans="11:14">
      <c r="K911" s="67"/>
      <c r="L911" s="67"/>
      <c r="M911" s="67"/>
      <c r="N911" s="67"/>
    </row>
    <row r="912" spans="11:14">
      <c r="K912" s="67"/>
      <c r="L912" s="67"/>
      <c r="M912" s="67"/>
      <c r="N912" s="67"/>
    </row>
    <row r="913" spans="11:14">
      <c r="K913" s="67"/>
      <c r="L913" s="67"/>
      <c r="M913" s="67"/>
      <c r="N913" s="67"/>
    </row>
    <row r="914" spans="11:14">
      <c r="K914" s="67"/>
      <c r="L914" s="67"/>
      <c r="M914" s="67"/>
      <c r="N914" s="67"/>
    </row>
    <row r="915" spans="11:14">
      <c r="K915" s="67"/>
      <c r="L915" s="67"/>
      <c r="M915" s="67"/>
      <c r="N915" s="67"/>
    </row>
    <row r="916" spans="11:14">
      <c r="K916" s="67"/>
      <c r="L916" s="67"/>
      <c r="M916" s="67"/>
      <c r="N916" s="67"/>
    </row>
    <row r="917" spans="11:14">
      <c r="K917" s="67"/>
      <c r="L917" s="67"/>
      <c r="M917" s="67"/>
      <c r="N917" s="67"/>
    </row>
    <row r="918" spans="11:14">
      <c r="K918" s="67"/>
      <c r="L918" s="67"/>
      <c r="M918" s="67"/>
      <c r="N918" s="67"/>
    </row>
    <row r="919" spans="11:14">
      <c r="K919" s="67"/>
      <c r="L919" s="67"/>
      <c r="M919" s="67"/>
      <c r="N919" s="67"/>
    </row>
    <row r="920" spans="11:14">
      <c r="K920" s="67"/>
      <c r="L920" s="67"/>
      <c r="M920" s="67"/>
      <c r="N920" s="67"/>
    </row>
    <row r="921" spans="11:14">
      <c r="K921" s="67"/>
      <c r="L921" s="67"/>
      <c r="M921" s="67"/>
      <c r="N921" s="67"/>
    </row>
    <row r="922" spans="11:14">
      <c r="K922" s="67"/>
      <c r="L922" s="67"/>
      <c r="M922" s="67"/>
      <c r="N922" s="67"/>
    </row>
    <row r="923" spans="11:14">
      <c r="K923" s="67"/>
      <c r="L923" s="67"/>
      <c r="M923" s="67"/>
      <c r="N923" s="67"/>
    </row>
    <row r="924" spans="11:14">
      <c r="K924" s="67"/>
      <c r="L924" s="67"/>
      <c r="M924" s="67"/>
      <c r="N924" s="67"/>
    </row>
    <row r="925" spans="11:14">
      <c r="K925" s="67"/>
      <c r="L925" s="67"/>
      <c r="M925" s="67"/>
      <c r="N925" s="67"/>
    </row>
    <row r="926" spans="11:14">
      <c r="K926" s="67"/>
      <c r="L926" s="67"/>
      <c r="M926" s="67"/>
      <c r="N926" s="67"/>
    </row>
    <row r="927" spans="11:14">
      <c r="K927" s="67"/>
      <c r="L927" s="67"/>
      <c r="M927" s="67"/>
      <c r="N927" s="67"/>
    </row>
    <row r="928" spans="11:14">
      <c r="K928" s="67"/>
      <c r="L928" s="67"/>
      <c r="M928" s="67"/>
      <c r="N928" s="67"/>
    </row>
    <row r="929" spans="11:14">
      <c r="K929" s="67"/>
      <c r="L929" s="67"/>
      <c r="M929" s="67"/>
      <c r="N929" s="67"/>
    </row>
    <row r="930" spans="11:14">
      <c r="K930" s="67"/>
      <c r="L930" s="67"/>
      <c r="M930" s="67"/>
      <c r="N930" s="67"/>
    </row>
    <row r="931" spans="11:14">
      <c r="K931" s="67"/>
      <c r="L931" s="67"/>
      <c r="M931" s="67"/>
      <c r="N931" s="67"/>
    </row>
    <row r="932" spans="11:14">
      <c r="K932" s="67"/>
      <c r="L932" s="67"/>
      <c r="M932" s="67"/>
      <c r="N932" s="67"/>
    </row>
    <row r="933" spans="11:14">
      <c r="K933" s="67"/>
      <c r="L933" s="67"/>
      <c r="M933" s="67"/>
      <c r="N933" s="67"/>
    </row>
    <row r="934" spans="11:14">
      <c r="K934" s="67"/>
      <c r="L934" s="67"/>
      <c r="M934" s="67"/>
      <c r="N934" s="67"/>
    </row>
    <row r="935" spans="11:14">
      <c r="K935" s="67"/>
      <c r="L935" s="67"/>
      <c r="M935" s="67"/>
      <c r="N935" s="67"/>
    </row>
    <row r="936" spans="11:14">
      <c r="K936" s="67"/>
      <c r="L936" s="67"/>
      <c r="M936" s="67"/>
      <c r="N936" s="67"/>
    </row>
    <row r="937" spans="11:14">
      <c r="K937" s="67"/>
      <c r="L937" s="67"/>
      <c r="M937" s="67"/>
      <c r="N937" s="67"/>
    </row>
    <row r="938" spans="11:14">
      <c r="K938" s="67"/>
      <c r="L938" s="67"/>
      <c r="M938" s="67"/>
      <c r="N938" s="67"/>
    </row>
    <row r="939" spans="11:14">
      <c r="K939" s="67"/>
      <c r="L939" s="67"/>
      <c r="M939" s="67"/>
      <c r="N939" s="67"/>
    </row>
    <row r="940" spans="11:14">
      <c r="K940" s="67"/>
      <c r="L940" s="67"/>
      <c r="M940" s="67"/>
      <c r="N940" s="67"/>
    </row>
    <row r="941" spans="11:14">
      <c r="K941" s="67"/>
      <c r="L941" s="67"/>
      <c r="M941" s="67"/>
      <c r="N941" s="67"/>
    </row>
    <row r="942" spans="11:14">
      <c r="K942" s="67"/>
      <c r="L942" s="67"/>
      <c r="M942" s="67"/>
      <c r="N942" s="67"/>
    </row>
    <row r="943" spans="11:14">
      <c r="K943" s="67"/>
      <c r="L943" s="67"/>
      <c r="M943" s="67"/>
      <c r="N943" s="67"/>
    </row>
    <row r="944" spans="11:14">
      <c r="K944" s="67"/>
      <c r="L944" s="67"/>
      <c r="M944" s="67"/>
      <c r="N944" s="67"/>
    </row>
    <row r="945" spans="11:14">
      <c r="K945" s="67"/>
      <c r="L945" s="67"/>
      <c r="M945" s="67"/>
      <c r="N945" s="67"/>
    </row>
    <row r="946" spans="11:14">
      <c r="K946" s="67"/>
      <c r="L946" s="67"/>
      <c r="M946" s="67"/>
      <c r="N946" s="67"/>
    </row>
    <row r="947" spans="11:14">
      <c r="K947" s="67"/>
      <c r="L947" s="67"/>
      <c r="M947" s="67"/>
      <c r="N947" s="67"/>
    </row>
    <row r="948" spans="11:14">
      <c r="K948" s="67"/>
      <c r="L948" s="67"/>
      <c r="M948" s="67"/>
      <c r="N948" s="67"/>
    </row>
    <row r="949" spans="11:14">
      <c r="K949" s="67"/>
      <c r="L949" s="67"/>
      <c r="M949" s="67"/>
      <c r="N949" s="67"/>
    </row>
    <row r="950" spans="11:14">
      <c r="K950" s="67"/>
      <c r="L950" s="67"/>
      <c r="M950" s="67"/>
      <c r="N950" s="67"/>
    </row>
    <row r="951" spans="11:14">
      <c r="K951" s="67"/>
      <c r="L951" s="67"/>
      <c r="M951" s="67"/>
      <c r="N951" s="67"/>
    </row>
    <row r="952" spans="11:14">
      <c r="K952" s="67"/>
      <c r="L952" s="67"/>
      <c r="M952" s="67"/>
      <c r="N952" s="67"/>
    </row>
    <row r="953" spans="11:14">
      <c r="K953" s="67"/>
      <c r="L953" s="67"/>
      <c r="M953" s="67"/>
      <c r="N953" s="67"/>
    </row>
    <row r="954" spans="11:14">
      <c r="K954" s="67"/>
      <c r="L954" s="67"/>
      <c r="M954" s="67"/>
      <c r="N954" s="67"/>
    </row>
    <row r="955" spans="11:14">
      <c r="K955" s="67"/>
      <c r="L955" s="67"/>
      <c r="M955" s="67"/>
      <c r="N955" s="67"/>
    </row>
    <row r="956" spans="11:14">
      <c r="K956" s="67"/>
      <c r="L956" s="67"/>
      <c r="M956" s="67"/>
      <c r="N956" s="67"/>
    </row>
    <row r="957" spans="11:14">
      <c r="K957" s="67"/>
      <c r="L957" s="67"/>
      <c r="M957" s="67"/>
      <c r="N957" s="67"/>
    </row>
    <row r="958" spans="11:14">
      <c r="K958" s="67"/>
      <c r="L958" s="67"/>
      <c r="M958" s="67"/>
      <c r="N958" s="67"/>
    </row>
    <row r="959" spans="11:14">
      <c r="K959" s="67"/>
      <c r="L959" s="67"/>
      <c r="M959" s="67"/>
      <c r="N959" s="67"/>
    </row>
    <row r="960" spans="11:14">
      <c r="K960" s="67"/>
      <c r="L960" s="67"/>
      <c r="M960" s="67"/>
      <c r="N960" s="67"/>
    </row>
    <row r="961" spans="11:14">
      <c r="K961" s="67"/>
      <c r="L961" s="67"/>
      <c r="M961" s="67"/>
      <c r="N961" s="67"/>
    </row>
    <row r="962" spans="11:14">
      <c r="K962" s="67"/>
      <c r="L962" s="67"/>
      <c r="M962" s="67"/>
      <c r="N962" s="67"/>
    </row>
    <row r="963" spans="11:14">
      <c r="K963" s="67"/>
      <c r="L963" s="67"/>
      <c r="M963" s="67"/>
      <c r="N963" s="67"/>
    </row>
    <row r="964" spans="11:14">
      <c r="K964" s="67"/>
      <c r="L964" s="67"/>
      <c r="M964" s="67"/>
      <c r="N964" s="67"/>
    </row>
    <row r="965" spans="11:14">
      <c r="K965" s="67"/>
      <c r="L965" s="67"/>
      <c r="M965" s="67"/>
      <c r="N965" s="67"/>
    </row>
    <row r="966" spans="11:14">
      <c r="K966" s="67"/>
      <c r="L966" s="67"/>
      <c r="M966" s="67"/>
      <c r="N966" s="67"/>
    </row>
    <row r="967" spans="11:14">
      <c r="K967" s="67"/>
      <c r="L967" s="67"/>
      <c r="M967" s="67"/>
      <c r="N967" s="67"/>
    </row>
    <row r="968" spans="11:14">
      <c r="K968" s="67"/>
      <c r="L968" s="67"/>
      <c r="M968" s="67"/>
      <c r="N968" s="67"/>
    </row>
    <row r="969" spans="11:14">
      <c r="K969" s="67"/>
      <c r="L969" s="67"/>
      <c r="M969" s="67"/>
      <c r="N969" s="67"/>
    </row>
    <row r="970" spans="11:14">
      <c r="K970" s="67"/>
      <c r="L970" s="67"/>
      <c r="M970" s="67"/>
      <c r="N970" s="67"/>
    </row>
    <row r="971" spans="11:14">
      <c r="K971" s="67"/>
      <c r="L971" s="67"/>
      <c r="M971" s="67"/>
      <c r="N971" s="67"/>
    </row>
    <row r="972" spans="11:14">
      <c r="K972" s="67"/>
      <c r="L972" s="67"/>
      <c r="M972" s="67"/>
      <c r="N972" s="67"/>
    </row>
    <row r="973" spans="11:14">
      <c r="K973" s="67"/>
      <c r="L973" s="67"/>
      <c r="M973" s="67"/>
      <c r="N973" s="67"/>
    </row>
    <row r="974" spans="11:14">
      <c r="K974" s="67"/>
      <c r="L974" s="67"/>
      <c r="M974" s="67"/>
      <c r="N974" s="67"/>
    </row>
    <row r="975" spans="11:14">
      <c r="K975" s="67"/>
      <c r="L975" s="67"/>
      <c r="M975" s="67"/>
      <c r="N975" s="67"/>
    </row>
    <row r="976" spans="11:14">
      <c r="K976" s="67"/>
      <c r="L976" s="67"/>
      <c r="M976" s="67"/>
      <c r="N976" s="67"/>
    </row>
    <row r="977" spans="11:14">
      <c r="K977" s="67"/>
      <c r="L977" s="67"/>
      <c r="M977" s="67"/>
      <c r="N977" s="67"/>
    </row>
    <row r="978" spans="11:14">
      <c r="K978" s="67"/>
      <c r="L978" s="67"/>
      <c r="M978" s="67"/>
      <c r="N978" s="67"/>
    </row>
    <row r="979" spans="11:14">
      <c r="K979" s="67"/>
      <c r="L979" s="67"/>
      <c r="M979" s="67"/>
      <c r="N979" s="67"/>
    </row>
    <row r="980" spans="11:14">
      <c r="K980" s="67"/>
      <c r="L980" s="67"/>
      <c r="M980" s="67"/>
      <c r="N980" s="67"/>
    </row>
    <row r="981" spans="11:14">
      <c r="K981" s="67"/>
      <c r="L981" s="67"/>
      <c r="M981" s="67"/>
      <c r="N981" s="67"/>
    </row>
    <row r="982" spans="11:14">
      <c r="K982" s="67"/>
      <c r="L982" s="67"/>
      <c r="M982" s="67"/>
      <c r="N982" s="67"/>
    </row>
    <row r="983" spans="11:14">
      <c r="K983" s="67"/>
      <c r="L983" s="67"/>
      <c r="M983" s="67"/>
      <c r="N983" s="67"/>
    </row>
    <row r="984" spans="11:14">
      <c r="K984" s="67"/>
      <c r="L984" s="67"/>
      <c r="M984" s="67"/>
      <c r="N984" s="67"/>
    </row>
    <row r="985" spans="11:14">
      <c r="K985" s="67"/>
      <c r="L985" s="67"/>
      <c r="M985" s="67"/>
      <c r="N985" s="67"/>
    </row>
    <row r="986" spans="11:14">
      <c r="K986" s="67"/>
      <c r="L986" s="67"/>
      <c r="M986" s="67"/>
      <c r="N986" s="67"/>
    </row>
    <row r="987" spans="11:14">
      <c r="K987" s="67"/>
      <c r="L987" s="67"/>
      <c r="M987" s="67"/>
      <c r="N987" s="67"/>
    </row>
    <row r="988" spans="11:14">
      <c r="K988" s="67"/>
      <c r="L988" s="67"/>
      <c r="M988" s="67"/>
      <c r="N988" s="67"/>
    </row>
    <row r="989" spans="11:14">
      <c r="K989" s="67"/>
      <c r="L989" s="67"/>
      <c r="M989" s="67"/>
      <c r="N989" s="67"/>
    </row>
    <row r="990" spans="11:14">
      <c r="K990" s="67"/>
      <c r="L990" s="67"/>
      <c r="M990" s="67"/>
      <c r="N990" s="67"/>
    </row>
    <row r="991" spans="11:14">
      <c r="K991" s="67"/>
      <c r="L991" s="67"/>
      <c r="M991" s="67"/>
      <c r="N991" s="67"/>
    </row>
    <row r="992" spans="11:14">
      <c r="K992" s="67"/>
      <c r="L992" s="67"/>
      <c r="M992" s="67"/>
      <c r="N992" s="67"/>
    </row>
    <row r="993" spans="11:14">
      <c r="K993" s="67"/>
      <c r="L993" s="67"/>
      <c r="M993" s="67"/>
      <c r="N993" s="67"/>
    </row>
    <row r="994" spans="11:14">
      <c r="K994" s="67"/>
      <c r="L994" s="67"/>
      <c r="M994" s="67"/>
      <c r="N994" s="67"/>
    </row>
    <row r="995" spans="11:14">
      <c r="K995" s="67"/>
      <c r="L995" s="67"/>
      <c r="M995" s="67"/>
      <c r="N995" s="67"/>
    </row>
    <row r="996" spans="11:14">
      <c r="K996" s="67"/>
      <c r="L996" s="67"/>
      <c r="M996" s="67"/>
      <c r="N996" s="67"/>
    </row>
    <row r="997" spans="11:14">
      <c r="K997" s="67"/>
      <c r="L997" s="67"/>
      <c r="M997" s="67"/>
      <c r="N997" s="67"/>
    </row>
    <row r="998" spans="11:14">
      <c r="K998" s="67"/>
      <c r="L998" s="67"/>
      <c r="M998" s="67"/>
      <c r="N998" s="67"/>
    </row>
    <row r="999" spans="11:14">
      <c r="K999" s="67"/>
      <c r="L999" s="67"/>
      <c r="M999" s="67"/>
      <c r="N999" s="67"/>
    </row>
    <row r="1000" spans="11:14">
      <c r="K1000" s="67"/>
      <c r="L1000" s="67"/>
      <c r="M1000" s="67"/>
      <c r="N1000" s="67"/>
    </row>
    <row r="1001" spans="11:14">
      <c r="K1001" s="67"/>
      <c r="L1001" s="67"/>
      <c r="M1001" s="67"/>
      <c r="N1001" s="67"/>
    </row>
    <row r="1002" spans="11:14">
      <c r="K1002" s="67"/>
      <c r="L1002" s="67"/>
      <c r="M1002" s="67"/>
      <c r="N1002" s="67"/>
    </row>
    <row r="1003" spans="11:14">
      <c r="K1003" s="67"/>
      <c r="L1003" s="67"/>
      <c r="M1003" s="67"/>
      <c r="N1003" s="67"/>
    </row>
    <row r="1004" spans="11:14">
      <c r="K1004" s="67"/>
      <c r="L1004" s="67"/>
      <c r="M1004" s="67"/>
      <c r="N1004" s="67"/>
    </row>
    <row r="1005" spans="11:14">
      <c r="K1005" s="67"/>
      <c r="L1005" s="67"/>
      <c r="M1005" s="67"/>
      <c r="N1005" s="67"/>
    </row>
    <row r="1006" spans="11:14">
      <c r="K1006" s="67"/>
      <c r="L1006" s="67"/>
      <c r="M1006" s="67"/>
      <c r="N1006" s="67"/>
    </row>
    <row r="1007" spans="11:14">
      <c r="K1007" s="67"/>
      <c r="L1007" s="67"/>
      <c r="M1007" s="67"/>
      <c r="N1007" s="67"/>
    </row>
    <row r="1008" spans="11:14">
      <c r="K1008" s="67"/>
      <c r="L1008" s="67"/>
      <c r="M1008" s="67"/>
      <c r="N1008" s="67"/>
    </row>
    <row r="1009" spans="11:14">
      <c r="K1009" s="67"/>
      <c r="L1009" s="67"/>
      <c r="M1009" s="67"/>
      <c r="N1009" s="67"/>
    </row>
    <row r="1010" spans="11:14">
      <c r="K1010" s="67"/>
      <c r="L1010" s="67"/>
      <c r="M1010" s="67"/>
      <c r="N1010" s="67"/>
    </row>
    <row r="1011" spans="11:14">
      <c r="K1011" s="67"/>
      <c r="L1011" s="67"/>
      <c r="M1011" s="67"/>
      <c r="N1011" s="67"/>
    </row>
    <row r="1012" spans="11:14">
      <c r="K1012" s="67"/>
      <c r="L1012" s="67"/>
      <c r="M1012" s="67"/>
      <c r="N1012" s="67"/>
    </row>
    <row r="1013" spans="11:14">
      <c r="K1013" s="67"/>
      <c r="L1013" s="67"/>
      <c r="M1013" s="67"/>
      <c r="N1013" s="67"/>
    </row>
    <row r="1014" spans="11:14">
      <c r="K1014" s="67"/>
      <c r="L1014" s="67"/>
      <c r="M1014" s="67"/>
      <c r="N1014" s="67"/>
    </row>
    <row r="1015" spans="11:14">
      <c r="K1015" s="67"/>
      <c r="L1015" s="67"/>
      <c r="M1015" s="67"/>
      <c r="N1015" s="67"/>
    </row>
    <row r="1016" spans="11:14">
      <c r="K1016" s="67"/>
      <c r="L1016" s="67"/>
      <c r="M1016" s="67"/>
      <c r="N1016" s="67"/>
    </row>
    <row r="1017" spans="11:14">
      <c r="K1017" s="67"/>
      <c r="L1017" s="67"/>
      <c r="M1017" s="67"/>
      <c r="N1017" s="67"/>
    </row>
    <row r="1018" spans="11:14">
      <c r="K1018" s="67"/>
      <c r="L1018" s="67"/>
      <c r="M1018" s="67"/>
      <c r="N1018" s="67"/>
    </row>
    <row r="1019" spans="11:14">
      <c r="K1019" s="67"/>
      <c r="L1019" s="67"/>
      <c r="M1019" s="67"/>
      <c r="N1019" s="67"/>
    </row>
    <row r="1020" spans="11:14">
      <c r="K1020" s="67"/>
      <c r="L1020" s="67"/>
      <c r="M1020" s="67"/>
      <c r="N1020" s="67"/>
    </row>
    <row r="1021" spans="11:14">
      <c r="K1021" s="67"/>
      <c r="L1021" s="67"/>
      <c r="M1021" s="67"/>
      <c r="N1021" s="67"/>
    </row>
    <row r="1022" spans="11:14">
      <c r="K1022" s="67"/>
      <c r="L1022" s="67"/>
      <c r="M1022" s="67"/>
      <c r="N1022" s="67"/>
    </row>
    <row r="1023" spans="11:14">
      <c r="K1023" s="67"/>
      <c r="L1023" s="67"/>
      <c r="M1023" s="67"/>
      <c r="N1023" s="67"/>
    </row>
    <row r="1024" spans="11:14">
      <c r="K1024" s="67"/>
      <c r="L1024" s="67"/>
      <c r="M1024" s="67"/>
      <c r="N1024" s="67"/>
    </row>
    <row r="1025" spans="11:14">
      <c r="K1025" s="67"/>
      <c r="L1025" s="67"/>
      <c r="M1025" s="67"/>
      <c r="N1025" s="67"/>
    </row>
    <row r="1026" spans="11:14">
      <c r="K1026" s="67"/>
      <c r="L1026" s="67"/>
      <c r="M1026" s="67"/>
      <c r="N1026" s="67"/>
    </row>
    <row r="1027" spans="11:14">
      <c r="K1027" s="67"/>
      <c r="L1027" s="67"/>
      <c r="M1027" s="67"/>
      <c r="N1027" s="67"/>
    </row>
    <row r="1028" spans="11:14">
      <c r="K1028" s="67"/>
      <c r="L1028" s="67"/>
      <c r="M1028" s="67"/>
      <c r="N1028" s="67"/>
    </row>
    <row r="1029" spans="11:14">
      <c r="K1029" s="67"/>
      <c r="L1029" s="67"/>
      <c r="M1029" s="67"/>
      <c r="N1029" s="67"/>
    </row>
    <row r="1030" spans="11:14">
      <c r="K1030" s="67"/>
      <c r="L1030" s="67"/>
      <c r="M1030" s="67"/>
      <c r="N1030" s="67"/>
    </row>
    <row r="1031" spans="11:14">
      <c r="K1031" s="67"/>
      <c r="L1031" s="67"/>
      <c r="M1031" s="67"/>
      <c r="N1031" s="67"/>
    </row>
    <row r="1032" spans="11:14">
      <c r="K1032" s="67"/>
      <c r="L1032" s="67"/>
      <c r="M1032" s="67"/>
      <c r="N1032" s="67"/>
    </row>
    <row r="1033" spans="11:14">
      <c r="K1033" s="67"/>
      <c r="L1033" s="67"/>
      <c r="M1033" s="67"/>
      <c r="N1033" s="67"/>
    </row>
    <row r="1034" spans="11:14">
      <c r="K1034" s="67"/>
      <c r="L1034" s="67"/>
      <c r="M1034" s="67"/>
      <c r="N1034" s="67"/>
    </row>
    <row r="1035" spans="11:14">
      <c r="K1035" s="67"/>
      <c r="L1035" s="67"/>
      <c r="M1035" s="67"/>
      <c r="N1035" s="67"/>
    </row>
    <row r="1036" spans="11:14">
      <c r="K1036" s="67"/>
      <c r="L1036" s="67"/>
      <c r="M1036" s="67"/>
      <c r="N1036" s="67"/>
    </row>
    <row r="1037" spans="11:14">
      <c r="K1037" s="67"/>
      <c r="L1037" s="67"/>
      <c r="M1037" s="67"/>
      <c r="N1037" s="67"/>
    </row>
    <row r="1038" spans="11:14">
      <c r="K1038" s="67"/>
      <c r="L1038" s="67"/>
      <c r="M1038" s="67"/>
      <c r="N1038" s="67"/>
    </row>
    <row r="1039" spans="11:14">
      <c r="K1039" s="67"/>
      <c r="L1039" s="67"/>
      <c r="M1039" s="67"/>
      <c r="N1039" s="67"/>
    </row>
    <row r="1040" spans="11:14">
      <c r="K1040" s="67"/>
      <c r="L1040" s="67"/>
      <c r="M1040" s="67"/>
      <c r="N1040" s="67"/>
    </row>
    <row r="1041" spans="11:14">
      <c r="K1041" s="67"/>
      <c r="L1041" s="67"/>
      <c r="M1041" s="67"/>
      <c r="N1041" s="67"/>
    </row>
    <row r="1042" spans="11:14">
      <c r="K1042" s="67"/>
      <c r="L1042" s="67"/>
      <c r="M1042" s="67"/>
      <c r="N1042" s="67"/>
    </row>
    <row r="1043" spans="11:14">
      <c r="K1043" s="67"/>
      <c r="L1043" s="67"/>
      <c r="M1043" s="67"/>
      <c r="N1043" s="67"/>
    </row>
    <row r="1044" spans="11:14">
      <c r="K1044" s="67"/>
      <c r="L1044" s="67"/>
      <c r="M1044" s="67"/>
      <c r="N1044" s="67"/>
    </row>
    <row r="1045" spans="11:14">
      <c r="K1045" s="67"/>
      <c r="L1045" s="67"/>
      <c r="M1045" s="67"/>
      <c r="N1045" s="67"/>
    </row>
    <row r="1046" spans="11:14">
      <c r="K1046" s="67"/>
      <c r="L1046" s="67"/>
      <c r="M1046" s="67"/>
      <c r="N1046" s="67"/>
    </row>
    <row r="1047" spans="11:14">
      <c r="K1047" s="67"/>
      <c r="L1047" s="67"/>
      <c r="M1047" s="67"/>
      <c r="N1047" s="67"/>
    </row>
    <row r="1048" spans="11:14">
      <c r="K1048" s="67"/>
      <c r="L1048" s="67"/>
      <c r="M1048" s="67"/>
      <c r="N1048" s="67"/>
    </row>
    <row r="1049" spans="11:14">
      <c r="K1049" s="67"/>
      <c r="L1049" s="67"/>
      <c r="M1049" s="67"/>
      <c r="N1049" s="67"/>
    </row>
    <row r="1050" spans="11:14">
      <c r="K1050" s="67"/>
      <c r="L1050" s="67"/>
      <c r="M1050" s="67"/>
      <c r="N1050" s="67"/>
    </row>
    <row r="1051" spans="11:14">
      <c r="K1051" s="67"/>
      <c r="L1051" s="67"/>
      <c r="M1051" s="67"/>
      <c r="N1051" s="67"/>
    </row>
    <row r="1052" spans="11:14">
      <c r="K1052" s="67"/>
      <c r="L1052" s="67"/>
      <c r="M1052" s="67"/>
      <c r="N1052" s="67"/>
    </row>
    <row r="1053" spans="11:14">
      <c r="K1053" s="67"/>
      <c r="L1053" s="67"/>
      <c r="M1053" s="67"/>
      <c r="N1053" s="67"/>
    </row>
    <row r="1054" spans="11:14">
      <c r="K1054" s="67"/>
      <c r="L1054" s="67"/>
      <c r="M1054" s="67"/>
      <c r="N1054" s="67"/>
    </row>
    <row r="1055" spans="11:14">
      <c r="K1055" s="67"/>
      <c r="L1055" s="67"/>
      <c r="M1055" s="67"/>
      <c r="N1055" s="67"/>
    </row>
    <row r="1056" spans="11:14">
      <c r="K1056" s="67"/>
      <c r="L1056" s="67"/>
      <c r="M1056" s="67"/>
      <c r="N1056" s="67"/>
    </row>
    <row r="1057" spans="11:14">
      <c r="K1057" s="67"/>
      <c r="L1057" s="67"/>
      <c r="M1057" s="67"/>
      <c r="N1057" s="67"/>
    </row>
    <row r="1058" spans="11:14">
      <c r="K1058" s="67"/>
      <c r="L1058" s="67"/>
      <c r="M1058" s="67"/>
      <c r="N1058" s="67"/>
    </row>
    <row r="1059" spans="11:14">
      <c r="K1059" s="67"/>
      <c r="L1059" s="67"/>
      <c r="M1059" s="67"/>
      <c r="N1059" s="67"/>
    </row>
    <row r="1060" spans="11:14">
      <c r="K1060" s="67"/>
      <c r="L1060" s="67"/>
      <c r="M1060" s="67"/>
      <c r="N1060" s="67"/>
    </row>
    <row r="1061" spans="11:14">
      <c r="K1061" s="67"/>
      <c r="L1061" s="67"/>
      <c r="M1061" s="67"/>
      <c r="N1061" s="67"/>
    </row>
    <row r="1062" spans="11:14">
      <c r="K1062" s="67"/>
      <c r="L1062" s="67"/>
      <c r="M1062" s="67"/>
      <c r="N1062" s="67"/>
    </row>
    <row r="1063" spans="11:14">
      <c r="K1063" s="67"/>
      <c r="L1063" s="67"/>
      <c r="M1063" s="67"/>
      <c r="N1063" s="67"/>
    </row>
    <row r="1064" spans="11:14">
      <c r="K1064" s="67"/>
      <c r="L1064" s="67"/>
      <c r="M1064" s="67"/>
      <c r="N1064" s="67"/>
    </row>
    <row r="1065" spans="11:14">
      <c r="K1065" s="67"/>
      <c r="L1065" s="67"/>
      <c r="M1065" s="67"/>
      <c r="N1065" s="67"/>
    </row>
    <row r="1066" spans="11:14">
      <c r="K1066" s="67"/>
      <c r="L1066" s="67"/>
      <c r="M1066" s="67"/>
      <c r="N1066" s="67"/>
    </row>
    <row r="1067" spans="11:14">
      <c r="K1067" s="67"/>
      <c r="L1067" s="67"/>
      <c r="M1067" s="67"/>
      <c r="N1067" s="67"/>
    </row>
    <row r="1068" spans="11:14">
      <c r="K1068" s="67"/>
      <c r="L1068" s="67"/>
      <c r="M1068" s="67"/>
      <c r="N1068" s="67"/>
    </row>
    <row r="1069" spans="11:14">
      <c r="K1069" s="67"/>
      <c r="L1069" s="67"/>
      <c r="M1069" s="67"/>
      <c r="N1069" s="67"/>
    </row>
    <row r="1070" spans="11:14">
      <c r="K1070" s="67"/>
      <c r="L1070" s="67"/>
      <c r="M1070" s="67"/>
      <c r="N1070" s="67"/>
    </row>
    <row r="1071" spans="11:14">
      <c r="K1071" s="67"/>
      <c r="L1071" s="67"/>
      <c r="M1071" s="67"/>
      <c r="N1071" s="67"/>
    </row>
    <row r="1072" spans="11:14">
      <c r="K1072" s="67"/>
      <c r="L1072" s="67"/>
      <c r="M1072" s="67"/>
      <c r="N1072" s="67"/>
    </row>
    <row r="1073" spans="11:14">
      <c r="K1073" s="67"/>
      <c r="L1073" s="67"/>
      <c r="M1073" s="67"/>
      <c r="N1073" s="67"/>
    </row>
    <row r="1074" spans="11:14">
      <c r="K1074" s="67"/>
      <c r="L1074" s="67"/>
      <c r="M1074" s="67"/>
      <c r="N1074" s="67"/>
    </row>
    <row r="1075" spans="11:14">
      <c r="K1075" s="67"/>
      <c r="L1075" s="67"/>
      <c r="M1075" s="67"/>
      <c r="N1075" s="67"/>
    </row>
    <row r="1076" spans="11:14">
      <c r="K1076" s="67"/>
      <c r="L1076" s="67"/>
      <c r="M1076" s="67"/>
      <c r="N1076" s="67"/>
    </row>
    <row r="1077" spans="11:14">
      <c r="K1077" s="67"/>
      <c r="L1077" s="67"/>
      <c r="M1077" s="67"/>
      <c r="N1077" s="67"/>
    </row>
    <row r="1078" spans="11:14">
      <c r="K1078" s="67"/>
      <c r="L1078" s="67"/>
      <c r="M1078" s="67"/>
      <c r="N1078" s="67"/>
    </row>
    <row r="1079" spans="11:14">
      <c r="K1079" s="67"/>
      <c r="L1079" s="67"/>
      <c r="M1079" s="67"/>
      <c r="N1079" s="67"/>
    </row>
    <row r="1080" spans="11:14">
      <c r="K1080" s="67"/>
      <c r="L1080" s="67"/>
      <c r="M1080" s="67"/>
      <c r="N1080" s="67"/>
    </row>
    <row r="1081" spans="11:14">
      <c r="K1081" s="67"/>
      <c r="L1081" s="67"/>
      <c r="M1081" s="67"/>
      <c r="N1081" s="67"/>
    </row>
    <row r="1082" spans="11:14">
      <c r="K1082" s="67"/>
      <c r="L1082" s="67"/>
      <c r="M1082" s="67"/>
      <c r="N1082" s="67"/>
    </row>
    <row r="1083" spans="11:14">
      <c r="K1083" s="67"/>
      <c r="L1083" s="67"/>
      <c r="M1083" s="67"/>
      <c r="N1083" s="67"/>
    </row>
    <row r="1084" spans="11:14">
      <c r="K1084" s="67"/>
      <c r="L1084" s="67"/>
      <c r="M1084" s="67"/>
      <c r="N1084" s="67"/>
    </row>
    <row r="1085" spans="11:14">
      <c r="K1085" s="67"/>
      <c r="L1085" s="67"/>
      <c r="M1085" s="67"/>
      <c r="N1085" s="67"/>
    </row>
    <row r="1086" spans="11:14">
      <c r="K1086" s="67"/>
      <c r="L1086" s="67"/>
      <c r="M1086" s="67"/>
      <c r="N1086" s="67"/>
    </row>
    <row r="1087" spans="11:14">
      <c r="K1087" s="67"/>
      <c r="L1087" s="67"/>
      <c r="M1087" s="67"/>
      <c r="N1087" s="67"/>
    </row>
    <row r="1088" spans="11:14">
      <c r="K1088" s="67"/>
      <c r="L1088" s="67"/>
      <c r="M1088" s="67"/>
      <c r="N1088" s="67"/>
    </row>
    <row r="1089" spans="11:14">
      <c r="K1089" s="67"/>
      <c r="L1089" s="67"/>
      <c r="M1089" s="67"/>
      <c r="N1089" s="67"/>
    </row>
    <row r="1090" spans="11:14">
      <c r="K1090" s="67"/>
      <c r="L1090" s="67"/>
      <c r="M1090" s="67"/>
      <c r="N1090" s="67"/>
    </row>
    <row r="1091" spans="11:14">
      <c r="K1091" s="67"/>
      <c r="L1091" s="67"/>
      <c r="M1091" s="67"/>
      <c r="N1091" s="67"/>
    </row>
    <row r="1092" spans="11:14">
      <c r="K1092" s="67"/>
      <c r="L1092" s="67"/>
      <c r="M1092" s="67"/>
      <c r="N1092" s="67"/>
    </row>
    <row r="1093" spans="11:14">
      <c r="K1093" s="67"/>
      <c r="L1093" s="67"/>
      <c r="M1093" s="67"/>
      <c r="N1093" s="67"/>
    </row>
    <row r="1094" spans="11:14">
      <c r="K1094" s="67"/>
      <c r="L1094" s="67"/>
      <c r="M1094" s="67"/>
      <c r="N1094" s="67"/>
    </row>
    <row r="1095" spans="11:14">
      <c r="K1095" s="67"/>
      <c r="L1095" s="67"/>
      <c r="M1095" s="67"/>
      <c r="N1095" s="67"/>
    </row>
    <row r="1096" spans="11:14">
      <c r="K1096" s="67"/>
      <c r="L1096" s="67"/>
      <c r="M1096" s="67"/>
      <c r="N1096" s="67"/>
    </row>
    <row r="1097" spans="11:14">
      <c r="K1097" s="67"/>
      <c r="L1097" s="67"/>
      <c r="M1097" s="67"/>
      <c r="N1097" s="67"/>
    </row>
    <row r="1098" spans="11:14">
      <c r="K1098" s="67"/>
      <c r="L1098" s="67"/>
      <c r="M1098" s="67"/>
      <c r="N1098" s="67"/>
    </row>
    <row r="1099" spans="11:14">
      <c r="K1099" s="67"/>
      <c r="L1099" s="67"/>
      <c r="M1099" s="67"/>
      <c r="N1099" s="67"/>
    </row>
    <row r="1100" spans="11:14">
      <c r="K1100" s="67"/>
      <c r="L1100" s="67"/>
      <c r="M1100" s="67"/>
      <c r="N1100" s="67"/>
    </row>
    <row r="1101" spans="11:14">
      <c r="K1101" s="67"/>
      <c r="L1101" s="67"/>
      <c r="M1101" s="67"/>
      <c r="N1101" s="67"/>
    </row>
    <row r="1102" spans="11:14">
      <c r="K1102" s="67"/>
      <c r="L1102" s="67"/>
      <c r="M1102" s="67"/>
      <c r="N1102" s="67"/>
    </row>
    <row r="1103" spans="11:14">
      <c r="K1103" s="67"/>
      <c r="L1103" s="67"/>
      <c r="M1103" s="67"/>
      <c r="N1103" s="67"/>
    </row>
    <row r="1104" spans="11:14">
      <c r="K1104" s="67"/>
      <c r="L1104" s="67"/>
      <c r="M1104" s="67"/>
      <c r="N1104" s="67"/>
    </row>
    <row r="1105" spans="11:14">
      <c r="K1105" s="67"/>
      <c r="L1105" s="67"/>
      <c r="M1105" s="67"/>
      <c r="N1105" s="67"/>
    </row>
    <row r="1106" spans="11:14">
      <c r="K1106" s="67"/>
      <c r="L1106" s="67"/>
      <c r="M1106" s="67"/>
      <c r="N1106" s="67"/>
    </row>
    <row r="1107" spans="11:14">
      <c r="K1107" s="67"/>
      <c r="L1107" s="67"/>
      <c r="M1107" s="67"/>
      <c r="N1107" s="67"/>
    </row>
    <row r="1108" spans="11:14">
      <c r="K1108" s="67"/>
      <c r="L1108" s="67"/>
      <c r="M1108" s="67"/>
      <c r="N1108" s="67"/>
    </row>
    <row r="1109" spans="11:14">
      <c r="K1109" s="67"/>
      <c r="L1109" s="67"/>
      <c r="M1109" s="67"/>
      <c r="N1109" s="67"/>
    </row>
    <row r="1110" spans="11:14">
      <c r="K1110" s="67"/>
      <c r="L1110" s="67"/>
      <c r="M1110" s="67"/>
      <c r="N1110" s="67"/>
    </row>
    <row r="1111" spans="11:14">
      <c r="K1111" s="67"/>
      <c r="L1111" s="67"/>
      <c r="M1111" s="67"/>
      <c r="N1111" s="67"/>
    </row>
    <row r="1112" spans="11:14">
      <c r="K1112" s="67"/>
      <c r="L1112" s="67"/>
      <c r="M1112" s="67"/>
      <c r="N1112" s="67"/>
    </row>
    <row r="1113" spans="11:14">
      <c r="K1113" s="67"/>
      <c r="L1113" s="67"/>
      <c r="M1113" s="67"/>
      <c r="N1113" s="67"/>
    </row>
    <row r="1114" spans="11:14">
      <c r="K1114" s="67"/>
      <c r="L1114" s="67"/>
      <c r="M1114" s="67"/>
      <c r="N1114" s="67"/>
    </row>
    <row r="1115" spans="11:14">
      <c r="K1115" s="67"/>
      <c r="L1115" s="67"/>
      <c r="M1115" s="67"/>
      <c r="N1115" s="67"/>
    </row>
    <row r="1116" spans="11:14">
      <c r="K1116" s="67"/>
      <c r="L1116" s="67"/>
      <c r="M1116" s="67"/>
      <c r="N1116" s="67"/>
    </row>
    <row r="1117" spans="11:14">
      <c r="K1117" s="67"/>
      <c r="L1117" s="67"/>
      <c r="M1117" s="67"/>
      <c r="N1117" s="67"/>
    </row>
    <row r="1118" spans="11:14">
      <c r="K1118" s="67"/>
      <c r="L1118" s="67"/>
      <c r="M1118" s="67"/>
      <c r="N1118" s="67"/>
    </row>
    <row r="1119" spans="11:14">
      <c r="K1119" s="67"/>
      <c r="L1119" s="67"/>
      <c r="M1119" s="67"/>
      <c r="N1119" s="67"/>
    </row>
    <row r="1120" spans="11:14">
      <c r="K1120" s="67"/>
      <c r="L1120" s="67"/>
      <c r="M1120" s="67"/>
      <c r="N1120" s="67"/>
    </row>
    <row r="1121" spans="11:14">
      <c r="K1121" s="67"/>
      <c r="L1121" s="67"/>
      <c r="M1121" s="67"/>
      <c r="N1121" s="67"/>
    </row>
    <row r="1122" spans="11:14">
      <c r="K1122" s="67"/>
      <c r="L1122" s="67"/>
      <c r="M1122" s="67"/>
      <c r="N1122" s="67"/>
    </row>
    <row r="1123" spans="11:14">
      <c r="K1123" s="67"/>
      <c r="L1123" s="67"/>
      <c r="M1123" s="67"/>
      <c r="N1123" s="67"/>
    </row>
    <row r="1124" spans="11:14">
      <c r="K1124" s="67"/>
      <c r="L1124" s="67"/>
      <c r="M1124" s="67"/>
      <c r="N1124" s="67"/>
    </row>
    <row r="1125" spans="11:14">
      <c r="K1125" s="67"/>
      <c r="L1125" s="67"/>
      <c r="M1125" s="67"/>
      <c r="N1125" s="67"/>
    </row>
    <row r="1126" spans="11:14">
      <c r="K1126" s="67"/>
      <c r="L1126" s="67"/>
      <c r="M1126" s="67"/>
      <c r="N1126" s="67"/>
    </row>
    <row r="1127" spans="11:14">
      <c r="K1127" s="67"/>
      <c r="L1127" s="67"/>
      <c r="M1127" s="67"/>
      <c r="N1127" s="67"/>
    </row>
    <row r="1128" spans="11:14">
      <c r="K1128" s="67"/>
      <c r="L1128" s="67"/>
      <c r="M1128" s="67"/>
      <c r="N1128" s="67"/>
    </row>
    <row r="1129" spans="11:14">
      <c r="K1129" s="67"/>
      <c r="L1129" s="67"/>
      <c r="M1129" s="67"/>
      <c r="N1129" s="67"/>
    </row>
    <row r="1130" spans="11:14">
      <c r="K1130" s="67"/>
      <c r="L1130" s="67"/>
      <c r="M1130" s="67"/>
      <c r="N1130" s="67"/>
    </row>
    <row r="1131" spans="11:14">
      <c r="K1131" s="67"/>
      <c r="L1131" s="67"/>
      <c r="M1131" s="67"/>
      <c r="N1131" s="67"/>
    </row>
    <row r="1132" spans="11:14">
      <c r="K1132" s="67"/>
      <c r="L1132" s="67"/>
      <c r="M1132" s="67"/>
      <c r="N1132" s="67"/>
    </row>
    <row r="1133" spans="11:14">
      <c r="K1133" s="67"/>
      <c r="L1133" s="67"/>
      <c r="M1133" s="67"/>
      <c r="N1133" s="67"/>
    </row>
    <row r="1134" spans="11:14">
      <c r="K1134" s="67"/>
      <c r="L1134" s="67"/>
      <c r="M1134" s="67"/>
      <c r="N1134" s="67"/>
    </row>
    <row r="1135" spans="11:14">
      <c r="K1135" s="67"/>
      <c r="L1135" s="67"/>
      <c r="M1135" s="67"/>
      <c r="N1135" s="67"/>
    </row>
    <row r="1136" spans="11:14">
      <c r="K1136" s="67"/>
      <c r="L1136" s="67"/>
      <c r="M1136" s="67"/>
      <c r="N1136" s="67"/>
    </row>
    <row r="1137" spans="11:14">
      <c r="K1137" s="67"/>
      <c r="L1137" s="67"/>
      <c r="M1137" s="67"/>
      <c r="N1137" s="67"/>
    </row>
    <row r="1138" spans="11:14">
      <c r="K1138" s="67"/>
      <c r="L1138" s="67"/>
      <c r="M1138" s="67"/>
      <c r="N1138" s="67"/>
    </row>
    <row r="1139" spans="11:14">
      <c r="K1139" s="67"/>
      <c r="L1139" s="67"/>
      <c r="M1139" s="67"/>
      <c r="N1139" s="67"/>
    </row>
    <row r="1140" spans="11:14">
      <c r="K1140" s="67"/>
      <c r="L1140" s="67"/>
      <c r="M1140" s="67"/>
      <c r="N1140" s="67"/>
    </row>
    <row r="1141" spans="11:14">
      <c r="K1141" s="67"/>
      <c r="L1141" s="67"/>
      <c r="M1141" s="67"/>
      <c r="N1141" s="67"/>
    </row>
    <row r="1142" spans="11:14">
      <c r="K1142" s="67"/>
      <c r="L1142" s="67"/>
      <c r="M1142" s="67"/>
      <c r="N1142" s="67"/>
    </row>
    <row r="1143" spans="11:14">
      <c r="K1143" s="67"/>
      <c r="L1143" s="67"/>
      <c r="M1143" s="67"/>
      <c r="N1143" s="67"/>
    </row>
    <row r="1144" spans="11:14">
      <c r="K1144" s="67"/>
      <c r="L1144" s="67"/>
      <c r="M1144" s="67"/>
      <c r="N1144" s="67"/>
    </row>
    <row r="1145" spans="11:14">
      <c r="K1145" s="67"/>
      <c r="L1145" s="67"/>
      <c r="M1145" s="67"/>
      <c r="N1145" s="67"/>
    </row>
    <row r="1146" spans="11:14">
      <c r="K1146" s="67"/>
      <c r="L1146" s="67"/>
      <c r="M1146" s="67"/>
      <c r="N1146" s="67"/>
    </row>
    <row r="1147" spans="11:14">
      <c r="K1147" s="67"/>
      <c r="L1147" s="67"/>
      <c r="M1147" s="67"/>
      <c r="N1147" s="67"/>
    </row>
    <row r="1148" spans="11:14">
      <c r="K1148" s="67"/>
      <c r="L1148" s="67"/>
      <c r="M1148" s="67"/>
      <c r="N1148" s="67"/>
    </row>
    <row r="1149" spans="11:14">
      <c r="K1149" s="67"/>
      <c r="L1149" s="67"/>
      <c r="M1149" s="67"/>
      <c r="N1149" s="67"/>
    </row>
    <row r="1150" spans="11:14">
      <c r="K1150" s="67"/>
      <c r="L1150" s="67"/>
      <c r="M1150" s="67"/>
      <c r="N1150" s="67"/>
    </row>
    <row r="1151" spans="11:14">
      <c r="K1151" s="67"/>
      <c r="L1151" s="67"/>
      <c r="M1151" s="67"/>
      <c r="N1151" s="67"/>
    </row>
    <row r="1152" spans="11:14">
      <c r="K1152" s="67"/>
      <c r="L1152" s="67"/>
      <c r="M1152" s="67"/>
      <c r="N1152" s="67"/>
    </row>
    <row r="1153" spans="11:14">
      <c r="K1153" s="67"/>
      <c r="L1153" s="67"/>
      <c r="M1153" s="67"/>
      <c r="N1153" s="67"/>
    </row>
    <row r="1154" spans="11:14">
      <c r="K1154" s="67"/>
      <c r="L1154" s="67"/>
      <c r="M1154" s="67"/>
      <c r="N1154" s="67"/>
    </row>
    <row r="1155" spans="11:14">
      <c r="K1155" s="67"/>
      <c r="L1155" s="67"/>
      <c r="M1155" s="67"/>
      <c r="N1155" s="67"/>
    </row>
    <row r="1156" spans="11:14">
      <c r="K1156" s="67"/>
      <c r="L1156" s="67"/>
      <c r="M1156" s="67"/>
      <c r="N1156" s="67"/>
    </row>
    <row r="1157" spans="11:14">
      <c r="K1157" s="67"/>
      <c r="L1157" s="67"/>
      <c r="M1157" s="67"/>
      <c r="N1157" s="67"/>
    </row>
    <row r="1158" spans="11:14">
      <c r="K1158" s="67"/>
      <c r="L1158" s="67"/>
      <c r="M1158" s="67"/>
      <c r="N1158" s="67"/>
    </row>
    <row r="1159" spans="11:14">
      <c r="K1159" s="67"/>
      <c r="L1159" s="67"/>
      <c r="M1159" s="67"/>
      <c r="N1159" s="67"/>
    </row>
    <row r="1160" spans="11:14">
      <c r="K1160" s="67"/>
      <c r="L1160" s="67"/>
      <c r="M1160" s="67"/>
      <c r="N1160" s="67"/>
    </row>
    <row r="1161" spans="11:14">
      <c r="K1161" s="67"/>
      <c r="L1161" s="67"/>
      <c r="M1161" s="67"/>
      <c r="N1161" s="67"/>
    </row>
    <row r="1162" spans="11:14">
      <c r="K1162" s="67"/>
      <c r="L1162" s="67"/>
      <c r="M1162" s="67"/>
      <c r="N1162" s="67"/>
    </row>
    <row r="1163" spans="11:14">
      <c r="K1163" s="67"/>
      <c r="L1163" s="67"/>
      <c r="M1163" s="67"/>
      <c r="N1163" s="67"/>
    </row>
    <row r="1164" spans="11:14">
      <c r="K1164" s="67"/>
      <c r="L1164" s="67"/>
      <c r="M1164" s="67"/>
      <c r="N1164" s="67"/>
    </row>
    <row r="1165" spans="11:14">
      <c r="K1165" s="67"/>
      <c r="L1165" s="67"/>
      <c r="M1165" s="67"/>
      <c r="N1165" s="67"/>
    </row>
    <row r="1166" spans="11:14">
      <c r="K1166" s="67"/>
      <c r="L1166" s="67"/>
      <c r="M1166" s="67"/>
      <c r="N1166" s="67"/>
    </row>
    <row r="1167" spans="11:14">
      <c r="K1167" s="67"/>
      <c r="L1167" s="67"/>
      <c r="M1167" s="67"/>
      <c r="N1167" s="67"/>
    </row>
    <row r="1168" spans="11:14">
      <c r="K1168" s="67"/>
      <c r="L1168" s="67"/>
      <c r="M1168" s="67"/>
      <c r="N1168" s="67"/>
    </row>
    <row r="1169" spans="11:14">
      <c r="K1169" s="67"/>
      <c r="L1169" s="67"/>
      <c r="M1169" s="67"/>
      <c r="N1169" s="67"/>
    </row>
    <row r="1170" spans="11:14">
      <c r="K1170" s="67"/>
      <c r="L1170" s="67"/>
      <c r="M1170" s="67"/>
      <c r="N1170" s="67"/>
    </row>
    <row r="1171" spans="11:14">
      <c r="K1171" s="67"/>
      <c r="L1171" s="67"/>
      <c r="M1171" s="67"/>
      <c r="N1171" s="67"/>
    </row>
    <row r="1172" spans="11:14">
      <c r="K1172" s="67"/>
      <c r="L1172" s="67"/>
      <c r="M1172" s="67"/>
      <c r="N1172" s="67"/>
    </row>
    <row r="1173" spans="11:14">
      <c r="K1173" s="67"/>
      <c r="L1173" s="67"/>
      <c r="M1173" s="67"/>
      <c r="N1173" s="67"/>
    </row>
    <row r="1174" spans="11:14">
      <c r="K1174" s="67"/>
      <c r="L1174" s="67"/>
      <c r="M1174" s="67"/>
      <c r="N1174" s="67"/>
    </row>
    <row r="1175" spans="11:14">
      <c r="K1175" s="67"/>
      <c r="L1175" s="67"/>
      <c r="M1175" s="67"/>
      <c r="N1175" s="67"/>
    </row>
    <row r="1176" spans="11:14">
      <c r="K1176" s="67"/>
      <c r="L1176" s="67"/>
      <c r="M1176" s="67"/>
      <c r="N1176" s="67"/>
    </row>
    <row r="1177" spans="11:14">
      <c r="K1177" s="67"/>
      <c r="L1177" s="67"/>
      <c r="M1177" s="67"/>
      <c r="N1177" s="67"/>
    </row>
    <row r="1178" spans="11:14">
      <c r="K1178" s="67"/>
      <c r="L1178" s="67"/>
      <c r="M1178" s="67"/>
      <c r="N1178" s="67"/>
    </row>
    <row r="1179" spans="11:14">
      <c r="K1179" s="67"/>
      <c r="L1179" s="67"/>
      <c r="M1179" s="67"/>
      <c r="N1179" s="67"/>
    </row>
    <row r="1180" spans="11:14">
      <c r="K1180" s="67"/>
      <c r="L1180" s="67"/>
      <c r="M1180" s="67"/>
      <c r="N1180" s="67"/>
    </row>
    <row r="1181" spans="11:14">
      <c r="K1181" s="67"/>
      <c r="L1181" s="67"/>
      <c r="M1181" s="67"/>
      <c r="N1181" s="67"/>
    </row>
    <row r="1182" spans="11:14">
      <c r="K1182" s="67"/>
      <c r="L1182" s="67"/>
      <c r="M1182" s="67"/>
      <c r="N1182" s="67"/>
    </row>
    <row r="1183" spans="11:14">
      <c r="K1183" s="67"/>
      <c r="L1183" s="67"/>
      <c r="M1183" s="67"/>
      <c r="N1183" s="67"/>
    </row>
    <row r="1184" spans="11:14">
      <c r="K1184" s="67"/>
      <c r="L1184" s="67"/>
      <c r="M1184" s="67"/>
      <c r="N1184" s="67"/>
    </row>
    <row r="1185" spans="11:14">
      <c r="K1185" s="67"/>
      <c r="L1185" s="67"/>
      <c r="M1185" s="67"/>
      <c r="N1185" s="67"/>
    </row>
    <row r="1186" spans="11:14">
      <c r="K1186" s="67"/>
      <c r="L1186" s="67"/>
      <c r="M1186" s="67"/>
      <c r="N1186" s="67"/>
    </row>
    <row r="1187" spans="11:14">
      <c r="K1187" s="67"/>
      <c r="L1187" s="67"/>
      <c r="M1187" s="67"/>
      <c r="N1187" s="67"/>
    </row>
    <row r="1188" spans="11:14">
      <c r="K1188" s="67"/>
      <c r="L1188" s="67"/>
      <c r="M1188" s="67"/>
      <c r="N1188" s="67"/>
    </row>
    <row r="1189" spans="11:14">
      <c r="K1189" s="67"/>
      <c r="L1189" s="67"/>
      <c r="M1189" s="67"/>
      <c r="N1189" s="67"/>
    </row>
    <row r="1190" spans="11:14">
      <c r="K1190" s="67"/>
      <c r="L1190" s="67"/>
      <c r="M1190" s="67"/>
      <c r="N1190" s="67"/>
    </row>
    <row r="1191" spans="11:14">
      <c r="K1191" s="67"/>
      <c r="L1191" s="67"/>
      <c r="M1191" s="67"/>
      <c r="N1191" s="67"/>
    </row>
    <row r="1192" spans="11:14">
      <c r="K1192" s="67"/>
      <c r="L1192" s="67"/>
      <c r="M1192" s="67"/>
      <c r="N1192" s="67"/>
    </row>
    <row r="1193" spans="11:14">
      <c r="K1193" s="67"/>
      <c r="L1193" s="67"/>
      <c r="M1193" s="67"/>
      <c r="N1193" s="67"/>
    </row>
    <row r="1194" spans="11:14">
      <c r="K1194" s="67"/>
      <c r="L1194" s="67"/>
      <c r="M1194" s="67"/>
      <c r="N1194" s="67"/>
    </row>
    <row r="1195" spans="11:14">
      <c r="K1195" s="67"/>
      <c r="L1195" s="67"/>
      <c r="M1195" s="67"/>
      <c r="N1195" s="67"/>
    </row>
    <row r="1196" spans="11:14">
      <c r="K1196" s="67"/>
      <c r="L1196" s="67"/>
      <c r="M1196" s="67"/>
      <c r="N1196" s="67"/>
    </row>
    <row r="1197" spans="11:14">
      <c r="K1197" s="67"/>
      <c r="L1197" s="67"/>
      <c r="M1197" s="67"/>
      <c r="N1197" s="67"/>
    </row>
    <row r="1198" spans="11:14">
      <c r="K1198" s="67"/>
      <c r="L1198" s="67"/>
      <c r="M1198" s="67"/>
      <c r="N1198" s="67"/>
    </row>
    <row r="1199" spans="11:14">
      <c r="K1199" s="67"/>
      <c r="L1199" s="67"/>
      <c r="M1199" s="67"/>
      <c r="N1199" s="67"/>
    </row>
    <row r="1200" spans="11:14">
      <c r="K1200" s="67"/>
      <c r="L1200" s="67"/>
      <c r="M1200" s="67"/>
      <c r="N1200" s="67"/>
    </row>
    <row r="1201" spans="11:14">
      <c r="K1201" s="67"/>
      <c r="L1201" s="67"/>
      <c r="M1201" s="67"/>
      <c r="N1201" s="67"/>
    </row>
    <row r="1202" spans="11:14">
      <c r="K1202" s="67"/>
      <c r="L1202" s="67"/>
      <c r="M1202" s="67"/>
      <c r="N1202" s="67"/>
    </row>
    <row r="1203" spans="11:14">
      <c r="K1203" s="67"/>
      <c r="L1203" s="67"/>
      <c r="M1203" s="67"/>
      <c r="N1203" s="67"/>
    </row>
    <row r="1204" spans="11:14">
      <c r="K1204" s="67"/>
      <c r="L1204" s="67"/>
      <c r="M1204" s="67"/>
      <c r="N1204" s="67"/>
    </row>
    <row r="1205" spans="11:14">
      <c r="K1205" s="67"/>
      <c r="L1205" s="67"/>
      <c r="M1205" s="67"/>
      <c r="N1205" s="67"/>
    </row>
    <row r="1206" spans="11:14">
      <c r="K1206" s="67"/>
      <c r="L1206" s="67"/>
      <c r="M1206" s="67"/>
      <c r="N1206" s="67"/>
    </row>
    <row r="1207" spans="11:14">
      <c r="K1207" s="67"/>
      <c r="L1207" s="67"/>
      <c r="M1207" s="67"/>
      <c r="N1207" s="67"/>
    </row>
    <row r="1208" spans="11:14">
      <c r="K1208" s="67"/>
      <c r="L1208" s="67"/>
      <c r="M1208" s="67"/>
      <c r="N1208" s="67"/>
    </row>
    <row r="1209" spans="11:14">
      <c r="K1209" s="67"/>
      <c r="L1209" s="67"/>
      <c r="M1209" s="67"/>
      <c r="N1209" s="67"/>
    </row>
    <row r="1210" spans="11:14">
      <c r="K1210" s="67"/>
      <c r="L1210" s="67"/>
      <c r="M1210" s="67"/>
      <c r="N1210" s="67"/>
    </row>
    <row r="1211" spans="11:14">
      <c r="K1211" s="67"/>
      <c r="L1211" s="67"/>
      <c r="M1211" s="67"/>
      <c r="N1211" s="67"/>
    </row>
    <row r="1212" spans="11:14">
      <c r="K1212" s="67"/>
      <c r="L1212" s="67"/>
      <c r="M1212" s="67"/>
      <c r="N1212" s="67"/>
    </row>
    <row r="1213" spans="11:14">
      <c r="K1213" s="67"/>
      <c r="L1213" s="67"/>
      <c r="M1213" s="67"/>
      <c r="N1213" s="67"/>
    </row>
    <row r="1214" spans="11:14">
      <c r="K1214" s="67"/>
      <c r="L1214" s="67"/>
      <c r="M1214" s="67"/>
      <c r="N1214" s="67"/>
    </row>
    <row r="1215" spans="11:14">
      <c r="K1215" s="67"/>
      <c r="L1215" s="67"/>
      <c r="M1215" s="67"/>
      <c r="N1215" s="67"/>
    </row>
    <row r="1216" spans="11:14">
      <c r="K1216" s="67"/>
      <c r="L1216" s="67"/>
      <c r="M1216" s="67"/>
      <c r="N1216" s="67"/>
    </row>
    <row r="1217" spans="11:14">
      <c r="K1217" s="67"/>
      <c r="L1217" s="67"/>
      <c r="M1217" s="67"/>
      <c r="N1217" s="67"/>
    </row>
    <row r="1218" spans="11:14">
      <c r="K1218" s="67"/>
      <c r="L1218" s="67"/>
      <c r="M1218" s="67"/>
      <c r="N1218" s="67"/>
    </row>
    <row r="1219" spans="11:14">
      <c r="K1219" s="67"/>
      <c r="L1219" s="67"/>
      <c r="M1219" s="67"/>
      <c r="N1219" s="67"/>
    </row>
    <row r="1220" spans="11:14">
      <c r="K1220" s="67"/>
      <c r="L1220" s="67"/>
      <c r="M1220" s="67"/>
      <c r="N1220" s="67"/>
    </row>
    <row r="1221" spans="11:14">
      <c r="K1221" s="67"/>
      <c r="L1221" s="67"/>
      <c r="M1221" s="67"/>
      <c r="N1221" s="67"/>
    </row>
    <row r="1222" spans="11:14">
      <c r="K1222" s="67"/>
      <c r="L1222" s="67"/>
      <c r="M1222" s="67"/>
      <c r="N1222" s="67"/>
    </row>
    <row r="1223" spans="11:14">
      <c r="K1223" s="67"/>
      <c r="L1223" s="67"/>
      <c r="M1223" s="67"/>
      <c r="N1223" s="67"/>
    </row>
    <row r="1224" spans="11:14">
      <c r="K1224" s="67"/>
      <c r="L1224" s="67"/>
      <c r="M1224" s="67"/>
      <c r="N1224" s="67"/>
    </row>
    <row r="1225" spans="11:14">
      <c r="K1225" s="67"/>
      <c r="L1225" s="67"/>
      <c r="M1225" s="67"/>
      <c r="N1225" s="67"/>
    </row>
    <row r="1226" spans="11:14">
      <c r="K1226" s="67"/>
      <c r="L1226" s="67"/>
      <c r="M1226" s="67"/>
      <c r="N1226" s="67"/>
    </row>
    <row r="1227" spans="11:14">
      <c r="K1227" s="67"/>
      <c r="L1227" s="67"/>
      <c r="M1227" s="67"/>
      <c r="N1227" s="67"/>
    </row>
    <row r="1228" spans="11:14">
      <c r="K1228" s="67"/>
      <c r="L1228" s="67"/>
      <c r="M1228" s="67"/>
      <c r="N1228" s="67"/>
    </row>
    <row r="1229" spans="11:14">
      <c r="K1229" s="67"/>
      <c r="L1229" s="67"/>
      <c r="M1229" s="67"/>
      <c r="N1229" s="67"/>
    </row>
    <row r="1230" spans="11:14">
      <c r="K1230" s="67"/>
      <c r="L1230" s="67"/>
      <c r="M1230" s="67"/>
      <c r="N1230" s="67"/>
    </row>
    <row r="1231" spans="11:14">
      <c r="K1231" s="67"/>
      <c r="L1231" s="67"/>
      <c r="M1231" s="67"/>
      <c r="N1231" s="67"/>
    </row>
    <row r="1232" spans="11:14">
      <c r="K1232" s="67"/>
      <c r="L1232" s="67"/>
      <c r="M1232" s="67"/>
      <c r="N1232" s="67"/>
    </row>
    <row r="1233" spans="11:14">
      <c r="K1233" s="67"/>
      <c r="L1233" s="67"/>
      <c r="M1233" s="67"/>
      <c r="N1233" s="67"/>
    </row>
    <row r="1234" spans="11:14">
      <c r="K1234" s="67"/>
      <c r="L1234" s="67"/>
      <c r="M1234" s="67"/>
      <c r="N1234" s="67"/>
    </row>
    <row r="1235" spans="11:14">
      <c r="K1235" s="67"/>
      <c r="L1235" s="67"/>
      <c r="M1235" s="67"/>
      <c r="N1235" s="67"/>
    </row>
    <row r="1236" spans="11:14">
      <c r="K1236" s="67"/>
      <c r="L1236" s="67"/>
      <c r="M1236" s="67"/>
      <c r="N1236" s="67"/>
    </row>
    <row r="1237" spans="11:14">
      <c r="K1237" s="67"/>
      <c r="L1237" s="67"/>
      <c r="M1237" s="67"/>
      <c r="N1237" s="67"/>
    </row>
    <row r="1238" spans="11:14">
      <c r="K1238" s="67"/>
      <c r="L1238" s="67"/>
      <c r="M1238" s="67"/>
      <c r="N1238" s="67"/>
    </row>
    <row r="1239" spans="11:14">
      <c r="K1239" s="67"/>
      <c r="L1239" s="67"/>
      <c r="M1239" s="67"/>
      <c r="N1239" s="67"/>
    </row>
    <row r="1240" spans="11:14">
      <c r="K1240" s="67"/>
      <c r="L1240" s="67"/>
      <c r="M1240" s="67"/>
      <c r="N1240" s="67"/>
    </row>
    <row r="1241" spans="11:14">
      <c r="K1241" s="67"/>
      <c r="L1241" s="67"/>
      <c r="M1241" s="67"/>
      <c r="N1241" s="67"/>
    </row>
    <row r="1242" spans="11:14">
      <c r="K1242" s="67"/>
      <c r="L1242" s="67"/>
      <c r="M1242" s="67"/>
      <c r="N1242" s="67"/>
    </row>
    <row r="1243" spans="11:14">
      <c r="K1243" s="67"/>
      <c r="L1243" s="67"/>
      <c r="M1243" s="67"/>
      <c r="N1243" s="67"/>
    </row>
    <row r="1244" spans="11:14">
      <c r="K1244" s="67"/>
      <c r="L1244" s="67"/>
      <c r="M1244" s="67"/>
      <c r="N1244" s="67"/>
    </row>
    <row r="1245" spans="11:14">
      <c r="K1245" s="67"/>
      <c r="L1245" s="67"/>
      <c r="M1245" s="67"/>
      <c r="N1245" s="67"/>
    </row>
    <row r="1246" spans="11:14">
      <c r="K1246" s="67"/>
      <c r="L1246" s="67"/>
      <c r="M1246" s="67"/>
      <c r="N1246" s="67"/>
    </row>
    <row r="1247" spans="11:14">
      <c r="K1247" s="67"/>
      <c r="L1247" s="67"/>
      <c r="M1247" s="67"/>
      <c r="N1247" s="67"/>
    </row>
    <row r="1248" spans="11:14">
      <c r="K1248" s="67"/>
      <c r="L1248" s="67"/>
      <c r="M1248" s="67"/>
      <c r="N1248" s="67"/>
    </row>
    <row r="1249" spans="11:14">
      <c r="K1249" s="67"/>
      <c r="L1249" s="67"/>
      <c r="M1249" s="67"/>
      <c r="N1249" s="67"/>
    </row>
    <row r="1250" spans="11:14">
      <c r="K1250" s="67"/>
      <c r="L1250" s="67"/>
      <c r="M1250" s="67"/>
      <c r="N1250" s="67"/>
    </row>
    <row r="1251" spans="11:14">
      <c r="K1251" s="67"/>
      <c r="L1251" s="67"/>
      <c r="M1251" s="67"/>
      <c r="N1251" s="67"/>
    </row>
    <row r="1252" spans="11:14">
      <c r="K1252" s="67"/>
      <c r="L1252" s="67"/>
      <c r="M1252" s="67"/>
      <c r="N1252" s="67"/>
    </row>
    <row r="1253" spans="11:14">
      <c r="K1253" s="67"/>
      <c r="L1253" s="67"/>
      <c r="M1253" s="67"/>
      <c r="N1253" s="67"/>
    </row>
    <row r="1254" spans="11:14">
      <c r="K1254" s="67"/>
      <c r="L1254" s="67"/>
      <c r="M1254" s="67"/>
      <c r="N1254" s="67"/>
    </row>
    <row r="1255" spans="11:14">
      <c r="K1255" s="67"/>
      <c r="L1255" s="67"/>
      <c r="M1255" s="67"/>
      <c r="N1255" s="67"/>
    </row>
    <row r="1256" spans="11:14">
      <c r="K1256" s="67"/>
      <c r="L1256" s="67"/>
      <c r="M1256" s="67"/>
      <c r="N1256" s="67"/>
    </row>
    <row r="1257" spans="11:14">
      <c r="K1257" s="67"/>
      <c r="L1257" s="67"/>
      <c r="M1257" s="67"/>
      <c r="N1257" s="67"/>
    </row>
    <row r="1258" spans="11:14">
      <c r="K1258" s="67"/>
      <c r="L1258" s="67"/>
      <c r="M1258" s="67"/>
      <c r="N1258" s="67"/>
    </row>
    <row r="1259" spans="11:14">
      <c r="K1259" s="67"/>
      <c r="L1259" s="67"/>
      <c r="M1259" s="67"/>
      <c r="N1259" s="67"/>
    </row>
    <row r="1260" spans="11:14">
      <c r="K1260" s="67"/>
      <c r="L1260" s="67"/>
      <c r="M1260" s="67"/>
      <c r="N1260" s="67"/>
    </row>
    <row r="1261" spans="11:14">
      <c r="K1261" s="67"/>
      <c r="L1261" s="67"/>
      <c r="M1261" s="67"/>
      <c r="N1261" s="67"/>
    </row>
    <row r="1262" spans="11:14">
      <c r="K1262" s="67"/>
      <c r="L1262" s="67"/>
      <c r="M1262" s="67"/>
      <c r="N1262" s="67"/>
    </row>
    <row r="1263" spans="11:14">
      <c r="K1263" s="67"/>
      <c r="L1263" s="67"/>
      <c r="M1263" s="67"/>
      <c r="N1263" s="67"/>
    </row>
    <row r="1264" spans="11:14">
      <c r="K1264" s="67"/>
      <c r="L1264" s="67"/>
      <c r="M1264" s="67"/>
      <c r="N1264" s="67"/>
    </row>
    <row r="1265" spans="11:14">
      <c r="K1265" s="67"/>
      <c r="L1265" s="67"/>
      <c r="M1265" s="67"/>
      <c r="N1265" s="67"/>
    </row>
    <row r="1266" spans="11:14">
      <c r="K1266" s="67"/>
      <c r="L1266" s="67"/>
      <c r="M1266" s="67"/>
      <c r="N1266" s="67"/>
    </row>
    <row r="1267" spans="11:14">
      <c r="K1267" s="67"/>
      <c r="L1267" s="67"/>
      <c r="M1267" s="67"/>
      <c r="N1267" s="67"/>
    </row>
    <row r="1268" spans="11:14">
      <c r="K1268" s="67"/>
      <c r="L1268" s="67"/>
      <c r="M1268" s="67"/>
      <c r="N1268" s="67"/>
    </row>
    <row r="1269" spans="11:14">
      <c r="K1269" s="67"/>
      <c r="L1269" s="67"/>
      <c r="M1269" s="67"/>
      <c r="N1269" s="67"/>
    </row>
    <row r="1270" spans="11:14">
      <c r="K1270" s="67"/>
      <c r="L1270" s="67"/>
      <c r="M1270" s="67"/>
      <c r="N1270" s="67"/>
    </row>
    <row r="1271" spans="11:14">
      <c r="K1271" s="67"/>
      <c r="L1271" s="67"/>
      <c r="M1271" s="67"/>
      <c r="N1271" s="67"/>
    </row>
    <row r="1272" spans="11:14">
      <c r="K1272" s="67"/>
      <c r="L1272" s="67"/>
      <c r="M1272" s="67"/>
      <c r="N1272" s="67"/>
    </row>
    <row r="1273" spans="11:14">
      <c r="K1273" s="67"/>
      <c r="L1273" s="67"/>
      <c r="M1273" s="67"/>
      <c r="N1273" s="67"/>
    </row>
    <row r="1274" spans="11:14">
      <c r="K1274" s="67"/>
      <c r="L1274" s="67"/>
      <c r="M1274" s="67"/>
      <c r="N1274" s="67"/>
    </row>
    <row r="1275" spans="11:14">
      <c r="K1275" s="67"/>
      <c r="L1275" s="67"/>
      <c r="M1275" s="67"/>
      <c r="N1275" s="67"/>
    </row>
    <row r="1276" spans="11:14">
      <c r="K1276" s="67"/>
      <c r="L1276" s="67"/>
      <c r="M1276" s="67"/>
      <c r="N1276" s="67"/>
    </row>
    <row r="1277" spans="11:14">
      <c r="K1277" s="67"/>
      <c r="L1277" s="67"/>
      <c r="M1277" s="67"/>
      <c r="N1277" s="67"/>
    </row>
    <row r="1278" spans="11:14">
      <c r="K1278" s="67"/>
      <c r="L1278" s="67"/>
      <c r="M1278" s="67"/>
      <c r="N1278" s="67"/>
    </row>
    <row r="1279" spans="11:14">
      <c r="K1279" s="67"/>
      <c r="L1279" s="67"/>
      <c r="M1279" s="67"/>
      <c r="N1279" s="67"/>
    </row>
    <row r="1280" spans="11:14">
      <c r="K1280" s="67"/>
      <c r="L1280" s="67"/>
      <c r="M1280" s="67"/>
      <c r="N1280" s="67"/>
    </row>
    <row r="1281" spans="11:14">
      <c r="K1281" s="67"/>
      <c r="L1281" s="67"/>
      <c r="M1281" s="67"/>
      <c r="N1281" s="67"/>
    </row>
    <row r="1282" spans="11:14">
      <c r="K1282" s="67"/>
      <c r="L1282" s="67"/>
      <c r="M1282" s="67"/>
      <c r="N1282" s="67"/>
    </row>
    <row r="1283" spans="11:14">
      <c r="K1283" s="67"/>
      <c r="L1283" s="67"/>
      <c r="M1283" s="67"/>
      <c r="N1283" s="67"/>
    </row>
    <row r="1284" spans="11:14">
      <c r="K1284" s="67"/>
      <c r="L1284" s="67"/>
      <c r="M1284" s="67"/>
      <c r="N1284" s="67"/>
    </row>
    <row r="1285" spans="11:14">
      <c r="K1285" s="67"/>
      <c r="L1285" s="67"/>
      <c r="M1285" s="67"/>
      <c r="N1285" s="67"/>
    </row>
    <row r="1286" spans="11:14">
      <c r="K1286" s="67"/>
      <c r="L1286" s="67"/>
      <c r="M1286" s="67"/>
      <c r="N1286" s="67"/>
    </row>
    <row r="1287" spans="11:14">
      <c r="K1287" s="67"/>
      <c r="L1287" s="67"/>
      <c r="M1287" s="67"/>
      <c r="N1287" s="67"/>
    </row>
    <row r="1288" spans="11:14">
      <c r="K1288" s="67"/>
      <c r="L1288" s="67"/>
      <c r="M1288" s="67"/>
      <c r="N1288" s="67"/>
    </row>
    <row r="1289" spans="11:14">
      <c r="K1289" s="67"/>
      <c r="L1289" s="67"/>
      <c r="M1289" s="67"/>
      <c r="N1289" s="67"/>
    </row>
    <row r="1290" spans="11:14">
      <c r="K1290" s="67"/>
      <c r="L1290" s="67"/>
      <c r="M1290" s="67"/>
      <c r="N1290" s="67"/>
    </row>
    <row r="1291" spans="11:14">
      <c r="K1291" s="67"/>
      <c r="L1291" s="67"/>
      <c r="M1291" s="67"/>
      <c r="N1291" s="67"/>
    </row>
    <row r="1292" spans="11:14">
      <c r="K1292" s="67"/>
      <c r="L1292" s="67"/>
      <c r="M1292" s="67"/>
      <c r="N1292" s="67"/>
    </row>
    <row r="1293" spans="11:14">
      <c r="K1293" s="67"/>
      <c r="L1293" s="67"/>
      <c r="M1293" s="67"/>
      <c r="N1293" s="67"/>
    </row>
    <row r="1294" spans="11:14">
      <c r="K1294" s="67"/>
      <c r="L1294" s="67"/>
      <c r="M1294" s="67"/>
      <c r="N1294" s="67"/>
    </row>
    <row r="1295" spans="11:14">
      <c r="K1295" s="67"/>
      <c r="L1295" s="67"/>
      <c r="M1295" s="67"/>
      <c r="N1295" s="67"/>
    </row>
    <row r="1296" spans="11:14">
      <c r="K1296" s="67"/>
      <c r="L1296" s="67"/>
      <c r="M1296" s="67"/>
      <c r="N1296" s="67"/>
    </row>
    <row r="1297" spans="11:14">
      <c r="K1297" s="67"/>
      <c r="L1297" s="67"/>
      <c r="M1297" s="67"/>
      <c r="N1297" s="67"/>
    </row>
    <row r="1298" spans="11:14">
      <c r="K1298" s="67"/>
      <c r="L1298" s="67"/>
      <c r="M1298" s="67"/>
      <c r="N1298" s="67"/>
    </row>
    <row r="1299" spans="11:14">
      <c r="K1299" s="67"/>
      <c r="L1299" s="67"/>
      <c r="M1299" s="67"/>
      <c r="N1299" s="67"/>
    </row>
    <row r="1300" spans="11:14">
      <c r="K1300" s="67"/>
      <c r="L1300" s="67"/>
      <c r="M1300" s="67"/>
      <c r="N1300" s="67"/>
    </row>
    <row r="1301" spans="11:14">
      <c r="K1301" s="67"/>
      <c r="L1301" s="67"/>
      <c r="M1301" s="67"/>
      <c r="N1301" s="67"/>
    </row>
    <row r="1302" spans="11:14">
      <c r="K1302" s="67"/>
      <c r="L1302" s="67"/>
      <c r="M1302" s="67"/>
      <c r="N1302" s="67"/>
    </row>
    <row r="1303" spans="11:14">
      <c r="K1303" s="67"/>
      <c r="L1303" s="67"/>
      <c r="M1303" s="67"/>
      <c r="N1303" s="67"/>
    </row>
    <row r="1304" spans="11:14">
      <c r="K1304" s="67"/>
      <c r="L1304" s="67"/>
      <c r="M1304" s="67"/>
      <c r="N1304" s="67"/>
    </row>
    <row r="1305" spans="11:14">
      <c r="K1305" s="67"/>
      <c r="L1305" s="67"/>
      <c r="M1305" s="67"/>
      <c r="N1305" s="67"/>
    </row>
    <row r="1306" spans="11:14">
      <c r="K1306" s="67"/>
      <c r="L1306" s="67"/>
      <c r="M1306" s="67"/>
      <c r="N1306" s="67"/>
    </row>
    <row r="1307" spans="11:14">
      <c r="K1307" s="67"/>
      <c r="L1307" s="67"/>
      <c r="M1307" s="67"/>
      <c r="N1307" s="67"/>
    </row>
    <row r="1308" spans="11:14">
      <c r="K1308" s="67"/>
      <c r="L1308" s="67"/>
      <c r="M1308" s="67"/>
      <c r="N1308" s="67"/>
    </row>
    <row r="1309" spans="11:14">
      <c r="K1309" s="67"/>
      <c r="L1309" s="67"/>
      <c r="M1309" s="67"/>
      <c r="N1309" s="67"/>
    </row>
    <row r="1310" spans="11:14">
      <c r="K1310" s="67"/>
      <c r="L1310" s="67"/>
      <c r="M1310" s="67"/>
      <c r="N1310" s="67"/>
    </row>
    <row r="1311" spans="11:14">
      <c r="K1311" s="67"/>
      <c r="L1311" s="67"/>
      <c r="M1311" s="67"/>
      <c r="N1311" s="67"/>
    </row>
    <row r="1312" spans="11:14">
      <c r="K1312" s="67"/>
      <c r="L1312" s="67"/>
      <c r="M1312" s="67"/>
      <c r="N1312" s="67"/>
    </row>
    <row r="1313" spans="11:14">
      <c r="K1313" s="67"/>
      <c r="L1313" s="67"/>
      <c r="M1313" s="67"/>
      <c r="N1313" s="67"/>
    </row>
    <row r="1314" spans="11:14">
      <c r="K1314" s="67"/>
      <c r="L1314" s="67"/>
      <c r="M1314" s="67"/>
      <c r="N1314" s="67"/>
    </row>
    <row r="1315" spans="11:14">
      <c r="K1315" s="67"/>
      <c r="L1315" s="67"/>
      <c r="M1315" s="67"/>
      <c r="N1315" s="67"/>
    </row>
    <row r="1316" spans="11:14">
      <c r="K1316" s="67"/>
      <c r="L1316" s="67"/>
      <c r="M1316" s="67"/>
      <c r="N1316" s="67"/>
    </row>
    <row r="1317" spans="11:14">
      <c r="K1317" s="67"/>
      <c r="L1317" s="67"/>
      <c r="M1317" s="67"/>
      <c r="N1317" s="67"/>
    </row>
    <row r="1318" spans="11:14">
      <c r="K1318" s="67"/>
      <c r="L1318" s="67"/>
      <c r="M1318" s="67"/>
      <c r="N1318" s="67"/>
    </row>
    <row r="1319" spans="11:14">
      <c r="K1319" s="67"/>
      <c r="L1319" s="67"/>
      <c r="M1319" s="67"/>
      <c r="N1319" s="67"/>
    </row>
    <row r="1320" spans="11:14">
      <c r="K1320" s="67"/>
      <c r="L1320" s="67"/>
      <c r="M1320" s="67"/>
      <c r="N1320" s="67"/>
    </row>
    <row r="1321" spans="11:14">
      <c r="K1321" s="67"/>
      <c r="L1321" s="67"/>
      <c r="M1321" s="67"/>
      <c r="N1321" s="67"/>
    </row>
    <row r="1322" spans="11:14">
      <c r="K1322" s="67"/>
      <c r="L1322" s="67"/>
      <c r="M1322" s="67"/>
      <c r="N1322" s="67"/>
    </row>
    <row r="1323" spans="11:14">
      <c r="K1323" s="67"/>
      <c r="L1323" s="67"/>
      <c r="M1323" s="67"/>
      <c r="N1323" s="67"/>
    </row>
    <row r="1324" spans="11:14">
      <c r="K1324" s="67"/>
      <c r="L1324" s="67"/>
      <c r="M1324" s="67"/>
      <c r="N1324" s="67"/>
    </row>
    <row r="1325" spans="11:14">
      <c r="K1325" s="67"/>
      <c r="L1325" s="67"/>
      <c r="M1325" s="67"/>
      <c r="N1325" s="67"/>
    </row>
    <row r="1326" spans="11:14">
      <c r="K1326" s="67"/>
      <c r="L1326" s="67"/>
      <c r="M1326" s="67"/>
      <c r="N1326" s="67"/>
    </row>
    <row r="1327" spans="11:14">
      <c r="K1327" s="67"/>
      <c r="L1327" s="67"/>
      <c r="M1327" s="67"/>
      <c r="N1327" s="67"/>
    </row>
    <row r="1328" spans="11:14">
      <c r="K1328" s="67"/>
      <c r="L1328" s="67"/>
      <c r="M1328" s="67"/>
      <c r="N1328" s="67"/>
    </row>
    <row r="1329" spans="11:14">
      <c r="K1329" s="67"/>
      <c r="L1329" s="67"/>
      <c r="M1329" s="67"/>
      <c r="N1329" s="67"/>
    </row>
    <row r="1330" spans="11:14">
      <c r="K1330" s="67"/>
      <c r="L1330" s="67"/>
      <c r="M1330" s="67"/>
      <c r="N1330" s="67"/>
    </row>
    <row r="1331" spans="11:14">
      <c r="K1331" s="67"/>
      <c r="L1331" s="67"/>
      <c r="M1331" s="67"/>
      <c r="N1331" s="67"/>
    </row>
    <row r="1332" spans="11:14">
      <c r="K1332" s="67"/>
      <c r="L1332" s="67"/>
      <c r="M1332" s="67"/>
      <c r="N1332" s="67"/>
    </row>
    <row r="1333" spans="11:14">
      <c r="K1333" s="67"/>
      <c r="L1333" s="67"/>
      <c r="M1333" s="67"/>
      <c r="N1333" s="67"/>
    </row>
    <row r="1334" spans="11:14">
      <c r="K1334" s="67"/>
      <c r="L1334" s="67"/>
      <c r="M1334" s="67"/>
      <c r="N1334" s="67"/>
    </row>
    <row r="1335" spans="11:14">
      <c r="K1335" s="67"/>
      <c r="L1335" s="67"/>
      <c r="M1335" s="67"/>
      <c r="N1335" s="67"/>
    </row>
    <row r="1336" spans="11:14">
      <c r="K1336" s="67"/>
      <c r="L1336" s="67"/>
      <c r="M1336" s="67"/>
      <c r="N1336" s="67"/>
    </row>
    <row r="1337" spans="11:14">
      <c r="K1337" s="67"/>
      <c r="L1337" s="67"/>
      <c r="M1337" s="67"/>
      <c r="N1337" s="67"/>
    </row>
    <row r="1338" spans="11:14">
      <c r="K1338" s="67"/>
      <c r="L1338" s="67"/>
      <c r="M1338" s="67"/>
      <c r="N1338" s="67"/>
    </row>
    <row r="1339" spans="11:14">
      <c r="K1339" s="67"/>
      <c r="L1339" s="67"/>
      <c r="M1339" s="67"/>
      <c r="N1339" s="67"/>
    </row>
    <row r="1340" spans="11:14">
      <c r="K1340" s="67"/>
      <c r="L1340" s="67"/>
      <c r="M1340" s="67"/>
      <c r="N1340" s="67"/>
    </row>
    <row r="1341" spans="11:14">
      <c r="K1341" s="67"/>
      <c r="L1341" s="67"/>
      <c r="M1341" s="67"/>
      <c r="N1341" s="67"/>
    </row>
    <row r="1342" spans="11:14">
      <c r="K1342" s="67"/>
      <c r="L1342" s="67"/>
      <c r="M1342" s="67"/>
      <c r="N1342" s="67"/>
    </row>
    <row r="1343" spans="11:14">
      <c r="K1343" s="67"/>
      <c r="L1343" s="67"/>
      <c r="M1343" s="67"/>
      <c r="N1343" s="67"/>
    </row>
    <row r="1344" spans="11:14">
      <c r="K1344" s="67"/>
      <c r="L1344" s="67"/>
      <c r="M1344" s="67"/>
      <c r="N1344" s="67"/>
    </row>
    <row r="1345" spans="11:14">
      <c r="K1345" s="67"/>
      <c r="L1345" s="67"/>
      <c r="M1345" s="67"/>
      <c r="N1345" s="67"/>
    </row>
    <row r="1346" spans="11:14">
      <c r="K1346" s="67"/>
      <c r="L1346" s="67"/>
      <c r="M1346" s="67"/>
      <c r="N1346" s="67"/>
    </row>
    <row r="1347" spans="11:14">
      <c r="K1347" s="67"/>
      <c r="L1347" s="67"/>
      <c r="M1347" s="67"/>
      <c r="N1347" s="67"/>
    </row>
    <row r="1348" spans="11:14">
      <c r="K1348" s="67"/>
      <c r="L1348" s="67"/>
      <c r="M1348" s="67"/>
      <c r="N1348" s="67"/>
    </row>
    <row r="1349" spans="11:14">
      <c r="K1349" s="67"/>
      <c r="L1349" s="67"/>
      <c r="M1349" s="67"/>
      <c r="N1349" s="67"/>
    </row>
    <row r="1350" spans="11:14">
      <c r="K1350" s="67"/>
      <c r="L1350" s="67"/>
      <c r="M1350" s="67"/>
      <c r="N1350" s="67"/>
    </row>
    <row r="1351" spans="11:14">
      <c r="K1351" s="67"/>
      <c r="L1351" s="67"/>
      <c r="M1351" s="67"/>
      <c r="N1351" s="67"/>
    </row>
    <row r="1352" spans="11:14">
      <c r="K1352" s="67"/>
      <c r="L1352" s="67"/>
      <c r="M1352" s="67"/>
      <c r="N1352" s="67"/>
    </row>
    <row r="1353" spans="11:14">
      <c r="K1353" s="67"/>
      <c r="L1353" s="67"/>
      <c r="M1353" s="67"/>
      <c r="N1353" s="67"/>
    </row>
    <row r="1354" spans="11:14">
      <c r="K1354" s="67"/>
      <c r="L1354" s="67"/>
      <c r="M1354" s="67"/>
      <c r="N1354" s="67"/>
    </row>
    <row r="1355" spans="11:14">
      <c r="K1355" s="67"/>
      <c r="L1355" s="67"/>
      <c r="M1355" s="67"/>
      <c r="N1355" s="67"/>
    </row>
    <row r="1356" spans="11:14">
      <c r="K1356" s="67"/>
      <c r="L1356" s="67"/>
      <c r="M1356" s="67"/>
      <c r="N1356" s="67"/>
    </row>
    <row r="1357" spans="11:14">
      <c r="K1357" s="67"/>
      <c r="L1357" s="67"/>
      <c r="M1357" s="67"/>
      <c r="N1357" s="67"/>
    </row>
    <row r="1358" spans="11:14">
      <c r="K1358" s="67"/>
      <c r="L1358" s="67"/>
      <c r="M1358" s="67"/>
      <c r="N1358" s="67"/>
    </row>
    <row r="1359" spans="11:14">
      <c r="K1359" s="67"/>
      <c r="L1359" s="67"/>
      <c r="M1359" s="67"/>
      <c r="N1359" s="67"/>
    </row>
    <row r="1360" spans="11:14">
      <c r="K1360" s="67"/>
      <c r="L1360" s="67"/>
      <c r="M1360" s="67"/>
      <c r="N1360" s="67"/>
    </row>
    <row r="1361" spans="11:14">
      <c r="K1361" s="67"/>
      <c r="L1361" s="67"/>
      <c r="M1361" s="67"/>
      <c r="N1361" s="67"/>
    </row>
    <row r="1362" spans="11:14">
      <c r="K1362" s="67"/>
      <c r="L1362" s="67"/>
      <c r="M1362" s="67"/>
      <c r="N1362" s="67"/>
    </row>
    <row r="1363" spans="11:14">
      <c r="K1363" s="67"/>
      <c r="L1363" s="67"/>
      <c r="M1363" s="67"/>
      <c r="N1363" s="67"/>
    </row>
    <row r="1364" spans="11:14">
      <c r="K1364" s="67"/>
      <c r="L1364" s="67"/>
      <c r="M1364" s="67"/>
      <c r="N1364" s="67"/>
    </row>
    <row r="1365" spans="11:14">
      <c r="K1365" s="67"/>
      <c r="L1365" s="67"/>
      <c r="M1365" s="67"/>
      <c r="N1365" s="67"/>
    </row>
    <row r="1366" spans="11:14">
      <c r="K1366" s="67"/>
      <c r="L1366" s="67"/>
      <c r="M1366" s="67"/>
      <c r="N1366" s="67"/>
    </row>
    <row r="1367" spans="11:14">
      <c r="K1367" s="67"/>
      <c r="L1367" s="67"/>
      <c r="M1367" s="67"/>
      <c r="N1367" s="67"/>
    </row>
    <row r="1368" spans="11:14">
      <c r="K1368" s="67"/>
      <c r="L1368" s="67"/>
      <c r="M1368" s="67"/>
      <c r="N1368" s="67"/>
    </row>
    <row r="1369" spans="11:14">
      <c r="K1369" s="67"/>
      <c r="L1369" s="67"/>
      <c r="M1369" s="67"/>
      <c r="N1369" s="67"/>
    </row>
    <row r="1370" spans="11:14">
      <c r="K1370" s="67"/>
      <c r="L1370" s="67"/>
      <c r="M1370" s="67"/>
      <c r="N1370" s="67"/>
    </row>
    <row r="1371" spans="11:14">
      <c r="K1371" s="67"/>
      <c r="L1371" s="67"/>
      <c r="M1371" s="67"/>
      <c r="N1371" s="67"/>
    </row>
    <row r="1372" spans="11:14">
      <c r="K1372" s="67"/>
      <c r="L1372" s="67"/>
      <c r="M1372" s="67"/>
      <c r="N1372" s="67"/>
    </row>
    <row r="1373" spans="11:14">
      <c r="K1373" s="67"/>
      <c r="L1373" s="67"/>
      <c r="M1373" s="67"/>
      <c r="N1373" s="67"/>
    </row>
    <row r="1374" spans="11:14">
      <c r="K1374" s="67"/>
      <c r="L1374" s="67"/>
      <c r="M1374" s="67"/>
      <c r="N1374" s="67"/>
    </row>
    <row r="1375" spans="11:14">
      <c r="K1375" s="67"/>
      <c r="L1375" s="67"/>
      <c r="M1375" s="67"/>
      <c r="N1375" s="67"/>
    </row>
    <row r="1376" spans="11:14">
      <c r="K1376" s="67"/>
      <c r="L1376" s="67"/>
      <c r="M1376" s="67"/>
      <c r="N1376" s="67"/>
    </row>
    <row r="1377" spans="11:14">
      <c r="K1377" s="67"/>
      <c r="L1377" s="67"/>
      <c r="M1377" s="67"/>
      <c r="N1377" s="67"/>
    </row>
    <row r="1378" spans="11:14">
      <c r="K1378" s="67"/>
      <c r="L1378" s="67"/>
      <c r="M1378" s="67"/>
      <c r="N1378" s="67"/>
    </row>
    <row r="1379" spans="11:14">
      <c r="K1379" s="67"/>
      <c r="L1379" s="67"/>
      <c r="M1379" s="67"/>
      <c r="N1379" s="67"/>
    </row>
    <row r="1380" spans="11:14">
      <c r="K1380" s="67"/>
      <c r="L1380" s="67"/>
      <c r="M1380" s="67"/>
      <c r="N1380" s="67"/>
    </row>
    <row r="1381" spans="11:14">
      <c r="K1381" s="67"/>
      <c r="L1381" s="67"/>
      <c r="M1381" s="67"/>
      <c r="N1381" s="67"/>
    </row>
    <row r="1382" spans="11:14">
      <c r="K1382" s="67"/>
      <c r="L1382" s="67"/>
      <c r="M1382" s="67"/>
      <c r="N1382" s="67"/>
    </row>
    <row r="1383" spans="11:14">
      <c r="K1383" s="67"/>
      <c r="L1383" s="67"/>
      <c r="M1383" s="67"/>
      <c r="N1383" s="67"/>
    </row>
    <row r="1384" spans="11:14">
      <c r="K1384" s="67"/>
      <c r="L1384" s="67"/>
      <c r="M1384" s="67"/>
      <c r="N1384" s="67"/>
    </row>
    <row r="1385" spans="11:14">
      <c r="K1385" s="67"/>
      <c r="L1385" s="67"/>
      <c r="M1385" s="67"/>
      <c r="N1385" s="67"/>
    </row>
    <row r="1386" spans="11:14">
      <c r="K1386" s="67"/>
      <c r="L1386" s="67"/>
      <c r="M1386" s="67"/>
      <c r="N1386" s="67"/>
    </row>
    <row r="1387" spans="11:14">
      <c r="K1387" s="67"/>
      <c r="L1387" s="67"/>
      <c r="M1387" s="67"/>
      <c r="N1387" s="67"/>
    </row>
    <row r="1388" spans="11:14">
      <c r="K1388" s="67"/>
      <c r="L1388" s="67"/>
      <c r="M1388" s="67"/>
      <c r="N1388" s="67"/>
    </row>
    <row r="1389" spans="11:14">
      <c r="K1389" s="67"/>
      <c r="L1389" s="67"/>
      <c r="M1389" s="67"/>
      <c r="N1389" s="67"/>
    </row>
    <row r="1390" spans="11:14">
      <c r="K1390" s="67"/>
      <c r="L1390" s="67"/>
      <c r="M1390" s="67"/>
      <c r="N1390" s="67"/>
    </row>
    <row r="1391" spans="11:14">
      <c r="K1391" s="67"/>
      <c r="L1391" s="67"/>
      <c r="M1391" s="67"/>
      <c r="N1391" s="67"/>
    </row>
    <row r="1392" spans="11:14">
      <c r="K1392" s="67"/>
      <c r="L1392" s="67"/>
      <c r="M1392" s="67"/>
      <c r="N1392" s="67"/>
    </row>
    <row r="1393" spans="11:14">
      <c r="K1393" s="67"/>
      <c r="L1393" s="67"/>
      <c r="M1393" s="67"/>
      <c r="N1393" s="67"/>
    </row>
    <row r="1394" spans="11:14">
      <c r="K1394" s="67"/>
      <c r="L1394" s="67"/>
      <c r="M1394" s="67"/>
      <c r="N1394" s="67"/>
    </row>
    <row r="1395" spans="11:14">
      <c r="K1395" s="67"/>
      <c r="L1395" s="67"/>
      <c r="M1395" s="67"/>
      <c r="N1395" s="67"/>
    </row>
    <row r="1396" spans="11:14">
      <c r="K1396" s="67"/>
      <c r="L1396" s="67"/>
      <c r="M1396" s="67"/>
      <c r="N1396" s="67"/>
    </row>
    <row r="1397" spans="11:14">
      <c r="K1397" s="67"/>
      <c r="L1397" s="67"/>
      <c r="M1397" s="67"/>
      <c r="N1397" s="67"/>
    </row>
    <row r="1398" spans="11:14">
      <c r="K1398" s="67"/>
      <c r="L1398" s="67"/>
      <c r="M1398" s="67"/>
      <c r="N1398" s="67"/>
    </row>
    <row r="1399" spans="11:14">
      <c r="K1399" s="67"/>
      <c r="L1399" s="67"/>
      <c r="M1399" s="67"/>
      <c r="N1399" s="67"/>
    </row>
    <row r="1400" spans="11:14">
      <c r="K1400" s="67"/>
      <c r="L1400" s="67"/>
      <c r="M1400" s="67"/>
      <c r="N1400" s="67"/>
    </row>
    <row r="1401" spans="11:14">
      <c r="K1401" s="67"/>
      <c r="L1401" s="67"/>
      <c r="M1401" s="67"/>
      <c r="N1401" s="67"/>
    </row>
    <row r="1402" spans="11:14">
      <c r="K1402" s="67"/>
      <c r="L1402" s="67"/>
      <c r="M1402" s="67"/>
      <c r="N1402" s="67"/>
    </row>
    <row r="1403" spans="11:14">
      <c r="K1403" s="67"/>
      <c r="L1403" s="67"/>
      <c r="M1403" s="67"/>
      <c r="N1403" s="67"/>
    </row>
    <row r="1404" spans="11:14">
      <c r="K1404" s="67"/>
      <c r="L1404" s="67"/>
      <c r="M1404" s="67"/>
      <c r="N1404" s="67"/>
    </row>
    <row r="1405" spans="11:14">
      <c r="K1405" s="67"/>
      <c r="L1405" s="67"/>
      <c r="M1405" s="67"/>
      <c r="N1405" s="67"/>
    </row>
    <row r="1406" spans="11:14">
      <c r="K1406" s="67"/>
      <c r="L1406" s="67"/>
      <c r="M1406" s="67"/>
      <c r="N1406" s="67"/>
    </row>
    <row r="1407" spans="11:14">
      <c r="K1407" s="67"/>
      <c r="L1407" s="67"/>
      <c r="M1407" s="67"/>
      <c r="N1407" s="67"/>
    </row>
    <row r="1408" spans="11:14">
      <c r="K1408" s="67"/>
      <c r="L1408" s="67"/>
      <c r="M1408" s="67"/>
      <c r="N1408" s="67"/>
    </row>
    <row r="1409" spans="11:14">
      <c r="K1409" s="67"/>
      <c r="L1409" s="67"/>
      <c r="M1409" s="67"/>
      <c r="N1409" s="67"/>
    </row>
    <row r="1410" spans="11:14">
      <c r="K1410" s="67"/>
      <c r="L1410" s="67"/>
      <c r="M1410" s="67"/>
      <c r="N1410" s="67"/>
    </row>
    <row r="1411" spans="11:14">
      <c r="K1411" s="67"/>
      <c r="L1411" s="67"/>
      <c r="M1411" s="67"/>
      <c r="N1411" s="67"/>
    </row>
    <row r="1412" spans="11:14">
      <c r="K1412" s="67"/>
      <c r="L1412" s="67"/>
      <c r="M1412" s="67"/>
      <c r="N1412" s="67"/>
    </row>
    <row r="1413" spans="11:14">
      <c r="K1413" s="67"/>
      <c r="L1413" s="67"/>
      <c r="M1413" s="67"/>
      <c r="N1413" s="67"/>
    </row>
    <row r="1414" spans="11:14">
      <c r="K1414" s="67"/>
      <c r="L1414" s="67"/>
      <c r="M1414" s="67"/>
      <c r="N1414" s="67"/>
    </row>
    <row r="1415" spans="11:14">
      <c r="K1415" s="67"/>
      <c r="L1415" s="67"/>
      <c r="M1415" s="67"/>
      <c r="N1415" s="67"/>
    </row>
    <row r="1416" spans="11:14">
      <c r="K1416" s="67"/>
      <c r="L1416" s="67"/>
      <c r="M1416" s="67"/>
      <c r="N1416" s="67"/>
    </row>
    <row r="1417" spans="11:14">
      <c r="K1417" s="67"/>
      <c r="L1417" s="67"/>
      <c r="M1417" s="67"/>
      <c r="N1417" s="67"/>
    </row>
    <row r="1418" spans="11:14">
      <c r="K1418" s="67"/>
      <c r="L1418" s="67"/>
      <c r="M1418" s="67"/>
      <c r="N1418" s="67"/>
    </row>
    <row r="1419" spans="11:14">
      <c r="K1419" s="67"/>
      <c r="L1419" s="67"/>
      <c r="M1419" s="67"/>
      <c r="N1419" s="67"/>
    </row>
    <row r="1420" spans="11:14">
      <c r="K1420" s="67"/>
      <c r="L1420" s="67"/>
      <c r="M1420" s="67"/>
      <c r="N1420" s="67"/>
    </row>
    <row r="1421" spans="11:14">
      <c r="K1421" s="67"/>
      <c r="L1421" s="67"/>
      <c r="M1421" s="67"/>
      <c r="N1421" s="67"/>
    </row>
    <row r="1422" spans="11:14">
      <c r="K1422" s="67"/>
      <c r="L1422" s="67"/>
      <c r="M1422" s="67"/>
      <c r="N1422" s="67"/>
    </row>
    <row r="1423" spans="11:14">
      <c r="K1423" s="67"/>
      <c r="L1423" s="67"/>
      <c r="M1423" s="67"/>
      <c r="N1423" s="67"/>
    </row>
    <row r="1424" spans="11:14">
      <c r="K1424" s="67"/>
      <c r="L1424" s="67"/>
      <c r="M1424" s="67"/>
      <c r="N1424" s="67"/>
    </row>
    <row r="1425" spans="11:14">
      <c r="K1425" s="67"/>
      <c r="L1425" s="67"/>
      <c r="M1425" s="67"/>
      <c r="N1425" s="67"/>
    </row>
    <row r="1426" spans="11:14">
      <c r="K1426" s="67"/>
      <c r="L1426" s="67"/>
      <c r="M1426" s="67"/>
      <c r="N1426" s="67"/>
    </row>
    <row r="1427" spans="11:14">
      <c r="K1427" s="67"/>
      <c r="L1427" s="67"/>
      <c r="M1427" s="67"/>
      <c r="N1427" s="67"/>
    </row>
    <row r="1428" spans="11:14">
      <c r="K1428" s="67"/>
      <c r="L1428" s="67"/>
      <c r="M1428" s="67"/>
      <c r="N1428" s="67"/>
    </row>
    <row r="1429" spans="11:14">
      <c r="K1429" s="67"/>
      <c r="L1429" s="67"/>
      <c r="M1429" s="67"/>
      <c r="N1429" s="67"/>
    </row>
    <row r="1430" spans="11:14">
      <c r="K1430" s="67"/>
      <c r="L1430" s="67"/>
      <c r="M1430" s="67"/>
      <c r="N1430" s="67"/>
    </row>
    <row r="1431" spans="11:14">
      <c r="K1431" s="67"/>
      <c r="L1431" s="67"/>
      <c r="M1431" s="67"/>
      <c r="N1431" s="67"/>
    </row>
    <row r="1432" spans="11:14">
      <c r="K1432" s="67"/>
      <c r="L1432" s="67"/>
      <c r="M1432" s="67"/>
      <c r="N1432" s="67"/>
    </row>
    <row r="1433" spans="11:14">
      <c r="K1433" s="67"/>
      <c r="L1433" s="67"/>
      <c r="M1433" s="67"/>
      <c r="N1433" s="67"/>
    </row>
    <row r="1434" spans="11:14">
      <c r="K1434" s="67"/>
      <c r="L1434" s="67"/>
      <c r="M1434" s="67"/>
      <c r="N1434" s="67"/>
    </row>
    <row r="1435" spans="11:14">
      <c r="K1435" s="67"/>
      <c r="L1435" s="67"/>
      <c r="M1435" s="67"/>
      <c r="N1435" s="67"/>
    </row>
    <row r="1436" spans="11:14">
      <c r="K1436" s="67"/>
      <c r="L1436" s="67"/>
      <c r="M1436" s="67"/>
      <c r="N1436" s="67"/>
    </row>
    <row r="1437" spans="11:14">
      <c r="K1437" s="67"/>
      <c r="L1437" s="67"/>
      <c r="M1437" s="67"/>
      <c r="N1437" s="67"/>
    </row>
    <row r="1438" spans="11:14">
      <c r="K1438" s="67"/>
      <c r="L1438" s="67"/>
      <c r="M1438" s="67"/>
      <c r="N1438" s="67"/>
    </row>
    <row r="1439" spans="11:14">
      <c r="K1439" s="67"/>
      <c r="L1439" s="67"/>
      <c r="M1439" s="67"/>
      <c r="N1439" s="67"/>
    </row>
    <row r="1440" spans="11:14">
      <c r="K1440" s="67"/>
      <c r="L1440" s="67"/>
      <c r="M1440" s="67"/>
      <c r="N1440" s="67"/>
    </row>
    <row r="1441" spans="11:14">
      <c r="K1441" s="67"/>
      <c r="L1441" s="67"/>
      <c r="M1441" s="67"/>
      <c r="N1441" s="67"/>
    </row>
    <row r="1442" spans="11:14">
      <c r="K1442" s="67"/>
      <c r="L1442" s="67"/>
      <c r="M1442" s="67"/>
      <c r="N1442" s="67"/>
    </row>
    <row r="1443" spans="11:14">
      <c r="K1443" s="67"/>
      <c r="L1443" s="67"/>
      <c r="M1443" s="67"/>
      <c r="N1443" s="67"/>
    </row>
    <row r="1444" spans="11:14">
      <c r="K1444" s="67"/>
      <c r="L1444" s="67"/>
      <c r="M1444" s="67"/>
      <c r="N1444" s="67"/>
    </row>
    <row r="1445" spans="11:14">
      <c r="K1445" s="67"/>
      <c r="L1445" s="67"/>
      <c r="M1445" s="67"/>
      <c r="N1445" s="67"/>
    </row>
    <row r="1446" spans="11:14">
      <c r="K1446" s="67"/>
      <c r="L1446" s="67"/>
      <c r="M1446" s="67"/>
      <c r="N1446" s="67"/>
    </row>
    <row r="1447" spans="11:14">
      <c r="K1447" s="67"/>
      <c r="L1447" s="67"/>
      <c r="M1447" s="67"/>
      <c r="N1447" s="67"/>
    </row>
    <row r="1448" spans="11:14">
      <c r="K1448" s="67"/>
      <c r="L1448" s="67"/>
      <c r="M1448" s="67"/>
      <c r="N1448" s="67"/>
    </row>
    <row r="1449" spans="11:14">
      <c r="K1449" s="67"/>
      <c r="L1449" s="67"/>
      <c r="M1449" s="67"/>
      <c r="N1449" s="67"/>
    </row>
    <row r="1450" spans="11:14">
      <c r="K1450" s="67"/>
      <c r="L1450" s="67"/>
      <c r="M1450" s="67"/>
      <c r="N1450" s="67"/>
    </row>
    <row r="1451" spans="11:14">
      <c r="K1451" s="67"/>
      <c r="L1451" s="67"/>
      <c r="M1451" s="67"/>
      <c r="N1451" s="67"/>
    </row>
    <row r="1452" spans="11:14">
      <c r="K1452" s="67"/>
      <c r="L1452" s="67"/>
      <c r="M1452" s="67"/>
      <c r="N1452" s="67"/>
    </row>
    <row r="1453" spans="11:14">
      <c r="K1453" s="67"/>
      <c r="L1453" s="67"/>
      <c r="M1453" s="67"/>
      <c r="N1453" s="67"/>
    </row>
    <row r="1454" spans="11:14">
      <c r="K1454" s="67"/>
      <c r="L1454" s="67"/>
      <c r="M1454" s="67"/>
      <c r="N1454" s="67"/>
    </row>
    <row r="1455" spans="11:14">
      <c r="K1455" s="67"/>
      <c r="L1455" s="67"/>
      <c r="M1455" s="67"/>
      <c r="N1455" s="67"/>
    </row>
    <row r="1456" spans="11:14">
      <c r="K1456" s="67"/>
      <c r="L1456" s="67"/>
      <c r="M1456" s="67"/>
      <c r="N1456" s="67"/>
    </row>
    <row r="1457" spans="11:14">
      <c r="K1457" s="67"/>
      <c r="L1457" s="67"/>
      <c r="M1457" s="67"/>
      <c r="N1457" s="67"/>
    </row>
    <row r="1458" spans="11:14">
      <c r="K1458" s="67"/>
      <c r="L1458" s="67"/>
      <c r="M1458" s="67"/>
      <c r="N1458" s="67"/>
    </row>
    <row r="1459" spans="11:14">
      <c r="K1459" s="67"/>
      <c r="L1459" s="67"/>
      <c r="M1459" s="67"/>
      <c r="N1459" s="67"/>
    </row>
    <row r="1460" spans="11:14">
      <c r="K1460" s="67"/>
      <c r="L1460" s="67"/>
      <c r="M1460" s="67"/>
      <c r="N1460" s="67"/>
    </row>
    <row r="1461" spans="11:14">
      <c r="K1461" s="67"/>
      <c r="L1461" s="67"/>
      <c r="M1461" s="67"/>
      <c r="N1461" s="67"/>
    </row>
    <row r="1462" spans="11:14">
      <c r="K1462" s="67"/>
      <c r="L1462" s="67"/>
      <c r="M1462" s="67"/>
      <c r="N1462" s="67"/>
    </row>
    <row r="1463" spans="11:14">
      <c r="K1463" s="67"/>
      <c r="L1463" s="67"/>
      <c r="M1463" s="67"/>
      <c r="N1463" s="67"/>
    </row>
    <row r="1464" spans="11:14">
      <c r="K1464" s="67"/>
      <c r="L1464" s="67"/>
      <c r="M1464" s="67"/>
      <c r="N1464" s="67"/>
    </row>
    <row r="1465" spans="11:14">
      <c r="K1465" s="67"/>
      <c r="L1465" s="67"/>
      <c r="M1465" s="67"/>
      <c r="N1465" s="67"/>
    </row>
    <row r="1466" spans="11:14">
      <c r="K1466" s="67"/>
      <c r="L1466" s="67"/>
      <c r="M1466" s="67"/>
      <c r="N1466" s="67"/>
    </row>
    <row r="1467" spans="11:14">
      <c r="K1467" s="67"/>
      <c r="L1467" s="67"/>
      <c r="M1467" s="67"/>
      <c r="N1467" s="67"/>
    </row>
    <row r="1468" spans="11:14">
      <c r="K1468" s="67"/>
      <c r="L1468" s="67"/>
      <c r="M1468" s="67"/>
      <c r="N1468" s="67"/>
    </row>
    <row r="1469" spans="11:14">
      <c r="K1469" s="67"/>
      <c r="L1469" s="67"/>
      <c r="M1469" s="67"/>
      <c r="N1469" s="67"/>
    </row>
    <row r="1470" spans="11:14">
      <c r="K1470" s="67"/>
      <c r="L1470" s="67"/>
      <c r="M1470" s="67"/>
      <c r="N1470" s="67"/>
    </row>
    <row r="1471" spans="11:14">
      <c r="K1471" s="67"/>
      <c r="L1471" s="67"/>
      <c r="M1471" s="67"/>
      <c r="N1471" s="67"/>
    </row>
    <row r="1472" spans="11:14">
      <c r="K1472" s="67"/>
      <c r="L1472" s="67"/>
      <c r="M1472" s="67"/>
      <c r="N1472" s="67"/>
    </row>
    <row r="1473" spans="11:14">
      <c r="K1473" s="67"/>
      <c r="L1473" s="67"/>
      <c r="M1473" s="67"/>
      <c r="N1473" s="67"/>
    </row>
    <row r="1474" spans="11:14">
      <c r="K1474" s="67"/>
      <c r="L1474" s="67"/>
      <c r="M1474" s="67"/>
      <c r="N1474" s="67"/>
    </row>
    <row r="1475" spans="11:14">
      <c r="K1475" s="67"/>
      <c r="L1475" s="67"/>
      <c r="M1475" s="67"/>
      <c r="N1475" s="67"/>
    </row>
    <row r="1476" spans="11:14">
      <c r="K1476" s="67"/>
      <c r="L1476" s="67"/>
      <c r="M1476" s="67"/>
      <c r="N1476" s="67"/>
    </row>
    <row r="1477" spans="11:14">
      <c r="K1477" s="67"/>
      <c r="L1477" s="67"/>
      <c r="M1477" s="67"/>
      <c r="N1477" s="67"/>
    </row>
    <row r="1478" spans="11:14">
      <c r="K1478" s="67"/>
      <c r="L1478" s="67"/>
      <c r="M1478" s="67"/>
      <c r="N1478" s="67"/>
    </row>
    <row r="1479" spans="11:14">
      <c r="K1479" s="67"/>
      <c r="L1479" s="67"/>
      <c r="M1479" s="67"/>
      <c r="N1479" s="67"/>
    </row>
    <row r="1480" spans="11:14">
      <c r="K1480" s="67"/>
      <c r="L1480" s="67"/>
      <c r="M1480" s="67"/>
      <c r="N1480" s="67"/>
    </row>
    <row r="1481" spans="11:14">
      <c r="K1481" s="67"/>
      <c r="L1481" s="67"/>
      <c r="M1481" s="67"/>
      <c r="N1481" s="67"/>
    </row>
    <row r="1482" spans="11:14">
      <c r="K1482" s="67"/>
      <c r="L1482" s="67"/>
      <c r="M1482" s="67"/>
      <c r="N1482" s="67"/>
    </row>
    <row r="1483" spans="11:14">
      <c r="K1483" s="67"/>
      <c r="L1483" s="67"/>
      <c r="M1483" s="67"/>
      <c r="N1483" s="67"/>
    </row>
    <row r="1484" spans="11:14">
      <c r="K1484" s="67"/>
      <c r="L1484" s="67"/>
      <c r="M1484" s="67"/>
      <c r="N1484" s="67"/>
    </row>
    <row r="1485" spans="11:14">
      <c r="K1485" s="67"/>
      <c r="L1485" s="67"/>
      <c r="M1485" s="67"/>
      <c r="N1485" s="67"/>
    </row>
    <row r="1486" spans="11:14">
      <c r="K1486" s="67"/>
      <c r="L1486" s="67"/>
      <c r="M1486" s="67"/>
      <c r="N1486" s="67"/>
    </row>
    <row r="1487" spans="11:14">
      <c r="K1487" s="67"/>
      <c r="L1487" s="67"/>
      <c r="M1487" s="67"/>
      <c r="N1487" s="67"/>
    </row>
    <row r="1488" spans="11:14">
      <c r="K1488" s="67"/>
      <c r="L1488" s="67"/>
      <c r="M1488" s="67"/>
      <c r="N1488" s="67"/>
    </row>
    <row r="1489" spans="11:14">
      <c r="K1489" s="67"/>
      <c r="L1489" s="67"/>
      <c r="M1489" s="67"/>
      <c r="N1489" s="67"/>
    </row>
    <row r="1490" spans="11:14">
      <c r="K1490" s="67"/>
      <c r="L1490" s="67"/>
      <c r="M1490" s="67"/>
      <c r="N1490" s="67"/>
    </row>
    <row r="1491" spans="11:14">
      <c r="K1491" s="67"/>
      <c r="L1491" s="67"/>
      <c r="M1491" s="67"/>
      <c r="N1491" s="67"/>
    </row>
    <row r="1492" spans="11:14">
      <c r="K1492" s="67"/>
      <c r="L1492" s="67"/>
      <c r="M1492" s="67"/>
      <c r="N1492" s="67"/>
    </row>
    <row r="1493" spans="11:14">
      <c r="K1493" s="67"/>
      <c r="L1493" s="67"/>
      <c r="M1493" s="67"/>
      <c r="N1493" s="67"/>
    </row>
    <row r="1494" spans="11:14">
      <c r="K1494" s="67"/>
      <c r="L1494" s="67"/>
      <c r="M1494" s="67"/>
      <c r="N1494" s="67"/>
    </row>
    <row r="1495" spans="11:14">
      <c r="K1495" s="67"/>
      <c r="L1495" s="67"/>
      <c r="M1495" s="67"/>
      <c r="N1495" s="67"/>
    </row>
    <row r="1496" spans="11:14">
      <c r="K1496" s="67"/>
      <c r="L1496" s="67"/>
      <c r="M1496" s="67"/>
      <c r="N1496" s="67"/>
    </row>
    <row r="1497" spans="11:14">
      <c r="K1497" s="67"/>
      <c r="L1497" s="67"/>
      <c r="M1497" s="67"/>
      <c r="N1497" s="67"/>
    </row>
    <row r="1498" spans="11:14">
      <c r="K1498" s="67"/>
      <c r="L1498" s="67"/>
      <c r="M1498" s="67"/>
      <c r="N1498" s="67"/>
    </row>
    <row r="1499" spans="11:14">
      <c r="K1499" s="67"/>
      <c r="L1499" s="67"/>
      <c r="M1499" s="67"/>
      <c r="N1499" s="67"/>
    </row>
    <row r="1500" spans="11:14">
      <c r="K1500" s="67"/>
      <c r="L1500" s="67"/>
      <c r="M1500" s="67"/>
      <c r="N1500" s="67"/>
    </row>
    <row r="1501" spans="11:14">
      <c r="K1501" s="67"/>
      <c r="L1501" s="67"/>
      <c r="M1501" s="67"/>
      <c r="N1501" s="67"/>
    </row>
    <row r="1502" spans="11:14">
      <c r="K1502" s="67"/>
      <c r="L1502" s="67"/>
      <c r="M1502" s="67"/>
      <c r="N1502" s="67"/>
    </row>
    <row r="1503" spans="11:14">
      <c r="K1503" s="67"/>
      <c r="L1503" s="67"/>
      <c r="M1503" s="67"/>
      <c r="N1503" s="67"/>
    </row>
    <row r="1504" spans="11:14">
      <c r="K1504" s="67"/>
      <c r="L1504" s="67"/>
      <c r="M1504" s="67"/>
      <c r="N1504" s="67"/>
    </row>
    <row r="1505" spans="11:14">
      <c r="K1505" s="67"/>
      <c r="L1505" s="67"/>
      <c r="M1505" s="67"/>
      <c r="N1505" s="67"/>
    </row>
    <row r="1506" spans="11:14">
      <c r="K1506" s="67"/>
      <c r="L1506" s="67"/>
      <c r="M1506" s="67"/>
      <c r="N1506" s="67"/>
    </row>
    <row r="1507" spans="11:14">
      <c r="K1507" s="67"/>
      <c r="L1507" s="67"/>
      <c r="M1507" s="67"/>
      <c r="N1507" s="67"/>
    </row>
    <row r="1508" spans="11:14">
      <c r="K1508" s="67"/>
      <c r="L1508" s="67"/>
      <c r="M1508" s="67"/>
      <c r="N1508" s="67"/>
    </row>
    <row r="1509" spans="11:14">
      <c r="K1509" s="67"/>
      <c r="L1509" s="67"/>
      <c r="M1509" s="67"/>
      <c r="N1509" s="67"/>
    </row>
    <row r="1510" spans="11:14">
      <c r="K1510" s="67"/>
      <c r="L1510" s="67"/>
      <c r="M1510" s="67"/>
      <c r="N1510" s="67"/>
    </row>
    <row r="1511" spans="11:14">
      <c r="K1511" s="67"/>
      <c r="L1511" s="67"/>
      <c r="M1511" s="67"/>
      <c r="N1511" s="67"/>
    </row>
    <row r="1512" spans="11:14">
      <c r="K1512" s="67"/>
      <c r="L1512" s="67"/>
      <c r="M1512" s="67"/>
      <c r="N1512" s="67"/>
    </row>
    <row r="1513" spans="11:14">
      <c r="K1513" s="67"/>
      <c r="L1513" s="67"/>
      <c r="M1513" s="67"/>
      <c r="N1513" s="67"/>
    </row>
    <row r="1514" spans="11:14">
      <c r="K1514" s="67"/>
      <c r="L1514" s="67"/>
      <c r="M1514" s="67"/>
      <c r="N1514" s="67"/>
    </row>
    <row r="1515" spans="11:14">
      <c r="K1515" s="67"/>
      <c r="L1515" s="67"/>
      <c r="M1515" s="67"/>
      <c r="N1515" s="67"/>
    </row>
    <row r="1516" spans="11:14">
      <c r="K1516" s="67"/>
      <c r="L1516" s="67"/>
      <c r="M1516" s="67"/>
      <c r="N1516" s="67"/>
    </row>
    <row r="1517" spans="11:14">
      <c r="K1517" s="67"/>
      <c r="L1517" s="67"/>
      <c r="M1517" s="67"/>
      <c r="N1517" s="67"/>
    </row>
    <row r="1518" spans="11:14">
      <c r="K1518" s="67"/>
      <c r="L1518" s="67"/>
      <c r="M1518" s="67"/>
      <c r="N1518" s="67"/>
    </row>
    <row r="1519" spans="11:14">
      <c r="K1519" s="67"/>
      <c r="L1519" s="67"/>
      <c r="M1519" s="67"/>
      <c r="N1519" s="67"/>
    </row>
    <row r="1520" spans="11:14">
      <c r="K1520" s="67"/>
      <c r="L1520" s="67"/>
      <c r="M1520" s="67"/>
      <c r="N1520" s="67"/>
    </row>
    <row r="1521" spans="11:14">
      <c r="K1521" s="67"/>
      <c r="L1521" s="67"/>
      <c r="M1521" s="67"/>
      <c r="N1521" s="67"/>
    </row>
    <row r="1522" spans="11:14">
      <c r="K1522" s="67"/>
      <c r="L1522" s="67"/>
      <c r="M1522" s="67"/>
      <c r="N1522" s="67"/>
    </row>
    <row r="1523" spans="11:14">
      <c r="K1523" s="67"/>
      <c r="L1523" s="67"/>
      <c r="M1523" s="67"/>
      <c r="N1523" s="67"/>
    </row>
    <row r="1524" spans="11:14">
      <c r="K1524" s="67"/>
      <c r="L1524" s="67"/>
      <c r="M1524" s="67"/>
      <c r="N1524" s="67"/>
    </row>
    <row r="1525" spans="11:14">
      <c r="K1525" s="67"/>
      <c r="L1525" s="67"/>
      <c r="M1525" s="67"/>
      <c r="N1525" s="67"/>
    </row>
    <row r="1526" spans="11:14">
      <c r="K1526" s="67"/>
      <c r="L1526" s="67"/>
      <c r="M1526" s="67"/>
      <c r="N1526" s="67"/>
    </row>
    <row r="1527" spans="11:14">
      <c r="K1527" s="67"/>
      <c r="L1527" s="67"/>
      <c r="M1527" s="67"/>
      <c r="N1527" s="67"/>
    </row>
    <row r="1528" spans="11:14">
      <c r="K1528" s="67"/>
      <c r="L1528" s="67"/>
      <c r="M1528" s="67"/>
      <c r="N1528" s="67"/>
    </row>
    <row r="1529" spans="11:14">
      <c r="K1529" s="67"/>
      <c r="L1529" s="67"/>
      <c r="M1529" s="67"/>
      <c r="N1529" s="67"/>
    </row>
    <row r="1530" spans="11:14">
      <c r="K1530" s="67"/>
      <c r="L1530" s="67"/>
      <c r="M1530" s="67"/>
      <c r="N1530" s="67"/>
    </row>
    <row r="1531" spans="11:14">
      <c r="K1531" s="67"/>
      <c r="L1531" s="67"/>
      <c r="M1531" s="67"/>
      <c r="N1531" s="67"/>
    </row>
    <row r="1532" spans="11:14">
      <c r="K1532" s="67"/>
      <c r="L1532" s="67"/>
      <c r="M1532" s="67"/>
      <c r="N1532" s="67"/>
    </row>
    <row r="1533" spans="11:14">
      <c r="K1533" s="67"/>
      <c r="L1533" s="67"/>
      <c r="M1533" s="67"/>
      <c r="N1533" s="67"/>
    </row>
    <row r="1534" spans="11:14">
      <c r="K1534" s="67"/>
      <c r="L1534" s="67"/>
      <c r="M1534" s="67"/>
      <c r="N1534" s="67"/>
    </row>
    <row r="1535" spans="11:14">
      <c r="K1535" s="67"/>
      <c r="L1535" s="67"/>
      <c r="M1535" s="67"/>
      <c r="N1535" s="67"/>
    </row>
    <row r="1536" spans="11:14">
      <c r="K1536" s="67"/>
      <c r="L1536" s="67"/>
      <c r="M1536" s="67"/>
      <c r="N1536" s="67"/>
    </row>
    <row r="1537" spans="11:14">
      <c r="K1537" s="67"/>
      <c r="L1537" s="67"/>
      <c r="M1537" s="67"/>
      <c r="N1537" s="67"/>
    </row>
    <row r="1538" spans="11:14">
      <c r="K1538" s="67"/>
      <c r="L1538" s="67"/>
      <c r="M1538" s="67"/>
      <c r="N1538" s="67"/>
    </row>
    <row r="1539" spans="11:14">
      <c r="K1539" s="67"/>
      <c r="L1539" s="67"/>
      <c r="M1539" s="67"/>
      <c r="N1539" s="67"/>
    </row>
    <row r="1540" spans="11:14">
      <c r="K1540" s="67"/>
      <c r="L1540" s="67"/>
      <c r="M1540" s="67"/>
      <c r="N1540" s="67"/>
    </row>
    <row r="1541" spans="11:14">
      <c r="K1541" s="67"/>
      <c r="L1541" s="67"/>
      <c r="M1541" s="67"/>
      <c r="N1541" s="67"/>
    </row>
    <row r="1542" spans="11:14">
      <c r="K1542" s="67"/>
      <c r="L1542" s="67"/>
      <c r="M1542" s="67"/>
      <c r="N1542" s="67"/>
    </row>
    <row r="1543" spans="11:14">
      <c r="K1543" s="67"/>
      <c r="L1543" s="67"/>
      <c r="M1543" s="67"/>
      <c r="N1543" s="67"/>
    </row>
    <row r="1544" spans="11:14">
      <c r="K1544" s="67"/>
      <c r="L1544" s="67"/>
      <c r="M1544" s="67"/>
      <c r="N1544" s="67"/>
    </row>
    <row r="1545" spans="11:14">
      <c r="K1545" s="67"/>
      <c r="L1545" s="67"/>
      <c r="M1545" s="67"/>
      <c r="N1545" s="67"/>
    </row>
    <row r="1546" spans="11:14">
      <c r="K1546" s="67"/>
      <c r="L1546" s="67"/>
      <c r="M1546" s="67"/>
      <c r="N1546" s="67"/>
    </row>
    <row r="1547" spans="11:14">
      <c r="K1547" s="67"/>
      <c r="L1547" s="67"/>
      <c r="M1547" s="67"/>
      <c r="N1547" s="67"/>
    </row>
    <row r="1548" spans="11:14">
      <c r="K1548" s="67"/>
      <c r="L1548" s="67"/>
      <c r="M1548" s="67"/>
      <c r="N1548" s="67"/>
    </row>
    <row r="1549" spans="11:14">
      <c r="K1549" s="67"/>
      <c r="L1549" s="67"/>
      <c r="M1549" s="67"/>
      <c r="N1549" s="67"/>
    </row>
    <row r="1550" spans="11:14">
      <c r="K1550" s="67"/>
      <c r="L1550" s="67"/>
      <c r="M1550" s="67"/>
      <c r="N1550" s="67"/>
    </row>
    <row r="1551" spans="11:14">
      <c r="K1551" s="67"/>
      <c r="L1551" s="67"/>
      <c r="M1551" s="67"/>
      <c r="N1551" s="67"/>
    </row>
    <row r="1552" spans="11:14">
      <c r="K1552" s="67"/>
      <c r="L1552" s="67"/>
      <c r="M1552" s="67"/>
      <c r="N1552" s="67"/>
    </row>
    <row r="1553" spans="11:14">
      <c r="K1553" s="67"/>
      <c r="L1553" s="67"/>
      <c r="M1553" s="67"/>
      <c r="N1553" s="67"/>
    </row>
    <row r="1554" spans="11:14">
      <c r="K1554" s="67"/>
      <c r="L1554" s="67"/>
      <c r="M1554" s="67"/>
      <c r="N1554" s="67"/>
    </row>
    <row r="1555" spans="11:14">
      <c r="K1555" s="67"/>
      <c r="L1555" s="67"/>
      <c r="M1555" s="67"/>
      <c r="N1555" s="67"/>
    </row>
    <row r="1556" spans="11:14">
      <c r="K1556" s="67"/>
      <c r="L1556" s="67"/>
      <c r="M1556" s="67"/>
      <c r="N1556" s="67"/>
    </row>
    <row r="1557" spans="11:14">
      <c r="K1557" s="67"/>
      <c r="L1557" s="67"/>
      <c r="M1557" s="67"/>
      <c r="N1557" s="67"/>
    </row>
    <row r="1558" spans="11:14">
      <c r="K1558" s="67"/>
      <c r="L1558" s="67"/>
      <c r="M1558" s="67"/>
      <c r="N1558" s="67"/>
    </row>
    <row r="1559" spans="11:14">
      <c r="K1559" s="67"/>
      <c r="L1559" s="67"/>
      <c r="M1559" s="67"/>
      <c r="N1559" s="67"/>
    </row>
    <row r="1560" spans="11:14">
      <c r="K1560" s="67"/>
      <c r="L1560" s="67"/>
      <c r="M1560" s="67"/>
      <c r="N1560" s="67"/>
    </row>
    <row r="1561" spans="11:14">
      <c r="K1561" s="67"/>
      <c r="L1561" s="67"/>
      <c r="M1561" s="67"/>
      <c r="N1561" s="67"/>
    </row>
    <row r="1562" spans="11:14">
      <c r="K1562" s="67"/>
      <c r="L1562" s="67"/>
      <c r="M1562" s="67"/>
      <c r="N1562" s="67"/>
    </row>
    <row r="1563" spans="11:14">
      <c r="K1563" s="67"/>
      <c r="L1563" s="67"/>
      <c r="M1563" s="67"/>
      <c r="N1563" s="67"/>
    </row>
    <row r="1564" spans="11:14">
      <c r="K1564" s="67"/>
      <c r="L1564" s="67"/>
      <c r="M1564" s="67"/>
      <c r="N1564" s="67"/>
    </row>
    <row r="1565" spans="11:14">
      <c r="K1565" s="67"/>
      <c r="L1565" s="67"/>
      <c r="M1565" s="67"/>
      <c r="N1565" s="67"/>
    </row>
    <row r="1566" spans="11:14">
      <c r="K1566" s="67"/>
      <c r="L1566" s="67"/>
      <c r="M1566" s="67"/>
      <c r="N1566" s="67"/>
    </row>
    <row r="1567" spans="11:14">
      <c r="K1567" s="67"/>
      <c r="L1567" s="67"/>
      <c r="M1567" s="67"/>
      <c r="N1567" s="67"/>
    </row>
    <row r="1568" spans="11:14">
      <c r="K1568" s="67"/>
      <c r="L1568" s="67"/>
      <c r="M1568" s="67"/>
      <c r="N1568" s="67"/>
    </row>
    <row r="1569" spans="11:14">
      <c r="K1569" s="67"/>
      <c r="L1569" s="67"/>
      <c r="M1569" s="67"/>
      <c r="N1569" s="67"/>
    </row>
    <row r="1570" spans="11:14">
      <c r="K1570" s="67"/>
      <c r="L1570" s="67"/>
      <c r="M1570" s="67"/>
      <c r="N1570" s="67"/>
    </row>
    <row r="1571" spans="11:14">
      <c r="K1571" s="67"/>
      <c r="L1571" s="67"/>
      <c r="M1571" s="67"/>
      <c r="N1571" s="67"/>
    </row>
    <row r="1572" spans="11:14">
      <c r="K1572" s="67"/>
      <c r="L1572" s="67"/>
      <c r="M1572" s="67"/>
      <c r="N1572" s="67"/>
    </row>
    <row r="1573" spans="11:14">
      <c r="K1573" s="67"/>
      <c r="L1573" s="67"/>
      <c r="M1573" s="67"/>
      <c r="N1573" s="67"/>
    </row>
    <row r="1574" spans="11:14">
      <c r="K1574" s="67"/>
      <c r="L1574" s="67"/>
      <c r="M1574" s="67"/>
      <c r="N1574" s="67"/>
    </row>
    <row r="1575" spans="11:14">
      <c r="K1575" s="67"/>
      <c r="L1575" s="67"/>
      <c r="M1575" s="67"/>
      <c r="N1575" s="67"/>
    </row>
    <row r="1576" spans="11:14">
      <c r="K1576" s="67"/>
      <c r="L1576" s="67"/>
      <c r="M1576" s="67"/>
      <c r="N1576" s="67"/>
    </row>
    <row r="1577" spans="11:14">
      <c r="K1577" s="67"/>
      <c r="L1577" s="67"/>
      <c r="M1577" s="67"/>
      <c r="N1577" s="67"/>
    </row>
    <row r="1578" spans="11:14">
      <c r="K1578" s="67"/>
      <c r="L1578" s="67"/>
      <c r="M1578" s="67"/>
      <c r="N1578" s="67"/>
    </row>
    <row r="1579" spans="11:14">
      <c r="K1579" s="67"/>
      <c r="L1579" s="67"/>
      <c r="M1579" s="67"/>
      <c r="N1579" s="67"/>
    </row>
    <row r="1580" spans="11:14">
      <c r="K1580" s="67"/>
      <c r="L1580" s="67"/>
      <c r="M1580" s="67"/>
      <c r="N1580" s="67"/>
    </row>
    <row r="1581" spans="11:14">
      <c r="K1581" s="67"/>
      <c r="L1581" s="67"/>
      <c r="M1581" s="67"/>
      <c r="N1581" s="67"/>
    </row>
    <row r="1582" spans="11:14">
      <c r="K1582" s="67"/>
      <c r="L1582" s="67"/>
      <c r="M1582" s="67"/>
      <c r="N1582" s="67"/>
    </row>
    <row r="1583" spans="11:14">
      <c r="K1583" s="67"/>
      <c r="L1583" s="67"/>
      <c r="M1583" s="67"/>
      <c r="N1583" s="67"/>
    </row>
    <row r="1584" spans="11:14">
      <c r="K1584" s="67"/>
      <c r="L1584" s="67"/>
      <c r="M1584" s="67"/>
      <c r="N1584" s="67"/>
    </row>
    <row r="1585" spans="11:14">
      <c r="K1585" s="67"/>
      <c r="L1585" s="67"/>
      <c r="M1585" s="67"/>
      <c r="N1585" s="67"/>
    </row>
    <row r="1586" spans="11:14">
      <c r="K1586" s="67"/>
      <c r="L1586" s="67"/>
      <c r="M1586" s="67"/>
      <c r="N1586" s="67"/>
    </row>
    <row r="1587" spans="11:14">
      <c r="K1587" s="67"/>
      <c r="L1587" s="67"/>
      <c r="M1587" s="67"/>
      <c r="N1587" s="67"/>
    </row>
    <row r="1588" spans="11:14">
      <c r="K1588" s="67"/>
      <c r="L1588" s="67"/>
      <c r="M1588" s="67"/>
      <c r="N1588" s="67"/>
    </row>
    <row r="1589" spans="11:14">
      <c r="K1589" s="67"/>
      <c r="L1589" s="67"/>
      <c r="M1589" s="67"/>
      <c r="N1589" s="67"/>
    </row>
    <row r="1590" spans="11:14">
      <c r="K1590" s="67"/>
      <c r="L1590" s="67"/>
      <c r="M1590" s="67"/>
      <c r="N1590" s="67"/>
    </row>
    <row r="1591" spans="11:14">
      <c r="K1591" s="67"/>
      <c r="L1591" s="67"/>
      <c r="M1591" s="67"/>
      <c r="N1591" s="67"/>
    </row>
    <row r="1592" spans="11:14">
      <c r="K1592" s="67"/>
      <c r="L1592" s="67"/>
      <c r="M1592" s="67"/>
      <c r="N1592" s="67"/>
    </row>
    <row r="1593" spans="11:14">
      <c r="K1593" s="67"/>
      <c r="L1593" s="67"/>
      <c r="M1593" s="67"/>
      <c r="N1593" s="67"/>
    </row>
    <row r="1594" spans="11:14">
      <c r="K1594" s="67"/>
      <c r="L1594" s="67"/>
      <c r="M1594" s="67"/>
      <c r="N1594" s="67"/>
    </row>
    <row r="1595" spans="11:14">
      <c r="K1595" s="67"/>
      <c r="L1595" s="67"/>
      <c r="M1595" s="67"/>
      <c r="N1595" s="67"/>
    </row>
    <row r="1596" spans="11:14">
      <c r="K1596" s="67"/>
      <c r="L1596" s="67"/>
      <c r="M1596" s="67"/>
      <c r="N1596" s="67"/>
    </row>
    <row r="1597" spans="11:14">
      <c r="K1597" s="67"/>
      <c r="L1597" s="67"/>
      <c r="M1597" s="67"/>
      <c r="N1597" s="67"/>
    </row>
    <row r="1598" spans="11:14">
      <c r="K1598" s="67"/>
      <c r="L1598" s="67"/>
      <c r="M1598" s="67"/>
      <c r="N1598" s="67"/>
    </row>
    <row r="1599" spans="11:14">
      <c r="K1599" s="67"/>
      <c r="L1599" s="67"/>
      <c r="M1599" s="67"/>
      <c r="N1599" s="67"/>
    </row>
    <row r="1600" spans="11:14">
      <c r="K1600" s="67"/>
      <c r="L1600" s="67"/>
      <c r="M1600" s="67"/>
      <c r="N1600" s="67"/>
    </row>
    <row r="1601" spans="11:14">
      <c r="K1601" s="67"/>
      <c r="L1601" s="67"/>
      <c r="M1601" s="67"/>
      <c r="N1601" s="67"/>
    </row>
    <row r="1602" spans="11:14">
      <c r="K1602" s="67"/>
      <c r="L1602" s="67"/>
      <c r="M1602" s="67"/>
      <c r="N1602" s="67"/>
    </row>
    <row r="1603" spans="11:14">
      <c r="K1603" s="67"/>
      <c r="L1603" s="67"/>
      <c r="M1603" s="67"/>
      <c r="N1603" s="67"/>
    </row>
    <row r="1604" spans="11:14">
      <c r="K1604" s="67"/>
      <c r="L1604" s="67"/>
      <c r="M1604" s="67"/>
      <c r="N1604" s="67"/>
    </row>
    <row r="1605" spans="11:14">
      <c r="K1605" s="67"/>
      <c r="L1605" s="67"/>
      <c r="M1605" s="67"/>
      <c r="N1605" s="67"/>
    </row>
    <row r="1606" spans="11:14">
      <c r="K1606" s="67"/>
      <c r="L1606" s="67"/>
      <c r="M1606" s="67"/>
      <c r="N1606" s="67"/>
    </row>
    <row r="1607" spans="11:14">
      <c r="K1607" s="67"/>
      <c r="L1607" s="67"/>
      <c r="M1607" s="67"/>
      <c r="N1607" s="67"/>
    </row>
    <row r="1608" spans="11:14">
      <c r="K1608" s="67"/>
      <c r="L1608" s="67"/>
      <c r="M1608" s="67"/>
      <c r="N1608" s="67"/>
    </row>
    <row r="1609" spans="11:14">
      <c r="K1609" s="67"/>
      <c r="L1609" s="67"/>
      <c r="M1609" s="67"/>
      <c r="N1609" s="67"/>
    </row>
    <row r="1610" spans="11:14">
      <c r="K1610" s="67"/>
      <c r="L1610" s="67"/>
      <c r="M1610" s="67"/>
      <c r="N1610" s="67"/>
    </row>
    <row r="1611" spans="11:14">
      <c r="K1611" s="67"/>
      <c r="L1611" s="67"/>
      <c r="M1611" s="67"/>
      <c r="N1611" s="67"/>
    </row>
    <row r="1612" spans="11:14">
      <c r="K1612" s="67"/>
      <c r="L1612" s="67"/>
      <c r="M1612" s="67"/>
      <c r="N1612" s="67"/>
    </row>
    <row r="1613" spans="11:14">
      <c r="K1613" s="67"/>
      <c r="L1613" s="67"/>
      <c r="M1613" s="67"/>
      <c r="N1613" s="67"/>
    </row>
    <row r="1614" spans="11:14">
      <c r="K1614" s="67"/>
      <c r="L1614" s="67"/>
      <c r="M1614" s="67"/>
      <c r="N1614" s="67"/>
    </row>
    <row r="1615" spans="11:14">
      <c r="K1615" s="67"/>
      <c r="L1615" s="67"/>
      <c r="M1615" s="67"/>
      <c r="N1615" s="67"/>
    </row>
    <row r="1616" spans="11:14">
      <c r="K1616" s="67"/>
      <c r="L1616" s="67"/>
      <c r="M1616" s="67"/>
      <c r="N1616" s="67"/>
    </row>
    <row r="1617" spans="11:14">
      <c r="K1617" s="67"/>
      <c r="L1617" s="67"/>
      <c r="M1617" s="67"/>
      <c r="N1617" s="67"/>
    </row>
    <row r="1618" spans="11:14">
      <c r="K1618" s="67"/>
      <c r="L1618" s="67"/>
      <c r="M1618" s="67"/>
      <c r="N1618" s="67"/>
    </row>
    <row r="1619" spans="11:14">
      <c r="K1619" s="67"/>
      <c r="L1619" s="67"/>
      <c r="M1619" s="67"/>
      <c r="N1619" s="67"/>
    </row>
    <row r="1620" spans="11:14">
      <c r="K1620" s="67"/>
      <c r="L1620" s="67"/>
      <c r="M1620" s="67"/>
      <c r="N1620" s="67"/>
    </row>
    <row r="1621" spans="11:14">
      <c r="K1621" s="67"/>
      <c r="L1621" s="67"/>
      <c r="M1621" s="67"/>
      <c r="N1621" s="67"/>
    </row>
    <row r="1622" spans="11:14">
      <c r="K1622" s="67"/>
      <c r="L1622" s="67"/>
      <c r="M1622" s="67"/>
      <c r="N1622" s="67"/>
    </row>
    <row r="1623" spans="11:14">
      <c r="K1623" s="67"/>
      <c r="L1623" s="67"/>
      <c r="M1623" s="67"/>
      <c r="N1623" s="67"/>
    </row>
    <row r="1624" spans="11:14">
      <c r="K1624" s="67"/>
      <c r="L1624" s="67"/>
      <c r="M1624" s="67"/>
      <c r="N1624" s="67"/>
    </row>
    <row r="1625" spans="11:14">
      <c r="K1625" s="67"/>
      <c r="L1625" s="67"/>
      <c r="M1625" s="67"/>
      <c r="N1625" s="67"/>
    </row>
    <row r="1626" spans="11:14">
      <c r="K1626" s="67"/>
      <c r="L1626" s="67"/>
      <c r="M1626" s="67"/>
      <c r="N1626" s="67"/>
    </row>
    <row r="1627" spans="11:14">
      <c r="K1627" s="67"/>
      <c r="L1627" s="67"/>
      <c r="M1627" s="67"/>
      <c r="N1627" s="67"/>
    </row>
    <row r="1628" spans="11:14">
      <c r="K1628" s="67"/>
      <c r="L1628" s="67"/>
      <c r="M1628" s="67"/>
      <c r="N1628" s="67"/>
    </row>
    <row r="1629" spans="11:14">
      <c r="K1629" s="67"/>
      <c r="L1629" s="67"/>
      <c r="M1629" s="67"/>
      <c r="N1629" s="67"/>
    </row>
    <row r="1630" spans="11:14">
      <c r="K1630" s="67"/>
      <c r="L1630" s="67"/>
      <c r="M1630" s="67"/>
      <c r="N1630" s="67"/>
    </row>
    <row r="1631" spans="11:14">
      <c r="K1631" s="67"/>
      <c r="L1631" s="67"/>
      <c r="M1631" s="67"/>
      <c r="N1631" s="67"/>
    </row>
    <row r="1632" spans="11:14">
      <c r="K1632" s="67"/>
      <c r="L1632" s="67"/>
      <c r="M1632" s="67"/>
      <c r="N1632" s="67"/>
    </row>
    <row r="1633" spans="11:14">
      <c r="K1633" s="67"/>
      <c r="L1633" s="67"/>
      <c r="M1633" s="67"/>
      <c r="N1633" s="67"/>
    </row>
    <row r="1634" spans="11:14">
      <c r="K1634" s="67"/>
      <c r="L1634" s="67"/>
      <c r="M1634" s="67"/>
      <c r="N1634" s="67"/>
    </row>
    <row r="1635" spans="11:14">
      <c r="K1635" s="67"/>
      <c r="L1635" s="67"/>
      <c r="M1635" s="67"/>
      <c r="N1635" s="67"/>
    </row>
    <row r="1636" spans="11:14">
      <c r="K1636" s="67"/>
      <c r="L1636" s="67"/>
      <c r="M1636" s="67"/>
      <c r="N1636" s="67"/>
    </row>
    <row r="1637" spans="11:14">
      <c r="K1637" s="67"/>
      <c r="L1637" s="67"/>
      <c r="M1637" s="67"/>
      <c r="N1637" s="67"/>
    </row>
    <row r="1638" spans="11:14">
      <c r="K1638" s="67"/>
      <c r="L1638" s="67"/>
      <c r="M1638" s="67"/>
      <c r="N1638" s="67"/>
    </row>
    <row r="1639" spans="11:14">
      <c r="K1639" s="67"/>
      <c r="L1639" s="67"/>
      <c r="M1639" s="67"/>
      <c r="N1639" s="67"/>
    </row>
    <row r="1640" spans="11:14">
      <c r="K1640" s="67"/>
      <c r="L1640" s="67"/>
      <c r="M1640" s="67"/>
      <c r="N1640" s="67"/>
    </row>
    <row r="1641" spans="11:14">
      <c r="K1641" s="67"/>
      <c r="L1641" s="67"/>
      <c r="M1641" s="67"/>
      <c r="N1641" s="67"/>
    </row>
    <row r="1642" spans="11:14">
      <c r="K1642" s="67"/>
      <c r="L1642" s="67"/>
      <c r="M1642" s="67"/>
      <c r="N1642" s="67"/>
    </row>
    <row r="1643" spans="11:14">
      <c r="K1643" s="67"/>
      <c r="L1643" s="67"/>
      <c r="M1643" s="67"/>
      <c r="N1643" s="67"/>
    </row>
    <row r="1644" spans="11:14">
      <c r="K1644" s="67"/>
      <c r="L1644" s="67"/>
      <c r="M1644" s="67"/>
      <c r="N1644" s="67"/>
    </row>
    <row r="1645" spans="11:14">
      <c r="K1645" s="67"/>
      <c r="L1645" s="67"/>
      <c r="M1645" s="67"/>
      <c r="N1645" s="67"/>
    </row>
    <row r="1646" spans="11:14">
      <c r="K1646" s="67"/>
      <c r="L1646" s="67"/>
      <c r="M1646" s="67"/>
      <c r="N1646" s="67"/>
    </row>
    <row r="1647" spans="11:14">
      <c r="K1647" s="67"/>
      <c r="L1647" s="67"/>
      <c r="M1647" s="67"/>
      <c r="N1647" s="67"/>
    </row>
    <row r="1648" spans="11:14">
      <c r="K1648" s="67"/>
      <c r="L1648" s="67"/>
      <c r="M1648" s="67"/>
      <c r="N1648" s="67"/>
    </row>
    <row r="1649" spans="11:14">
      <c r="K1649" s="67"/>
      <c r="L1649" s="67"/>
      <c r="M1649" s="67"/>
      <c r="N1649" s="67"/>
    </row>
    <row r="1650" spans="11:14">
      <c r="K1650" s="67"/>
      <c r="L1650" s="67"/>
      <c r="M1650" s="67"/>
      <c r="N1650" s="67"/>
    </row>
    <row r="1651" spans="11:14">
      <c r="K1651" s="67"/>
      <c r="L1651" s="67"/>
      <c r="M1651" s="67"/>
      <c r="N1651" s="67"/>
    </row>
    <row r="1652" spans="11:14">
      <c r="K1652" s="67"/>
      <c r="L1652" s="67"/>
      <c r="M1652" s="67"/>
      <c r="N1652" s="67"/>
    </row>
    <row r="1653" spans="11:14">
      <c r="K1653" s="67"/>
      <c r="L1653" s="67"/>
      <c r="M1653" s="67"/>
      <c r="N1653" s="67"/>
    </row>
    <row r="1654" spans="11:14">
      <c r="K1654" s="67"/>
      <c r="L1654" s="67"/>
      <c r="M1654" s="67"/>
      <c r="N1654" s="67"/>
    </row>
    <row r="1655" spans="11:14">
      <c r="K1655" s="67"/>
      <c r="L1655" s="67"/>
      <c r="M1655" s="67"/>
      <c r="N1655" s="67"/>
    </row>
    <row r="1656" spans="11:14">
      <c r="K1656" s="67"/>
      <c r="L1656" s="67"/>
      <c r="M1656" s="67"/>
      <c r="N1656" s="67"/>
    </row>
    <row r="1657" spans="11:14">
      <c r="K1657" s="67"/>
      <c r="L1657" s="67"/>
      <c r="M1657" s="67"/>
      <c r="N1657" s="67"/>
    </row>
    <row r="1658" spans="11:14">
      <c r="K1658" s="67"/>
      <c r="L1658" s="67"/>
      <c r="M1658" s="67"/>
      <c r="N1658" s="67"/>
    </row>
    <row r="1659" spans="11:14">
      <c r="K1659" s="67"/>
      <c r="L1659" s="67"/>
      <c r="M1659" s="67"/>
      <c r="N1659" s="67"/>
    </row>
    <row r="1660" spans="11:14">
      <c r="K1660" s="67"/>
      <c r="L1660" s="67"/>
      <c r="M1660" s="67"/>
      <c r="N1660" s="67"/>
    </row>
    <row r="1661" spans="11:14">
      <c r="K1661" s="67"/>
      <c r="L1661" s="67"/>
      <c r="M1661" s="67"/>
      <c r="N1661" s="67"/>
    </row>
    <row r="1662" spans="11:14">
      <c r="K1662" s="67"/>
      <c r="L1662" s="67"/>
      <c r="M1662" s="67"/>
      <c r="N1662" s="67"/>
    </row>
    <row r="1663" spans="11:14">
      <c r="K1663" s="67"/>
      <c r="L1663" s="67"/>
      <c r="M1663" s="67"/>
      <c r="N1663" s="67"/>
    </row>
    <row r="1664" spans="11:14">
      <c r="K1664" s="67"/>
      <c r="L1664" s="67"/>
      <c r="M1664" s="67"/>
      <c r="N1664" s="67"/>
    </row>
    <row r="1665" spans="11:14">
      <c r="K1665" s="67"/>
      <c r="L1665" s="67"/>
      <c r="M1665" s="67"/>
      <c r="N1665" s="67"/>
    </row>
    <row r="1666" spans="11:14">
      <c r="K1666" s="67"/>
      <c r="L1666" s="67"/>
      <c r="M1666" s="67"/>
      <c r="N1666" s="67"/>
    </row>
    <row r="1667" spans="11:14">
      <c r="K1667" s="67"/>
      <c r="L1667" s="67"/>
      <c r="M1667" s="67"/>
      <c r="N1667" s="67"/>
    </row>
    <row r="1668" spans="11:14">
      <c r="K1668" s="67"/>
      <c r="L1668" s="67"/>
      <c r="M1668" s="67"/>
      <c r="N1668" s="67"/>
    </row>
    <row r="1669" spans="11:14">
      <c r="K1669" s="67"/>
      <c r="L1669" s="67"/>
      <c r="M1669" s="67"/>
      <c r="N1669" s="67"/>
    </row>
    <row r="1670" spans="11:14">
      <c r="K1670" s="67"/>
      <c r="L1670" s="67"/>
      <c r="M1670" s="67"/>
      <c r="N1670" s="67"/>
    </row>
    <row r="1671" spans="11:14">
      <c r="K1671" s="67"/>
      <c r="L1671" s="67"/>
      <c r="M1671" s="67"/>
      <c r="N1671" s="67"/>
    </row>
    <row r="1672" spans="11:14">
      <c r="K1672" s="67"/>
      <c r="L1672" s="67"/>
      <c r="M1672" s="67"/>
      <c r="N1672" s="67"/>
    </row>
    <row r="1673" spans="11:14">
      <c r="K1673" s="67"/>
      <c r="L1673" s="67"/>
      <c r="M1673" s="67"/>
      <c r="N1673" s="67"/>
    </row>
    <row r="1674" spans="11:14">
      <c r="K1674" s="67"/>
      <c r="L1674" s="67"/>
      <c r="M1674" s="67"/>
      <c r="N1674" s="67"/>
    </row>
    <row r="1675" spans="11:14">
      <c r="K1675" s="67"/>
      <c r="L1675" s="67"/>
      <c r="M1675" s="67"/>
      <c r="N1675" s="67"/>
    </row>
    <row r="1676" spans="11:14">
      <c r="K1676" s="67"/>
      <c r="L1676" s="67"/>
      <c r="M1676" s="67"/>
      <c r="N1676" s="67"/>
    </row>
    <row r="1677" spans="11:14">
      <c r="K1677" s="67"/>
      <c r="L1677" s="67"/>
      <c r="M1677" s="67"/>
      <c r="N1677" s="67"/>
    </row>
    <row r="1678" spans="11:14">
      <c r="K1678" s="67"/>
      <c r="L1678" s="67"/>
      <c r="M1678" s="67"/>
      <c r="N1678" s="67"/>
    </row>
    <row r="1679" spans="11:14">
      <c r="K1679" s="67"/>
      <c r="L1679" s="67"/>
      <c r="M1679" s="67"/>
      <c r="N1679" s="67"/>
    </row>
    <row r="1680" spans="11:14">
      <c r="K1680" s="67"/>
      <c r="L1680" s="67"/>
      <c r="M1680" s="67"/>
      <c r="N1680" s="67"/>
    </row>
    <row r="1681" spans="11:14">
      <c r="K1681" s="67"/>
      <c r="L1681" s="67"/>
      <c r="M1681" s="67"/>
      <c r="N1681" s="67"/>
    </row>
    <row r="1682" spans="11:14">
      <c r="K1682" s="67"/>
      <c r="L1682" s="67"/>
      <c r="M1682" s="67"/>
      <c r="N1682" s="67"/>
    </row>
    <row r="1683" spans="11:14">
      <c r="K1683" s="67"/>
      <c r="L1683" s="67"/>
      <c r="M1683" s="67"/>
      <c r="N1683" s="67"/>
    </row>
    <row r="1684" spans="11:14">
      <c r="K1684" s="67"/>
      <c r="L1684" s="67"/>
      <c r="M1684" s="67"/>
      <c r="N1684" s="67"/>
    </row>
    <row r="1685" spans="11:14">
      <c r="K1685" s="67"/>
      <c r="L1685" s="67"/>
      <c r="M1685" s="67"/>
      <c r="N1685" s="67"/>
    </row>
    <row r="1686" spans="11:14">
      <c r="K1686" s="67"/>
      <c r="L1686" s="67"/>
      <c r="M1686" s="67"/>
      <c r="N1686" s="67"/>
    </row>
    <row r="1687" spans="11:14">
      <c r="K1687" s="67"/>
      <c r="L1687" s="67"/>
      <c r="M1687" s="67"/>
      <c r="N1687" s="67"/>
    </row>
    <row r="1688" spans="11:14">
      <c r="K1688" s="67"/>
      <c r="L1688" s="67"/>
      <c r="M1688" s="67"/>
      <c r="N1688" s="67"/>
    </row>
    <row r="1689" spans="11:14">
      <c r="K1689" s="67"/>
      <c r="L1689" s="67"/>
      <c r="M1689" s="67"/>
      <c r="N1689" s="67"/>
    </row>
    <row r="1690" spans="11:14">
      <c r="K1690" s="67"/>
      <c r="L1690" s="67"/>
      <c r="M1690" s="67"/>
      <c r="N1690" s="67"/>
    </row>
    <row r="1691" spans="11:14">
      <c r="K1691" s="67"/>
      <c r="L1691" s="67"/>
      <c r="M1691" s="67"/>
      <c r="N1691" s="67"/>
    </row>
    <row r="1692" spans="11:14">
      <c r="K1692" s="67"/>
      <c r="L1692" s="67"/>
      <c r="M1692" s="67"/>
      <c r="N1692" s="67"/>
    </row>
    <row r="1693" spans="11:14">
      <c r="K1693" s="67"/>
      <c r="L1693" s="67"/>
      <c r="M1693" s="67"/>
      <c r="N1693" s="67"/>
    </row>
    <row r="1694" spans="11:14">
      <c r="K1694" s="67"/>
      <c r="L1694" s="67"/>
      <c r="M1694" s="67"/>
      <c r="N1694" s="67"/>
    </row>
    <row r="1695" spans="11:14">
      <c r="K1695" s="67"/>
      <c r="L1695" s="67"/>
      <c r="M1695" s="67"/>
      <c r="N1695" s="67"/>
    </row>
    <row r="1696" spans="11:14">
      <c r="K1696" s="67"/>
      <c r="L1696" s="67"/>
      <c r="M1696" s="67"/>
      <c r="N1696" s="67"/>
    </row>
    <row r="1697" spans="11:14">
      <c r="K1697" s="67"/>
      <c r="L1697" s="67"/>
      <c r="M1697" s="67"/>
      <c r="N1697" s="67"/>
    </row>
    <row r="1698" spans="11:14">
      <c r="K1698" s="67"/>
      <c r="L1698" s="67"/>
      <c r="M1698" s="67"/>
      <c r="N1698" s="67"/>
    </row>
    <row r="1699" spans="11:14">
      <c r="K1699" s="67"/>
      <c r="L1699" s="67"/>
      <c r="M1699" s="67"/>
      <c r="N1699" s="67"/>
    </row>
    <row r="1700" spans="11:14">
      <c r="K1700" s="67"/>
      <c r="L1700" s="67"/>
      <c r="M1700" s="67"/>
      <c r="N1700" s="67"/>
    </row>
    <row r="1701" spans="11:14">
      <c r="K1701" s="67"/>
      <c r="L1701" s="67"/>
      <c r="M1701" s="67"/>
      <c r="N1701" s="67"/>
    </row>
    <row r="1702" spans="11:14">
      <c r="K1702" s="67"/>
      <c r="L1702" s="67"/>
      <c r="M1702" s="67"/>
      <c r="N1702" s="67"/>
    </row>
    <row r="1703" spans="11:14">
      <c r="K1703" s="67"/>
      <c r="L1703" s="67"/>
      <c r="M1703" s="67"/>
      <c r="N1703" s="67"/>
    </row>
    <row r="1704" spans="11:14">
      <c r="K1704" s="67"/>
      <c r="L1704" s="67"/>
      <c r="M1704" s="67"/>
      <c r="N1704" s="67"/>
    </row>
    <row r="1705" spans="11:14">
      <c r="K1705" s="67"/>
      <c r="L1705" s="67"/>
      <c r="M1705" s="67"/>
      <c r="N1705" s="67"/>
    </row>
    <row r="1706" spans="11:14">
      <c r="K1706" s="67"/>
      <c r="L1706" s="67"/>
      <c r="M1706" s="67"/>
      <c r="N1706" s="67"/>
    </row>
    <row r="1707" spans="11:14">
      <c r="K1707" s="67"/>
      <c r="L1707" s="67"/>
      <c r="M1707" s="67"/>
      <c r="N1707" s="67"/>
    </row>
    <row r="1708" spans="11:14">
      <c r="K1708" s="67"/>
      <c r="L1708" s="67"/>
      <c r="M1708" s="67"/>
      <c r="N1708" s="67"/>
    </row>
    <row r="1709" spans="11:14">
      <c r="K1709" s="67"/>
      <c r="L1709" s="67"/>
      <c r="M1709" s="67"/>
      <c r="N1709" s="67"/>
    </row>
    <row r="1710" spans="11:14">
      <c r="K1710" s="67"/>
      <c r="L1710" s="67"/>
      <c r="M1710" s="67"/>
      <c r="N1710" s="67"/>
    </row>
    <row r="1711" spans="11:14">
      <c r="K1711" s="67"/>
      <c r="L1711" s="67"/>
      <c r="M1711" s="67"/>
      <c r="N1711" s="67"/>
    </row>
    <row r="1712" spans="11:14">
      <c r="K1712" s="67"/>
      <c r="L1712" s="67"/>
      <c r="M1712" s="67"/>
      <c r="N1712" s="67"/>
    </row>
    <row r="1713" spans="11:14">
      <c r="K1713" s="67"/>
      <c r="L1713" s="67"/>
      <c r="M1713" s="67"/>
      <c r="N1713" s="67"/>
    </row>
    <row r="1714" spans="11:14">
      <c r="K1714" s="67"/>
      <c r="L1714" s="67"/>
      <c r="M1714" s="67"/>
      <c r="N1714" s="67"/>
    </row>
    <row r="1715" spans="11:14">
      <c r="K1715" s="67"/>
      <c r="L1715" s="67"/>
      <c r="M1715" s="67"/>
      <c r="N1715" s="67"/>
    </row>
    <row r="1716" spans="11:14">
      <c r="K1716" s="67"/>
      <c r="L1716" s="67"/>
      <c r="M1716" s="67"/>
      <c r="N1716" s="67"/>
    </row>
    <row r="1717" spans="11:14">
      <c r="K1717" s="67"/>
      <c r="L1717" s="67"/>
      <c r="M1717" s="67"/>
      <c r="N1717" s="67"/>
    </row>
    <row r="1718" spans="11:14">
      <c r="K1718" s="67"/>
      <c r="L1718" s="67"/>
      <c r="M1718" s="67"/>
      <c r="N1718" s="67"/>
    </row>
    <row r="1719" spans="11:14">
      <c r="K1719" s="67"/>
      <c r="L1719" s="67"/>
      <c r="M1719" s="67"/>
      <c r="N1719" s="67"/>
    </row>
    <row r="1720" spans="11:14">
      <c r="K1720" s="67"/>
      <c r="L1720" s="67"/>
      <c r="M1720" s="67"/>
      <c r="N1720" s="67"/>
    </row>
    <row r="1721" spans="11:14">
      <c r="K1721" s="67"/>
      <c r="L1721" s="67"/>
      <c r="M1721" s="67"/>
      <c r="N1721" s="67"/>
    </row>
    <row r="1722" spans="11:14">
      <c r="K1722" s="67"/>
      <c r="L1722" s="67"/>
      <c r="M1722" s="67"/>
      <c r="N1722" s="67"/>
    </row>
    <row r="1723" spans="11:14">
      <c r="K1723" s="67"/>
      <c r="L1723" s="67"/>
      <c r="M1723" s="67"/>
      <c r="N1723" s="67"/>
    </row>
    <row r="1724" spans="11:14">
      <c r="K1724" s="67"/>
      <c r="L1724" s="67"/>
      <c r="M1724" s="67"/>
      <c r="N1724" s="67"/>
    </row>
    <row r="1725" spans="11:14">
      <c r="K1725" s="67"/>
      <c r="L1725" s="67"/>
      <c r="M1725" s="67"/>
      <c r="N1725" s="67"/>
    </row>
    <row r="1726" spans="11:14">
      <c r="K1726" s="67"/>
      <c r="L1726" s="67"/>
      <c r="M1726" s="67"/>
      <c r="N1726" s="67"/>
    </row>
    <row r="1727" spans="11:14">
      <c r="K1727" s="67"/>
      <c r="L1727" s="67"/>
      <c r="M1727" s="67"/>
      <c r="N1727" s="67"/>
    </row>
    <row r="1728" spans="11:14">
      <c r="K1728" s="67"/>
      <c r="L1728" s="67"/>
      <c r="M1728" s="67"/>
      <c r="N1728" s="67"/>
    </row>
    <row r="1729" spans="11:14">
      <c r="K1729" s="67"/>
      <c r="L1729" s="67"/>
      <c r="M1729" s="67"/>
      <c r="N1729" s="67"/>
    </row>
    <row r="1730" spans="11:14">
      <c r="K1730" s="67"/>
      <c r="L1730" s="67"/>
      <c r="M1730" s="67"/>
      <c r="N1730" s="67"/>
    </row>
    <row r="1731" spans="11:14">
      <c r="K1731" s="67"/>
      <c r="L1731" s="67"/>
      <c r="M1731" s="67"/>
      <c r="N1731" s="67"/>
    </row>
    <row r="1732" spans="11:14">
      <c r="K1732" s="67"/>
      <c r="L1732" s="67"/>
      <c r="M1732" s="67"/>
      <c r="N1732" s="67"/>
    </row>
    <row r="1733" spans="11:14">
      <c r="K1733" s="67"/>
      <c r="L1733" s="67"/>
      <c r="M1733" s="67"/>
      <c r="N1733" s="67"/>
    </row>
    <row r="1734" spans="11:14">
      <c r="K1734" s="67"/>
      <c r="L1734" s="67"/>
      <c r="M1734" s="67"/>
      <c r="N1734" s="67"/>
    </row>
    <row r="1735" spans="11:14">
      <c r="K1735" s="67"/>
      <c r="L1735" s="67"/>
      <c r="M1735" s="67"/>
      <c r="N1735" s="67"/>
    </row>
    <row r="1736" spans="11:14">
      <c r="K1736" s="67"/>
      <c r="L1736" s="67"/>
      <c r="M1736" s="67"/>
      <c r="N1736" s="67"/>
    </row>
    <row r="1737" spans="11:14">
      <c r="K1737" s="67"/>
      <c r="L1737" s="67"/>
      <c r="M1737" s="67"/>
      <c r="N1737" s="67"/>
    </row>
    <row r="1738" spans="11:14">
      <c r="K1738" s="67"/>
      <c r="L1738" s="67"/>
      <c r="M1738" s="67"/>
      <c r="N1738" s="67"/>
    </row>
    <row r="1739" spans="11:14">
      <c r="K1739" s="67"/>
      <c r="L1739" s="67"/>
      <c r="M1739" s="67"/>
      <c r="N1739" s="67"/>
    </row>
    <row r="1740" spans="11:14">
      <c r="K1740" s="67"/>
      <c r="L1740" s="67"/>
      <c r="M1740" s="67"/>
      <c r="N1740" s="67"/>
    </row>
    <row r="1741" spans="11:14">
      <c r="K1741" s="67"/>
      <c r="L1741" s="67"/>
      <c r="M1741" s="67"/>
      <c r="N1741" s="67"/>
    </row>
    <row r="1742" spans="11:14">
      <c r="K1742" s="67"/>
      <c r="L1742" s="67"/>
      <c r="M1742" s="67"/>
      <c r="N1742" s="67"/>
    </row>
    <row r="1743" spans="11:14">
      <c r="K1743" s="67"/>
      <c r="L1743" s="67"/>
      <c r="M1743" s="67"/>
      <c r="N1743" s="67"/>
    </row>
    <row r="1744" spans="11:14">
      <c r="K1744" s="67"/>
      <c r="L1744" s="67"/>
      <c r="M1744" s="67"/>
      <c r="N1744" s="67"/>
    </row>
    <row r="1745" spans="11:14">
      <c r="K1745" s="67"/>
      <c r="L1745" s="67"/>
      <c r="M1745" s="67"/>
      <c r="N1745" s="67"/>
    </row>
    <row r="1746" spans="11:14">
      <c r="K1746" s="67"/>
      <c r="L1746" s="67"/>
      <c r="M1746" s="67"/>
      <c r="N1746" s="67"/>
    </row>
    <row r="1747" spans="11:14">
      <c r="K1747" s="67"/>
      <c r="L1747" s="67"/>
      <c r="M1747" s="67"/>
      <c r="N1747" s="67"/>
    </row>
    <row r="1748" spans="11:14">
      <c r="K1748" s="67"/>
      <c r="L1748" s="67"/>
      <c r="M1748" s="67"/>
      <c r="N1748" s="67"/>
    </row>
    <row r="1749" spans="11:14">
      <c r="K1749" s="67"/>
      <c r="L1749" s="67"/>
      <c r="M1749" s="67"/>
      <c r="N1749" s="67"/>
    </row>
    <row r="1750" spans="11:14">
      <c r="K1750" s="67"/>
      <c r="L1750" s="67"/>
      <c r="M1750" s="67"/>
      <c r="N1750" s="67"/>
    </row>
    <row r="1751" spans="11:14">
      <c r="K1751" s="67"/>
      <c r="L1751" s="67"/>
      <c r="M1751" s="67"/>
      <c r="N1751" s="67"/>
    </row>
    <row r="1752" spans="11:14">
      <c r="K1752" s="67"/>
      <c r="L1752" s="67"/>
      <c r="M1752" s="67"/>
      <c r="N1752" s="67"/>
    </row>
    <row r="1753" spans="11:14">
      <c r="K1753" s="67"/>
      <c r="L1753" s="67"/>
      <c r="M1753" s="67"/>
      <c r="N1753" s="67"/>
    </row>
    <row r="1754" spans="11:14">
      <c r="K1754" s="67"/>
      <c r="L1754" s="67"/>
      <c r="M1754" s="67"/>
      <c r="N1754" s="67"/>
    </row>
    <row r="1755" spans="11:14">
      <c r="K1755" s="67"/>
      <c r="L1755" s="67"/>
      <c r="M1755" s="67"/>
      <c r="N1755" s="67"/>
    </row>
    <row r="1756" spans="11:14">
      <c r="K1756" s="67"/>
      <c r="L1756" s="67"/>
      <c r="M1756" s="67"/>
      <c r="N1756" s="67"/>
    </row>
    <row r="1757" spans="11:14">
      <c r="K1757" s="67"/>
      <c r="L1757" s="67"/>
      <c r="M1757" s="67"/>
      <c r="N1757" s="67"/>
    </row>
    <row r="1758" spans="11:14">
      <c r="K1758" s="67"/>
      <c r="L1758" s="67"/>
      <c r="M1758" s="67"/>
      <c r="N1758" s="67"/>
    </row>
    <row r="1759" spans="11:14">
      <c r="K1759" s="67"/>
      <c r="L1759" s="67"/>
      <c r="M1759" s="67"/>
      <c r="N1759" s="67"/>
    </row>
    <row r="1760" spans="11:14">
      <c r="K1760" s="67"/>
      <c r="L1760" s="67"/>
      <c r="M1760" s="67"/>
      <c r="N1760" s="67"/>
    </row>
    <row r="1761" spans="11:14">
      <c r="K1761" s="67"/>
      <c r="L1761" s="67"/>
      <c r="M1761" s="67"/>
      <c r="N1761" s="67"/>
    </row>
    <row r="1762" spans="11:14">
      <c r="K1762" s="67"/>
      <c r="L1762" s="67"/>
      <c r="M1762" s="67"/>
      <c r="N1762" s="67"/>
    </row>
    <row r="1763" spans="11:14">
      <c r="K1763" s="67"/>
      <c r="L1763" s="67"/>
      <c r="M1763" s="67"/>
      <c r="N1763" s="67"/>
    </row>
    <row r="1764" spans="11:14">
      <c r="K1764" s="67"/>
      <c r="L1764" s="67"/>
      <c r="M1764" s="67"/>
      <c r="N1764" s="67"/>
    </row>
    <row r="1765" spans="11:14">
      <c r="K1765" s="67"/>
      <c r="L1765" s="67"/>
      <c r="M1765" s="67"/>
      <c r="N1765" s="67"/>
    </row>
    <row r="1766" spans="11:14">
      <c r="K1766" s="67"/>
      <c r="L1766" s="67"/>
      <c r="M1766" s="67"/>
      <c r="N1766" s="67"/>
    </row>
    <row r="1767" spans="11:14">
      <c r="K1767" s="67"/>
      <c r="L1767" s="67"/>
      <c r="M1767" s="67"/>
      <c r="N1767" s="67"/>
    </row>
    <row r="1768" spans="11:14">
      <c r="K1768" s="67"/>
      <c r="L1768" s="67"/>
      <c r="M1768" s="67"/>
      <c r="N1768" s="67"/>
    </row>
    <row r="1769" spans="11:14">
      <c r="K1769" s="67"/>
      <c r="L1769" s="67"/>
      <c r="M1769" s="67"/>
      <c r="N1769" s="67"/>
    </row>
    <row r="1770" spans="11:14">
      <c r="K1770" s="67"/>
      <c r="L1770" s="67"/>
      <c r="M1770" s="67"/>
      <c r="N1770" s="67"/>
    </row>
    <row r="1771" spans="11:14">
      <c r="K1771" s="67"/>
      <c r="L1771" s="67"/>
      <c r="M1771" s="67"/>
      <c r="N1771" s="67"/>
    </row>
    <row r="1772" spans="11:14">
      <c r="K1772" s="67"/>
      <c r="L1772" s="67"/>
      <c r="M1772" s="67"/>
      <c r="N1772" s="67"/>
    </row>
    <row r="1773" spans="11:14">
      <c r="K1773" s="67"/>
      <c r="L1773" s="67"/>
      <c r="M1773" s="67"/>
      <c r="N1773" s="67"/>
    </row>
    <row r="1774" spans="11:14">
      <c r="K1774" s="67"/>
      <c r="L1774" s="67"/>
      <c r="M1774" s="67"/>
      <c r="N1774" s="67"/>
    </row>
    <row r="1775" spans="11:14">
      <c r="K1775" s="67"/>
      <c r="L1775" s="67"/>
      <c r="M1775" s="67"/>
      <c r="N1775" s="67"/>
    </row>
    <row r="1776" spans="11:14">
      <c r="K1776" s="67"/>
      <c r="L1776" s="67"/>
      <c r="M1776" s="67"/>
      <c r="N1776" s="67"/>
    </row>
    <row r="1777" spans="11:14">
      <c r="K1777" s="67"/>
      <c r="L1777" s="67"/>
      <c r="M1777" s="67"/>
      <c r="N1777" s="67"/>
    </row>
    <row r="1778" spans="11:14">
      <c r="K1778" s="67"/>
      <c r="L1778" s="67"/>
      <c r="M1778" s="67"/>
      <c r="N1778" s="67"/>
    </row>
    <row r="1779" spans="11:14">
      <c r="K1779" s="67"/>
      <c r="L1779" s="67"/>
      <c r="M1779" s="67"/>
      <c r="N1779" s="67"/>
    </row>
    <row r="1780" spans="11:14">
      <c r="K1780" s="67"/>
      <c r="L1780" s="67"/>
      <c r="M1780" s="67"/>
      <c r="N1780" s="67"/>
    </row>
    <row r="1781" spans="11:14">
      <c r="K1781" s="67"/>
      <c r="L1781" s="67"/>
      <c r="M1781" s="67"/>
      <c r="N1781" s="67"/>
    </row>
    <row r="1782" spans="11:14">
      <c r="K1782" s="67"/>
      <c r="L1782" s="67"/>
      <c r="M1782" s="67"/>
      <c r="N1782" s="67"/>
    </row>
    <row r="1783" spans="11:14">
      <c r="K1783" s="67"/>
      <c r="L1783" s="67"/>
      <c r="M1783" s="67"/>
      <c r="N1783" s="67"/>
    </row>
    <row r="1784" spans="11:14">
      <c r="K1784" s="67"/>
      <c r="L1784" s="67"/>
      <c r="M1784" s="67"/>
      <c r="N1784" s="67"/>
    </row>
    <row r="1785" spans="11:14">
      <c r="K1785" s="67"/>
      <c r="L1785" s="67"/>
      <c r="M1785" s="67"/>
      <c r="N1785" s="67"/>
    </row>
    <row r="1786" spans="11:14">
      <c r="K1786" s="67"/>
      <c r="L1786" s="67"/>
      <c r="M1786" s="67"/>
      <c r="N1786" s="67"/>
    </row>
    <row r="1787" spans="11:14">
      <c r="K1787" s="67"/>
      <c r="L1787" s="67"/>
      <c r="M1787" s="67"/>
      <c r="N1787" s="67"/>
    </row>
    <row r="1788" spans="11:14">
      <c r="K1788" s="67"/>
      <c r="L1788" s="67"/>
      <c r="M1788" s="67"/>
      <c r="N1788" s="67"/>
    </row>
    <row r="1789" spans="11:14">
      <c r="K1789" s="67"/>
      <c r="L1789" s="67"/>
      <c r="M1789" s="67"/>
      <c r="N1789" s="67"/>
    </row>
    <row r="1790" spans="11:14">
      <c r="K1790" s="67"/>
      <c r="L1790" s="67"/>
      <c r="M1790" s="67"/>
      <c r="N1790" s="67"/>
    </row>
    <row r="1791" spans="11:14">
      <c r="K1791" s="67"/>
      <c r="L1791" s="67"/>
      <c r="M1791" s="67"/>
      <c r="N1791" s="67"/>
    </row>
    <row r="1792" spans="11:14">
      <c r="K1792" s="67"/>
      <c r="L1792" s="67"/>
      <c r="M1792" s="67"/>
      <c r="N1792" s="67"/>
    </row>
    <row r="1793" spans="11:14">
      <c r="K1793" s="67"/>
      <c r="L1793" s="67"/>
      <c r="M1793" s="67"/>
      <c r="N1793" s="67"/>
    </row>
    <row r="1794" spans="11:14">
      <c r="K1794" s="67"/>
      <c r="L1794" s="67"/>
      <c r="M1794" s="67"/>
      <c r="N1794" s="67"/>
    </row>
    <row r="1795" spans="11:14">
      <c r="K1795" s="67"/>
      <c r="L1795" s="67"/>
      <c r="M1795" s="67"/>
      <c r="N1795" s="67"/>
    </row>
    <row r="1796" spans="11:14">
      <c r="K1796" s="67"/>
      <c r="L1796" s="67"/>
      <c r="M1796" s="67"/>
      <c r="N1796" s="67"/>
    </row>
    <row r="1797" spans="11:14">
      <c r="K1797" s="67"/>
      <c r="L1797" s="67"/>
      <c r="M1797" s="67"/>
      <c r="N1797" s="67"/>
    </row>
    <row r="1798" spans="11:14">
      <c r="K1798" s="67"/>
      <c r="L1798" s="67"/>
      <c r="M1798" s="67"/>
      <c r="N1798" s="67"/>
    </row>
    <row r="1799" spans="11:14">
      <c r="K1799" s="67"/>
      <c r="L1799" s="67"/>
      <c r="M1799" s="67"/>
      <c r="N1799" s="67"/>
    </row>
    <row r="1800" spans="11:14">
      <c r="K1800" s="67"/>
      <c r="L1800" s="67"/>
      <c r="M1800" s="67"/>
      <c r="N1800" s="67"/>
    </row>
    <row r="1801" spans="11:14">
      <c r="K1801" s="67"/>
      <c r="L1801" s="67"/>
      <c r="M1801" s="67"/>
      <c r="N1801" s="67"/>
    </row>
    <row r="1802" spans="11:14">
      <c r="K1802" s="67"/>
      <c r="L1802" s="67"/>
      <c r="M1802" s="67"/>
      <c r="N1802" s="67"/>
    </row>
    <row r="1803" spans="11:14">
      <c r="K1803" s="67"/>
      <c r="L1803" s="67"/>
      <c r="M1803" s="67"/>
      <c r="N1803" s="67"/>
    </row>
    <row r="1804" spans="11:14">
      <c r="K1804" s="67"/>
      <c r="L1804" s="67"/>
      <c r="M1804" s="67"/>
      <c r="N1804" s="67"/>
    </row>
    <row r="1805" spans="11:14">
      <c r="K1805" s="67"/>
      <c r="L1805" s="67"/>
      <c r="M1805" s="67"/>
      <c r="N1805" s="67"/>
    </row>
    <row r="1806" spans="11:14">
      <c r="K1806" s="67"/>
      <c r="L1806" s="67"/>
      <c r="M1806" s="67"/>
      <c r="N1806" s="67"/>
    </row>
    <row r="1807" spans="11:14">
      <c r="K1807" s="67"/>
      <c r="L1807" s="67"/>
      <c r="M1807" s="67"/>
      <c r="N1807" s="67"/>
    </row>
    <row r="1808" spans="11:14">
      <c r="K1808" s="67"/>
      <c r="L1808" s="67"/>
      <c r="M1808" s="67"/>
      <c r="N1808" s="67"/>
    </row>
    <row r="1809" spans="11:14">
      <c r="K1809" s="67"/>
      <c r="L1809" s="67"/>
      <c r="M1809" s="67"/>
      <c r="N1809" s="67"/>
    </row>
    <row r="1810" spans="11:14">
      <c r="K1810" s="67"/>
      <c r="L1810" s="67"/>
      <c r="M1810" s="67"/>
      <c r="N1810" s="67"/>
    </row>
    <row r="1811" spans="11:14">
      <c r="K1811" s="67"/>
      <c r="L1811" s="67"/>
      <c r="M1811" s="67"/>
      <c r="N1811" s="67"/>
    </row>
    <row r="1812" spans="11:14">
      <c r="K1812" s="67"/>
      <c r="L1812" s="67"/>
      <c r="M1812" s="67"/>
      <c r="N1812" s="67"/>
    </row>
    <row r="1813" spans="11:14">
      <c r="K1813" s="67"/>
      <c r="L1813" s="67"/>
      <c r="M1813" s="67"/>
      <c r="N1813" s="67"/>
    </row>
    <row r="1814" spans="11:14">
      <c r="K1814" s="67"/>
      <c r="L1814" s="67"/>
      <c r="M1814" s="67"/>
      <c r="N1814" s="67"/>
    </row>
    <row r="1815" spans="11:14">
      <c r="K1815" s="67"/>
      <c r="L1815" s="67"/>
      <c r="M1815" s="67"/>
      <c r="N1815" s="67"/>
    </row>
    <row r="1816" spans="11:14">
      <c r="K1816" s="67"/>
      <c r="L1816" s="67"/>
      <c r="M1816" s="67"/>
      <c r="N1816" s="67"/>
    </row>
    <row r="1817" spans="11:14">
      <c r="K1817" s="67"/>
      <c r="L1817" s="67"/>
      <c r="M1817" s="67"/>
      <c r="N1817" s="67"/>
    </row>
    <row r="1818" spans="11:14">
      <c r="K1818" s="67"/>
      <c r="L1818" s="67"/>
      <c r="M1818" s="67"/>
      <c r="N1818" s="67"/>
    </row>
    <row r="1819" spans="11:14">
      <c r="K1819" s="67"/>
      <c r="L1819" s="67"/>
      <c r="M1819" s="67"/>
      <c r="N1819" s="67"/>
    </row>
    <row r="1820" spans="11:14">
      <c r="K1820" s="67"/>
      <c r="L1820" s="67"/>
      <c r="M1820" s="67"/>
      <c r="N1820" s="67"/>
    </row>
    <row r="1821" spans="11:14">
      <c r="K1821" s="67"/>
      <c r="L1821" s="67"/>
      <c r="M1821" s="67"/>
      <c r="N1821" s="67"/>
    </row>
    <row r="1822" spans="11:14">
      <c r="K1822" s="67"/>
      <c r="L1822" s="67"/>
      <c r="M1822" s="67"/>
      <c r="N1822" s="67"/>
    </row>
    <row r="1823" spans="11:14">
      <c r="K1823" s="67"/>
      <c r="L1823" s="67"/>
      <c r="M1823" s="67"/>
      <c r="N1823" s="67"/>
    </row>
    <row r="1824" spans="11:14">
      <c r="K1824" s="67"/>
      <c r="L1824" s="67"/>
      <c r="M1824" s="67"/>
      <c r="N1824" s="67"/>
    </row>
    <row r="1825" spans="11:14">
      <c r="K1825" s="67"/>
      <c r="L1825" s="67"/>
      <c r="M1825" s="67"/>
      <c r="N1825" s="67"/>
    </row>
    <row r="1826" spans="11:14">
      <c r="K1826" s="67"/>
      <c r="L1826" s="67"/>
      <c r="M1826" s="67"/>
      <c r="N1826" s="67"/>
    </row>
    <row r="1827" spans="11:14">
      <c r="K1827" s="67"/>
      <c r="L1827" s="67"/>
      <c r="M1827" s="67"/>
      <c r="N1827" s="67"/>
    </row>
    <row r="1828" spans="11:14">
      <c r="K1828" s="67"/>
      <c r="L1828" s="67"/>
      <c r="M1828" s="67"/>
      <c r="N1828" s="67"/>
    </row>
    <row r="1829" spans="11:14">
      <c r="K1829" s="67"/>
      <c r="L1829" s="67"/>
      <c r="M1829" s="67"/>
      <c r="N1829" s="67"/>
    </row>
    <row r="1830" spans="11:14">
      <c r="K1830" s="67"/>
      <c r="L1830" s="67"/>
      <c r="M1830" s="67"/>
      <c r="N1830" s="67"/>
    </row>
    <row r="1831" spans="11:14">
      <c r="K1831" s="67"/>
      <c r="L1831" s="67"/>
      <c r="M1831" s="67"/>
      <c r="N1831" s="67"/>
    </row>
    <row r="1832" spans="11:14">
      <c r="K1832" s="67"/>
      <c r="L1832" s="67"/>
      <c r="M1832" s="67"/>
      <c r="N1832" s="67"/>
    </row>
    <row r="1833" spans="11:14">
      <c r="K1833" s="67"/>
      <c r="L1833" s="67"/>
      <c r="M1833" s="67"/>
      <c r="N1833" s="67"/>
    </row>
    <row r="1834" spans="11:14">
      <c r="K1834" s="67"/>
      <c r="L1834" s="67"/>
      <c r="M1834" s="67"/>
      <c r="N1834" s="67"/>
    </row>
    <row r="1835" spans="11:14">
      <c r="K1835" s="67"/>
      <c r="L1835" s="67"/>
      <c r="M1835" s="67"/>
      <c r="N1835" s="67"/>
    </row>
    <row r="1836" spans="11:14">
      <c r="K1836" s="67"/>
      <c r="L1836" s="67"/>
      <c r="M1836" s="67"/>
      <c r="N1836" s="67"/>
    </row>
    <row r="1837" spans="11:14">
      <c r="K1837" s="67"/>
      <c r="L1837" s="67"/>
      <c r="M1837" s="67"/>
      <c r="N1837" s="67"/>
    </row>
    <row r="1838" spans="11:14">
      <c r="K1838" s="67"/>
      <c r="L1838" s="67"/>
      <c r="M1838" s="67"/>
      <c r="N1838" s="67"/>
    </row>
    <row r="1839" spans="11:14">
      <c r="K1839" s="67"/>
      <c r="L1839" s="67"/>
      <c r="M1839" s="67"/>
      <c r="N1839" s="67"/>
    </row>
    <row r="1840" spans="11:14">
      <c r="K1840" s="67"/>
      <c r="L1840" s="67"/>
      <c r="M1840" s="67"/>
      <c r="N1840" s="67"/>
    </row>
    <row r="1841" spans="11:14">
      <c r="K1841" s="67"/>
      <c r="L1841" s="67"/>
      <c r="M1841" s="67"/>
      <c r="N1841" s="67"/>
    </row>
    <row r="1842" spans="11:14">
      <c r="K1842" s="67"/>
      <c r="L1842" s="67"/>
      <c r="M1842" s="67"/>
      <c r="N1842" s="67"/>
    </row>
    <row r="1843" spans="11:14">
      <c r="K1843" s="67"/>
      <c r="L1843" s="67"/>
      <c r="M1843" s="67"/>
      <c r="N1843" s="67"/>
    </row>
    <row r="1844" spans="11:14">
      <c r="K1844" s="67"/>
      <c r="L1844" s="67"/>
      <c r="M1844" s="67"/>
      <c r="N1844" s="67"/>
    </row>
    <row r="1845" spans="11:14">
      <c r="K1845" s="67"/>
      <c r="L1845" s="67"/>
      <c r="M1845" s="67"/>
      <c r="N1845" s="67"/>
    </row>
    <row r="1846" spans="11:14">
      <c r="K1846" s="67"/>
      <c r="L1846" s="67"/>
      <c r="M1846" s="67"/>
      <c r="N1846" s="67"/>
    </row>
    <row r="1847" spans="11:14">
      <c r="K1847" s="67"/>
      <c r="L1847" s="67"/>
      <c r="M1847" s="67"/>
      <c r="N1847" s="67"/>
    </row>
    <row r="1848" spans="11:14">
      <c r="K1848" s="67"/>
      <c r="L1848" s="67"/>
      <c r="M1848" s="67"/>
      <c r="N1848" s="67"/>
    </row>
    <row r="1849" spans="11:14">
      <c r="K1849" s="67"/>
      <c r="L1849" s="67"/>
      <c r="M1849" s="67"/>
      <c r="N1849" s="67"/>
    </row>
    <row r="1850" spans="11:14">
      <c r="K1850" s="67"/>
      <c r="L1850" s="67"/>
      <c r="M1850" s="67"/>
      <c r="N1850" s="67"/>
    </row>
    <row r="1851" spans="11:14">
      <c r="K1851" s="67"/>
      <c r="L1851" s="67"/>
      <c r="M1851" s="67"/>
      <c r="N1851" s="67"/>
    </row>
    <row r="1852" spans="11:14">
      <c r="K1852" s="67"/>
      <c r="L1852" s="67"/>
      <c r="M1852" s="67"/>
      <c r="N1852" s="67"/>
    </row>
    <row r="1853" spans="11:14">
      <c r="K1853" s="67"/>
      <c r="L1853" s="67"/>
      <c r="M1853" s="67"/>
      <c r="N1853" s="67"/>
    </row>
    <row r="1854" spans="11:14">
      <c r="K1854" s="67"/>
      <c r="L1854" s="67"/>
      <c r="M1854" s="67"/>
      <c r="N1854" s="67"/>
    </row>
    <row r="1855" spans="11:14">
      <c r="K1855" s="67"/>
      <c r="L1855" s="67"/>
      <c r="M1855" s="67"/>
      <c r="N1855" s="67"/>
    </row>
    <row r="1856" spans="11:14">
      <c r="K1856" s="67"/>
      <c r="L1856" s="67"/>
      <c r="M1856" s="67"/>
      <c r="N1856" s="67"/>
    </row>
    <row r="1857" spans="11:14">
      <c r="K1857" s="67"/>
      <c r="L1857" s="67"/>
      <c r="M1857" s="67"/>
      <c r="N1857" s="67"/>
    </row>
    <row r="1858" spans="11:14">
      <c r="K1858" s="67"/>
      <c r="L1858" s="67"/>
      <c r="M1858" s="67"/>
      <c r="N1858" s="67"/>
    </row>
    <row r="1859" spans="11:14">
      <c r="K1859" s="67"/>
      <c r="L1859" s="67"/>
      <c r="M1859" s="67"/>
      <c r="N1859" s="67"/>
    </row>
    <row r="1860" spans="11:14">
      <c r="K1860" s="67"/>
      <c r="L1860" s="67"/>
      <c r="M1860" s="67"/>
      <c r="N1860" s="67"/>
    </row>
    <row r="1861" spans="11:14">
      <c r="K1861" s="67"/>
      <c r="L1861" s="67"/>
      <c r="M1861" s="67"/>
      <c r="N1861" s="67"/>
    </row>
    <row r="1862" spans="11:14">
      <c r="K1862" s="67"/>
      <c r="L1862" s="67"/>
      <c r="M1862" s="67"/>
      <c r="N1862" s="67"/>
    </row>
    <row r="1863" spans="11:14">
      <c r="K1863" s="67"/>
      <c r="L1863" s="67"/>
      <c r="M1863" s="67"/>
      <c r="N1863" s="67"/>
    </row>
    <row r="1864" spans="11:14">
      <c r="K1864" s="67"/>
      <c r="L1864" s="67"/>
      <c r="M1864" s="67"/>
      <c r="N1864" s="67"/>
    </row>
    <row r="1865" spans="11:14">
      <c r="K1865" s="67"/>
      <c r="L1865" s="67"/>
      <c r="M1865" s="67"/>
      <c r="N1865" s="67"/>
    </row>
    <row r="1866" spans="11:14">
      <c r="K1866" s="67"/>
      <c r="L1866" s="67"/>
      <c r="M1866" s="67"/>
      <c r="N1866" s="67"/>
    </row>
    <row r="1867" spans="11:14">
      <c r="K1867" s="67"/>
      <c r="L1867" s="67"/>
      <c r="M1867" s="67"/>
      <c r="N1867" s="67"/>
    </row>
    <row r="1868" spans="11:14">
      <c r="K1868" s="67"/>
      <c r="L1868" s="67"/>
      <c r="M1868" s="67"/>
      <c r="N1868" s="67"/>
    </row>
    <row r="1869" spans="11:14">
      <c r="K1869" s="67"/>
      <c r="L1869" s="67"/>
      <c r="M1869" s="67"/>
      <c r="N1869" s="67"/>
    </row>
    <row r="1870" spans="11:14">
      <c r="K1870" s="67"/>
      <c r="L1870" s="67"/>
      <c r="M1870" s="67"/>
      <c r="N1870" s="67"/>
    </row>
    <row r="1871" spans="11:14">
      <c r="K1871" s="67"/>
      <c r="L1871" s="67"/>
      <c r="M1871" s="67"/>
      <c r="N1871" s="67"/>
    </row>
    <row r="1872" spans="11:14">
      <c r="K1872" s="67"/>
      <c r="L1872" s="67"/>
      <c r="M1872" s="67"/>
      <c r="N1872" s="67"/>
    </row>
    <row r="1873" spans="11:14">
      <c r="K1873" s="67"/>
      <c r="L1873" s="67"/>
      <c r="M1873" s="67"/>
      <c r="N1873" s="67"/>
    </row>
    <row r="1874" spans="11:14">
      <c r="K1874" s="67"/>
      <c r="L1874" s="67"/>
      <c r="M1874" s="67"/>
      <c r="N1874" s="67"/>
    </row>
    <row r="1875" spans="11:14">
      <c r="K1875" s="67"/>
      <c r="L1875" s="67"/>
      <c r="M1875" s="67"/>
      <c r="N1875" s="67"/>
    </row>
    <row r="1876" spans="11:14">
      <c r="K1876" s="67"/>
      <c r="L1876" s="67"/>
      <c r="M1876" s="67"/>
      <c r="N1876" s="67"/>
    </row>
    <row r="1877" spans="11:14">
      <c r="K1877" s="67"/>
      <c r="L1877" s="67"/>
      <c r="M1877" s="67"/>
      <c r="N1877" s="67"/>
    </row>
    <row r="1878" spans="11:14">
      <c r="K1878" s="67"/>
      <c r="L1878" s="67"/>
      <c r="M1878" s="67"/>
      <c r="N1878" s="67"/>
    </row>
    <row r="1879" spans="11:14">
      <c r="K1879" s="67"/>
      <c r="L1879" s="67"/>
      <c r="M1879" s="67"/>
      <c r="N1879" s="67"/>
    </row>
    <row r="1880" spans="11:14">
      <c r="K1880" s="67"/>
      <c r="L1880" s="67"/>
      <c r="M1880" s="67"/>
      <c r="N1880" s="67"/>
    </row>
    <row r="1881" spans="11:14">
      <c r="K1881" s="67"/>
      <c r="L1881" s="67"/>
      <c r="M1881" s="67"/>
      <c r="N1881" s="67"/>
    </row>
    <row r="1882" spans="11:14">
      <c r="K1882" s="67"/>
      <c r="L1882" s="67"/>
      <c r="M1882" s="67"/>
      <c r="N1882" s="67"/>
    </row>
    <row r="1883" spans="11:14">
      <c r="K1883" s="67"/>
      <c r="L1883" s="67"/>
      <c r="M1883" s="67"/>
      <c r="N1883" s="67"/>
    </row>
    <row r="1884" spans="11:14">
      <c r="K1884" s="67"/>
      <c r="L1884" s="67"/>
      <c r="M1884" s="67"/>
      <c r="N1884" s="67"/>
    </row>
    <row r="1885" spans="11:14">
      <c r="K1885" s="67"/>
      <c r="L1885" s="67"/>
      <c r="M1885" s="67"/>
      <c r="N1885" s="67"/>
    </row>
    <row r="1886" spans="11:14">
      <c r="K1886" s="67"/>
      <c r="L1886" s="67"/>
      <c r="M1886" s="67"/>
      <c r="N1886" s="67"/>
    </row>
    <row r="1887" spans="11:14">
      <c r="K1887" s="67"/>
      <c r="L1887" s="67"/>
      <c r="M1887" s="67"/>
      <c r="N1887" s="67"/>
    </row>
    <row r="1888" spans="11:14">
      <c r="K1888" s="67"/>
      <c r="L1888" s="67"/>
      <c r="M1888" s="67"/>
      <c r="N1888" s="67"/>
    </row>
    <row r="1889" spans="11:14">
      <c r="K1889" s="67"/>
      <c r="L1889" s="67"/>
      <c r="M1889" s="67"/>
      <c r="N1889" s="67"/>
    </row>
    <row r="1890" spans="11:14">
      <c r="K1890" s="67"/>
      <c r="L1890" s="67"/>
      <c r="M1890" s="67"/>
      <c r="N1890" s="67"/>
    </row>
    <row r="1891" spans="11:14">
      <c r="K1891" s="67"/>
      <c r="L1891" s="67"/>
      <c r="M1891" s="67"/>
      <c r="N1891" s="67"/>
    </row>
    <row r="1892" spans="11:14">
      <c r="K1892" s="67"/>
      <c r="L1892" s="67"/>
      <c r="M1892" s="67"/>
      <c r="N1892" s="67"/>
    </row>
    <row r="1893" spans="11:14">
      <c r="K1893" s="67"/>
      <c r="L1893" s="67"/>
      <c r="M1893" s="67"/>
      <c r="N1893" s="67"/>
    </row>
    <row r="1894" spans="11:14">
      <c r="K1894" s="67"/>
      <c r="L1894" s="67"/>
      <c r="M1894" s="67"/>
      <c r="N1894" s="67"/>
    </row>
    <row r="1895" spans="11:14">
      <c r="K1895" s="67"/>
      <c r="L1895" s="67"/>
      <c r="M1895" s="67"/>
      <c r="N1895" s="67"/>
    </row>
    <row r="1896" spans="11:14">
      <c r="K1896" s="67"/>
      <c r="L1896" s="67"/>
      <c r="M1896" s="67"/>
      <c r="N1896" s="67"/>
    </row>
    <row r="1897" spans="11:14">
      <c r="K1897" s="67"/>
      <c r="L1897" s="67"/>
      <c r="M1897" s="67"/>
      <c r="N1897" s="67"/>
    </row>
    <row r="1898" spans="11:14">
      <c r="K1898" s="67"/>
      <c r="L1898" s="67"/>
      <c r="M1898" s="67"/>
      <c r="N1898" s="67"/>
    </row>
    <row r="1899" spans="11:14">
      <c r="K1899" s="67"/>
      <c r="L1899" s="67"/>
      <c r="M1899" s="67"/>
      <c r="N1899" s="67"/>
    </row>
    <row r="1900" spans="11:14">
      <c r="K1900" s="67"/>
      <c r="L1900" s="67"/>
      <c r="M1900" s="67"/>
      <c r="N1900" s="67"/>
    </row>
    <row r="1901" spans="11:14">
      <c r="K1901" s="67"/>
      <c r="L1901" s="67"/>
      <c r="M1901" s="67"/>
      <c r="N1901" s="67"/>
    </row>
    <row r="1902" spans="11:14">
      <c r="K1902" s="67"/>
      <c r="L1902" s="67"/>
      <c r="M1902" s="67"/>
      <c r="N1902" s="67"/>
    </row>
    <row r="1903" spans="11:14">
      <c r="K1903" s="67"/>
      <c r="L1903" s="67"/>
      <c r="M1903" s="67"/>
      <c r="N1903" s="67"/>
    </row>
    <row r="1904" spans="11:14">
      <c r="K1904" s="67"/>
      <c r="L1904" s="67"/>
      <c r="M1904" s="67"/>
      <c r="N1904" s="67"/>
    </row>
    <row r="1905" spans="11:14">
      <c r="K1905" s="67"/>
      <c r="L1905" s="67"/>
      <c r="M1905" s="67"/>
      <c r="N1905" s="67"/>
    </row>
    <row r="1906" spans="11:14">
      <c r="K1906" s="67"/>
      <c r="L1906" s="67"/>
      <c r="M1906" s="67"/>
      <c r="N1906" s="67"/>
    </row>
    <row r="1907" spans="11:14">
      <c r="K1907" s="67"/>
      <c r="L1907" s="67"/>
      <c r="M1907" s="67"/>
      <c r="N1907" s="67"/>
    </row>
    <row r="1908" spans="11:14">
      <c r="K1908" s="67"/>
      <c r="L1908" s="67"/>
      <c r="M1908" s="67"/>
      <c r="N1908" s="67"/>
    </row>
    <row r="1909" spans="11:14">
      <c r="K1909" s="67"/>
      <c r="L1909" s="67"/>
      <c r="M1909" s="67"/>
      <c r="N1909" s="67"/>
    </row>
    <row r="1910" spans="11:14">
      <c r="K1910" s="67"/>
      <c r="L1910" s="67"/>
      <c r="M1910" s="67"/>
      <c r="N1910" s="67"/>
    </row>
    <row r="1911" spans="11:14">
      <c r="K1911" s="67"/>
      <c r="L1911" s="67"/>
      <c r="M1911" s="67"/>
      <c r="N1911" s="67"/>
    </row>
    <row r="1912" spans="11:14">
      <c r="K1912" s="67"/>
      <c r="L1912" s="67"/>
      <c r="M1912" s="67"/>
      <c r="N1912" s="67"/>
    </row>
    <row r="1913" spans="11:14">
      <c r="K1913" s="67"/>
      <c r="L1913" s="67"/>
      <c r="M1913" s="67"/>
      <c r="N1913" s="67"/>
    </row>
    <row r="1914" spans="11:14">
      <c r="K1914" s="67"/>
      <c r="L1914" s="67"/>
      <c r="M1914" s="67"/>
      <c r="N1914" s="67"/>
    </row>
    <row r="1915" spans="11:14">
      <c r="K1915" s="67"/>
      <c r="L1915" s="67"/>
      <c r="M1915" s="67"/>
      <c r="N1915" s="67"/>
    </row>
    <row r="1916" spans="11:14">
      <c r="K1916" s="67"/>
      <c r="L1916" s="67"/>
      <c r="M1916" s="67"/>
      <c r="N1916" s="67"/>
    </row>
    <row r="1917" spans="11:14">
      <c r="K1917" s="67"/>
      <c r="L1917" s="67"/>
      <c r="M1917" s="67"/>
      <c r="N1917" s="67"/>
    </row>
    <row r="1918" spans="11:14">
      <c r="K1918" s="67"/>
      <c r="L1918" s="67"/>
      <c r="M1918" s="67"/>
      <c r="N1918" s="67"/>
    </row>
    <row r="1919" spans="11:14">
      <c r="K1919" s="67"/>
      <c r="L1919" s="67"/>
      <c r="M1919" s="67"/>
      <c r="N1919" s="67"/>
    </row>
    <row r="1920" spans="11:14">
      <c r="K1920" s="67"/>
      <c r="L1920" s="67"/>
      <c r="M1920" s="67"/>
      <c r="N1920" s="67"/>
    </row>
    <row r="1921" spans="11:14">
      <c r="K1921" s="67"/>
      <c r="L1921" s="67"/>
      <c r="M1921" s="67"/>
      <c r="N1921" s="67"/>
    </row>
    <row r="1922" spans="11:14">
      <c r="K1922" s="67"/>
      <c r="L1922" s="67"/>
      <c r="M1922" s="67"/>
      <c r="N1922" s="67"/>
    </row>
    <row r="1923" spans="11:14">
      <c r="K1923" s="67"/>
      <c r="L1923" s="67"/>
      <c r="M1923" s="67"/>
      <c r="N1923" s="67"/>
    </row>
    <row r="1924" spans="11:14">
      <c r="K1924" s="67"/>
      <c r="L1924" s="67"/>
      <c r="M1924" s="67"/>
      <c r="N1924" s="67"/>
    </row>
    <row r="1925" spans="11:14">
      <c r="K1925" s="67"/>
      <c r="L1925" s="67"/>
      <c r="M1925" s="67"/>
      <c r="N1925" s="67"/>
    </row>
    <row r="1926" spans="11:14">
      <c r="K1926" s="67"/>
      <c r="L1926" s="67"/>
      <c r="M1926" s="67"/>
      <c r="N1926" s="67"/>
    </row>
    <row r="1927" spans="11:14">
      <c r="K1927" s="67"/>
      <c r="L1927" s="67"/>
      <c r="M1927" s="67"/>
      <c r="N1927" s="67"/>
    </row>
    <row r="1928" spans="11:14">
      <c r="K1928" s="67"/>
      <c r="L1928" s="67"/>
      <c r="M1928" s="67"/>
      <c r="N1928" s="67"/>
    </row>
    <row r="1929" spans="11:14">
      <c r="K1929" s="67"/>
      <c r="L1929" s="67"/>
      <c r="M1929" s="67"/>
      <c r="N1929" s="67"/>
    </row>
    <row r="1930" spans="11:14">
      <c r="K1930" s="67"/>
      <c r="L1930" s="67"/>
      <c r="M1930" s="67"/>
      <c r="N1930" s="67"/>
    </row>
    <row r="1931" spans="11:14">
      <c r="K1931" s="67"/>
      <c r="L1931" s="67"/>
      <c r="M1931" s="67"/>
      <c r="N1931" s="67"/>
    </row>
    <row r="1932" spans="11:14">
      <c r="K1932" s="67"/>
      <c r="L1932" s="67"/>
      <c r="M1932" s="67"/>
      <c r="N1932" s="67"/>
    </row>
    <row r="1933" spans="11:14">
      <c r="K1933" s="67"/>
      <c r="L1933" s="67"/>
      <c r="M1933" s="67"/>
      <c r="N1933" s="67"/>
    </row>
    <row r="1934" spans="11:14">
      <c r="K1934" s="67"/>
      <c r="L1934" s="67"/>
      <c r="M1934" s="67"/>
      <c r="N1934" s="67"/>
    </row>
    <row r="1935" spans="11:14">
      <c r="K1935" s="67"/>
      <c r="L1935" s="67"/>
      <c r="M1935" s="67"/>
      <c r="N1935" s="67"/>
    </row>
    <row r="1936" spans="11:14">
      <c r="K1936" s="67"/>
      <c r="L1936" s="67"/>
      <c r="M1936" s="67"/>
      <c r="N1936" s="67"/>
    </row>
    <row r="1937" spans="11:14">
      <c r="K1937" s="67"/>
      <c r="L1937" s="67"/>
      <c r="M1937" s="67"/>
      <c r="N1937" s="67"/>
    </row>
    <row r="1938" spans="11:14">
      <c r="K1938" s="67"/>
      <c r="L1938" s="67"/>
      <c r="M1938" s="67"/>
      <c r="N1938" s="67"/>
    </row>
    <row r="1939" spans="11:14">
      <c r="K1939" s="67"/>
      <c r="L1939" s="67"/>
      <c r="M1939" s="67"/>
      <c r="N1939" s="67"/>
    </row>
    <row r="1940" spans="11:14">
      <c r="K1940" s="67"/>
      <c r="L1940" s="67"/>
      <c r="M1940" s="67"/>
      <c r="N1940" s="67"/>
    </row>
    <row r="1941" spans="11:14">
      <c r="K1941" s="67"/>
      <c r="L1941" s="67"/>
      <c r="M1941" s="67"/>
      <c r="N1941" s="67"/>
    </row>
    <row r="1942" spans="11:14">
      <c r="K1942" s="67"/>
      <c r="L1942" s="67"/>
      <c r="M1942" s="67"/>
      <c r="N1942" s="67"/>
    </row>
    <row r="1943" spans="11:14">
      <c r="K1943" s="67"/>
      <c r="L1943" s="67"/>
      <c r="M1943" s="67"/>
      <c r="N1943" s="67"/>
    </row>
    <row r="1944" spans="11:14">
      <c r="K1944" s="67"/>
      <c r="L1944" s="67"/>
      <c r="M1944" s="67"/>
      <c r="N1944" s="67"/>
    </row>
    <row r="1945" spans="11:14">
      <c r="K1945" s="67"/>
      <c r="L1945" s="67"/>
      <c r="M1945" s="67"/>
      <c r="N1945" s="67"/>
    </row>
    <row r="1946" spans="11:14">
      <c r="K1946" s="67"/>
      <c r="L1946" s="67"/>
      <c r="M1946" s="67"/>
      <c r="N1946" s="67"/>
    </row>
    <row r="1947" spans="11:14">
      <c r="K1947" s="67"/>
      <c r="L1947" s="67"/>
      <c r="M1947" s="67"/>
      <c r="N1947" s="67"/>
    </row>
    <row r="1948" spans="11:14">
      <c r="K1948" s="67"/>
      <c r="L1948" s="67"/>
      <c r="M1948" s="67"/>
      <c r="N1948" s="67"/>
    </row>
    <row r="1949" spans="11:14">
      <c r="K1949" s="67"/>
      <c r="L1949" s="67"/>
      <c r="M1949" s="67"/>
      <c r="N1949" s="67"/>
    </row>
    <row r="1950" spans="11:14">
      <c r="K1950" s="67"/>
      <c r="L1950" s="67"/>
      <c r="M1950" s="67"/>
      <c r="N1950" s="67"/>
    </row>
    <row r="1951" spans="11:14">
      <c r="K1951" s="67"/>
      <c r="L1951" s="67"/>
      <c r="M1951" s="67"/>
      <c r="N1951" s="67"/>
    </row>
    <row r="1952" spans="11:14">
      <c r="K1952" s="67"/>
      <c r="L1952" s="67"/>
      <c r="M1952" s="67"/>
      <c r="N1952" s="67"/>
    </row>
    <row r="1953" spans="11:14">
      <c r="K1953" s="67"/>
      <c r="L1953" s="67"/>
      <c r="M1953" s="67"/>
      <c r="N1953" s="67"/>
    </row>
    <row r="1954" spans="11:14">
      <c r="K1954" s="67"/>
      <c r="L1954" s="67"/>
      <c r="M1954" s="67"/>
      <c r="N1954" s="67"/>
    </row>
    <row r="1955" spans="11:14">
      <c r="K1955" s="67"/>
      <c r="L1955" s="67"/>
      <c r="M1955" s="67"/>
      <c r="N1955" s="67"/>
    </row>
    <row r="1956" spans="11:14">
      <c r="K1956" s="67"/>
      <c r="L1956" s="67"/>
      <c r="M1956" s="67"/>
      <c r="N1956" s="67"/>
    </row>
    <row r="1957" spans="11:14">
      <c r="K1957" s="67"/>
      <c r="L1957" s="67"/>
      <c r="M1957" s="67"/>
      <c r="N1957" s="67"/>
    </row>
    <row r="1958" spans="11:14">
      <c r="K1958" s="67"/>
      <c r="L1958" s="67"/>
      <c r="M1958" s="67"/>
      <c r="N1958" s="67"/>
    </row>
    <row r="1959" spans="11:14">
      <c r="K1959" s="67"/>
      <c r="L1959" s="67"/>
      <c r="M1959" s="67"/>
      <c r="N1959" s="67"/>
    </row>
    <row r="1960" spans="11:14">
      <c r="K1960" s="67"/>
      <c r="L1960" s="67"/>
      <c r="M1960" s="67"/>
      <c r="N1960" s="67"/>
    </row>
    <row r="1961" spans="11:14">
      <c r="K1961" s="67"/>
      <c r="L1961" s="67"/>
      <c r="M1961" s="67"/>
      <c r="N1961" s="67"/>
    </row>
    <row r="1962" spans="11:14">
      <c r="K1962" s="67"/>
      <c r="L1962" s="67"/>
      <c r="M1962" s="67"/>
      <c r="N1962" s="67"/>
    </row>
    <row r="1963" spans="11:14">
      <c r="K1963" s="67"/>
      <c r="L1963" s="67"/>
      <c r="M1963" s="67"/>
      <c r="N1963" s="67"/>
    </row>
    <row r="1964" spans="11:14">
      <c r="K1964" s="67"/>
      <c r="L1964" s="67"/>
      <c r="M1964" s="67"/>
      <c r="N1964" s="67"/>
    </row>
    <row r="1965" spans="11:14">
      <c r="K1965" s="67"/>
      <c r="L1965" s="67"/>
      <c r="M1965" s="67"/>
      <c r="N1965" s="67"/>
    </row>
    <row r="1966" spans="11:14">
      <c r="K1966" s="67"/>
      <c r="L1966" s="67"/>
      <c r="M1966" s="67"/>
      <c r="N1966" s="67"/>
    </row>
    <row r="1967" spans="11:14">
      <c r="K1967" s="67"/>
      <c r="L1967" s="67"/>
      <c r="M1967" s="67"/>
      <c r="N1967" s="67"/>
    </row>
    <row r="1968" spans="11:14">
      <c r="K1968" s="67"/>
      <c r="L1968" s="67"/>
      <c r="M1968" s="67"/>
      <c r="N1968" s="67"/>
    </row>
    <row r="1969" spans="11:14">
      <c r="K1969" s="67"/>
      <c r="L1969" s="67"/>
      <c r="M1969" s="67"/>
      <c r="N1969" s="67"/>
    </row>
    <row r="1970" spans="11:14">
      <c r="K1970" s="67"/>
      <c r="L1970" s="67"/>
      <c r="M1970" s="67"/>
      <c r="N1970" s="67"/>
    </row>
    <row r="1971" spans="11:14">
      <c r="K1971" s="67"/>
      <c r="L1971" s="67"/>
      <c r="M1971" s="67"/>
      <c r="N1971" s="67"/>
    </row>
    <row r="1972" spans="11:14">
      <c r="K1972" s="67"/>
      <c r="L1972" s="67"/>
      <c r="M1972" s="67"/>
      <c r="N1972" s="67"/>
    </row>
    <row r="1973" spans="11:14">
      <c r="K1973" s="67"/>
      <c r="L1973" s="67"/>
      <c r="M1973" s="67"/>
      <c r="N1973" s="67"/>
    </row>
    <row r="1974" spans="11:14">
      <c r="K1974" s="67"/>
      <c r="L1974" s="67"/>
      <c r="M1974" s="67"/>
      <c r="N1974" s="67"/>
    </row>
    <row r="1975" spans="11:14">
      <c r="K1975" s="67"/>
      <c r="L1975" s="67"/>
      <c r="M1975" s="67"/>
      <c r="N1975" s="67"/>
    </row>
    <row r="1976" spans="11:14">
      <c r="K1976" s="67"/>
      <c r="L1976" s="67"/>
      <c r="M1976" s="67"/>
      <c r="N1976" s="67"/>
    </row>
    <row r="1977" spans="11:14">
      <c r="K1977" s="67"/>
      <c r="L1977" s="67"/>
      <c r="M1977" s="67"/>
      <c r="N1977" s="67"/>
    </row>
    <row r="1978" spans="11:14">
      <c r="K1978" s="67"/>
      <c r="L1978" s="67"/>
      <c r="M1978" s="67"/>
      <c r="N1978" s="67"/>
    </row>
    <row r="1979" spans="11:14">
      <c r="K1979" s="67"/>
      <c r="L1979" s="67"/>
      <c r="M1979" s="67"/>
      <c r="N1979" s="67"/>
    </row>
    <row r="1980" spans="11:14">
      <c r="K1980" s="67"/>
      <c r="L1980" s="67"/>
      <c r="M1980" s="67"/>
      <c r="N1980" s="67"/>
    </row>
    <row r="1981" spans="11:14">
      <c r="K1981" s="67"/>
      <c r="L1981" s="67"/>
      <c r="M1981" s="67"/>
      <c r="N1981" s="67"/>
    </row>
    <row r="1982" spans="11:14">
      <c r="K1982" s="67"/>
      <c r="L1982" s="67"/>
      <c r="M1982" s="67"/>
      <c r="N1982" s="67"/>
    </row>
    <row r="1983" spans="11:14">
      <c r="K1983" s="67"/>
      <c r="L1983" s="67"/>
      <c r="M1983" s="67"/>
      <c r="N1983" s="67"/>
    </row>
    <row r="1984" spans="11:14">
      <c r="K1984" s="67"/>
      <c r="L1984" s="67"/>
      <c r="M1984" s="67"/>
      <c r="N1984" s="67"/>
    </row>
    <row r="1985" spans="11:14">
      <c r="K1985" s="67"/>
      <c r="L1985" s="67"/>
      <c r="M1985" s="67"/>
      <c r="N1985" s="67"/>
    </row>
    <row r="1986" spans="11:14">
      <c r="K1986" s="67"/>
      <c r="L1986" s="67"/>
      <c r="M1986" s="67"/>
      <c r="N1986" s="67"/>
    </row>
    <row r="1987" spans="11:14">
      <c r="K1987" s="67"/>
      <c r="L1987" s="67"/>
      <c r="M1987" s="67"/>
      <c r="N1987" s="67"/>
    </row>
    <row r="1988" spans="11:14">
      <c r="K1988" s="67"/>
      <c r="L1988" s="67"/>
      <c r="M1988" s="67"/>
      <c r="N1988" s="67"/>
    </row>
    <row r="1989" spans="11:14">
      <c r="K1989" s="67"/>
      <c r="L1989" s="67"/>
      <c r="M1989" s="67"/>
      <c r="N1989" s="67"/>
    </row>
    <row r="1990" spans="11:14">
      <c r="K1990" s="67"/>
      <c r="L1990" s="67"/>
      <c r="M1990" s="67"/>
      <c r="N1990" s="67"/>
    </row>
    <row r="1991" spans="11:14">
      <c r="K1991" s="67"/>
      <c r="L1991" s="67"/>
      <c r="M1991" s="67"/>
      <c r="N1991" s="67"/>
    </row>
    <row r="1992" spans="11:14">
      <c r="K1992" s="67"/>
      <c r="L1992" s="67"/>
      <c r="M1992" s="67"/>
      <c r="N1992" s="67"/>
    </row>
    <row r="1993" spans="11:14">
      <c r="K1993" s="67"/>
      <c r="L1993" s="67"/>
      <c r="M1993" s="67"/>
      <c r="N1993" s="67"/>
    </row>
    <row r="1994" spans="11:14">
      <c r="K1994" s="67"/>
      <c r="L1994" s="67"/>
      <c r="M1994" s="67"/>
      <c r="N1994" s="67"/>
    </row>
    <row r="1995" spans="11:14">
      <c r="K1995" s="67"/>
      <c r="L1995" s="67"/>
      <c r="M1995" s="67"/>
      <c r="N1995" s="67"/>
    </row>
    <row r="1996" spans="11:14">
      <c r="K1996" s="67"/>
      <c r="L1996" s="67"/>
      <c r="M1996" s="67"/>
      <c r="N1996" s="67"/>
    </row>
    <row r="1997" spans="11:14">
      <c r="K1997" s="67"/>
      <c r="L1997" s="67"/>
      <c r="M1997" s="67"/>
      <c r="N1997" s="67"/>
    </row>
    <row r="1998" spans="11:14">
      <c r="K1998" s="67"/>
      <c r="L1998" s="67"/>
      <c r="M1998" s="67"/>
      <c r="N1998" s="67"/>
    </row>
    <row r="1999" spans="11:14">
      <c r="K1999" s="67"/>
      <c r="L1999" s="67"/>
      <c r="M1999" s="67"/>
      <c r="N1999" s="67"/>
    </row>
    <row r="2000" spans="11:14">
      <c r="K2000" s="67"/>
      <c r="L2000" s="67"/>
      <c r="M2000" s="67"/>
      <c r="N2000" s="67"/>
    </row>
    <row r="2001" spans="11:14">
      <c r="K2001" s="67"/>
      <c r="L2001" s="67"/>
      <c r="M2001" s="67"/>
      <c r="N2001" s="67"/>
    </row>
    <row r="2002" spans="11:14">
      <c r="K2002" s="67"/>
      <c r="L2002" s="67"/>
      <c r="M2002" s="67"/>
      <c r="N2002" s="67"/>
    </row>
    <row r="2003" spans="11:14">
      <c r="K2003" s="67"/>
      <c r="L2003" s="67"/>
      <c r="M2003" s="67"/>
      <c r="N2003" s="67"/>
    </row>
    <row r="2004" spans="11:14">
      <c r="K2004" s="67"/>
      <c r="L2004" s="67"/>
      <c r="M2004" s="67"/>
      <c r="N2004" s="67"/>
    </row>
    <row r="2005" spans="11:14">
      <c r="K2005" s="67"/>
      <c r="L2005" s="67"/>
      <c r="M2005" s="67"/>
      <c r="N2005" s="67"/>
    </row>
    <row r="2006" spans="11:14">
      <c r="K2006" s="67"/>
      <c r="L2006" s="67"/>
      <c r="M2006" s="67"/>
      <c r="N2006" s="67"/>
    </row>
    <row r="2007" spans="11:14">
      <c r="K2007" s="67"/>
      <c r="L2007" s="67"/>
      <c r="M2007" s="67"/>
      <c r="N2007" s="67"/>
    </row>
    <row r="2008" spans="11:14">
      <c r="K2008" s="67"/>
      <c r="L2008" s="67"/>
      <c r="M2008" s="67"/>
      <c r="N2008" s="67"/>
    </row>
    <row r="2009" spans="11:14">
      <c r="K2009" s="67"/>
      <c r="L2009" s="67"/>
      <c r="M2009" s="67"/>
      <c r="N2009" s="67"/>
    </row>
    <row r="2010" spans="11:14">
      <c r="K2010" s="67"/>
      <c r="L2010" s="67"/>
      <c r="M2010" s="67"/>
      <c r="N2010" s="67"/>
    </row>
    <row r="2011" spans="11:14">
      <c r="K2011" s="67"/>
      <c r="L2011" s="67"/>
      <c r="M2011" s="67"/>
      <c r="N2011" s="67"/>
    </row>
    <row r="2012" spans="11:14">
      <c r="K2012" s="67"/>
      <c r="L2012" s="67"/>
      <c r="M2012" s="67"/>
      <c r="N2012" s="67"/>
    </row>
    <row r="2013" spans="11:14">
      <c r="K2013" s="67"/>
      <c r="L2013" s="67"/>
      <c r="M2013" s="67"/>
      <c r="N2013" s="67"/>
    </row>
    <row r="2014" spans="11:14">
      <c r="K2014" s="67"/>
      <c r="L2014" s="67"/>
      <c r="M2014" s="67"/>
      <c r="N2014" s="67"/>
    </row>
    <row r="2015" spans="11:14">
      <c r="K2015" s="67"/>
      <c r="L2015" s="67"/>
      <c r="M2015" s="67"/>
      <c r="N2015" s="67"/>
    </row>
    <row r="2016" spans="11:14">
      <c r="K2016" s="67"/>
      <c r="L2016" s="67"/>
      <c r="M2016" s="67"/>
      <c r="N2016" s="67"/>
    </row>
    <row r="2017" spans="11:14">
      <c r="K2017" s="67"/>
      <c r="L2017" s="67"/>
      <c r="M2017" s="67"/>
      <c r="N2017" s="67"/>
    </row>
    <row r="2018" spans="11:14">
      <c r="K2018" s="67"/>
      <c r="L2018" s="67"/>
      <c r="M2018" s="67"/>
      <c r="N2018" s="67"/>
    </row>
    <row r="2019" spans="11:14">
      <c r="K2019" s="67"/>
      <c r="L2019" s="67"/>
      <c r="M2019" s="67"/>
      <c r="N2019" s="67"/>
    </row>
    <row r="2020" spans="11:14">
      <c r="K2020" s="67"/>
      <c r="L2020" s="67"/>
      <c r="M2020" s="67"/>
      <c r="N2020" s="67"/>
    </row>
    <row r="2021" spans="11:14">
      <c r="K2021" s="67"/>
      <c r="L2021" s="67"/>
      <c r="M2021" s="67"/>
      <c r="N2021" s="67"/>
    </row>
    <row r="2022" spans="11:14">
      <c r="K2022" s="67"/>
      <c r="L2022" s="67"/>
      <c r="M2022" s="67"/>
      <c r="N2022" s="67"/>
    </row>
    <row r="2023" spans="11:14">
      <c r="K2023" s="67"/>
      <c r="L2023" s="67"/>
      <c r="M2023" s="67"/>
      <c r="N2023" s="67"/>
    </row>
    <row r="2024" spans="11:14">
      <c r="K2024" s="67"/>
      <c r="L2024" s="67"/>
      <c r="M2024" s="67"/>
      <c r="N2024" s="67"/>
    </row>
    <row r="2025" spans="11:14">
      <c r="K2025" s="67"/>
      <c r="L2025" s="67"/>
      <c r="M2025" s="67"/>
      <c r="N2025" s="67"/>
    </row>
    <row r="2026" spans="11:14">
      <c r="K2026" s="67"/>
      <c r="L2026" s="67"/>
      <c r="M2026" s="67"/>
      <c r="N2026" s="67"/>
    </row>
    <row r="2027" spans="11:14">
      <c r="K2027" s="67"/>
      <c r="L2027" s="67"/>
      <c r="M2027" s="67"/>
      <c r="N2027" s="67"/>
    </row>
    <row r="2028" spans="11:14">
      <c r="K2028" s="67"/>
      <c r="L2028" s="67"/>
      <c r="M2028" s="67"/>
      <c r="N2028" s="67"/>
    </row>
    <row r="2029" spans="11:14">
      <c r="K2029" s="67"/>
      <c r="L2029" s="67"/>
      <c r="M2029" s="67"/>
      <c r="N2029" s="67"/>
    </row>
    <row r="2030" spans="11:14">
      <c r="K2030" s="67"/>
      <c r="L2030" s="67"/>
      <c r="M2030" s="67"/>
      <c r="N2030" s="67"/>
    </row>
    <row r="2031" spans="11:14">
      <c r="K2031" s="67"/>
      <c r="L2031" s="67"/>
      <c r="M2031" s="67"/>
      <c r="N2031" s="67"/>
    </row>
    <row r="2032" spans="11:14">
      <c r="K2032" s="67"/>
      <c r="L2032" s="67"/>
      <c r="M2032" s="67"/>
      <c r="N2032" s="67"/>
    </row>
    <row r="2033" spans="11:14">
      <c r="K2033" s="67"/>
      <c r="L2033" s="67"/>
      <c r="M2033" s="67"/>
      <c r="N2033" s="67"/>
    </row>
    <row r="2034" spans="11:14">
      <c r="K2034" s="67"/>
      <c r="L2034" s="67"/>
      <c r="M2034" s="67"/>
      <c r="N2034" s="67"/>
    </row>
    <row r="2035" spans="11:14">
      <c r="K2035" s="67"/>
      <c r="L2035" s="67"/>
      <c r="M2035" s="67"/>
      <c r="N2035" s="67"/>
    </row>
    <row r="2036" spans="11:14">
      <c r="K2036" s="67"/>
      <c r="L2036" s="67"/>
      <c r="M2036" s="67"/>
      <c r="N2036" s="67"/>
    </row>
    <row r="2037" spans="11:14">
      <c r="K2037" s="67"/>
      <c r="L2037" s="67"/>
      <c r="M2037" s="67"/>
      <c r="N2037" s="67"/>
    </row>
    <row r="2038" spans="11:14">
      <c r="K2038" s="67"/>
      <c r="L2038" s="67"/>
      <c r="M2038" s="67"/>
      <c r="N2038" s="67"/>
    </row>
    <row r="2039" spans="11:14">
      <c r="K2039" s="67"/>
      <c r="L2039" s="67"/>
      <c r="M2039" s="67"/>
      <c r="N2039" s="67"/>
    </row>
    <row r="2040" spans="11:14">
      <c r="K2040" s="67"/>
      <c r="L2040" s="67"/>
      <c r="M2040" s="67"/>
      <c r="N2040" s="67"/>
    </row>
    <row r="2041" spans="11:14">
      <c r="K2041" s="67"/>
      <c r="L2041" s="67"/>
      <c r="M2041" s="67"/>
      <c r="N2041" s="67"/>
    </row>
    <row r="2042" spans="11:14">
      <c r="K2042" s="67"/>
      <c r="L2042" s="67"/>
      <c r="M2042" s="67"/>
      <c r="N2042" s="67"/>
    </row>
    <row r="2043" spans="11:14">
      <c r="K2043" s="67"/>
      <c r="L2043" s="67"/>
      <c r="M2043" s="67"/>
      <c r="N2043" s="67"/>
    </row>
    <row r="2044" spans="11:14">
      <c r="K2044" s="67"/>
      <c r="L2044" s="67"/>
      <c r="M2044" s="67"/>
      <c r="N2044" s="67"/>
    </row>
    <row r="2045" spans="11:14">
      <c r="K2045" s="67"/>
      <c r="L2045" s="67"/>
      <c r="M2045" s="67"/>
      <c r="N2045" s="67"/>
    </row>
    <row r="2046" spans="11:14">
      <c r="K2046" s="67"/>
      <c r="L2046" s="67"/>
      <c r="M2046" s="67"/>
      <c r="N2046" s="67"/>
    </row>
    <row r="2047" spans="11:14">
      <c r="K2047" s="67"/>
      <c r="L2047" s="67"/>
      <c r="M2047" s="67"/>
      <c r="N2047" s="67"/>
    </row>
    <row r="2048" spans="11:14">
      <c r="K2048" s="67"/>
      <c r="L2048" s="67"/>
      <c r="M2048" s="67"/>
      <c r="N2048" s="67"/>
    </row>
    <row r="2049" spans="11:14">
      <c r="K2049" s="67"/>
      <c r="L2049" s="67"/>
      <c r="M2049" s="67"/>
      <c r="N2049" s="67"/>
    </row>
    <row r="2050" spans="11:14">
      <c r="K2050" s="67"/>
      <c r="L2050" s="67"/>
      <c r="M2050" s="67"/>
      <c r="N2050" s="67"/>
    </row>
    <row r="2051" spans="11:14">
      <c r="K2051" s="67"/>
      <c r="L2051" s="67"/>
      <c r="M2051" s="67"/>
      <c r="N2051" s="67"/>
    </row>
    <row r="2052" spans="11:14">
      <c r="K2052" s="67"/>
      <c r="L2052" s="67"/>
      <c r="M2052" s="67"/>
      <c r="N2052" s="67"/>
    </row>
    <row r="2053" spans="11:14">
      <c r="K2053" s="67"/>
      <c r="L2053" s="67"/>
      <c r="M2053" s="67"/>
      <c r="N2053" s="67"/>
    </row>
    <row r="2054" spans="11:14">
      <c r="K2054" s="67"/>
      <c r="L2054" s="67"/>
      <c r="M2054" s="67"/>
      <c r="N2054" s="67"/>
    </row>
    <row r="2055" spans="11:14">
      <c r="K2055" s="67"/>
      <c r="L2055" s="67"/>
      <c r="M2055" s="67"/>
      <c r="N2055" s="67"/>
    </row>
    <row r="2056" spans="11:14">
      <c r="K2056" s="67"/>
      <c r="L2056" s="67"/>
      <c r="M2056" s="67"/>
      <c r="N2056" s="67"/>
    </row>
    <row r="2057" spans="11:14">
      <c r="K2057" s="67"/>
      <c r="L2057" s="67"/>
      <c r="M2057" s="67"/>
      <c r="N2057" s="67"/>
    </row>
    <row r="2058" spans="11:14">
      <c r="K2058" s="67"/>
      <c r="L2058" s="67"/>
      <c r="M2058" s="67"/>
      <c r="N2058" s="67"/>
    </row>
    <row r="2059" spans="11:14">
      <c r="K2059" s="67"/>
      <c r="L2059" s="67"/>
      <c r="M2059" s="67"/>
      <c r="N2059" s="67"/>
    </row>
    <row r="2060" spans="11:14">
      <c r="K2060" s="67"/>
      <c r="L2060" s="67"/>
      <c r="M2060" s="67"/>
      <c r="N2060" s="67"/>
    </row>
    <row r="2061" spans="11:14">
      <c r="K2061" s="67"/>
      <c r="L2061" s="67"/>
      <c r="M2061" s="67"/>
      <c r="N2061" s="67"/>
    </row>
    <row r="2062" spans="11:14">
      <c r="K2062" s="67"/>
      <c r="L2062" s="67"/>
      <c r="M2062" s="67"/>
      <c r="N2062" s="67"/>
    </row>
    <row r="2063" spans="11:14">
      <c r="K2063" s="67"/>
      <c r="L2063" s="67"/>
      <c r="M2063" s="67"/>
      <c r="N2063" s="67"/>
    </row>
    <row r="2064" spans="11:14">
      <c r="K2064" s="67"/>
      <c r="L2064" s="67"/>
      <c r="M2064" s="67"/>
      <c r="N2064" s="67"/>
    </row>
    <row r="2065" spans="11:14">
      <c r="K2065" s="67"/>
      <c r="L2065" s="67"/>
      <c r="M2065" s="67"/>
      <c r="N2065" s="67"/>
    </row>
    <row r="2066" spans="11:14">
      <c r="K2066" s="67"/>
      <c r="L2066" s="67"/>
      <c r="M2066" s="67"/>
      <c r="N2066" s="67"/>
    </row>
    <row r="2067" spans="11:14">
      <c r="K2067" s="67"/>
      <c r="L2067" s="67"/>
      <c r="M2067" s="67"/>
      <c r="N2067" s="67"/>
    </row>
    <row r="2068" spans="11:14">
      <c r="K2068" s="67"/>
      <c r="L2068" s="67"/>
      <c r="M2068" s="67"/>
      <c r="N2068" s="67"/>
    </row>
    <row r="2069" spans="11:14">
      <c r="K2069" s="67"/>
      <c r="L2069" s="67"/>
      <c r="M2069" s="67"/>
      <c r="N2069" s="67"/>
    </row>
    <row r="2070" spans="11:14">
      <c r="K2070" s="67"/>
      <c r="L2070" s="67"/>
      <c r="M2070" s="67"/>
      <c r="N2070" s="67"/>
    </row>
    <row r="2071" spans="11:14">
      <c r="K2071" s="67"/>
      <c r="L2071" s="67"/>
      <c r="M2071" s="67"/>
      <c r="N2071" s="67"/>
    </row>
    <row r="2072" spans="11:14">
      <c r="K2072" s="67"/>
      <c r="L2072" s="67"/>
      <c r="M2072" s="67"/>
      <c r="N2072" s="67"/>
    </row>
    <row r="2073" spans="11:14">
      <c r="K2073" s="67"/>
      <c r="L2073" s="67"/>
      <c r="M2073" s="67"/>
      <c r="N2073" s="67"/>
    </row>
    <row r="2074" spans="11:14">
      <c r="K2074" s="67"/>
      <c r="L2074" s="67"/>
      <c r="M2074" s="67"/>
      <c r="N2074" s="67"/>
    </row>
    <row r="2075" spans="11:14">
      <c r="K2075" s="67"/>
      <c r="L2075" s="67"/>
      <c r="M2075" s="67"/>
      <c r="N2075" s="67"/>
    </row>
    <row r="2076" spans="11:14">
      <c r="K2076" s="67"/>
      <c r="L2076" s="67"/>
      <c r="M2076" s="67"/>
      <c r="N2076" s="67"/>
    </row>
    <row r="2077" spans="11:14">
      <c r="K2077" s="67"/>
      <c r="L2077" s="67"/>
      <c r="M2077" s="67"/>
      <c r="N2077" s="67"/>
    </row>
    <row r="2078" spans="11:14">
      <c r="K2078" s="67"/>
      <c r="L2078" s="67"/>
      <c r="M2078" s="67"/>
      <c r="N2078" s="67"/>
    </row>
    <row r="2079" spans="11:14">
      <c r="K2079" s="67"/>
      <c r="L2079" s="67"/>
      <c r="M2079" s="67"/>
      <c r="N2079" s="67"/>
    </row>
    <row r="2080" spans="11:14">
      <c r="K2080" s="67"/>
      <c r="L2080" s="67"/>
      <c r="M2080" s="67"/>
      <c r="N2080" s="67"/>
    </row>
    <row r="2081" spans="11:14">
      <c r="K2081" s="67"/>
      <c r="L2081" s="67"/>
      <c r="M2081" s="67"/>
      <c r="N2081" s="67"/>
    </row>
    <row r="2082" spans="11:14">
      <c r="K2082" s="67"/>
      <c r="L2082" s="67"/>
      <c r="M2082" s="67"/>
      <c r="N2082" s="67"/>
    </row>
    <row r="2083" spans="11:14">
      <c r="K2083" s="67"/>
      <c r="L2083" s="67"/>
      <c r="M2083" s="67"/>
      <c r="N2083" s="67"/>
    </row>
    <row r="2084" spans="11:14">
      <c r="K2084" s="67"/>
      <c r="L2084" s="67"/>
      <c r="M2084" s="67"/>
      <c r="N2084" s="67"/>
    </row>
    <row r="2085" spans="11:14">
      <c r="K2085" s="67"/>
      <c r="L2085" s="67"/>
      <c r="M2085" s="67"/>
      <c r="N2085" s="67"/>
    </row>
    <row r="2086" spans="11:14">
      <c r="K2086" s="67"/>
      <c r="L2086" s="67"/>
      <c r="M2086" s="67"/>
      <c r="N2086" s="67"/>
    </row>
    <row r="2087" spans="11:14">
      <c r="K2087" s="67"/>
      <c r="L2087" s="67"/>
      <c r="M2087" s="67"/>
      <c r="N2087" s="67"/>
    </row>
    <row r="2088" spans="11:14">
      <c r="K2088" s="67"/>
      <c r="L2088" s="67"/>
      <c r="M2088" s="67"/>
      <c r="N2088" s="67"/>
    </row>
    <row r="2089" spans="11:14">
      <c r="K2089" s="67"/>
      <c r="L2089" s="67"/>
      <c r="M2089" s="67"/>
      <c r="N2089" s="67"/>
    </row>
    <row r="2090" spans="11:14">
      <c r="K2090" s="67"/>
      <c r="L2090" s="67"/>
      <c r="M2090" s="67"/>
      <c r="N2090" s="67"/>
    </row>
    <row r="2091" spans="11:14">
      <c r="K2091" s="67"/>
      <c r="L2091" s="67"/>
      <c r="M2091" s="67"/>
      <c r="N2091" s="67"/>
    </row>
    <row r="2092" spans="11:14">
      <c r="K2092" s="67"/>
      <c r="L2092" s="67"/>
      <c r="M2092" s="67"/>
      <c r="N2092" s="67"/>
    </row>
    <row r="2093" spans="11:14">
      <c r="K2093" s="67"/>
      <c r="L2093" s="67"/>
      <c r="M2093" s="67"/>
      <c r="N2093" s="67"/>
    </row>
    <row r="2094" spans="11:14">
      <c r="K2094" s="67"/>
      <c r="L2094" s="67"/>
      <c r="M2094" s="67"/>
      <c r="N2094" s="67"/>
    </row>
    <row r="2095" spans="11:14">
      <c r="K2095" s="67"/>
      <c r="L2095" s="67"/>
      <c r="M2095" s="67"/>
      <c r="N2095" s="67"/>
    </row>
    <row r="2096" spans="11:14">
      <c r="K2096" s="67"/>
      <c r="L2096" s="67"/>
      <c r="M2096" s="67"/>
      <c r="N2096" s="67"/>
    </row>
    <row r="2097" spans="11:14">
      <c r="K2097" s="67"/>
      <c r="L2097" s="67"/>
      <c r="M2097" s="67"/>
      <c r="N2097" s="67"/>
    </row>
    <row r="2098" spans="11:14">
      <c r="K2098" s="67"/>
      <c r="L2098" s="67"/>
      <c r="M2098" s="67"/>
      <c r="N2098" s="67"/>
    </row>
    <row r="2099" spans="11:14">
      <c r="K2099" s="67"/>
      <c r="L2099" s="67"/>
      <c r="M2099" s="67"/>
      <c r="N2099" s="67"/>
    </row>
    <row r="2100" spans="11:14">
      <c r="K2100" s="67"/>
      <c r="L2100" s="67"/>
      <c r="M2100" s="67"/>
      <c r="N2100" s="67"/>
    </row>
    <row r="2101" spans="11:14">
      <c r="K2101" s="67"/>
      <c r="L2101" s="67"/>
      <c r="M2101" s="67"/>
      <c r="N2101" s="67"/>
    </row>
    <row r="2102" spans="11:14">
      <c r="K2102" s="67"/>
      <c r="L2102" s="67"/>
      <c r="M2102" s="67"/>
      <c r="N2102" s="67"/>
    </row>
    <row r="2103" spans="11:14">
      <c r="K2103" s="67"/>
      <c r="L2103" s="67"/>
      <c r="M2103" s="67"/>
      <c r="N2103" s="67"/>
    </row>
    <row r="2104" spans="11:14">
      <c r="K2104" s="67"/>
      <c r="L2104" s="67"/>
      <c r="M2104" s="67"/>
      <c r="N2104" s="67"/>
    </row>
    <row r="2105" spans="11:14">
      <c r="K2105" s="67"/>
      <c r="L2105" s="67"/>
      <c r="M2105" s="67"/>
      <c r="N2105" s="67"/>
    </row>
    <row r="2106" spans="11:14">
      <c r="K2106" s="67"/>
      <c r="L2106" s="67"/>
      <c r="M2106" s="67"/>
      <c r="N2106" s="67"/>
    </row>
    <row r="2107" spans="11:14">
      <c r="K2107" s="67"/>
      <c r="L2107" s="67"/>
      <c r="M2107" s="67"/>
      <c r="N2107" s="67"/>
    </row>
    <row r="2108" spans="11:14">
      <c r="K2108" s="67"/>
      <c r="L2108" s="67"/>
      <c r="M2108" s="67"/>
      <c r="N2108" s="67"/>
    </row>
    <row r="2109" spans="11:14">
      <c r="K2109" s="67"/>
      <c r="L2109" s="67"/>
      <c r="M2109" s="67"/>
      <c r="N2109" s="67"/>
    </row>
    <row r="2110" spans="11:14">
      <c r="K2110" s="67"/>
      <c r="L2110" s="67"/>
      <c r="M2110" s="67"/>
      <c r="N2110" s="67"/>
    </row>
    <row r="2111" spans="11:14">
      <c r="K2111" s="67"/>
      <c r="L2111" s="67"/>
      <c r="M2111" s="67"/>
      <c r="N2111" s="67"/>
    </row>
    <row r="2112" spans="11:14">
      <c r="K2112" s="67"/>
      <c r="L2112" s="67"/>
      <c r="M2112" s="67"/>
      <c r="N2112" s="67"/>
    </row>
    <row r="2113" spans="11:14">
      <c r="K2113" s="67"/>
      <c r="L2113" s="67"/>
      <c r="M2113" s="67"/>
      <c r="N2113" s="67"/>
    </row>
    <row r="2114" spans="11:14">
      <c r="K2114" s="67"/>
      <c r="L2114" s="67"/>
      <c r="M2114" s="67"/>
      <c r="N2114" s="67"/>
    </row>
    <row r="2115" spans="11:14">
      <c r="K2115" s="67"/>
      <c r="L2115" s="67"/>
      <c r="M2115" s="67"/>
      <c r="N2115" s="67"/>
    </row>
    <row r="2116" spans="11:14">
      <c r="K2116" s="67"/>
      <c r="L2116" s="67"/>
      <c r="M2116" s="67"/>
      <c r="N2116" s="67"/>
    </row>
    <row r="2117" spans="11:14">
      <c r="K2117" s="67"/>
      <c r="L2117" s="67"/>
      <c r="M2117" s="67"/>
      <c r="N2117" s="67"/>
    </row>
    <row r="2118" spans="11:14">
      <c r="K2118" s="67"/>
      <c r="L2118" s="67"/>
      <c r="M2118" s="67"/>
      <c r="N2118" s="67"/>
    </row>
    <row r="2119" spans="11:14">
      <c r="K2119" s="67"/>
      <c r="L2119" s="67"/>
      <c r="M2119" s="67"/>
      <c r="N2119" s="67"/>
    </row>
    <row r="2120" spans="11:14">
      <c r="K2120" s="67"/>
      <c r="L2120" s="67"/>
      <c r="M2120" s="67"/>
      <c r="N2120" s="67"/>
    </row>
    <row r="2121" spans="11:14">
      <c r="K2121" s="67"/>
      <c r="L2121" s="67"/>
      <c r="M2121" s="67"/>
      <c r="N2121" s="67"/>
    </row>
    <row r="2122" spans="11:14">
      <c r="K2122" s="67"/>
      <c r="L2122" s="67"/>
      <c r="M2122" s="67"/>
      <c r="N2122" s="67"/>
    </row>
    <row r="2123" spans="11:14">
      <c r="K2123" s="67"/>
      <c r="L2123" s="67"/>
      <c r="M2123" s="67"/>
      <c r="N2123" s="67"/>
    </row>
    <row r="2124" spans="11:14">
      <c r="K2124" s="67"/>
      <c r="L2124" s="67"/>
      <c r="M2124" s="67"/>
      <c r="N2124" s="67"/>
    </row>
    <row r="2125" spans="11:14">
      <c r="K2125" s="67"/>
      <c r="L2125" s="67"/>
      <c r="M2125" s="67"/>
      <c r="N2125" s="67"/>
    </row>
    <row r="2126" spans="11:14">
      <c r="K2126" s="67"/>
      <c r="L2126" s="67"/>
      <c r="M2126" s="67"/>
      <c r="N2126" s="67"/>
    </row>
    <row r="2127" spans="11:14">
      <c r="K2127" s="67"/>
      <c r="L2127" s="67"/>
      <c r="M2127" s="67"/>
      <c r="N2127" s="67"/>
    </row>
    <row r="2128" spans="11:14">
      <c r="K2128" s="67"/>
      <c r="L2128" s="67"/>
      <c r="M2128" s="67"/>
      <c r="N2128" s="67"/>
    </row>
    <row r="2129" spans="11:14">
      <c r="K2129" s="67"/>
      <c r="L2129" s="67"/>
      <c r="M2129" s="67"/>
      <c r="N2129" s="67"/>
    </row>
    <row r="2130" spans="11:14">
      <c r="K2130" s="67"/>
      <c r="L2130" s="67"/>
      <c r="M2130" s="67"/>
      <c r="N2130" s="67"/>
    </row>
    <row r="2131" spans="11:14">
      <c r="K2131" s="67"/>
      <c r="L2131" s="67"/>
      <c r="M2131" s="67"/>
      <c r="N2131" s="67"/>
    </row>
    <row r="2132" spans="11:14">
      <c r="K2132" s="67"/>
      <c r="L2132" s="67"/>
      <c r="M2132" s="67"/>
      <c r="N2132" s="67"/>
    </row>
    <row r="2133" spans="11:14">
      <c r="K2133" s="67"/>
      <c r="L2133" s="67"/>
      <c r="M2133" s="67"/>
      <c r="N2133" s="67"/>
    </row>
    <row r="2134" spans="11:14">
      <c r="K2134" s="67"/>
      <c r="L2134" s="67"/>
      <c r="M2134" s="67"/>
      <c r="N2134" s="67"/>
    </row>
    <row r="2135" spans="11:14">
      <c r="K2135" s="67"/>
      <c r="L2135" s="67"/>
      <c r="M2135" s="67"/>
      <c r="N2135" s="67"/>
    </row>
    <row r="2136" spans="11:14">
      <c r="K2136" s="67"/>
      <c r="L2136" s="67"/>
      <c r="M2136" s="67"/>
      <c r="N2136" s="67"/>
    </row>
    <row r="2137" spans="11:14">
      <c r="K2137" s="67"/>
      <c r="L2137" s="67"/>
      <c r="M2137" s="67"/>
      <c r="N2137" s="67"/>
    </row>
    <row r="2138" spans="11:14">
      <c r="K2138" s="67"/>
      <c r="L2138" s="67"/>
      <c r="M2138" s="67"/>
      <c r="N2138" s="67"/>
    </row>
    <row r="2139" spans="11:14">
      <c r="K2139" s="67"/>
      <c r="L2139" s="67"/>
      <c r="M2139" s="67"/>
      <c r="N2139" s="67"/>
    </row>
    <row r="2140" spans="11:14">
      <c r="K2140" s="67"/>
      <c r="L2140" s="67"/>
      <c r="M2140" s="67"/>
      <c r="N2140" s="67"/>
    </row>
    <row r="2141" spans="11:14">
      <c r="K2141" s="67"/>
      <c r="L2141" s="67"/>
      <c r="M2141" s="67"/>
      <c r="N2141" s="67"/>
    </row>
    <row r="2142" spans="11:14">
      <c r="K2142" s="67"/>
      <c r="L2142" s="67"/>
      <c r="M2142" s="67"/>
      <c r="N2142" s="67"/>
    </row>
    <row r="2143" spans="11:14">
      <c r="K2143" s="67"/>
      <c r="L2143" s="67"/>
      <c r="M2143" s="67"/>
      <c r="N2143" s="67"/>
    </row>
    <row r="2144" spans="11:14">
      <c r="K2144" s="67"/>
      <c r="L2144" s="67"/>
      <c r="M2144" s="67"/>
      <c r="N2144" s="67"/>
    </row>
    <row r="2145" spans="11:14">
      <c r="K2145" s="67"/>
      <c r="L2145" s="67"/>
      <c r="M2145" s="67"/>
      <c r="N2145" s="67"/>
    </row>
    <row r="2146" spans="11:14">
      <c r="K2146" s="67"/>
      <c r="L2146" s="67"/>
      <c r="M2146" s="67"/>
      <c r="N2146" s="67"/>
    </row>
    <row r="2147" spans="11:14">
      <c r="K2147" s="67"/>
      <c r="L2147" s="67"/>
      <c r="M2147" s="67"/>
      <c r="N2147" s="67"/>
    </row>
    <row r="2148" spans="11:14">
      <c r="K2148" s="67"/>
      <c r="L2148" s="67"/>
      <c r="M2148" s="67"/>
      <c r="N2148" s="67"/>
    </row>
    <row r="2149" spans="11:14">
      <c r="K2149" s="67"/>
      <c r="L2149" s="67"/>
      <c r="M2149" s="67"/>
      <c r="N2149" s="67"/>
    </row>
    <row r="2150" spans="11:14">
      <c r="K2150" s="67"/>
      <c r="L2150" s="67"/>
      <c r="M2150" s="67"/>
      <c r="N2150" s="67"/>
    </row>
    <row r="2151" spans="11:14">
      <c r="K2151" s="67"/>
      <c r="L2151" s="67"/>
      <c r="M2151" s="67"/>
      <c r="N2151" s="67"/>
    </row>
    <row r="2152" spans="11:14">
      <c r="K2152" s="67"/>
      <c r="L2152" s="67"/>
      <c r="M2152" s="67"/>
      <c r="N2152" s="67"/>
    </row>
    <row r="2153" spans="11:14">
      <c r="K2153" s="67"/>
      <c r="L2153" s="67"/>
      <c r="M2153" s="67"/>
      <c r="N2153" s="67"/>
    </row>
    <row r="2154" spans="11:14">
      <c r="K2154" s="67"/>
      <c r="L2154" s="67"/>
      <c r="M2154" s="67"/>
      <c r="N2154" s="67"/>
    </row>
    <row r="2155" spans="11:14">
      <c r="K2155" s="67"/>
      <c r="L2155" s="67"/>
      <c r="M2155" s="67"/>
      <c r="N2155" s="67"/>
    </row>
    <row r="2156" spans="11:14">
      <c r="K2156" s="67"/>
      <c r="L2156" s="67"/>
      <c r="M2156" s="67"/>
      <c r="N2156" s="67"/>
    </row>
    <row r="2157" spans="11:14">
      <c r="K2157" s="67"/>
      <c r="L2157" s="67"/>
      <c r="M2157" s="67"/>
      <c r="N2157" s="67"/>
    </row>
    <row r="2158" spans="11:14">
      <c r="K2158" s="67"/>
      <c r="L2158" s="67"/>
      <c r="M2158" s="67"/>
      <c r="N2158" s="67"/>
    </row>
    <row r="2159" spans="11:14">
      <c r="K2159" s="67"/>
      <c r="L2159" s="67"/>
      <c r="M2159" s="67"/>
      <c r="N2159" s="67"/>
    </row>
    <row r="2160" spans="11:14">
      <c r="K2160" s="67"/>
      <c r="L2160" s="67"/>
      <c r="M2160" s="67"/>
      <c r="N2160" s="67"/>
    </row>
    <row r="2161" spans="11:14">
      <c r="K2161" s="67"/>
      <c r="L2161" s="67"/>
      <c r="M2161" s="67"/>
      <c r="N2161" s="67"/>
    </row>
    <row r="2162" spans="11:14">
      <c r="K2162" s="67"/>
      <c r="L2162" s="67"/>
      <c r="M2162" s="67"/>
      <c r="N2162" s="67"/>
    </row>
    <row r="2163" spans="11:14">
      <c r="K2163" s="67"/>
      <c r="L2163" s="67"/>
      <c r="M2163" s="67"/>
      <c r="N2163" s="67"/>
    </row>
    <row r="2164" spans="11:14">
      <c r="K2164" s="67"/>
      <c r="L2164" s="67"/>
      <c r="M2164" s="67"/>
      <c r="N2164" s="67"/>
    </row>
    <row r="2165" spans="11:14">
      <c r="K2165" s="67"/>
      <c r="L2165" s="67"/>
      <c r="M2165" s="67"/>
      <c r="N2165" s="67"/>
    </row>
    <row r="2166" spans="11:14">
      <c r="K2166" s="67"/>
      <c r="L2166" s="67"/>
      <c r="M2166" s="67"/>
      <c r="N2166" s="67"/>
    </row>
    <row r="2167" spans="11:14">
      <c r="K2167" s="67"/>
      <c r="L2167" s="67"/>
      <c r="M2167" s="67"/>
      <c r="N2167" s="67"/>
    </row>
    <row r="2168" spans="11:14">
      <c r="K2168" s="67"/>
      <c r="L2168" s="67"/>
      <c r="M2168" s="67"/>
      <c r="N2168" s="67"/>
    </row>
    <row r="2169" spans="11:14">
      <c r="K2169" s="67"/>
      <c r="L2169" s="67"/>
      <c r="M2169" s="67"/>
      <c r="N2169" s="67"/>
    </row>
    <row r="2170" spans="11:14">
      <c r="K2170" s="67"/>
      <c r="L2170" s="67"/>
      <c r="M2170" s="67"/>
      <c r="N2170" s="67"/>
    </row>
    <row r="2171" spans="11:14">
      <c r="K2171" s="67"/>
      <c r="L2171" s="67"/>
      <c r="M2171" s="67"/>
      <c r="N2171" s="67"/>
    </row>
    <row r="2172" spans="11:14">
      <c r="K2172" s="67"/>
      <c r="L2172" s="67"/>
      <c r="M2172" s="67"/>
      <c r="N2172" s="67"/>
    </row>
    <row r="2173" spans="11:14">
      <c r="K2173" s="67"/>
      <c r="L2173" s="67"/>
      <c r="M2173" s="67"/>
      <c r="N2173" s="67"/>
    </row>
    <row r="2174" spans="11:14">
      <c r="K2174" s="67"/>
      <c r="L2174" s="67"/>
      <c r="M2174" s="67"/>
      <c r="N2174" s="67"/>
    </row>
    <row r="2175" spans="11:14">
      <c r="K2175" s="67"/>
      <c r="L2175" s="67"/>
      <c r="M2175" s="67"/>
      <c r="N2175" s="67"/>
    </row>
    <row r="2176" spans="11:14">
      <c r="K2176" s="67"/>
      <c r="L2176" s="67"/>
      <c r="M2176" s="67"/>
      <c r="N2176" s="67"/>
    </row>
    <row r="2177" spans="11:14">
      <c r="K2177" s="67"/>
      <c r="L2177" s="67"/>
      <c r="M2177" s="67"/>
      <c r="N2177" s="67"/>
    </row>
    <row r="2178" spans="11:14">
      <c r="K2178" s="67"/>
      <c r="L2178" s="67"/>
      <c r="M2178" s="67"/>
      <c r="N2178" s="67"/>
    </row>
    <row r="2179" spans="11:14">
      <c r="K2179" s="67"/>
      <c r="L2179" s="67"/>
      <c r="M2179" s="67"/>
      <c r="N2179" s="67"/>
    </row>
    <row r="2180" spans="11:14">
      <c r="K2180" s="67"/>
      <c r="L2180" s="67"/>
      <c r="M2180" s="67"/>
      <c r="N2180" s="67"/>
    </row>
    <row r="2181" spans="11:14">
      <c r="K2181" s="67"/>
      <c r="L2181" s="67"/>
      <c r="M2181" s="67"/>
      <c r="N2181" s="67"/>
    </row>
    <row r="2182" spans="11:14">
      <c r="K2182" s="67"/>
      <c r="L2182" s="67"/>
      <c r="M2182" s="67"/>
      <c r="N2182" s="67"/>
    </row>
    <row r="2183" spans="11:14">
      <c r="K2183" s="67"/>
      <c r="L2183" s="67"/>
      <c r="M2183" s="67"/>
      <c r="N2183" s="67"/>
    </row>
    <row r="2184" spans="11:14">
      <c r="K2184" s="67"/>
      <c r="L2184" s="67"/>
      <c r="M2184" s="67"/>
      <c r="N2184" s="67"/>
    </row>
    <row r="2185" spans="11:14">
      <c r="K2185" s="67"/>
      <c r="L2185" s="67"/>
      <c r="M2185" s="67"/>
      <c r="N2185" s="67"/>
    </row>
    <row r="2186" spans="11:14">
      <c r="K2186" s="67"/>
      <c r="L2186" s="67"/>
      <c r="M2186" s="67"/>
      <c r="N2186" s="67"/>
    </row>
    <row r="2187" spans="11:14">
      <c r="K2187" s="67"/>
      <c r="L2187" s="67"/>
      <c r="M2187" s="67"/>
      <c r="N2187" s="67"/>
    </row>
    <row r="2188" spans="11:14">
      <c r="K2188" s="67"/>
      <c r="L2188" s="67"/>
      <c r="M2188" s="67"/>
      <c r="N2188" s="67"/>
    </row>
    <row r="2189" spans="11:14">
      <c r="K2189" s="67"/>
      <c r="L2189" s="67"/>
      <c r="M2189" s="67"/>
      <c r="N2189" s="67"/>
    </row>
    <row r="2190" spans="11:14">
      <c r="K2190" s="67"/>
      <c r="L2190" s="67"/>
      <c r="M2190" s="67"/>
      <c r="N2190" s="67"/>
    </row>
    <row r="2191" spans="11:14">
      <c r="K2191" s="67"/>
      <c r="L2191" s="67"/>
      <c r="M2191" s="67"/>
      <c r="N2191" s="67"/>
    </row>
    <row r="2192" spans="11:14">
      <c r="K2192" s="67"/>
      <c r="L2192" s="67"/>
      <c r="M2192" s="67"/>
      <c r="N2192" s="67"/>
    </row>
    <row r="2193" spans="11:14">
      <c r="K2193" s="67"/>
      <c r="L2193" s="67"/>
      <c r="M2193" s="67"/>
      <c r="N2193" s="67"/>
    </row>
    <row r="2194" spans="11:14">
      <c r="K2194" s="67"/>
      <c r="L2194" s="67"/>
      <c r="M2194" s="67"/>
      <c r="N2194" s="67"/>
    </row>
    <row r="2195" spans="11:14">
      <c r="K2195" s="67"/>
      <c r="L2195" s="67"/>
      <c r="M2195" s="67"/>
      <c r="N2195" s="67"/>
    </row>
    <row r="2196" spans="11:14">
      <c r="K2196" s="67"/>
      <c r="L2196" s="67"/>
      <c r="M2196" s="67"/>
      <c r="N2196" s="67"/>
    </row>
    <row r="2197" spans="11:14">
      <c r="K2197" s="67"/>
      <c r="L2197" s="67"/>
      <c r="M2197" s="67"/>
      <c r="N2197" s="67"/>
    </row>
    <row r="2198" spans="11:14">
      <c r="K2198" s="67"/>
      <c r="L2198" s="67"/>
      <c r="M2198" s="67"/>
      <c r="N2198" s="67"/>
    </row>
    <row r="2199" spans="11:14">
      <c r="K2199" s="67"/>
      <c r="L2199" s="67"/>
      <c r="M2199" s="67"/>
      <c r="N2199" s="67"/>
    </row>
    <row r="2200" spans="11:14">
      <c r="K2200" s="67"/>
      <c r="L2200" s="67"/>
      <c r="M2200" s="67"/>
      <c r="N2200" s="67"/>
    </row>
    <row r="2201" spans="11:14">
      <c r="K2201" s="67"/>
      <c r="L2201" s="67"/>
      <c r="M2201" s="67"/>
      <c r="N2201" s="67"/>
    </row>
    <row r="2202" spans="11:14">
      <c r="K2202" s="67"/>
      <c r="L2202" s="67"/>
      <c r="M2202" s="67"/>
      <c r="N2202" s="67"/>
    </row>
    <row r="2203" spans="11:14">
      <c r="K2203" s="67"/>
      <c r="L2203" s="67"/>
      <c r="M2203" s="67"/>
      <c r="N2203" s="67"/>
    </row>
    <row r="2204" spans="11:14">
      <c r="K2204" s="67"/>
      <c r="L2204" s="67"/>
      <c r="M2204" s="67"/>
      <c r="N2204" s="67"/>
    </row>
    <row r="2205" spans="11:14">
      <c r="K2205" s="67"/>
      <c r="L2205" s="67"/>
      <c r="M2205" s="67"/>
      <c r="N2205" s="67"/>
    </row>
    <row r="2206" spans="11:14">
      <c r="K2206" s="67"/>
      <c r="L2206" s="67"/>
      <c r="M2206" s="67"/>
      <c r="N2206" s="67"/>
    </row>
    <row r="2207" spans="11:14">
      <c r="K2207" s="67"/>
      <c r="L2207" s="67"/>
      <c r="M2207" s="67"/>
      <c r="N2207" s="67"/>
    </row>
    <row r="2208" spans="11:14">
      <c r="K2208" s="67"/>
      <c r="L2208" s="67"/>
      <c r="M2208" s="67"/>
      <c r="N2208" s="67"/>
    </row>
    <row r="2209" spans="11:14">
      <c r="K2209" s="67"/>
      <c r="L2209" s="67"/>
      <c r="M2209" s="67"/>
      <c r="N2209" s="67"/>
    </row>
    <row r="2210" spans="11:14">
      <c r="K2210" s="67"/>
      <c r="L2210" s="67"/>
      <c r="M2210" s="67"/>
      <c r="N2210" s="67"/>
    </row>
    <row r="2211" spans="11:14">
      <c r="K2211" s="67"/>
      <c r="L2211" s="67"/>
      <c r="M2211" s="67"/>
      <c r="N2211" s="67"/>
    </row>
    <row r="2212" spans="11:14">
      <c r="K2212" s="67"/>
      <c r="L2212" s="67"/>
      <c r="M2212" s="67"/>
      <c r="N2212" s="67"/>
    </row>
    <row r="2213" spans="11:14">
      <c r="K2213" s="67"/>
      <c r="L2213" s="67"/>
      <c r="M2213" s="67"/>
      <c r="N2213" s="67"/>
    </row>
    <row r="2214" spans="11:14">
      <c r="K2214" s="67"/>
      <c r="L2214" s="67"/>
      <c r="M2214" s="67"/>
      <c r="N2214" s="67"/>
    </row>
    <row r="2215" spans="11:14">
      <c r="K2215" s="67"/>
      <c r="L2215" s="67"/>
      <c r="M2215" s="67"/>
      <c r="N2215" s="67"/>
    </row>
    <row r="2216" spans="11:14">
      <c r="K2216" s="67"/>
      <c r="L2216" s="67"/>
      <c r="M2216" s="67"/>
      <c r="N2216" s="67"/>
    </row>
    <row r="2217" spans="11:14">
      <c r="K2217" s="67"/>
      <c r="L2217" s="67"/>
      <c r="M2217" s="67"/>
      <c r="N2217" s="67"/>
    </row>
    <row r="2218" spans="11:14">
      <c r="K2218" s="67"/>
      <c r="L2218" s="67"/>
      <c r="M2218" s="67"/>
      <c r="N2218" s="67"/>
    </row>
    <row r="2219" spans="11:14">
      <c r="K2219" s="67"/>
      <c r="L2219" s="67"/>
      <c r="M2219" s="67"/>
      <c r="N2219" s="67"/>
    </row>
    <row r="2220" spans="11:14">
      <c r="K2220" s="67"/>
      <c r="L2220" s="67"/>
      <c r="M2220" s="67"/>
      <c r="N2220" s="67"/>
    </row>
    <row r="2221" spans="11:14">
      <c r="K2221" s="67"/>
      <c r="L2221" s="67"/>
      <c r="M2221" s="67"/>
      <c r="N2221" s="67"/>
    </row>
    <row r="2222" spans="11:14">
      <c r="K2222" s="67"/>
      <c r="L2222" s="67"/>
      <c r="M2222" s="67"/>
      <c r="N2222" s="67"/>
    </row>
    <row r="2223" spans="11:14">
      <c r="K2223" s="67"/>
      <c r="L2223" s="67"/>
      <c r="M2223" s="67"/>
      <c r="N2223" s="67"/>
    </row>
    <row r="2224" spans="11:14">
      <c r="K2224" s="67"/>
      <c r="L2224" s="67"/>
      <c r="M2224" s="67"/>
      <c r="N2224" s="67"/>
    </row>
    <row r="2225" spans="11:14">
      <c r="K2225" s="67"/>
      <c r="L2225" s="67"/>
      <c r="M2225" s="67"/>
      <c r="N2225" s="67"/>
    </row>
    <row r="2226" spans="11:14">
      <c r="K2226" s="67"/>
      <c r="L2226" s="67"/>
      <c r="M2226" s="67"/>
      <c r="N2226" s="67"/>
    </row>
    <row r="2227" spans="11:14">
      <c r="K2227" s="67"/>
      <c r="L2227" s="67"/>
      <c r="M2227" s="67"/>
      <c r="N2227" s="67"/>
    </row>
    <row r="2228" spans="11:14">
      <c r="K2228" s="67"/>
      <c r="L2228" s="67"/>
      <c r="M2228" s="67"/>
      <c r="N2228" s="67"/>
    </row>
    <row r="2229" spans="11:14">
      <c r="K2229" s="67"/>
      <c r="L2229" s="67"/>
      <c r="M2229" s="67"/>
      <c r="N2229" s="67"/>
    </row>
    <row r="2230" spans="11:14">
      <c r="K2230" s="67"/>
      <c r="L2230" s="67"/>
      <c r="M2230" s="67"/>
      <c r="N2230" s="67"/>
    </row>
    <row r="2231" spans="11:14">
      <c r="K2231" s="67"/>
      <c r="L2231" s="67"/>
      <c r="M2231" s="67"/>
      <c r="N2231" s="67"/>
    </row>
    <row r="2232" spans="11:14">
      <c r="K2232" s="67"/>
      <c r="L2232" s="67"/>
      <c r="M2232" s="67"/>
      <c r="N2232" s="67"/>
    </row>
    <row r="2233" spans="11:14">
      <c r="K2233" s="67"/>
      <c r="L2233" s="67"/>
      <c r="M2233" s="67"/>
      <c r="N2233" s="67"/>
    </row>
    <row r="2234" spans="11:14">
      <c r="K2234" s="67"/>
      <c r="L2234" s="67"/>
      <c r="M2234" s="67"/>
      <c r="N2234" s="67"/>
    </row>
    <row r="2235" spans="11:14">
      <c r="K2235" s="67"/>
      <c r="L2235" s="67"/>
      <c r="M2235" s="67"/>
      <c r="N2235" s="67"/>
    </row>
    <row r="2236" spans="11:14">
      <c r="K2236" s="67"/>
      <c r="L2236" s="67"/>
      <c r="M2236" s="67"/>
      <c r="N2236" s="67"/>
    </row>
    <row r="2237" spans="11:14">
      <c r="K2237" s="67"/>
      <c r="L2237" s="67"/>
      <c r="M2237" s="67"/>
      <c r="N2237" s="67"/>
    </row>
    <row r="2238" spans="11:14">
      <c r="K2238" s="67"/>
      <c r="L2238" s="67"/>
      <c r="M2238" s="67"/>
      <c r="N2238" s="67"/>
    </row>
    <row r="2239" spans="11:14">
      <c r="K2239" s="67"/>
      <c r="L2239" s="67"/>
      <c r="M2239" s="67"/>
      <c r="N2239" s="67"/>
    </row>
    <row r="2240" spans="11:14">
      <c r="K2240" s="67"/>
      <c r="L2240" s="67"/>
      <c r="M2240" s="67"/>
      <c r="N2240" s="67"/>
    </row>
    <row r="2241" spans="11:14">
      <c r="K2241" s="67"/>
      <c r="L2241" s="67"/>
      <c r="M2241" s="67"/>
      <c r="N2241" s="67"/>
    </row>
    <row r="2242" spans="11:14">
      <c r="K2242" s="67"/>
      <c r="L2242" s="67"/>
      <c r="M2242" s="67"/>
      <c r="N2242" s="67"/>
    </row>
    <row r="2243" spans="11:14">
      <c r="K2243" s="67"/>
      <c r="L2243" s="67"/>
      <c r="M2243" s="67"/>
      <c r="N2243" s="67"/>
    </row>
    <row r="2244" spans="11:14">
      <c r="K2244" s="67"/>
      <c r="L2244" s="67"/>
      <c r="M2244" s="67"/>
      <c r="N2244" s="67"/>
    </row>
    <row r="2245" spans="11:14">
      <c r="K2245" s="67"/>
      <c r="L2245" s="67"/>
      <c r="M2245" s="67"/>
      <c r="N2245" s="67"/>
    </row>
    <row r="2246" spans="11:14">
      <c r="K2246" s="67"/>
      <c r="L2246" s="67"/>
      <c r="M2246" s="67"/>
      <c r="N2246" s="67"/>
    </row>
    <row r="2247" spans="11:14">
      <c r="K2247" s="67"/>
      <c r="L2247" s="67"/>
      <c r="M2247" s="67"/>
      <c r="N2247" s="67"/>
    </row>
    <row r="2248" spans="11:14">
      <c r="K2248" s="67"/>
      <c r="L2248" s="67"/>
      <c r="M2248" s="67"/>
      <c r="N2248" s="67"/>
    </row>
    <row r="2249" spans="11:14">
      <c r="K2249" s="67"/>
      <c r="L2249" s="67"/>
      <c r="M2249" s="67"/>
      <c r="N2249" s="67"/>
    </row>
    <row r="2250" spans="11:14">
      <c r="K2250" s="67"/>
      <c r="L2250" s="67"/>
      <c r="M2250" s="67"/>
      <c r="N2250" s="67"/>
    </row>
    <row r="2251" spans="11:14">
      <c r="K2251" s="67"/>
      <c r="L2251" s="67"/>
      <c r="M2251" s="67"/>
      <c r="N2251" s="67"/>
    </row>
    <row r="2252" spans="11:14">
      <c r="K2252" s="67"/>
      <c r="L2252" s="67"/>
      <c r="M2252" s="67"/>
      <c r="N2252" s="67"/>
    </row>
    <row r="2253" spans="11:14">
      <c r="K2253" s="67"/>
      <c r="L2253" s="67"/>
      <c r="M2253" s="67"/>
      <c r="N2253" s="67"/>
    </row>
    <row r="2254" spans="11:14">
      <c r="K2254" s="67"/>
      <c r="L2254" s="67"/>
      <c r="M2254" s="67"/>
      <c r="N2254" s="67"/>
    </row>
    <row r="2255" spans="11:14">
      <c r="K2255" s="67"/>
      <c r="L2255" s="67"/>
      <c r="M2255" s="67"/>
      <c r="N2255" s="67"/>
    </row>
    <row r="2256" spans="11:14">
      <c r="K2256" s="67"/>
      <c r="L2256" s="67"/>
      <c r="M2256" s="67"/>
      <c r="N2256" s="67"/>
    </row>
    <row r="2257" spans="11:14">
      <c r="K2257" s="67"/>
      <c r="L2257" s="67"/>
      <c r="M2257" s="67"/>
      <c r="N2257" s="67"/>
    </row>
    <row r="2258" spans="11:14">
      <c r="K2258" s="67"/>
      <c r="L2258" s="67"/>
      <c r="M2258" s="67"/>
      <c r="N2258" s="67"/>
    </row>
    <row r="2259" spans="11:14">
      <c r="K2259" s="67"/>
      <c r="L2259" s="67"/>
      <c r="M2259" s="67"/>
      <c r="N2259" s="67"/>
    </row>
    <row r="2260" spans="11:14">
      <c r="K2260" s="67"/>
      <c r="L2260" s="67"/>
      <c r="M2260" s="67"/>
      <c r="N2260" s="67"/>
    </row>
    <row r="2261" spans="11:14">
      <c r="K2261" s="67"/>
      <c r="L2261" s="67"/>
      <c r="M2261" s="67"/>
      <c r="N2261" s="67"/>
    </row>
    <row r="2262" spans="11:14">
      <c r="K2262" s="67"/>
      <c r="L2262" s="67"/>
      <c r="M2262" s="67"/>
      <c r="N2262" s="67"/>
    </row>
    <row r="2263" spans="11:14">
      <c r="K2263" s="67"/>
      <c r="L2263" s="67"/>
      <c r="M2263" s="67"/>
      <c r="N2263" s="67"/>
    </row>
    <row r="2264" spans="11:14">
      <c r="K2264" s="67"/>
      <c r="L2264" s="67"/>
      <c r="M2264" s="67"/>
      <c r="N2264" s="67"/>
    </row>
    <row r="2265" spans="11:14">
      <c r="K2265" s="67"/>
      <c r="L2265" s="67"/>
      <c r="M2265" s="67"/>
      <c r="N2265" s="67"/>
    </row>
    <row r="2266" spans="11:14">
      <c r="K2266" s="67"/>
      <c r="L2266" s="67"/>
      <c r="M2266" s="67"/>
      <c r="N2266" s="67"/>
    </row>
    <row r="2267" spans="11:14">
      <c r="K2267" s="67"/>
      <c r="L2267" s="67"/>
      <c r="M2267" s="67"/>
      <c r="N2267" s="67"/>
    </row>
    <row r="2268" spans="11:14">
      <c r="K2268" s="67"/>
      <c r="L2268" s="67"/>
      <c r="M2268" s="67"/>
      <c r="N2268" s="67"/>
    </row>
    <row r="2269" spans="11:14">
      <c r="K2269" s="67"/>
      <c r="L2269" s="67"/>
      <c r="M2269" s="67"/>
      <c r="N2269" s="67"/>
    </row>
    <row r="2270" spans="11:14">
      <c r="K2270" s="67"/>
      <c r="L2270" s="67"/>
      <c r="M2270" s="67"/>
      <c r="N2270" s="67"/>
    </row>
    <row r="2271" spans="11:14">
      <c r="K2271" s="67"/>
      <c r="L2271" s="67"/>
      <c r="M2271" s="67"/>
      <c r="N2271" s="67"/>
    </row>
    <row r="2272" spans="11:14">
      <c r="K2272" s="67"/>
      <c r="L2272" s="67"/>
      <c r="M2272" s="67"/>
      <c r="N2272" s="67"/>
    </row>
    <row r="2273" spans="11:14">
      <c r="K2273" s="67"/>
      <c r="L2273" s="67"/>
      <c r="M2273" s="67"/>
      <c r="N2273" s="67"/>
    </row>
    <row r="2274" spans="11:14">
      <c r="K2274" s="67"/>
      <c r="L2274" s="67"/>
      <c r="M2274" s="67"/>
      <c r="N2274" s="67"/>
    </row>
    <row r="2275" spans="11:14">
      <c r="K2275" s="67"/>
      <c r="L2275" s="67"/>
      <c r="M2275" s="67"/>
      <c r="N2275" s="67"/>
    </row>
    <row r="2276" spans="11:14">
      <c r="K2276" s="67"/>
      <c r="L2276" s="67"/>
      <c r="M2276" s="67"/>
      <c r="N2276" s="67"/>
    </row>
    <row r="2277" spans="11:14">
      <c r="K2277" s="67"/>
      <c r="L2277" s="67"/>
      <c r="M2277" s="67"/>
      <c r="N2277" s="67"/>
    </row>
    <row r="2278" spans="11:14">
      <c r="K2278" s="67"/>
      <c r="L2278" s="67"/>
      <c r="M2278" s="67"/>
      <c r="N2278" s="67"/>
    </row>
    <row r="2279" spans="11:14">
      <c r="K2279" s="67"/>
      <c r="L2279" s="67"/>
      <c r="M2279" s="67"/>
      <c r="N2279" s="67"/>
    </row>
    <row r="2280" spans="11:14">
      <c r="K2280" s="67"/>
      <c r="L2280" s="67"/>
      <c r="M2280" s="67"/>
      <c r="N2280" s="67"/>
    </row>
    <row r="2281" spans="11:14">
      <c r="K2281" s="67"/>
      <c r="L2281" s="67"/>
      <c r="M2281" s="67"/>
      <c r="N2281" s="67"/>
    </row>
    <row r="2282" spans="11:14">
      <c r="K2282" s="67"/>
      <c r="L2282" s="67"/>
      <c r="M2282" s="67"/>
      <c r="N2282" s="67"/>
    </row>
    <row r="2283" spans="11:14">
      <c r="K2283" s="67"/>
      <c r="L2283" s="67"/>
      <c r="M2283" s="67"/>
      <c r="N2283" s="67"/>
    </row>
    <row r="2284" spans="11:14">
      <c r="K2284" s="67"/>
      <c r="L2284" s="67"/>
      <c r="M2284" s="67"/>
      <c r="N2284" s="67"/>
    </row>
    <row r="2285" spans="11:14">
      <c r="K2285" s="67"/>
      <c r="L2285" s="67"/>
      <c r="M2285" s="67"/>
      <c r="N2285" s="67"/>
    </row>
    <row r="2286" spans="11:14">
      <c r="K2286" s="67"/>
      <c r="L2286" s="67"/>
      <c r="M2286" s="67"/>
      <c r="N2286" s="67"/>
    </row>
    <row r="2287" spans="11:14">
      <c r="K2287" s="67"/>
      <c r="L2287" s="67"/>
      <c r="M2287" s="67"/>
      <c r="N2287" s="67"/>
    </row>
    <row r="2288" spans="11:14">
      <c r="K2288" s="67"/>
      <c r="L2288" s="67"/>
      <c r="M2288" s="67"/>
      <c r="N2288" s="67"/>
    </row>
    <row r="2289" spans="11:14">
      <c r="K2289" s="67"/>
      <c r="L2289" s="67"/>
      <c r="M2289" s="67"/>
      <c r="N2289" s="67"/>
    </row>
    <row r="2290" spans="11:14">
      <c r="K2290" s="67"/>
      <c r="L2290" s="67"/>
      <c r="M2290" s="67"/>
      <c r="N2290" s="67"/>
    </row>
    <row r="2291" spans="11:14">
      <c r="K2291" s="67"/>
      <c r="L2291" s="67"/>
      <c r="M2291" s="67"/>
      <c r="N2291" s="67"/>
    </row>
    <row r="2292" spans="11:14">
      <c r="K2292" s="67"/>
      <c r="L2292" s="67"/>
      <c r="M2292" s="67"/>
      <c r="N2292" s="67"/>
    </row>
    <row r="2293" spans="11:14">
      <c r="K2293" s="67"/>
      <c r="L2293" s="67"/>
      <c r="M2293" s="67"/>
      <c r="N2293" s="67"/>
    </row>
    <row r="2294" spans="11:14">
      <c r="K2294" s="67"/>
      <c r="L2294" s="67"/>
      <c r="M2294" s="67"/>
      <c r="N2294" s="67"/>
    </row>
    <row r="2295" spans="11:14">
      <c r="K2295" s="67"/>
      <c r="L2295" s="67"/>
      <c r="M2295" s="67"/>
      <c r="N2295" s="67"/>
    </row>
    <row r="2296" spans="11:14">
      <c r="K2296" s="67"/>
      <c r="L2296" s="67"/>
      <c r="M2296" s="67"/>
      <c r="N2296" s="67"/>
    </row>
    <row r="2297" spans="11:14">
      <c r="K2297" s="67"/>
      <c r="L2297" s="67"/>
      <c r="M2297" s="67"/>
      <c r="N2297" s="67"/>
    </row>
    <row r="2298" spans="11:14">
      <c r="K2298" s="67"/>
      <c r="L2298" s="67"/>
      <c r="M2298" s="67"/>
      <c r="N2298" s="67"/>
    </row>
    <row r="2299" spans="11:14">
      <c r="K2299" s="67"/>
      <c r="L2299" s="67"/>
      <c r="M2299" s="67"/>
      <c r="N2299" s="67"/>
    </row>
    <row r="2300" spans="11:14">
      <c r="K2300" s="67"/>
      <c r="L2300" s="67"/>
      <c r="M2300" s="67"/>
      <c r="N2300" s="67"/>
    </row>
    <row r="2301" spans="11:14">
      <c r="K2301" s="67"/>
      <c r="L2301" s="67"/>
      <c r="M2301" s="67"/>
      <c r="N2301" s="67"/>
    </row>
    <row r="2302" spans="11:14">
      <c r="K2302" s="67"/>
      <c r="L2302" s="67"/>
      <c r="M2302" s="67"/>
      <c r="N2302" s="67"/>
    </row>
    <row r="2303" spans="11:14">
      <c r="K2303" s="67"/>
      <c r="L2303" s="67"/>
      <c r="M2303" s="67"/>
      <c r="N2303" s="67"/>
    </row>
    <row r="2304" spans="11:14">
      <c r="K2304" s="67"/>
      <c r="L2304" s="67"/>
      <c r="M2304" s="67"/>
      <c r="N2304" s="67"/>
    </row>
    <row r="2305" spans="11:14">
      <c r="K2305" s="67"/>
      <c r="L2305" s="67"/>
      <c r="M2305" s="67"/>
      <c r="N2305" s="67"/>
    </row>
    <row r="2306" spans="11:14">
      <c r="K2306" s="67"/>
      <c r="L2306" s="67"/>
      <c r="M2306" s="67"/>
      <c r="N2306" s="67"/>
    </row>
    <row r="2307" spans="11:14">
      <c r="K2307" s="67"/>
      <c r="L2307" s="67"/>
      <c r="M2307" s="67"/>
      <c r="N2307" s="67"/>
    </row>
    <row r="2308" spans="11:14">
      <c r="K2308" s="67"/>
      <c r="L2308" s="67"/>
      <c r="M2308" s="67"/>
      <c r="N2308" s="67"/>
    </row>
    <row r="2309" spans="11:14">
      <c r="K2309" s="67"/>
      <c r="L2309" s="67"/>
      <c r="M2309" s="67"/>
      <c r="N2309" s="67"/>
    </row>
    <row r="2310" spans="11:14">
      <c r="K2310" s="67"/>
      <c r="L2310" s="67"/>
      <c r="M2310" s="67"/>
      <c r="N2310" s="67"/>
    </row>
    <row r="2311" spans="11:14">
      <c r="K2311" s="67"/>
      <c r="L2311" s="67"/>
      <c r="M2311" s="67"/>
      <c r="N2311" s="67"/>
    </row>
    <row r="2312" spans="11:14">
      <c r="K2312" s="67"/>
      <c r="L2312" s="67"/>
      <c r="M2312" s="67"/>
      <c r="N2312" s="67"/>
    </row>
    <row r="2313" spans="11:14">
      <c r="K2313" s="67"/>
      <c r="L2313" s="67"/>
      <c r="M2313" s="67"/>
      <c r="N2313" s="67"/>
    </row>
    <row r="2314" spans="11:14">
      <c r="K2314" s="67"/>
      <c r="L2314" s="67"/>
      <c r="M2314" s="67"/>
      <c r="N2314" s="67"/>
    </row>
    <row r="2315" spans="11:14">
      <c r="K2315" s="67"/>
      <c r="L2315" s="67"/>
      <c r="M2315" s="67"/>
      <c r="N2315" s="67"/>
    </row>
    <row r="2316" spans="11:14">
      <c r="K2316" s="67"/>
      <c r="L2316" s="67"/>
      <c r="M2316" s="67"/>
      <c r="N2316" s="67"/>
    </row>
    <row r="2317" spans="11:14">
      <c r="K2317" s="67"/>
      <c r="L2317" s="67"/>
      <c r="M2317" s="67"/>
      <c r="N2317" s="67"/>
    </row>
    <row r="2318" spans="11:14">
      <c r="K2318" s="67"/>
      <c r="L2318" s="67"/>
      <c r="M2318" s="67"/>
      <c r="N2318" s="67"/>
    </row>
    <row r="2319" spans="11:14">
      <c r="K2319" s="67"/>
      <c r="L2319" s="67"/>
      <c r="M2319" s="67"/>
      <c r="N2319" s="67"/>
    </row>
    <row r="2320" spans="11:14">
      <c r="K2320" s="67"/>
      <c r="L2320" s="67"/>
      <c r="M2320" s="67"/>
      <c r="N2320" s="67"/>
    </row>
    <row r="2321" spans="11:14">
      <c r="K2321" s="67"/>
      <c r="L2321" s="67"/>
      <c r="M2321" s="67"/>
      <c r="N2321" s="67"/>
    </row>
    <row r="2322" spans="11:14">
      <c r="K2322" s="67"/>
      <c r="L2322" s="67"/>
      <c r="M2322" s="67"/>
      <c r="N2322" s="67"/>
    </row>
    <row r="2323" spans="11:14">
      <c r="K2323" s="67"/>
      <c r="L2323" s="67"/>
      <c r="M2323" s="67"/>
      <c r="N2323" s="67"/>
    </row>
    <row r="2324" spans="11:14">
      <c r="K2324" s="67"/>
      <c r="L2324" s="67"/>
      <c r="M2324" s="67"/>
      <c r="N2324" s="67"/>
    </row>
    <row r="2325" spans="11:14">
      <c r="K2325" s="67"/>
      <c r="L2325" s="67"/>
      <c r="M2325" s="67"/>
      <c r="N2325" s="67"/>
    </row>
    <row r="2326" spans="11:14">
      <c r="K2326" s="67"/>
      <c r="L2326" s="67"/>
      <c r="M2326" s="67"/>
      <c r="N2326" s="67"/>
    </row>
    <row r="2327" spans="11:14">
      <c r="K2327" s="67"/>
      <c r="L2327" s="67"/>
      <c r="M2327" s="67"/>
      <c r="N2327" s="67"/>
    </row>
    <row r="2328" spans="11:14">
      <c r="K2328" s="67"/>
      <c r="L2328" s="67"/>
      <c r="M2328" s="67"/>
      <c r="N2328" s="67"/>
    </row>
    <row r="2329" spans="11:14">
      <c r="K2329" s="67"/>
      <c r="L2329" s="67"/>
      <c r="M2329" s="67"/>
      <c r="N2329" s="67"/>
    </row>
    <row r="2330" spans="11:14">
      <c r="K2330" s="67"/>
      <c r="L2330" s="67"/>
      <c r="M2330" s="67"/>
      <c r="N2330" s="67"/>
    </row>
    <row r="2331" spans="11:14">
      <c r="K2331" s="67"/>
      <c r="L2331" s="67"/>
      <c r="M2331" s="67"/>
      <c r="N2331" s="67"/>
    </row>
    <row r="2332" spans="11:14">
      <c r="K2332" s="67"/>
      <c r="L2332" s="67"/>
      <c r="M2332" s="67"/>
      <c r="N2332" s="67"/>
    </row>
    <row r="2333" spans="11:14">
      <c r="K2333" s="67"/>
      <c r="L2333" s="67"/>
      <c r="M2333" s="67"/>
      <c r="N2333" s="67"/>
    </row>
    <row r="2334" spans="11:14">
      <c r="K2334" s="67"/>
      <c r="L2334" s="67"/>
      <c r="M2334" s="67"/>
      <c r="N2334" s="67"/>
    </row>
    <row r="2335" spans="11:14">
      <c r="K2335" s="67"/>
      <c r="L2335" s="67"/>
      <c r="M2335" s="67"/>
      <c r="N2335" s="67"/>
    </row>
    <row r="2336" spans="11:14">
      <c r="K2336" s="67"/>
      <c r="L2336" s="67"/>
      <c r="M2336" s="67"/>
      <c r="N2336" s="67"/>
    </row>
    <row r="2337" spans="11:14">
      <c r="K2337" s="67"/>
      <c r="L2337" s="67"/>
      <c r="M2337" s="67"/>
      <c r="N2337" s="67"/>
    </row>
    <row r="2338" spans="11:14">
      <c r="K2338" s="67"/>
      <c r="L2338" s="67"/>
      <c r="M2338" s="67"/>
      <c r="N2338" s="67"/>
    </row>
    <row r="2339" spans="11:14">
      <c r="K2339" s="67"/>
      <c r="L2339" s="67"/>
      <c r="M2339" s="67"/>
      <c r="N2339" s="67"/>
    </row>
    <row r="2340" spans="11:14">
      <c r="K2340" s="67"/>
      <c r="L2340" s="67"/>
      <c r="M2340" s="67"/>
      <c r="N2340" s="67"/>
    </row>
    <row r="2341" spans="11:14">
      <c r="K2341" s="67"/>
      <c r="L2341" s="67"/>
      <c r="M2341" s="67"/>
      <c r="N2341" s="67"/>
    </row>
    <row r="2342" spans="11:14">
      <c r="K2342" s="67"/>
      <c r="L2342" s="67"/>
      <c r="M2342" s="67"/>
      <c r="N2342" s="67"/>
    </row>
    <row r="2343" spans="11:14">
      <c r="K2343" s="67"/>
      <c r="L2343" s="67"/>
      <c r="M2343" s="67"/>
      <c r="N2343" s="67"/>
    </row>
    <row r="2344" spans="11:14">
      <c r="K2344" s="67"/>
      <c r="L2344" s="67"/>
      <c r="M2344" s="67"/>
      <c r="N2344" s="67"/>
    </row>
    <row r="2345" spans="11:14">
      <c r="K2345" s="67"/>
      <c r="L2345" s="67"/>
      <c r="M2345" s="67"/>
      <c r="N2345" s="67"/>
    </row>
    <row r="2346" spans="11:14">
      <c r="K2346" s="67"/>
      <c r="L2346" s="67"/>
      <c r="M2346" s="67"/>
      <c r="N2346" s="67"/>
    </row>
    <row r="2347" spans="11:14">
      <c r="K2347" s="67"/>
      <c r="L2347" s="67"/>
      <c r="M2347" s="67"/>
      <c r="N2347" s="67"/>
    </row>
    <row r="2348" spans="11:14">
      <c r="K2348" s="67"/>
      <c r="L2348" s="67"/>
      <c r="M2348" s="67"/>
      <c r="N2348" s="67"/>
    </row>
    <row r="2349" spans="11:14">
      <c r="K2349" s="67"/>
      <c r="L2349" s="67"/>
      <c r="M2349" s="67"/>
      <c r="N2349" s="67"/>
    </row>
    <row r="2350" spans="11:14">
      <c r="K2350" s="67"/>
      <c r="L2350" s="67"/>
      <c r="M2350" s="67"/>
      <c r="N2350" s="67"/>
    </row>
    <row r="2351" spans="11:14">
      <c r="K2351" s="67"/>
      <c r="L2351" s="67"/>
      <c r="M2351" s="67"/>
      <c r="N2351" s="67"/>
    </row>
    <row r="2352" spans="11:14">
      <c r="K2352" s="67"/>
      <c r="L2352" s="67"/>
      <c r="M2352" s="67"/>
      <c r="N2352" s="67"/>
    </row>
    <row r="2353" spans="11:14">
      <c r="K2353" s="67"/>
      <c r="L2353" s="67"/>
      <c r="M2353" s="67"/>
      <c r="N2353" s="67"/>
    </row>
    <row r="2354" spans="11:14">
      <c r="K2354" s="67"/>
      <c r="L2354" s="67"/>
      <c r="M2354" s="67"/>
      <c r="N2354" s="67"/>
    </row>
    <row r="2355" spans="11:14">
      <c r="K2355" s="67"/>
      <c r="L2355" s="67"/>
      <c r="M2355" s="67"/>
      <c r="N2355" s="67"/>
    </row>
    <row r="2356" spans="11:14">
      <c r="K2356" s="67"/>
      <c r="L2356" s="67"/>
      <c r="M2356" s="67"/>
      <c r="N2356" s="67"/>
    </row>
    <row r="2357" spans="11:14">
      <c r="K2357" s="67"/>
      <c r="L2357" s="67"/>
      <c r="M2357" s="67"/>
      <c r="N2357" s="67"/>
    </row>
    <row r="2358" spans="11:14">
      <c r="K2358" s="67"/>
      <c r="L2358" s="67"/>
      <c r="M2358" s="67"/>
      <c r="N2358" s="67"/>
    </row>
    <row r="2359" spans="11:14">
      <c r="K2359" s="67"/>
      <c r="L2359" s="67"/>
      <c r="M2359" s="67"/>
      <c r="N2359" s="67"/>
    </row>
    <row r="2360" spans="11:14">
      <c r="K2360" s="67"/>
      <c r="L2360" s="67"/>
      <c r="M2360" s="67"/>
      <c r="N2360" s="67"/>
    </row>
    <row r="2361" spans="11:14">
      <c r="K2361" s="67"/>
      <c r="L2361" s="67"/>
      <c r="M2361" s="67"/>
      <c r="N2361" s="67"/>
    </row>
    <row r="2362" spans="11:14">
      <c r="K2362" s="67"/>
      <c r="L2362" s="67"/>
      <c r="M2362" s="67"/>
      <c r="N2362" s="67"/>
    </row>
    <row r="2363" spans="11:14">
      <c r="K2363" s="67"/>
      <c r="L2363" s="67"/>
      <c r="M2363" s="67"/>
      <c r="N2363" s="67"/>
    </row>
    <row r="2364" spans="11:14">
      <c r="K2364" s="67"/>
      <c r="L2364" s="67"/>
      <c r="M2364" s="67"/>
      <c r="N2364" s="67"/>
    </row>
    <row r="2365" spans="11:14">
      <c r="K2365" s="67"/>
      <c r="L2365" s="67"/>
      <c r="M2365" s="67"/>
      <c r="N2365" s="67"/>
    </row>
    <row r="2366" spans="11:14">
      <c r="K2366" s="67"/>
      <c r="L2366" s="67"/>
      <c r="M2366" s="67"/>
      <c r="N2366" s="67"/>
    </row>
    <row r="2367" spans="11:14">
      <c r="K2367" s="67"/>
      <c r="L2367" s="67"/>
      <c r="M2367" s="67"/>
      <c r="N2367" s="67"/>
    </row>
    <row r="2368" spans="11:14">
      <c r="K2368" s="67"/>
      <c r="L2368" s="67"/>
      <c r="M2368" s="67"/>
      <c r="N2368" s="67"/>
    </row>
    <row r="2369" spans="11:14">
      <c r="K2369" s="67"/>
      <c r="L2369" s="67"/>
      <c r="M2369" s="67"/>
      <c r="N2369" s="67"/>
    </row>
    <row r="2370" spans="11:14">
      <c r="K2370" s="67"/>
      <c r="L2370" s="67"/>
      <c r="M2370" s="67"/>
      <c r="N2370" s="67"/>
    </row>
    <row r="2371" spans="11:14">
      <c r="K2371" s="67"/>
      <c r="L2371" s="67"/>
      <c r="M2371" s="67"/>
      <c r="N2371" s="67"/>
    </row>
    <row r="2372" spans="11:14">
      <c r="K2372" s="67"/>
      <c r="L2372" s="67"/>
      <c r="M2372" s="67"/>
      <c r="N2372" s="67"/>
    </row>
    <row r="2373" spans="11:14">
      <c r="K2373" s="67"/>
      <c r="L2373" s="67"/>
      <c r="M2373" s="67"/>
      <c r="N2373" s="67"/>
    </row>
    <row r="2374" spans="11:14">
      <c r="K2374" s="67"/>
      <c r="L2374" s="67"/>
      <c r="M2374" s="67"/>
      <c r="N2374" s="67"/>
    </row>
    <row r="2375" spans="11:14">
      <c r="K2375" s="67"/>
      <c r="L2375" s="67"/>
      <c r="M2375" s="67"/>
      <c r="N2375" s="67"/>
    </row>
    <row r="2376" spans="11:14">
      <c r="K2376" s="67"/>
      <c r="L2376" s="67"/>
      <c r="M2376" s="67"/>
      <c r="N2376" s="67"/>
    </row>
    <row r="2377" spans="11:14">
      <c r="K2377" s="67"/>
      <c r="L2377" s="67"/>
      <c r="M2377" s="67"/>
      <c r="N2377" s="67"/>
    </row>
    <row r="2378" spans="11:14">
      <c r="K2378" s="67"/>
      <c r="L2378" s="67"/>
      <c r="M2378" s="67"/>
      <c r="N2378" s="67"/>
    </row>
    <row r="2379" spans="11:14">
      <c r="K2379" s="67"/>
      <c r="L2379" s="67"/>
      <c r="M2379" s="67"/>
      <c r="N2379" s="67"/>
    </row>
    <row r="2380" spans="11:14">
      <c r="K2380" s="67"/>
      <c r="L2380" s="67"/>
      <c r="M2380" s="67"/>
      <c r="N2380" s="67"/>
    </row>
    <row r="2381" spans="11:14">
      <c r="K2381" s="67"/>
      <c r="L2381" s="67"/>
      <c r="M2381" s="67"/>
      <c r="N2381" s="67"/>
    </row>
    <row r="2382" spans="11:14">
      <c r="K2382" s="67"/>
      <c r="L2382" s="67"/>
      <c r="M2382" s="67"/>
      <c r="N2382" s="67"/>
    </row>
    <row r="2383" spans="11:14">
      <c r="K2383" s="67"/>
      <c r="L2383" s="67"/>
      <c r="M2383" s="67"/>
      <c r="N2383" s="67"/>
    </row>
    <row r="2384" spans="11:14">
      <c r="K2384" s="67"/>
      <c r="L2384" s="67"/>
      <c r="M2384" s="67"/>
      <c r="N2384" s="67"/>
    </row>
    <row r="2385" spans="11:14">
      <c r="K2385" s="67"/>
      <c r="L2385" s="67"/>
      <c r="M2385" s="67"/>
      <c r="N2385" s="67"/>
    </row>
    <row r="2386" spans="11:14">
      <c r="K2386" s="67"/>
      <c r="L2386" s="67"/>
      <c r="M2386" s="67"/>
      <c r="N2386" s="67"/>
    </row>
    <row r="2387" spans="11:14">
      <c r="K2387" s="67"/>
      <c r="L2387" s="67"/>
      <c r="M2387" s="67"/>
      <c r="N2387" s="67"/>
    </row>
    <row r="2388" spans="11:14">
      <c r="K2388" s="67"/>
      <c r="L2388" s="67"/>
      <c r="M2388" s="67"/>
      <c r="N2388" s="67"/>
    </row>
    <row r="2389" spans="11:14">
      <c r="K2389" s="67"/>
      <c r="L2389" s="67"/>
      <c r="M2389" s="67"/>
      <c r="N2389" s="67"/>
    </row>
    <row r="2390" spans="11:14">
      <c r="K2390" s="67"/>
      <c r="L2390" s="67"/>
      <c r="M2390" s="67"/>
      <c r="N2390" s="67"/>
    </row>
    <row r="2391" spans="11:14">
      <c r="K2391" s="67"/>
      <c r="L2391" s="67"/>
      <c r="M2391" s="67"/>
      <c r="N2391" s="67"/>
    </row>
    <row r="2392" spans="11:14">
      <c r="K2392" s="67"/>
      <c r="L2392" s="67"/>
      <c r="M2392" s="67"/>
      <c r="N2392" s="67"/>
    </row>
    <row r="2393" spans="11:14">
      <c r="K2393" s="67"/>
      <c r="L2393" s="67"/>
      <c r="M2393" s="67"/>
      <c r="N2393" s="67"/>
    </row>
    <row r="2394" spans="11:14">
      <c r="K2394" s="67"/>
      <c r="L2394" s="67"/>
      <c r="M2394" s="67"/>
      <c r="N2394" s="67"/>
    </row>
    <row r="2395" spans="11:14">
      <c r="K2395" s="67"/>
      <c r="L2395" s="67"/>
      <c r="M2395" s="67"/>
      <c r="N2395" s="67"/>
    </row>
    <row r="2396" spans="11:14">
      <c r="K2396" s="67"/>
      <c r="L2396" s="67"/>
      <c r="M2396" s="67"/>
      <c r="N2396" s="67"/>
    </row>
    <row r="2397" spans="11:14">
      <c r="K2397" s="67"/>
      <c r="L2397" s="67"/>
      <c r="M2397" s="67"/>
      <c r="N2397" s="67"/>
    </row>
    <row r="2398" spans="11:14">
      <c r="K2398" s="67"/>
      <c r="L2398" s="67"/>
      <c r="M2398" s="67"/>
      <c r="N2398" s="67"/>
    </row>
    <row r="2399" spans="11:14">
      <c r="K2399" s="67"/>
      <c r="L2399" s="67"/>
      <c r="M2399" s="67"/>
      <c r="N2399" s="67"/>
    </row>
    <row r="2400" spans="11:14">
      <c r="K2400" s="67"/>
      <c r="L2400" s="67"/>
      <c r="M2400" s="67"/>
      <c r="N2400" s="67"/>
    </row>
    <row r="2401" spans="11:14">
      <c r="K2401" s="67"/>
      <c r="L2401" s="67"/>
      <c r="M2401" s="67"/>
      <c r="N2401" s="67"/>
    </row>
    <row r="2402" spans="11:14">
      <c r="K2402" s="67"/>
      <c r="L2402" s="67"/>
      <c r="M2402" s="67"/>
      <c r="N2402" s="67"/>
    </row>
    <row r="2403" spans="11:14">
      <c r="K2403" s="67"/>
      <c r="L2403" s="67"/>
      <c r="M2403" s="67"/>
      <c r="N2403" s="67"/>
    </row>
    <row r="2404" spans="11:14">
      <c r="K2404" s="67"/>
      <c r="L2404" s="67"/>
      <c r="M2404" s="67"/>
      <c r="N2404" s="67"/>
    </row>
    <row r="2405" spans="11:14">
      <c r="K2405" s="67"/>
      <c r="L2405" s="67"/>
      <c r="M2405" s="67"/>
      <c r="N2405" s="67"/>
    </row>
    <row r="2406" spans="11:14">
      <c r="K2406" s="67"/>
      <c r="L2406" s="67"/>
      <c r="M2406" s="67"/>
      <c r="N2406" s="67"/>
    </row>
    <row r="2407" spans="11:14">
      <c r="K2407" s="67"/>
      <c r="L2407" s="67"/>
      <c r="M2407" s="67"/>
      <c r="N2407" s="67"/>
    </row>
    <row r="2408" spans="11:14">
      <c r="K2408" s="67"/>
      <c r="L2408" s="67"/>
      <c r="M2408" s="67"/>
      <c r="N2408" s="67"/>
    </row>
    <row r="2409" spans="11:14">
      <c r="K2409" s="67"/>
      <c r="L2409" s="67"/>
      <c r="M2409" s="67"/>
      <c r="N2409" s="67"/>
    </row>
    <row r="2410" spans="11:14">
      <c r="K2410" s="67"/>
      <c r="L2410" s="67"/>
      <c r="M2410" s="67"/>
      <c r="N2410" s="67"/>
    </row>
    <row r="2411" spans="11:14">
      <c r="K2411" s="67"/>
      <c r="L2411" s="67"/>
      <c r="M2411" s="67"/>
      <c r="N2411" s="67"/>
    </row>
    <row r="2412" spans="11:14">
      <c r="K2412" s="67"/>
      <c r="L2412" s="67"/>
      <c r="M2412" s="67"/>
      <c r="N2412" s="67"/>
    </row>
    <row r="2413" spans="11:14">
      <c r="K2413" s="67"/>
      <c r="L2413" s="67"/>
      <c r="M2413" s="67"/>
      <c r="N2413" s="67"/>
    </row>
    <row r="2414" spans="11:14">
      <c r="K2414" s="67"/>
      <c r="L2414" s="67"/>
      <c r="M2414" s="67"/>
      <c r="N2414" s="67"/>
    </row>
    <row r="2415" spans="11:14">
      <c r="K2415" s="67"/>
      <c r="L2415" s="67"/>
      <c r="M2415" s="67"/>
      <c r="N2415" s="67"/>
    </row>
    <row r="2416" spans="11:14">
      <c r="K2416" s="67"/>
      <c r="L2416" s="67"/>
      <c r="M2416" s="67"/>
      <c r="N2416" s="67"/>
    </row>
    <row r="2417" spans="11:14">
      <c r="K2417" s="67"/>
      <c r="L2417" s="67"/>
      <c r="M2417" s="67"/>
      <c r="N2417" s="67"/>
    </row>
    <row r="2418" spans="11:14">
      <c r="K2418" s="67"/>
      <c r="L2418" s="67"/>
      <c r="M2418" s="67"/>
      <c r="N2418" s="67"/>
    </row>
    <row r="2419" spans="11:14">
      <c r="K2419" s="67"/>
      <c r="L2419" s="67"/>
      <c r="M2419" s="67"/>
      <c r="N2419" s="67"/>
    </row>
    <row r="2420" spans="11:14">
      <c r="K2420" s="67"/>
      <c r="L2420" s="67"/>
      <c r="M2420" s="67"/>
      <c r="N2420" s="67"/>
    </row>
    <row r="2421" spans="11:14">
      <c r="K2421" s="67"/>
      <c r="L2421" s="67"/>
      <c r="M2421" s="67"/>
      <c r="N2421" s="67"/>
    </row>
    <row r="2422" spans="11:14">
      <c r="K2422" s="67"/>
      <c r="L2422" s="67"/>
      <c r="M2422" s="67"/>
      <c r="N2422" s="67"/>
    </row>
    <row r="2423" spans="11:14">
      <c r="K2423" s="67"/>
      <c r="L2423" s="67"/>
      <c r="M2423" s="67"/>
      <c r="N2423" s="67"/>
    </row>
    <row r="2424" spans="11:14">
      <c r="K2424" s="67"/>
      <c r="L2424" s="67"/>
      <c r="M2424" s="67"/>
      <c r="N2424" s="67"/>
    </row>
    <row r="2425" spans="11:14">
      <c r="K2425" s="67"/>
      <c r="L2425" s="67"/>
      <c r="M2425" s="67"/>
      <c r="N2425" s="67"/>
    </row>
    <row r="2426" spans="11:14">
      <c r="K2426" s="67"/>
      <c r="L2426" s="67"/>
      <c r="M2426" s="67"/>
      <c r="N2426" s="67"/>
    </row>
    <row r="2427" spans="11:14">
      <c r="K2427" s="67"/>
      <c r="L2427" s="67"/>
      <c r="M2427" s="67"/>
      <c r="N2427" s="67"/>
    </row>
    <row r="2428" spans="11:14">
      <c r="K2428" s="67"/>
      <c r="L2428" s="67"/>
      <c r="M2428" s="67"/>
      <c r="N2428" s="67"/>
    </row>
    <row r="2429" spans="11:14">
      <c r="K2429" s="67"/>
      <c r="L2429" s="67"/>
      <c r="M2429" s="67"/>
      <c r="N2429" s="67"/>
    </row>
    <row r="2430" spans="11:14">
      <c r="K2430" s="67"/>
      <c r="L2430" s="67"/>
      <c r="M2430" s="67"/>
      <c r="N2430" s="67"/>
    </row>
    <row r="2431" spans="11:14">
      <c r="K2431" s="67"/>
      <c r="L2431" s="67"/>
      <c r="M2431" s="67"/>
      <c r="N2431" s="67"/>
    </row>
    <row r="2432" spans="11:14">
      <c r="K2432" s="67"/>
      <c r="L2432" s="67"/>
      <c r="M2432" s="67"/>
      <c r="N2432" s="67"/>
    </row>
    <row r="2433" spans="11:14">
      <c r="K2433" s="67"/>
      <c r="L2433" s="67"/>
      <c r="M2433" s="67"/>
      <c r="N2433" s="67"/>
    </row>
    <row r="2434" spans="11:14">
      <c r="K2434" s="67"/>
      <c r="L2434" s="67"/>
      <c r="M2434" s="67"/>
      <c r="N2434" s="67"/>
    </row>
    <row r="2435" spans="11:14">
      <c r="K2435" s="67"/>
      <c r="L2435" s="67"/>
      <c r="M2435" s="67"/>
      <c r="N2435" s="67"/>
    </row>
    <row r="2436" spans="11:14">
      <c r="K2436" s="67"/>
      <c r="L2436" s="67"/>
      <c r="M2436" s="67"/>
      <c r="N2436" s="67"/>
    </row>
    <row r="2437" spans="11:14">
      <c r="K2437" s="67"/>
      <c r="L2437" s="67"/>
      <c r="M2437" s="67"/>
      <c r="N2437" s="67"/>
    </row>
    <row r="2438" spans="11:14">
      <c r="K2438" s="67"/>
      <c r="L2438" s="67"/>
      <c r="M2438" s="67"/>
      <c r="N2438" s="67"/>
    </row>
    <row r="2439" spans="11:14">
      <c r="K2439" s="67"/>
      <c r="L2439" s="67"/>
      <c r="M2439" s="67"/>
      <c r="N2439" s="67"/>
    </row>
    <row r="2440" spans="11:14">
      <c r="K2440" s="67"/>
      <c r="L2440" s="67"/>
      <c r="M2440" s="67"/>
      <c r="N2440" s="67"/>
    </row>
    <row r="2441" spans="11:14">
      <c r="K2441" s="67"/>
      <c r="L2441" s="67"/>
      <c r="M2441" s="67"/>
      <c r="N2441" s="67"/>
    </row>
    <row r="2442" spans="11:14">
      <c r="K2442" s="67"/>
      <c r="L2442" s="67"/>
      <c r="M2442" s="67"/>
      <c r="N2442" s="67"/>
    </row>
    <row r="2443" spans="11:14">
      <c r="K2443" s="67"/>
      <c r="L2443" s="67"/>
      <c r="M2443" s="67"/>
      <c r="N2443" s="67"/>
    </row>
    <row r="2444" spans="11:14">
      <c r="K2444" s="67"/>
      <c r="L2444" s="67"/>
      <c r="M2444" s="67"/>
      <c r="N2444" s="67"/>
    </row>
    <row r="2445" spans="11:14">
      <c r="K2445" s="67"/>
      <c r="L2445" s="67"/>
      <c r="M2445" s="67"/>
      <c r="N2445" s="67"/>
    </row>
    <row r="2446" spans="11:14">
      <c r="K2446" s="67"/>
      <c r="L2446" s="67"/>
      <c r="M2446" s="67"/>
      <c r="N2446" s="67"/>
    </row>
    <row r="2447" spans="11:14">
      <c r="K2447" s="67"/>
      <c r="L2447" s="67"/>
      <c r="M2447" s="67"/>
      <c r="N2447" s="67"/>
    </row>
    <row r="2448" spans="11:14">
      <c r="K2448" s="67"/>
      <c r="L2448" s="67"/>
      <c r="M2448" s="67"/>
      <c r="N2448" s="67"/>
    </row>
    <row r="2449" spans="11:14">
      <c r="K2449" s="67"/>
      <c r="L2449" s="67"/>
      <c r="M2449" s="67"/>
      <c r="N2449" s="67"/>
    </row>
    <row r="2450" spans="11:14">
      <c r="K2450" s="67"/>
      <c r="L2450" s="67"/>
      <c r="M2450" s="67"/>
      <c r="N2450" s="67"/>
    </row>
    <row r="2451" spans="11:14">
      <c r="K2451" s="67"/>
      <c r="L2451" s="67"/>
      <c r="M2451" s="67"/>
      <c r="N2451" s="67"/>
    </row>
    <row r="2452" spans="11:14">
      <c r="K2452" s="67"/>
      <c r="L2452" s="67"/>
      <c r="M2452" s="67"/>
      <c r="N2452" s="67"/>
    </row>
    <row r="2453" spans="11:14">
      <c r="K2453" s="67"/>
      <c r="L2453" s="67"/>
      <c r="M2453" s="67"/>
      <c r="N2453" s="67"/>
    </row>
    <row r="2454" spans="11:14">
      <c r="K2454" s="67"/>
      <c r="L2454" s="67"/>
      <c r="M2454" s="67"/>
      <c r="N2454" s="67"/>
    </row>
    <row r="2455" spans="11:14">
      <c r="K2455" s="67"/>
      <c r="L2455" s="67"/>
      <c r="M2455" s="67"/>
      <c r="N2455" s="67"/>
    </row>
    <row r="2456" spans="11:14">
      <c r="K2456" s="67"/>
      <c r="L2456" s="67"/>
      <c r="M2456" s="67"/>
      <c r="N2456" s="67"/>
    </row>
    <row r="2457" spans="11:14">
      <c r="K2457" s="67"/>
      <c r="L2457" s="67"/>
      <c r="M2457" s="67"/>
      <c r="N2457" s="67"/>
    </row>
    <row r="2458" spans="11:14">
      <c r="K2458" s="67"/>
      <c r="L2458" s="67"/>
      <c r="M2458" s="67"/>
      <c r="N2458" s="67"/>
    </row>
    <row r="2459" spans="11:14">
      <c r="K2459" s="67"/>
      <c r="L2459" s="67"/>
      <c r="M2459" s="67"/>
      <c r="N2459" s="67"/>
    </row>
    <row r="2460" spans="11:14">
      <c r="K2460" s="67"/>
      <c r="L2460" s="67"/>
      <c r="M2460" s="67"/>
      <c r="N2460" s="67"/>
    </row>
    <row r="2461" spans="11:14">
      <c r="K2461" s="67"/>
      <c r="L2461" s="67"/>
      <c r="M2461" s="67"/>
      <c r="N2461" s="67"/>
    </row>
    <row r="2462" spans="11:14">
      <c r="K2462" s="67"/>
      <c r="L2462" s="67"/>
      <c r="M2462" s="67"/>
      <c r="N2462" s="67"/>
    </row>
    <row r="2463" spans="11:14">
      <c r="K2463" s="67"/>
      <c r="L2463" s="67"/>
      <c r="M2463" s="67"/>
      <c r="N2463" s="67"/>
    </row>
    <row r="2464" spans="11:14">
      <c r="K2464" s="67"/>
      <c r="L2464" s="67"/>
      <c r="M2464" s="67"/>
      <c r="N2464" s="67"/>
    </row>
    <row r="2465" spans="11:14">
      <c r="K2465" s="67"/>
      <c r="L2465" s="67"/>
      <c r="M2465" s="67"/>
      <c r="N2465" s="67"/>
    </row>
    <row r="2466" spans="11:14">
      <c r="K2466" s="67"/>
      <c r="L2466" s="67"/>
      <c r="M2466" s="67"/>
      <c r="N2466" s="67"/>
    </row>
    <row r="2467" spans="11:14">
      <c r="K2467" s="67"/>
      <c r="L2467" s="67"/>
      <c r="M2467" s="67"/>
      <c r="N2467" s="67"/>
    </row>
    <row r="2468" spans="11:14">
      <c r="K2468" s="67"/>
      <c r="L2468" s="67"/>
      <c r="M2468" s="67"/>
      <c r="N2468" s="67"/>
    </row>
    <row r="2469" spans="11:14">
      <c r="K2469" s="67"/>
      <c r="L2469" s="67"/>
      <c r="M2469" s="67"/>
      <c r="N2469" s="67"/>
    </row>
    <row r="2470" spans="11:14">
      <c r="K2470" s="67"/>
      <c r="L2470" s="67"/>
      <c r="M2470" s="67"/>
      <c r="N2470" s="67"/>
    </row>
    <row r="2471" spans="11:14">
      <c r="K2471" s="67"/>
      <c r="L2471" s="67"/>
      <c r="M2471" s="67"/>
      <c r="N2471" s="67"/>
    </row>
    <row r="2472" spans="11:14">
      <c r="K2472" s="67"/>
      <c r="L2472" s="67"/>
      <c r="M2472" s="67"/>
      <c r="N2472" s="67"/>
    </row>
    <row r="2473" spans="11:14">
      <c r="K2473" s="67"/>
      <c r="L2473" s="67"/>
      <c r="M2473" s="67"/>
      <c r="N2473" s="67"/>
    </row>
    <row r="2474" spans="11:14">
      <c r="K2474" s="67"/>
      <c r="L2474" s="67"/>
      <c r="M2474" s="67"/>
      <c r="N2474" s="67"/>
    </row>
    <row r="2475" spans="11:14">
      <c r="K2475" s="67"/>
      <c r="L2475" s="67"/>
      <c r="M2475" s="67"/>
      <c r="N2475" s="67"/>
    </row>
    <row r="2476" spans="11:14">
      <c r="K2476" s="67"/>
      <c r="L2476" s="67"/>
      <c r="M2476" s="67"/>
      <c r="N2476" s="67"/>
    </row>
    <row r="2477" spans="11:14">
      <c r="K2477" s="67"/>
      <c r="L2477" s="67"/>
      <c r="M2477" s="67"/>
      <c r="N2477" s="67"/>
    </row>
    <row r="2478" spans="11:14">
      <c r="K2478" s="67"/>
      <c r="L2478" s="67"/>
      <c r="M2478" s="67"/>
      <c r="N2478" s="67"/>
    </row>
    <row r="2479" spans="11:14">
      <c r="K2479" s="67"/>
      <c r="L2479" s="67"/>
      <c r="M2479" s="67"/>
      <c r="N2479" s="67"/>
    </row>
    <row r="2480" spans="11:14">
      <c r="K2480" s="67"/>
      <c r="L2480" s="67"/>
      <c r="M2480" s="67"/>
      <c r="N2480" s="67"/>
    </row>
    <row r="2481" spans="11:14">
      <c r="K2481" s="67"/>
      <c r="L2481" s="67"/>
      <c r="M2481" s="67"/>
      <c r="N2481" s="67"/>
    </row>
    <row r="2482" spans="11:14">
      <c r="K2482" s="67"/>
      <c r="L2482" s="67"/>
      <c r="M2482" s="67"/>
      <c r="N2482" s="67"/>
    </row>
    <row r="2483" spans="11:14">
      <c r="K2483" s="67"/>
      <c r="L2483" s="67"/>
      <c r="M2483" s="67"/>
      <c r="N2483" s="67"/>
    </row>
    <row r="2484" spans="11:14">
      <c r="K2484" s="67"/>
      <c r="L2484" s="67"/>
      <c r="M2484" s="67"/>
      <c r="N2484" s="67"/>
    </row>
    <row r="2485" spans="11:14">
      <c r="K2485" s="67"/>
      <c r="L2485" s="67"/>
      <c r="M2485" s="67"/>
      <c r="N2485" s="67"/>
    </row>
    <row r="2486" spans="11:14">
      <c r="K2486" s="67"/>
      <c r="L2486" s="67"/>
      <c r="M2486" s="67"/>
      <c r="N2486" s="67"/>
    </row>
    <row r="2487" spans="11:14">
      <c r="K2487" s="67"/>
      <c r="L2487" s="67"/>
      <c r="M2487" s="67"/>
      <c r="N2487" s="67"/>
    </row>
    <row r="2488" spans="11:14">
      <c r="K2488" s="67"/>
      <c r="L2488" s="67"/>
      <c r="M2488" s="67"/>
      <c r="N2488" s="67"/>
    </row>
    <row r="2489" spans="11:14">
      <c r="K2489" s="67"/>
      <c r="L2489" s="67"/>
      <c r="M2489" s="67"/>
      <c r="N2489" s="67"/>
    </row>
    <row r="2490" spans="11:14">
      <c r="K2490" s="67"/>
      <c r="L2490" s="67"/>
      <c r="M2490" s="67"/>
      <c r="N2490" s="67"/>
    </row>
    <row r="2491" spans="11:14">
      <c r="K2491" s="67"/>
      <c r="L2491" s="67"/>
      <c r="M2491" s="67"/>
      <c r="N2491" s="67"/>
    </row>
    <row r="2492" spans="11:14">
      <c r="K2492" s="67"/>
      <c r="L2492" s="67"/>
      <c r="M2492" s="67"/>
      <c r="N2492" s="67"/>
    </row>
    <row r="2493" spans="11:14">
      <c r="K2493" s="67"/>
      <c r="L2493" s="67"/>
      <c r="M2493" s="67"/>
      <c r="N2493" s="67"/>
    </row>
    <row r="2494" spans="11:14">
      <c r="K2494" s="67"/>
      <c r="L2494" s="67"/>
      <c r="M2494" s="67"/>
      <c r="N2494" s="67"/>
    </row>
    <row r="2495" spans="11:14">
      <c r="K2495" s="67"/>
      <c r="L2495" s="67"/>
      <c r="M2495" s="67"/>
      <c r="N2495" s="67"/>
    </row>
    <row r="2496" spans="11:14">
      <c r="K2496" s="67"/>
      <c r="L2496" s="67"/>
      <c r="M2496" s="67"/>
      <c r="N2496" s="67"/>
    </row>
    <row r="2497" spans="11:14">
      <c r="K2497" s="67"/>
      <c r="L2497" s="67"/>
      <c r="M2497" s="67"/>
      <c r="N2497" s="67"/>
    </row>
    <row r="2498" spans="11:14">
      <c r="K2498" s="67"/>
      <c r="L2498" s="67"/>
      <c r="M2498" s="67"/>
      <c r="N2498" s="67"/>
    </row>
    <row r="2499" spans="11:14">
      <c r="K2499" s="67"/>
      <c r="L2499" s="67"/>
      <c r="M2499" s="67"/>
      <c r="N2499" s="67"/>
    </row>
    <row r="2500" spans="11:14">
      <c r="K2500" s="67"/>
      <c r="L2500" s="67"/>
      <c r="M2500" s="67"/>
      <c r="N2500" s="67"/>
    </row>
    <row r="2501" spans="11:14">
      <c r="K2501" s="67"/>
      <c r="L2501" s="67"/>
      <c r="M2501" s="67"/>
      <c r="N2501" s="67"/>
    </row>
    <row r="2502" spans="11:14">
      <c r="K2502" s="67"/>
      <c r="L2502" s="67"/>
      <c r="M2502" s="67"/>
      <c r="N2502" s="67"/>
    </row>
    <row r="2503" spans="11:14">
      <c r="K2503" s="67"/>
      <c r="L2503" s="67"/>
      <c r="M2503" s="67"/>
      <c r="N2503" s="67"/>
    </row>
    <row r="2504" spans="11:14">
      <c r="K2504" s="67"/>
      <c r="L2504" s="67"/>
      <c r="M2504" s="67"/>
      <c r="N2504" s="67"/>
    </row>
    <row r="2505" spans="11:14">
      <c r="K2505" s="67"/>
      <c r="L2505" s="67"/>
      <c r="M2505" s="67"/>
      <c r="N2505" s="67"/>
    </row>
    <row r="2506" spans="11:14">
      <c r="K2506" s="67"/>
      <c r="L2506" s="67"/>
      <c r="M2506" s="67"/>
      <c r="N2506" s="67"/>
    </row>
    <row r="2507" spans="11:14">
      <c r="K2507" s="67"/>
      <c r="L2507" s="67"/>
      <c r="M2507" s="67"/>
      <c r="N2507" s="67"/>
    </row>
    <row r="2508" spans="11:14">
      <c r="K2508" s="67"/>
      <c r="L2508" s="67"/>
      <c r="M2508" s="67"/>
      <c r="N2508" s="67"/>
    </row>
    <row r="2509" spans="11:14">
      <c r="K2509" s="67"/>
      <c r="L2509" s="67"/>
      <c r="M2509" s="67"/>
      <c r="N2509" s="67"/>
    </row>
    <row r="2510" spans="11:14">
      <c r="K2510" s="67"/>
      <c r="L2510" s="67"/>
      <c r="M2510" s="67"/>
      <c r="N2510" s="67"/>
    </row>
    <row r="2511" spans="11:14">
      <c r="K2511" s="67"/>
      <c r="L2511" s="67"/>
      <c r="M2511" s="67"/>
      <c r="N2511" s="67"/>
    </row>
    <row r="2512" spans="11:14">
      <c r="K2512" s="67"/>
      <c r="L2512" s="67"/>
      <c r="M2512" s="67"/>
      <c r="N2512" s="67"/>
    </row>
    <row r="2513" spans="11:14">
      <c r="K2513" s="67"/>
      <c r="L2513" s="67"/>
      <c r="M2513" s="67"/>
      <c r="N2513" s="67"/>
    </row>
    <row r="2514" spans="11:14">
      <c r="K2514" s="67"/>
      <c r="L2514" s="67"/>
      <c r="M2514" s="67"/>
      <c r="N2514" s="67"/>
    </row>
    <row r="2515" spans="11:14">
      <c r="K2515" s="67"/>
      <c r="L2515" s="67"/>
      <c r="M2515" s="67"/>
      <c r="N2515" s="67"/>
    </row>
    <row r="2516" spans="11:14">
      <c r="K2516" s="67"/>
      <c r="L2516" s="67"/>
      <c r="M2516" s="67"/>
      <c r="N2516" s="67"/>
    </row>
    <row r="2517" spans="11:14">
      <c r="K2517" s="67"/>
      <c r="L2517" s="67"/>
      <c r="M2517" s="67"/>
      <c r="N2517" s="67"/>
    </row>
    <row r="2518" spans="11:14">
      <c r="K2518" s="67"/>
      <c r="L2518" s="67"/>
      <c r="M2518" s="67"/>
      <c r="N2518" s="67"/>
    </row>
    <row r="2519" spans="11:14">
      <c r="K2519" s="67"/>
      <c r="L2519" s="67"/>
      <c r="M2519" s="67"/>
      <c r="N2519" s="67"/>
    </row>
    <row r="2520" spans="11:14">
      <c r="K2520" s="67"/>
      <c r="L2520" s="67"/>
      <c r="M2520" s="67"/>
      <c r="N2520" s="67"/>
    </row>
    <row r="2521" spans="11:14">
      <c r="K2521" s="67"/>
      <c r="L2521" s="67"/>
      <c r="M2521" s="67"/>
      <c r="N2521" s="67"/>
    </row>
    <row r="2522" spans="11:14">
      <c r="K2522" s="67"/>
      <c r="L2522" s="67"/>
      <c r="M2522" s="67"/>
      <c r="N2522" s="67"/>
    </row>
    <row r="2523" spans="11:14">
      <c r="K2523" s="67"/>
      <c r="L2523" s="67"/>
      <c r="M2523" s="67"/>
      <c r="N2523" s="67"/>
    </row>
    <row r="2524" spans="11:14">
      <c r="K2524" s="67"/>
      <c r="L2524" s="67"/>
      <c r="M2524" s="67"/>
      <c r="N2524" s="67"/>
    </row>
    <row r="2525" spans="11:14">
      <c r="K2525" s="67"/>
      <c r="L2525" s="67"/>
      <c r="M2525" s="67"/>
      <c r="N2525" s="67"/>
    </row>
    <row r="2526" spans="11:14">
      <c r="K2526" s="67"/>
      <c r="L2526" s="67"/>
      <c r="M2526" s="67"/>
      <c r="N2526" s="67"/>
    </row>
    <row r="2527" spans="11:14">
      <c r="K2527" s="67"/>
      <c r="L2527" s="67"/>
      <c r="M2527" s="67"/>
      <c r="N2527" s="67"/>
    </row>
    <row r="2528" spans="11:14">
      <c r="K2528" s="67"/>
      <c r="L2528" s="67"/>
      <c r="M2528" s="67"/>
      <c r="N2528" s="67"/>
    </row>
    <row r="2529" spans="11:14">
      <c r="K2529" s="67"/>
      <c r="L2529" s="67"/>
      <c r="M2529" s="67"/>
      <c r="N2529" s="67"/>
    </row>
    <row r="2530" spans="11:14">
      <c r="K2530" s="67"/>
      <c r="L2530" s="67"/>
      <c r="M2530" s="67"/>
      <c r="N2530" s="67"/>
    </row>
    <row r="2531" spans="11:14">
      <c r="K2531" s="67"/>
      <c r="L2531" s="67"/>
      <c r="M2531" s="67"/>
      <c r="N2531" s="67"/>
    </row>
    <row r="2532" spans="11:14">
      <c r="K2532" s="67"/>
      <c r="L2532" s="67"/>
      <c r="M2532" s="67"/>
      <c r="N2532" s="67"/>
    </row>
    <row r="2533" spans="11:14">
      <c r="K2533" s="67"/>
      <c r="L2533" s="67"/>
      <c r="M2533" s="67"/>
      <c r="N2533" s="67"/>
    </row>
    <row r="2534" spans="11:14">
      <c r="K2534" s="67"/>
      <c r="L2534" s="67"/>
      <c r="M2534" s="67"/>
      <c r="N2534" s="67"/>
    </row>
    <row r="2535" spans="11:14">
      <c r="K2535" s="67"/>
      <c r="L2535" s="67"/>
      <c r="M2535" s="67"/>
      <c r="N2535" s="67"/>
    </row>
    <row r="2536" spans="11:14">
      <c r="K2536" s="67"/>
      <c r="L2536" s="67"/>
      <c r="M2536" s="67"/>
      <c r="N2536" s="67"/>
    </row>
    <row r="2537" spans="11:14">
      <c r="K2537" s="67"/>
      <c r="L2537" s="67"/>
      <c r="M2537" s="67"/>
      <c r="N2537" s="67"/>
    </row>
    <row r="2538" spans="11:14">
      <c r="K2538" s="67"/>
      <c r="L2538" s="67"/>
      <c r="M2538" s="67"/>
      <c r="N2538" s="67"/>
    </row>
    <row r="2539" spans="11:14">
      <c r="K2539" s="67"/>
      <c r="L2539" s="67"/>
      <c r="M2539" s="67"/>
      <c r="N2539" s="67"/>
    </row>
    <row r="2540" spans="11:14">
      <c r="K2540" s="67"/>
      <c r="L2540" s="67"/>
      <c r="M2540" s="67"/>
      <c r="N2540" s="67"/>
    </row>
    <row r="2541" spans="11:14">
      <c r="K2541" s="67"/>
      <c r="L2541" s="67"/>
      <c r="M2541" s="67"/>
      <c r="N2541" s="67"/>
    </row>
    <row r="2542" spans="11:14">
      <c r="K2542" s="67"/>
      <c r="L2542" s="67"/>
      <c r="M2542" s="67"/>
      <c r="N2542" s="67"/>
    </row>
    <row r="2543" spans="11:14">
      <c r="K2543" s="67"/>
      <c r="L2543" s="67"/>
      <c r="M2543" s="67"/>
      <c r="N2543" s="67"/>
    </row>
    <row r="2544" spans="11:14">
      <c r="K2544" s="67"/>
      <c r="L2544" s="67"/>
      <c r="M2544" s="67"/>
      <c r="N2544" s="67"/>
    </row>
    <row r="2545" spans="11:14">
      <c r="K2545" s="67"/>
      <c r="L2545" s="67"/>
      <c r="M2545" s="67"/>
      <c r="N2545" s="67"/>
    </row>
    <row r="2546" spans="11:14">
      <c r="K2546" s="67"/>
      <c r="L2546" s="67"/>
      <c r="M2546" s="67"/>
      <c r="N2546" s="67"/>
    </row>
    <row r="2547" spans="11:14">
      <c r="K2547" s="67"/>
      <c r="L2547" s="67"/>
      <c r="M2547" s="67"/>
      <c r="N2547" s="67"/>
    </row>
    <row r="2548" spans="11:14">
      <c r="K2548" s="67"/>
      <c r="L2548" s="67"/>
      <c r="M2548" s="67"/>
      <c r="N2548" s="67"/>
    </row>
    <row r="2549" spans="11:14">
      <c r="K2549" s="67"/>
      <c r="L2549" s="67"/>
      <c r="M2549" s="67"/>
      <c r="N2549" s="67"/>
    </row>
    <row r="2550" spans="11:14">
      <c r="K2550" s="67"/>
      <c r="L2550" s="67"/>
      <c r="M2550" s="67"/>
      <c r="N2550" s="67"/>
    </row>
    <row r="2551" spans="11:14">
      <c r="K2551" s="67"/>
      <c r="L2551" s="67"/>
      <c r="M2551" s="67"/>
      <c r="N2551" s="67"/>
    </row>
    <row r="2552" spans="11:14">
      <c r="K2552" s="67"/>
      <c r="L2552" s="67"/>
      <c r="M2552" s="67"/>
      <c r="N2552" s="67"/>
    </row>
    <row r="2553" spans="11:14">
      <c r="K2553" s="67"/>
      <c r="L2553" s="67"/>
      <c r="M2553" s="67"/>
      <c r="N2553" s="67"/>
    </row>
    <row r="2554" spans="11:14">
      <c r="K2554" s="67"/>
      <c r="L2554" s="67"/>
      <c r="M2554" s="67"/>
      <c r="N2554" s="67"/>
    </row>
    <row r="2555" spans="11:14">
      <c r="K2555" s="67"/>
      <c r="L2555" s="67"/>
      <c r="M2555" s="67"/>
      <c r="N2555" s="67"/>
    </row>
    <row r="2556" spans="11:14">
      <c r="K2556" s="67"/>
      <c r="L2556" s="67"/>
      <c r="M2556" s="67"/>
      <c r="N2556" s="67"/>
    </row>
    <row r="2557" spans="11:14">
      <c r="K2557" s="67"/>
      <c r="L2557" s="67"/>
      <c r="M2557" s="67"/>
      <c r="N2557" s="67"/>
    </row>
    <row r="2558" spans="11:14">
      <c r="K2558" s="67"/>
      <c r="L2558" s="67"/>
      <c r="M2558" s="67"/>
      <c r="N2558" s="67"/>
    </row>
    <row r="2559" spans="11:14">
      <c r="K2559" s="67"/>
      <c r="L2559" s="67"/>
      <c r="M2559" s="67"/>
      <c r="N2559" s="67"/>
    </row>
    <row r="2560" spans="11:14">
      <c r="K2560" s="67"/>
      <c r="L2560" s="67"/>
      <c r="M2560" s="67"/>
      <c r="N2560" s="67"/>
    </row>
    <row r="2561" spans="11:14">
      <c r="K2561" s="67"/>
      <c r="L2561" s="67"/>
      <c r="M2561" s="67"/>
      <c r="N2561" s="67"/>
    </row>
    <row r="2562" spans="11:14">
      <c r="K2562" s="67"/>
      <c r="L2562" s="67"/>
      <c r="M2562" s="67"/>
      <c r="N2562" s="67"/>
    </row>
    <row r="2563" spans="11:14">
      <c r="K2563" s="67"/>
      <c r="L2563" s="67"/>
      <c r="M2563" s="67"/>
      <c r="N2563" s="67"/>
    </row>
    <row r="2564" spans="11:14">
      <c r="K2564" s="67"/>
      <c r="L2564" s="67"/>
      <c r="M2564" s="67"/>
      <c r="N2564" s="67"/>
    </row>
    <row r="2565" spans="11:14">
      <c r="K2565" s="67"/>
      <c r="L2565" s="67"/>
      <c r="M2565" s="67"/>
      <c r="N2565" s="67"/>
    </row>
    <row r="2566" spans="11:14">
      <c r="K2566" s="67"/>
      <c r="L2566" s="67"/>
      <c r="M2566" s="67"/>
      <c r="N2566" s="67"/>
    </row>
    <row r="2567" spans="11:14">
      <c r="K2567" s="67"/>
      <c r="L2567" s="67"/>
      <c r="M2567" s="67"/>
      <c r="N2567" s="67"/>
    </row>
    <row r="2568" spans="11:14">
      <c r="K2568" s="67"/>
      <c r="L2568" s="67"/>
      <c r="M2568" s="67"/>
      <c r="N2568" s="67"/>
    </row>
    <row r="2569" spans="11:14">
      <c r="K2569" s="67"/>
      <c r="L2569" s="67"/>
      <c r="M2569" s="67"/>
      <c r="N2569" s="67"/>
    </row>
    <row r="2570" spans="11:14">
      <c r="K2570" s="67"/>
      <c r="L2570" s="67"/>
      <c r="M2570" s="67"/>
      <c r="N2570" s="67"/>
    </row>
    <row r="2571" spans="11:14">
      <c r="K2571" s="67"/>
      <c r="L2571" s="67"/>
      <c r="M2571" s="67"/>
      <c r="N2571" s="67"/>
    </row>
    <row r="2572" spans="11:14">
      <c r="K2572" s="67"/>
      <c r="L2572" s="67"/>
      <c r="M2572" s="67"/>
      <c r="N2572" s="67"/>
    </row>
    <row r="2573" spans="11:14">
      <c r="K2573" s="67"/>
      <c r="L2573" s="67"/>
      <c r="M2573" s="67"/>
      <c r="N2573" s="67"/>
    </row>
    <row r="2574" spans="11:14">
      <c r="K2574" s="67"/>
      <c r="L2574" s="67"/>
      <c r="M2574" s="67"/>
      <c r="N2574" s="67"/>
    </row>
    <row r="2575" spans="11:14">
      <c r="K2575" s="67"/>
      <c r="L2575" s="67"/>
      <c r="M2575" s="67"/>
      <c r="N2575" s="67"/>
    </row>
    <row r="2576" spans="11:14">
      <c r="K2576" s="67"/>
      <c r="L2576" s="67"/>
      <c r="M2576" s="67"/>
      <c r="N2576" s="67"/>
    </row>
    <row r="2577" spans="11:14">
      <c r="K2577" s="67"/>
      <c r="L2577" s="67"/>
      <c r="M2577" s="67"/>
      <c r="N2577" s="67"/>
    </row>
    <row r="2578" spans="11:14">
      <c r="K2578" s="67"/>
      <c r="L2578" s="67"/>
      <c r="M2578" s="67"/>
      <c r="N2578" s="67"/>
    </row>
    <row r="2579" spans="11:14">
      <c r="K2579" s="67"/>
      <c r="L2579" s="67"/>
      <c r="M2579" s="67"/>
      <c r="N2579" s="67"/>
    </row>
    <row r="2580" spans="11:14">
      <c r="K2580" s="67"/>
      <c r="L2580" s="67"/>
      <c r="M2580" s="67"/>
      <c r="N2580" s="67"/>
    </row>
    <row r="2581" spans="11:14">
      <c r="K2581" s="67"/>
      <c r="L2581" s="67"/>
      <c r="M2581" s="67"/>
      <c r="N2581" s="67"/>
    </row>
    <row r="2582" spans="11:14">
      <c r="K2582" s="67"/>
      <c r="L2582" s="67"/>
      <c r="M2582" s="67"/>
      <c r="N2582" s="67"/>
    </row>
    <row r="2583" spans="11:14">
      <c r="K2583" s="67"/>
      <c r="L2583" s="67"/>
      <c r="M2583" s="67"/>
      <c r="N2583" s="67"/>
    </row>
    <row r="2584" spans="11:14">
      <c r="K2584" s="67"/>
      <c r="L2584" s="67"/>
      <c r="M2584" s="67"/>
      <c r="N2584" s="67"/>
    </row>
    <row r="2585" spans="11:14">
      <c r="K2585" s="67"/>
      <c r="L2585" s="67"/>
      <c r="M2585" s="67"/>
      <c r="N2585" s="67"/>
    </row>
    <row r="2586" spans="11:14">
      <c r="K2586" s="67"/>
      <c r="L2586" s="67"/>
      <c r="M2586" s="67"/>
      <c r="N2586" s="67"/>
    </row>
    <row r="2587" spans="11:14">
      <c r="K2587" s="67"/>
      <c r="L2587" s="67"/>
      <c r="M2587" s="67"/>
      <c r="N2587" s="67"/>
    </row>
    <row r="2588" spans="11:14">
      <c r="K2588" s="67"/>
      <c r="L2588" s="67"/>
      <c r="M2588" s="67"/>
      <c r="N2588" s="67"/>
    </row>
    <row r="2589" spans="11:14">
      <c r="K2589" s="67"/>
      <c r="L2589" s="67"/>
      <c r="M2589" s="67"/>
      <c r="N2589" s="67"/>
    </row>
    <row r="2590" spans="11:14">
      <c r="K2590" s="67"/>
      <c r="L2590" s="67"/>
      <c r="M2590" s="67"/>
      <c r="N2590" s="67"/>
    </row>
    <row r="2591" spans="11:14">
      <c r="K2591" s="67"/>
      <c r="L2591" s="67"/>
      <c r="M2591" s="67"/>
      <c r="N2591" s="67"/>
    </row>
    <row r="2592" spans="11:14">
      <c r="K2592" s="67"/>
      <c r="L2592" s="67"/>
      <c r="M2592" s="67"/>
      <c r="N2592" s="67"/>
    </row>
    <row r="2593" spans="11:14">
      <c r="K2593" s="67"/>
      <c r="L2593" s="67"/>
      <c r="M2593" s="67"/>
      <c r="N2593" s="67"/>
    </row>
    <row r="2594" spans="11:14">
      <c r="K2594" s="67"/>
      <c r="L2594" s="67"/>
      <c r="M2594" s="67"/>
      <c r="N2594" s="67"/>
    </row>
    <row r="2595" spans="11:14">
      <c r="K2595" s="67"/>
      <c r="L2595" s="67"/>
      <c r="M2595" s="67"/>
      <c r="N2595" s="67"/>
    </row>
    <row r="2596" spans="11:14">
      <c r="K2596" s="67"/>
      <c r="L2596" s="67"/>
      <c r="M2596" s="67"/>
      <c r="N2596" s="67"/>
    </row>
    <row r="2597" spans="11:14">
      <c r="K2597" s="67"/>
      <c r="L2597" s="67"/>
      <c r="M2597" s="67"/>
      <c r="N2597" s="67"/>
    </row>
    <row r="2598" spans="11:14">
      <c r="K2598" s="67"/>
      <c r="L2598" s="67"/>
      <c r="M2598" s="67"/>
      <c r="N2598" s="67"/>
    </row>
    <row r="2599" spans="11:14">
      <c r="K2599" s="67"/>
      <c r="L2599" s="67"/>
      <c r="M2599" s="67"/>
      <c r="N2599" s="67"/>
    </row>
    <row r="2600" spans="11:14">
      <c r="K2600" s="67"/>
      <c r="L2600" s="67"/>
      <c r="M2600" s="67"/>
      <c r="N2600" s="67"/>
    </row>
    <row r="2601" spans="11:14">
      <c r="K2601" s="67"/>
      <c r="L2601" s="67"/>
      <c r="M2601" s="67"/>
      <c r="N2601" s="67"/>
    </row>
    <row r="2602" spans="11:14">
      <c r="K2602" s="67"/>
      <c r="L2602" s="67"/>
      <c r="M2602" s="67"/>
      <c r="N2602" s="67"/>
    </row>
    <row r="2603" spans="11:14">
      <c r="K2603" s="67"/>
      <c r="L2603" s="67"/>
      <c r="M2603" s="67"/>
      <c r="N2603" s="67"/>
    </row>
    <row r="2604" spans="11:14">
      <c r="K2604" s="67"/>
      <c r="L2604" s="67"/>
      <c r="M2604" s="67"/>
      <c r="N2604" s="67"/>
    </row>
    <row r="2605" spans="11:14">
      <c r="K2605" s="67"/>
      <c r="L2605" s="67"/>
      <c r="M2605" s="67"/>
      <c r="N2605" s="67"/>
    </row>
    <row r="2606" spans="11:14">
      <c r="K2606" s="67"/>
      <c r="L2606" s="67"/>
      <c r="M2606" s="67"/>
      <c r="N2606" s="67"/>
    </row>
    <row r="2607" spans="11:14">
      <c r="K2607" s="67"/>
      <c r="L2607" s="67"/>
      <c r="M2607" s="67"/>
      <c r="N2607" s="67"/>
    </row>
    <row r="2608" spans="11:14">
      <c r="K2608" s="67"/>
      <c r="L2608" s="67"/>
      <c r="M2608" s="67"/>
      <c r="N2608" s="67"/>
    </row>
    <row r="2609" spans="11:14">
      <c r="K2609" s="67"/>
      <c r="L2609" s="67"/>
      <c r="M2609" s="67"/>
      <c r="N2609" s="67"/>
    </row>
    <row r="2610" spans="11:14">
      <c r="K2610" s="67"/>
      <c r="L2610" s="67"/>
      <c r="M2610" s="67"/>
      <c r="N2610" s="67"/>
    </row>
    <row r="2611" spans="11:14">
      <c r="K2611" s="67"/>
      <c r="L2611" s="67"/>
      <c r="M2611" s="67"/>
      <c r="N2611" s="67"/>
    </row>
    <row r="2612" spans="11:14">
      <c r="K2612" s="67"/>
      <c r="L2612" s="67"/>
      <c r="M2612" s="67"/>
      <c r="N2612" s="67"/>
    </row>
    <row r="2613" spans="11:14">
      <c r="K2613" s="67"/>
      <c r="L2613" s="67"/>
      <c r="M2613" s="67"/>
      <c r="N2613" s="67"/>
    </row>
    <row r="2614" spans="11:14">
      <c r="K2614" s="67"/>
      <c r="L2614" s="67"/>
      <c r="M2614" s="67"/>
      <c r="N2614" s="67"/>
    </row>
    <row r="2615" spans="11:14">
      <c r="K2615" s="67"/>
      <c r="L2615" s="67"/>
      <c r="M2615" s="67"/>
      <c r="N2615" s="67"/>
    </row>
    <row r="2616" spans="11:14">
      <c r="K2616" s="67"/>
      <c r="L2616" s="67"/>
      <c r="M2616" s="67"/>
      <c r="N2616" s="67"/>
    </row>
    <row r="2617" spans="11:14">
      <c r="K2617" s="67"/>
      <c r="L2617" s="67"/>
      <c r="M2617" s="67"/>
      <c r="N2617" s="67"/>
    </row>
    <row r="2618" spans="11:14">
      <c r="K2618" s="67"/>
      <c r="L2618" s="67"/>
      <c r="M2618" s="67"/>
      <c r="N2618" s="67"/>
    </row>
    <row r="2619" spans="11:14">
      <c r="K2619" s="67"/>
      <c r="L2619" s="67"/>
      <c r="M2619" s="67"/>
      <c r="N2619" s="67"/>
    </row>
    <row r="2620" spans="11:14">
      <c r="K2620" s="67"/>
      <c r="L2620" s="67"/>
      <c r="M2620" s="67"/>
      <c r="N2620" s="67"/>
    </row>
    <row r="2621" spans="11:14">
      <c r="K2621" s="67"/>
      <c r="L2621" s="67"/>
      <c r="M2621" s="67"/>
      <c r="N2621" s="67"/>
    </row>
    <row r="2622" spans="11:14">
      <c r="K2622" s="67"/>
      <c r="L2622" s="67"/>
      <c r="M2622" s="67"/>
      <c r="N2622" s="67"/>
    </row>
    <row r="2623" spans="11:14">
      <c r="K2623" s="67"/>
      <c r="L2623" s="67"/>
      <c r="M2623" s="67"/>
      <c r="N2623" s="67"/>
    </row>
    <row r="2624" spans="11:14">
      <c r="K2624" s="67"/>
      <c r="L2624" s="67"/>
      <c r="M2624" s="67"/>
      <c r="N2624" s="67"/>
    </row>
    <row r="2625" spans="11:14">
      <c r="K2625" s="67"/>
      <c r="L2625" s="67"/>
      <c r="M2625" s="67"/>
      <c r="N2625" s="67"/>
    </row>
    <row r="2626" spans="11:14">
      <c r="K2626" s="67"/>
      <c r="L2626" s="67"/>
      <c r="M2626" s="67"/>
      <c r="N2626" s="67"/>
    </row>
    <row r="2627" spans="11:14">
      <c r="K2627" s="67"/>
      <c r="L2627" s="67"/>
      <c r="M2627" s="67"/>
      <c r="N2627" s="67"/>
    </row>
    <row r="2628" spans="11:14">
      <c r="K2628" s="67"/>
      <c r="L2628" s="67"/>
      <c r="M2628" s="67"/>
      <c r="N2628" s="67"/>
    </row>
    <row r="2629" spans="11:14">
      <c r="K2629" s="67"/>
      <c r="L2629" s="67"/>
      <c r="M2629" s="67"/>
      <c r="N2629" s="67"/>
    </row>
    <row r="2630" spans="11:14">
      <c r="K2630" s="67"/>
      <c r="L2630" s="67"/>
      <c r="M2630" s="67"/>
      <c r="N2630" s="67"/>
    </row>
    <row r="2631" spans="11:14">
      <c r="K2631" s="67"/>
      <c r="L2631" s="67"/>
      <c r="M2631" s="67"/>
      <c r="N2631" s="67"/>
    </row>
    <row r="2632" spans="11:14">
      <c r="K2632" s="67"/>
      <c r="L2632" s="67"/>
      <c r="M2632" s="67"/>
      <c r="N2632" s="67"/>
    </row>
    <row r="2633" spans="11:14">
      <c r="K2633" s="67"/>
      <c r="L2633" s="67"/>
      <c r="M2633" s="67"/>
      <c r="N2633" s="67"/>
    </row>
    <row r="2634" spans="11:14">
      <c r="K2634" s="67"/>
      <c r="L2634" s="67"/>
      <c r="M2634" s="67"/>
      <c r="N2634" s="67"/>
    </row>
    <row r="2635" spans="11:14">
      <c r="K2635" s="67"/>
      <c r="L2635" s="67"/>
      <c r="M2635" s="67"/>
      <c r="N2635" s="67"/>
    </row>
    <row r="2636" spans="11:14">
      <c r="K2636" s="67"/>
      <c r="L2636" s="67"/>
      <c r="M2636" s="67"/>
      <c r="N2636" s="67"/>
    </row>
    <row r="2637" spans="11:14">
      <c r="K2637" s="67"/>
      <c r="L2637" s="67"/>
      <c r="M2637" s="67"/>
      <c r="N2637" s="67"/>
    </row>
    <row r="2638" spans="11:14">
      <c r="K2638" s="67"/>
      <c r="L2638" s="67"/>
      <c r="M2638" s="67"/>
      <c r="N2638" s="67"/>
    </row>
    <row r="2639" spans="11:14">
      <c r="K2639" s="67"/>
      <c r="L2639" s="67"/>
      <c r="M2639" s="67"/>
      <c r="N2639" s="67"/>
    </row>
    <row r="2640" spans="11:14">
      <c r="K2640" s="67"/>
      <c r="L2640" s="67"/>
      <c r="M2640" s="67"/>
      <c r="N2640" s="67"/>
    </row>
    <row r="2641" spans="11:14">
      <c r="K2641" s="67"/>
      <c r="L2641" s="67"/>
      <c r="M2641" s="67"/>
      <c r="N2641" s="67"/>
    </row>
    <row r="2642" spans="11:14">
      <c r="K2642" s="67"/>
      <c r="L2642" s="67"/>
      <c r="M2642" s="67"/>
      <c r="N2642" s="67"/>
    </row>
    <row r="2643" spans="11:14">
      <c r="K2643" s="67"/>
      <c r="L2643" s="67"/>
      <c r="M2643" s="67"/>
      <c r="N2643" s="67"/>
    </row>
    <row r="2644" spans="11:14">
      <c r="K2644" s="67"/>
      <c r="L2644" s="67"/>
      <c r="M2644" s="67"/>
      <c r="N2644" s="67"/>
    </row>
    <row r="2645" spans="11:14">
      <c r="K2645" s="67"/>
      <c r="L2645" s="67"/>
      <c r="M2645" s="67"/>
      <c r="N2645" s="67"/>
    </row>
    <row r="2646" spans="11:14">
      <c r="K2646" s="67"/>
      <c r="L2646" s="67"/>
      <c r="M2646" s="67"/>
      <c r="N2646" s="67"/>
    </row>
    <row r="2647" spans="11:14">
      <c r="K2647" s="67"/>
      <c r="L2647" s="67"/>
      <c r="M2647" s="67"/>
      <c r="N2647" s="67"/>
    </row>
    <row r="2648" spans="11:14">
      <c r="K2648" s="67"/>
      <c r="L2648" s="67"/>
      <c r="M2648" s="67"/>
      <c r="N2648" s="67"/>
    </row>
    <row r="2649" spans="11:14">
      <c r="K2649" s="67"/>
      <c r="L2649" s="67"/>
      <c r="M2649" s="67"/>
      <c r="N2649" s="67"/>
    </row>
    <row r="2650" spans="11:14">
      <c r="K2650" s="67"/>
      <c r="L2650" s="67"/>
      <c r="M2650" s="67"/>
      <c r="N2650" s="67"/>
    </row>
    <row r="2651" spans="11:14">
      <c r="K2651" s="67"/>
      <c r="L2651" s="67"/>
      <c r="M2651" s="67"/>
      <c r="N2651" s="67"/>
    </row>
    <row r="2652" spans="11:14">
      <c r="K2652" s="67"/>
      <c r="L2652" s="67"/>
      <c r="M2652" s="67"/>
      <c r="N2652" s="67"/>
    </row>
    <row r="2653" spans="11:14">
      <c r="K2653" s="67"/>
      <c r="L2653" s="67"/>
      <c r="M2653" s="67"/>
      <c r="N2653" s="67"/>
    </row>
    <row r="2654" spans="11:14">
      <c r="K2654" s="67"/>
      <c r="L2654" s="67"/>
      <c r="M2654" s="67"/>
      <c r="N2654" s="67"/>
    </row>
    <row r="2655" spans="11:14">
      <c r="K2655" s="67"/>
      <c r="L2655" s="67"/>
      <c r="M2655" s="67"/>
      <c r="N2655" s="67"/>
    </row>
    <row r="2656" spans="11:14">
      <c r="K2656" s="67"/>
      <c r="L2656" s="67"/>
      <c r="M2656" s="67"/>
      <c r="N2656" s="67"/>
    </row>
    <row r="2657" spans="11:14">
      <c r="K2657" s="67"/>
      <c r="L2657" s="67"/>
      <c r="M2657" s="67"/>
      <c r="N2657" s="67"/>
    </row>
    <row r="2658" spans="11:14">
      <c r="K2658" s="67"/>
      <c r="L2658" s="67"/>
      <c r="M2658" s="67"/>
      <c r="N2658" s="67"/>
    </row>
    <row r="2659" spans="11:14">
      <c r="K2659" s="67"/>
      <c r="L2659" s="67"/>
      <c r="M2659" s="67"/>
      <c r="N2659" s="67"/>
    </row>
    <row r="2660" spans="11:14">
      <c r="K2660" s="67"/>
      <c r="L2660" s="67"/>
      <c r="M2660" s="67"/>
      <c r="N2660" s="67"/>
    </row>
    <row r="2661" spans="11:14">
      <c r="K2661" s="67"/>
      <c r="L2661" s="67"/>
      <c r="M2661" s="67"/>
      <c r="N2661" s="67"/>
    </row>
    <row r="2662" spans="11:14">
      <c r="K2662" s="67"/>
      <c r="L2662" s="67"/>
      <c r="M2662" s="67"/>
      <c r="N2662" s="67"/>
    </row>
    <row r="2663" spans="11:14">
      <c r="K2663" s="67"/>
      <c r="L2663" s="67"/>
      <c r="M2663" s="67"/>
      <c r="N2663" s="67"/>
    </row>
    <row r="2664" spans="11:14">
      <c r="K2664" s="67"/>
      <c r="L2664" s="67"/>
      <c r="M2664" s="67"/>
      <c r="N2664" s="67"/>
    </row>
    <row r="2665" spans="11:14">
      <c r="K2665" s="67"/>
      <c r="L2665" s="67"/>
      <c r="M2665" s="67"/>
      <c r="N2665" s="67"/>
    </row>
    <row r="2666" spans="11:14">
      <c r="K2666" s="67"/>
      <c r="L2666" s="67"/>
      <c r="M2666" s="67"/>
      <c r="N2666" s="67"/>
    </row>
    <row r="2667" spans="11:14">
      <c r="K2667" s="67"/>
      <c r="L2667" s="67"/>
      <c r="M2667" s="67"/>
      <c r="N2667" s="67"/>
    </row>
    <row r="2668" spans="11:14">
      <c r="K2668" s="67"/>
      <c r="L2668" s="67"/>
      <c r="M2668" s="67"/>
      <c r="N2668" s="67"/>
    </row>
    <row r="2669" spans="11:14">
      <c r="K2669" s="67"/>
      <c r="L2669" s="67"/>
      <c r="M2669" s="67"/>
      <c r="N2669" s="67"/>
    </row>
    <row r="2670" spans="11:14">
      <c r="K2670" s="67"/>
      <c r="L2670" s="67"/>
      <c r="M2670" s="67"/>
      <c r="N2670" s="67"/>
    </row>
    <row r="2671" spans="11:14">
      <c r="K2671" s="67"/>
      <c r="L2671" s="67"/>
      <c r="M2671" s="67"/>
      <c r="N2671" s="67"/>
    </row>
    <row r="2672" spans="11:14">
      <c r="K2672" s="67"/>
      <c r="L2672" s="67"/>
      <c r="M2672" s="67"/>
      <c r="N2672" s="67"/>
    </row>
    <row r="2673" spans="11:14">
      <c r="K2673" s="67"/>
      <c r="L2673" s="67"/>
      <c r="M2673" s="67"/>
      <c r="N2673" s="67"/>
    </row>
    <row r="2674" spans="11:14">
      <c r="K2674" s="67"/>
      <c r="L2674" s="67"/>
      <c r="M2674" s="67"/>
      <c r="N2674" s="67"/>
    </row>
    <row r="2675" spans="11:14">
      <c r="K2675" s="67"/>
      <c r="L2675" s="67"/>
      <c r="M2675" s="67"/>
      <c r="N2675" s="67"/>
    </row>
    <row r="2676" spans="11:14">
      <c r="K2676" s="67"/>
      <c r="L2676" s="67"/>
      <c r="M2676" s="67"/>
      <c r="N2676" s="67"/>
    </row>
    <row r="2677" spans="11:14">
      <c r="K2677" s="67"/>
      <c r="L2677" s="67"/>
      <c r="M2677" s="67"/>
      <c r="N2677" s="67"/>
    </row>
    <row r="2678" spans="11:14">
      <c r="K2678" s="67"/>
      <c r="L2678" s="67"/>
      <c r="M2678" s="67"/>
      <c r="N2678" s="67"/>
    </row>
    <row r="2679" spans="11:14">
      <c r="K2679" s="67"/>
      <c r="L2679" s="67"/>
      <c r="M2679" s="67"/>
      <c r="N2679" s="67"/>
    </row>
    <row r="2680" spans="11:14">
      <c r="K2680" s="67"/>
      <c r="L2680" s="67"/>
      <c r="M2680" s="67"/>
      <c r="N2680" s="67"/>
    </row>
    <row r="2681" spans="11:14">
      <c r="K2681" s="67"/>
      <c r="L2681" s="67"/>
      <c r="M2681" s="67"/>
      <c r="N2681" s="67"/>
    </row>
    <row r="2682" spans="11:14">
      <c r="K2682" s="67"/>
      <c r="L2682" s="67"/>
      <c r="M2682" s="67"/>
      <c r="N2682" s="67"/>
    </row>
    <row r="2683" spans="11:14">
      <c r="K2683" s="67"/>
      <c r="L2683" s="67"/>
      <c r="M2683" s="67"/>
      <c r="N2683" s="67"/>
    </row>
    <row r="2684" spans="11:14">
      <c r="K2684" s="67"/>
      <c r="L2684" s="67"/>
      <c r="M2684" s="67"/>
      <c r="N2684" s="67"/>
    </row>
    <row r="2685" spans="11:14">
      <c r="K2685" s="67"/>
      <c r="L2685" s="67"/>
      <c r="M2685" s="67"/>
      <c r="N2685" s="67"/>
    </row>
    <row r="2686" spans="11:14">
      <c r="K2686" s="67"/>
      <c r="L2686" s="67"/>
      <c r="M2686" s="67"/>
      <c r="N2686" s="67"/>
    </row>
    <row r="2687" spans="11:14">
      <c r="K2687" s="67"/>
      <c r="L2687" s="67"/>
      <c r="M2687" s="67"/>
      <c r="N2687" s="67"/>
    </row>
    <row r="2688" spans="11:14">
      <c r="K2688" s="67"/>
      <c r="L2688" s="67"/>
      <c r="M2688" s="67"/>
      <c r="N2688" s="67"/>
    </row>
    <row r="2689" spans="11:14">
      <c r="K2689" s="67"/>
      <c r="L2689" s="67"/>
      <c r="M2689" s="67"/>
      <c r="N2689" s="67"/>
    </row>
    <row r="2690" spans="11:14">
      <c r="K2690" s="67"/>
      <c r="L2690" s="67"/>
      <c r="M2690" s="67"/>
      <c r="N2690" s="67"/>
    </row>
    <row r="2691" spans="11:14">
      <c r="K2691" s="67"/>
      <c r="L2691" s="67"/>
      <c r="M2691" s="67"/>
      <c r="N2691" s="67"/>
    </row>
    <row r="2692" spans="11:14">
      <c r="K2692" s="67"/>
      <c r="L2692" s="67"/>
      <c r="M2692" s="67"/>
      <c r="N2692" s="67"/>
    </row>
    <row r="2693" spans="11:14">
      <c r="K2693" s="67"/>
      <c r="L2693" s="67"/>
      <c r="M2693" s="67"/>
      <c r="N2693" s="67"/>
    </row>
    <row r="2694" spans="11:14">
      <c r="K2694" s="67"/>
      <c r="L2694" s="67"/>
      <c r="M2694" s="67"/>
      <c r="N2694" s="67"/>
    </row>
    <row r="2695" spans="11:14">
      <c r="K2695" s="67"/>
      <c r="L2695" s="67"/>
      <c r="M2695" s="67"/>
      <c r="N2695" s="67"/>
    </row>
    <row r="2696" spans="11:14">
      <c r="K2696" s="67"/>
      <c r="L2696" s="67"/>
      <c r="M2696" s="67"/>
      <c r="N2696" s="67"/>
    </row>
    <row r="2697" spans="11:14">
      <c r="K2697" s="67"/>
      <c r="L2697" s="67"/>
      <c r="M2697" s="67"/>
      <c r="N2697" s="67"/>
    </row>
    <row r="2698" spans="11:14">
      <c r="K2698" s="67"/>
      <c r="L2698" s="67"/>
      <c r="M2698" s="67"/>
      <c r="N2698" s="67"/>
    </row>
    <row r="2699" spans="11:14">
      <c r="K2699" s="67"/>
      <c r="L2699" s="67"/>
      <c r="M2699" s="67"/>
      <c r="N2699" s="67"/>
    </row>
    <row r="2700" spans="11:14">
      <c r="K2700" s="67"/>
      <c r="L2700" s="67"/>
      <c r="M2700" s="67"/>
      <c r="N2700" s="67"/>
    </row>
    <row r="2701" spans="11:14">
      <c r="K2701" s="67"/>
      <c r="L2701" s="67"/>
      <c r="M2701" s="67"/>
      <c r="N2701" s="67"/>
    </row>
    <row r="2702" spans="11:14">
      <c r="K2702" s="67"/>
      <c r="L2702" s="67"/>
      <c r="M2702" s="67"/>
      <c r="N2702" s="67"/>
    </row>
    <row r="2703" spans="11:14">
      <c r="K2703" s="67"/>
      <c r="L2703" s="67"/>
      <c r="M2703" s="67"/>
      <c r="N2703" s="67"/>
    </row>
    <row r="2704" spans="11:14">
      <c r="K2704" s="67"/>
      <c r="L2704" s="67"/>
      <c r="M2704" s="67"/>
      <c r="N2704" s="67"/>
    </row>
    <row r="2705" spans="11:14">
      <c r="K2705" s="67"/>
      <c r="L2705" s="67"/>
      <c r="M2705" s="67"/>
      <c r="N2705" s="67"/>
    </row>
    <row r="2706" spans="11:14">
      <c r="K2706" s="67"/>
      <c r="L2706" s="67"/>
      <c r="M2706" s="67"/>
      <c r="N2706" s="67"/>
    </row>
    <row r="2707" spans="11:14">
      <c r="K2707" s="67"/>
      <c r="L2707" s="67"/>
      <c r="M2707" s="67"/>
      <c r="N2707" s="67"/>
    </row>
    <row r="2708" spans="11:14">
      <c r="K2708" s="67"/>
      <c r="L2708" s="67"/>
      <c r="M2708" s="67"/>
      <c r="N2708" s="67"/>
    </row>
    <row r="2709" spans="11:14">
      <c r="K2709" s="67"/>
      <c r="L2709" s="67"/>
      <c r="M2709" s="67"/>
      <c r="N2709" s="67"/>
    </row>
    <row r="2710" spans="11:14">
      <c r="K2710" s="67"/>
      <c r="L2710" s="67"/>
      <c r="M2710" s="67"/>
      <c r="N2710" s="67"/>
    </row>
    <row r="2711" spans="11:14">
      <c r="K2711" s="67"/>
      <c r="L2711" s="67"/>
      <c r="M2711" s="67"/>
      <c r="N2711" s="67"/>
    </row>
    <row r="2712" spans="11:14">
      <c r="K2712" s="67"/>
      <c r="L2712" s="67"/>
      <c r="M2712" s="67"/>
      <c r="N2712" s="67"/>
    </row>
    <row r="2713" spans="11:14">
      <c r="K2713" s="67"/>
      <c r="L2713" s="67"/>
      <c r="M2713" s="67"/>
      <c r="N2713" s="67"/>
    </row>
    <row r="2714" spans="11:14">
      <c r="K2714" s="67"/>
      <c r="L2714" s="67"/>
      <c r="M2714" s="67"/>
      <c r="N2714" s="67"/>
    </row>
    <row r="2715" spans="11:14">
      <c r="K2715" s="67"/>
      <c r="L2715" s="67"/>
      <c r="M2715" s="67"/>
      <c r="N2715" s="67"/>
    </row>
    <row r="2716" spans="11:14">
      <c r="K2716" s="67"/>
      <c r="L2716" s="67"/>
      <c r="M2716" s="67"/>
      <c r="N2716" s="67"/>
    </row>
    <row r="2717" spans="11:14">
      <c r="K2717" s="67"/>
      <c r="L2717" s="67"/>
      <c r="M2717" s="67"/>
      <c r="N2717" s="67"/>
    </row>
    <row r="2718" spans="11:14">
      <c r="K2718" s="67"/>
      <c r="L2718" s="67"/>
      <c r="M2718" s="67"/>
      <c r="N2718" s="67"/>
    </row>
    <row r="2719" spans="11:14">
      <c r="K2719" s="67"/>
      <c r="L2719" s="67"/>
      <c r="M2719" s="67"/>
      <c r="N2719" s="67"/>
    </row>
    <row r="2720" spans="11:14">
      <c r="K2720" s="67"/>
      <c r="L2720" s="67"/>
      <c r="M2720" s="67"/>
      <c r="N2720" s="67"/>
    </row>
    <row r="2721" spans="11:14">
      <c r="K2721" s="67"/>
      <c r="L2721" s="67"/>
      <c r="M2721" s="67"/>
      <c r="N2721" s="67"/>
    </row>
    <row r="2722" spans="11:14">
      <c r="K2722" s="67"/>
      <c r="L2722" s="67"/>
      <c r="M2722" s="67"/>
      <c r="N2722" s="67"/>
    </row>
    <row r="2723" spans="11:14">
      <c r="K2723" s="67"/>
      <c r="L2723" s="67"/>
      <c r="M2723" s="67"/>
      <c r="N2723" s="67"/>
    </row>
    <row r="2724" spans="11:14">
      <c r="K2724" s="67"/>
      <c r="L2724" s="67"/>
      <c r="M2724" s="67"/>
      <c r="N2724" s="67"/>
    </row>
    <row r="2725" spans="11:14">
      <c r="K2725" s="67"/>
      <c r="L2725" s="67"/>
      <c r="M2725" s="67"/>
      <c r="N2725" s="67"/>
    </row>
    <row r="2726" spans="11:14">
      <c r="K2726" s="67"/>
      <c r="L2726" s="67"/>
      <c r="M2726" s="67"/>
      <c r="N2726" s="67"/>
    </row>
    <row r="2727" spans="11:14">
      <c r="K2727" s="67"/>
      <c r="L2727" s="67"/>
      <c r="M2727" s="67"/>
      <c r="N2727" s="67"/>
    </row>
    <row r="2728" spans="11:14">
      <c r="K2728" s="67"/>
      <c r="L2728" s="67"/>
      <c r="M2728" s="67"/>
      <c r="N2728" s="67"/>
    </row>
    <row r="2729" spans="11:14">
      <c r="K2729" s="67"/>
      <c r="L2729" s="67"/>
      <c r="M2729" s="67"/>
      <c r="N2729" s="67"/>
    </row>
    <row r="2730" spans="11:14">
      <c r="K2730" s="67"/>
      <c r="L2730" s="67"/>
      <c r="M2730" s="67"/>
      <c r="N2730" s="67"/>
    </row>
    <row r="2731" spans="11:14">
      <c r="K2731" s="67"/>
      <c r="L2731" s="67"/>
      <c r="M2731" s="67"/>
      <c r="N2731" s="67"/>
    </row>
    <row r="2732" spans="11:14">
      <c r="K2732" s="67"/>
      <c r="L2732" s="67"/>
      <c r="M2732" s="67"/>
      <c r="N2732" s="67"/>
    </row>
    <row r="2733" spans="11:14">
      <c r="K2733" s="67"/>
      <c r="L2733" s="67"/>
      <c r="M2733" s="67"/>
      <c r="N2733" s="67"/>
    </row>
  </sheetData>
  <autoFilter ref="A2:N31" xr:uid="{371F6A88-411A-4E52-8DF1-D6B23AABBCD7}"/>
  <mergeCells count="3">
    <mergeCell ref="A1:D1"/>
    <mergeCell ref="E1:J1"/>
    <mergeCell ref="K1:N1"/>
  </mergeCells>
  <conditionalFormatting sqref="E37:E38">
    <cfRule type="cellIs" dxfId="201" priority="1" operator="equal">
      <formula>1</formula>
    </cfRule>
  </conditionalFormatting>
  <pageMargins left="0.7" right="0.7" top="0.75" bottom="0.75" header="0.3" footer="0.3"/>
  <pageSetup paperSize="9" scale="79" orientation="landscape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5">
    <tabColor rgb="FFFFFF00"/>
    <pageSetUpPr fitToPage="1"/>
  </sheetPr>
  <dimension ref="A1:J78"/>
  <sheetViews>
    <sheetView view="pageBreakPreview" topLeftCell="A12" zoomScaleNormal="100" zoomScaleSheetLayoutView="100" workbookViewId="0">
      <selection activeCell="A29" sqref="A29:XFD29"/>
    </sheetView>
  </sheetViews>
  <sheetFormatPr defaultColWidth="9.1796875" defaultRowHeight="14.5"/>
  <cols>
    <col min="1" max="1" width="7.7265625" style="7" customWidth="1"/>
    <col min="2" max="2" width="14" style="7" bestFit="1" customWidth="1"/>
    <col min="3" max="3" width="9.1796875" style="7"/>
    <col min="4" max="4" width="17.453125" style="7" hidden="1" customWidth="1"/>
    <col min="5" max="5" width="11.81640625" style="7" customWidth="1"/>
    <col min="6" max="6" width="14.26953125" style="7" customWidth="1"/>
    <col min="7" max="7" width="18.1796875" style="7" customWidth="1"/>
    <col min="8" max="8" width="16.81640625" style="7" customWidth="1"/>
    <col min="9" max="9" width="16.7265625" style="7" customWidth="1"/>
    <col min="10" max="10" width="29.1796875" style="306" customWidth="1"/>
    <col min="11" max="16384" width="9.1796875" style="7"/>
  </cols>
  <sheetData>
    <row r="1" spans="1:10" ht="15.5">
      <c r="A1" s="1567" t="s">
        <v>120</v>
      </c>
      <c r="B1" s="1568"/>
      <c r="C1" s="1568"/>
      <c r="D1" s="1568"/>
      <c r="E1" s="1568"/>
      <c r="F1" s="1568"/>
      <c r="G1" s="1568"/>
      <c r="H1" s="1568"/>
      <c r="I1" s="1568"/>
      <c r="J1" s="1569"/>
    </row>
    <row r="2" spans="1:10" ht="15.5">
      <c r="A2" s="1570" t="str">
        <f>TA413_PBNTL!A3</f>
        <v>Name of Line: 765 KV D/C Bikaner III - Neemrana II TL02                                                                                                                                                                                                                     LOA Value: 378 Crore</v>
      </c>
      <c r="B2" s="1571"/>
      <c r="C2" s="1571"/>
      <c r="D2" s="1571"/>
      <c r="E2" s="1571"/>
      <c r="F2" s="1571"/>
      <c r="G2" s="1571"/>
      <c r="H2" s="1571"/>
      <c r="I2" s="1571"/>
      <c r="J2" s="1572"/>
    </row>
    <row r="3" spans="1:10" ht="15.5">
      <c r="A3" s="1579" t="s">
        <v>38</v>
      </c>
      <c r="B3" s="1559"/>
      <c r="C3" s="1559"/>
      <c r="D3" s="1559"/>
      <c r="E3" s="1559"/>
      <c r="F3" s="1559"/>
      <c r="G3" s="1559"/>
      <c r="H3" s="1559"/>
      <c r="I3" s="79"/>
      <c r="J3" s="307" t="str">
        <f>TA413_PBNTL!M1</f>
        <v>17.07.2026</v>
      </c>
    </row>
    <row r="4" spans="1:10">
      <c r="A4" s="1573" t="s">
        <v>20</v>
      </c>
      <c r="B4" s="1575" t="s">
        <v>21</v>
      </c>
      <c r="C4" s="1576"/>
      <c r="D4" s="1577" t="s">
        <v>978</v>
      </c>
      <c r="E4" s="1577" t="s">
        <v>22</v>
      </c>
      <c r="F4" s="1577" t="s">
        <v>39</v>
      </c>
      <c r="G4" s="1577" t="s">
        <v>23</v>
      </c>
      <c r="H4" s="1577" t="s">
        <v>80</v>
      </c>
      <c r="I4" s="1577" t="s">
        <v>249</v>
      </c>
      <c r="J4" s="1580" t="s">
        <v>1</v>
      </c>
    </row>
    <row r="5" spans="1:10" ht="21.75" customHeight="1">
      <c r="A5" s="1574"/>
      <c r="B5" s="12" t="s">
        <v>24</v>
      </c>
      <c r="C5" s="12" t="s">
        <v>25</v>
      </c>
      <c r="D5" s="1578"/>
      <c r="E5" s="1578"/>
      <c r="F5" s="1578"/>
      <c r="G5" s="1578"/>
      <c r="H5" s="1578"/>
      <c r="I5" s="1578"/>
      <c r="J5" s="1581"/>
    </row>
    <row r="6" spans="1:10">
      <c r="A6" s="81">
        <v>1</v>
      </c>
      <c r="B6" s="15" t="s">
        <v>504</v>
      </c>
      <c r="C6" s="15" t="s">
        <v>268</v>
      </c>
      <c r="D6" s="412"/>
      <c r="E6" s="191">
        <v>0.15</v>
      </c>
      <c r="F6" s="191">
        <f>E6</f>
        <v>0.15</v>
      </c>
      <c r="G6" s="82">
        <v>45709</v>
      </c>
      <c r="H6" s="82">
        <v>45709</v>
      </c>
      <c r="I6" s="82">
        <v>45709</v>
      </c>
      <c r="J6" s="113"/>
    </row>
    <row r="7" spans="1:10">
      <c r="A7" s="81">
        <f>A6+1</f>
        <v>2</v>
      </c>
      <c r="B7" s="15" t="str">
        <f t="shared" ref="B7:B54" si="0">C6</f>
        <v>1/0</v>
      </c>
      <c r="C7" s="15" t="s">
        <v>1248</v>
      </c>
      <c r="D7" s="412"/>
      <c r="E7" s="191">
        <v>0.29021000000000002</v>
      </c>
      <c r="F7" s="191">
        <f t="shared" ref="F7:F55" si="1">E7</f>
        <v>0.29021000000000002</v>
      </c>
      <c r="G7" s="82">
        <v>45709</v>
      </c>
      <c r="H7" s="82">
        <v>45709</v>
      </c>
      <c r="I7" s="82">
        <v>45709</v>
      </c>
      <c r="J7" s="113"/>
    </row>
    <row r="8" spans="1:10">
      <c r="A8" s="81">
        <f>A7+1</f>
        <v>3</v>
      </c>
      <c r="B8" s="15" t="str">
        <f>C7</f>
        <v>2A/0</v>
      </c>
      <c r="C8" s="15" t="s">
        <v>1256</v>
      </c>
      <c r="D8" s="412"/>
      <c r="E8" s="191">
        <v>2.836992</v>
      </c>
      <c r="F8" s="191">
        <f t="shared" si="1"/>
        <v>2.836992</v>
      </c>
      <c r="G8" s="82">
        <v>45709</v>
      </c>
      <c r="H8" s="82">
        <v>45709</v>
      </c>
      <c r="I8" s="82">
        <v>45709</v>
      </c>
      <c r="J8" s="113" t="s">
        <v>515</v>
      </c>
    </row>
    <row r="9" spans="1:10">
      <c r="A9" s="81">
        <f t="shared" ref="A9:A55" si="2">A8+1</f>
        <v>4</v>
      </c>
      <c r="B9" s="15" t="str">
        <f t="shared" si="0"/>
        <v>3A/0</v>
      </c>
      <c r="C9" s="15" t="s">
        <v>1263</v>
      </c>
      <c r="D9" s="412"/>
      <c r="E9" s="191">
        <v>2.6909999999999998</v>
      </c>
      <c r="F9" s="191">
        <f t="shared" si="1"/>
        <v>2.6909999999999998</v>
      </c>
      <c r="G9" s="82">
        <v>45709</v>
      </c>
      <c r="H9" s="82">
        <v>45709</v>
      </c>
      <c r="I9" s="82">
        <v>45709</v>
      </c>
      <c r="J9" s="113"/>
    </row>
    <row r="10" spans="1:10">
      <c r="A10" s="81">
        <f t="shared" si="2"/>
        <v>5</v>
      </c>
      <c r="B10" s="15" t="s">
        <v>1263</v>
      </c>
      <c r="C10" s="15" t="s">
        <v>256</v>
      </c>
      <c r="D10" s="412"/>
      <c r="E10" s="191">
        <v>1.627</v>
      </c>
      <c r="F10" s="191">
        <f t="shared" si="1"/>
        <v>1.627</v>
      </c>
      <c r="G10" s="82">
        <v>45709</v>
      </c>
      <c r="H10" s="82">
        <v>45709</v>
      </c>
      <c r="I10" s="82">
        <v>45709</v>
      </c>
      <c r="J10" s="113"/>
    </row>
    <row r="11" spans="1:10">
      <c r="A11" s="81">
        <f t="shared" si="2"/>
        <v>6</v>
      </c>
      <c r="B11" s="15" t="s">
        <v>256</v>
      </c>
      <c r="C11" s="15" t="s">
        <v>890</v>
      </c>
      <c r="D11" s="412"/>
      <c r="E11" s="191">
        <v>0.70916299999999999</v>
      </c>
      <c r="F11" s="191">
        <f t="shared" si="1"/>
        <v>0.70916299999999999</v>
      </c>
      <c r="G11" s="82">
        <v>45492</v>
      </c>
      <c r="H11" s="82">
        <v>45492</v>
      </c>
      <c r="I11" s="82">
        <v>45492</v>
      </c>
      <c r="J11" s="113"/>
    </row>
    <row r="12" spans="1:10">
      <c r="A12" s="81">
        <f t="shared" si="2"/>
        <v>7</v>
      </c>
      <c r="B12" s="15" t="s">
        <v>890</v>
      </c>
      <c r="C12" s="15" t="s">
        <v>257</v>
      </c>
      <c r="D12" s="412"/>
      <c r="E12" s="191">
        <v>2.6816110000000002</v>
      </c>
      <c r="F12" s="191">
        <f t="shared" si="1"/>
        <v>2.6816110000000002</v>
      </c>
      <c r="G12" s="82">
        <v>45492</v>
      </c>
      <c r="H12" s="82">
        <v>45492</v>
      </c>
      <c r="I12" s="82">
        <v>45492</v>
      </c>
      <c r="J12" s="113"/>
    </row>
    <row r="13" spans="1:10">
      <c r="A13" s="81">
        <f t="shared" si="2"/>
        <v>8</v>
      </c>
      <c r="B13" s="15" t="s">
        <v>257</v>
      </c>
      <c r="C13" s="15" t="s">
        <v>672</v>
      </c>
      <c r="D13" s="412"/>
      <c r="E13" s="191">
        <v>4.4183890000000003</v>
      </c>
      <c r="F13" s="191">
        <f t="shared" si="1"/>
        <v>4.4183890000000003</v>
      </c>
      <c r="G13" s="82">
        <v>45503</v>
      </c>
      <c r="H13" s="82">
        <v>45503</v>
      </c>
      <c r="I13" s="82">
        <v>45503</v>
      </c>
      <c r="J13" s="113"/>
    </row>
    <row r="14" spans="1:10">
      <c r="A14" s="81">
        <f t="shared" si="2"/>
        <v>9</v>
      </c>
      <c r="B14" s="15" t="s">
        <v>672</v>
      </c>
      <c r="C14" s="15" t="s">
        <v>258</v>
      </c>
      <c r="D14" s="412" t="s">
        <v>979</v>
      </c>
      <c r="E14" s="191">
        <v>0.41948000000000002</v>
      </c>
      <c r="F14" s="191">
        <f t="shared" si="1"/>
        <v>0.41948000000000002</v>
      </c>
      <c r="G14" s="84">
        <v>45448</v>
      </c>
      <c r="H14" s="84">
        <v>45460</v>
      </c>
      <c r="I14" s="84">
        <v>45460</v>
      </c>
      <c r="J14" s="113"/>
    </row>
    <row r="15" spans="1:10">
      <c r="A15" s="81">
        <f t="shared" si="2"/>
        <v>10</v>
      </c>
      <c r="B15" s="15" t="str">
        <f t="shared" si="0"/>
        <v>6/0</v>
      </c>
      <c r="C15" s="15" t="s">
        <v>261</v>
      </c>
      <c r="D15" s="412" t="s">
        <v>979</v>
      </c>
      <c r="E15" s="191">
        <v>4.9099000000000004</v>
      </c>
      <c r="F15" s="191">
        <f t="shared" si="1"/>
        <v>4.9099000000000004</v>
      </c>
      <c r="G15" s="84">
        <v>45440</v>
      </c>
      <c r="H15" s="84">
        <v>45440</v>
      </c>
      <c r="I15" s="84">
        <v>45440</v>
      </c>
      <c r="J15" s="113"/>
    </row>
    <row r="16" spans="1:10">
      <c r="A16" s="81">
        <f t="shared" si="2"/>
        <v>11</v>
      </c>
      <c r="B16" s="15" t="str">
        <f t="shared" si="0"/>
        <v>7/0</v>
      </c>
      <c r="C16" s="15" t="s">
        <v>262</v>
      </c>
      <c r="D16" s="412" t="s">
        <v>979</v>
      </c>
      <c r="E16" s="191">
        <v>5.0833000000000004</v>
      </c>
      <c r="F16" s="191">
        <f t="shared" si="1"/>
        <v>5.0833000000000004</v>
      </c>
      <c r="G16" s="84">
        <v>45440</v>
      </c>
      <c r="H16" s="84">
        <v>45440</v>
      </c>
      <c r="I16" s="84">
        <v>45440</v>
      </c>
      <c r="J16" s="113"/>
    </row>
    <row r="17" spans="1:10">
      <c r="A17" s="81">
        <f t="shared" si="2"/>
        <v>12</v>
      </c>
      <c r="B17" s="15" t="str">
        <f t="shared" si="0"/>
        <v>8/0</v>
      </c>
      <c r="C17" s="15" t="s">
        <v>263</v>
      </c>
      <c r="D17" s="412" t="s">
        <v>979</v>
      </c>
      <c r="E17" s="191">
        <v>4.9957000000000003</v>
      </c>
      <c r="F17" s="191">
        <f t="shared" si="1"/>
        <v>4.9957000000000003</v>
      </c>
      <c r="G17" s="84">
        <v>45430</v>
      </c>
      <c r="H17" s="84">
        <v>45437</v>
      </c>
      <c r="I17" s="84">
        <v>45437</v>
      </c>
      <c r="J17" s="113"/>
    </row>
    <row r="18" spans="1:10">
      <c r="A18" s="81">
        <f t="shared" si="2"/>
        <v>13</v>
      </c>
      <c r="B18" s="15" t="str">
        <f t="shared" si="0"/>
        <v>9/0</v>
      </c>
      <c r="C18" s="15" t="s">
        <v>264</v>
      </c>
      <c r="D18" s="412" t="s">
        <v>979</v>
      </c>
      <c r="E18" s="191">
        <v>4.9230999999999998</v>
      </c>
      <c r="F18" s="191">
        <f t="shared" si="1"/>
        <v>4.9230999999999998</v>
      </c>
      <c r="G18" s="84">
        <v>45427</v>
      </c>
      <c r="H18" s="84">
        <v>45428</v>
      </c>
      <c r="I18" s="84">
        <v>45428</v>
      </c>
      <c r="J18" s="113"/>
    </row>
    <row r="19" spans="1:10">
      <c r="A19" s="81">
        <f t="shared" si="2"/>
        <v>14</v>
      </c>
      <c r="B19" s="15" t="str">
        <f t="shared" si="0"/>
        <v>10/0</v>
      </c>
      <c r="C19" s="15" t="s">
        <v>265</v>
      </c>
      <c r="D19" s="412" t="s">
        <v>979</v>
      </c>
      <c r="E19" s="191">
        <v>1.0051000000000001</v>
      </c>
      <c r="F19" s="191">
        <f t="shared" si="1"/>
        <v>1.0051000000000001</v>
      </c>
      <c r="G19" s="84">
        <v>45427</v>
      </c>
      <c r="H19" s="84">
        <v>45428</v>
      </c>
      <c r="I19" s="84">
        <v>45428</v>
      </c>
      <c r="J19" s="113"/>
    </row>
    <row r="20" spans="1:10">
      <c r="A20" s="81">
        <f t="shared" si="2"/>
        <v>15</v>
      </c>
      <c r="B20" s="15" t="str">
        <f t="shared" si="0"/>
        <v>11/0</v>
      </c>
      <c r="C20" s="15" t="s">
        <v>266</v>
      </c>
      <c r="D20" s="412" t="s">
        <v>979</v>
      </c>
      <c r="E20" s="191">
        <v>0.24679999999999999</v>
      </c>
      <c r="F20" s="191">
        <f t="shared" si="1"/>
        <v>0.24679999999999999</v>
      </c>
      <c r="G20" s="84">
        <v>45439</v>
      </c>
      <c r="H20" s="84">
        <v>45439</v>
      </c>
      <c r="I20" s="84">
        <v>45441</v>
      </c>
      <c r="J20" s="113" t="s">
        <v>505</v>
      </c>
    </row>
    <row r="21" spans="1:10">
      <c r="A21" s="81">
        <f t="shared" si="2"/>
        <v>16</v>
      </c>
      <c r="B21" s="15" t="str">
        <f t="shared" si="0"/>
        <v>12/0</v>
      </c>
      <c r="C21" s="15" t="s">
        <v>267</v>
      </c>
      <c r="D21" s="412" t="s">
        <v>979</v>
      </c>
      <c r="E21" s="191">
        <v>0.32919999999999999</v>
      </c>
      <c r="F21" s="191">
        <f t="shared" si="1"/>
        <v>0.32919999999999999</v>
      </c>
      <c r="G21" s="84">
        <v>45439</v>
      </c>
      <c r="H21" s="84">
        <v>45439</v>
      </c>
      <c r="I21" s="84">
        <v>45441</v>
      </c>
      <c r="J21" s="113" t="s">
        <v>507</v>
      </c>
    </row>
    <row r="22" spans="1:10">
      <c r="A22" s="81">
        <f t="shared" si="2"/>
        <v>17</v>
      </c>
      <c r="B22" s="15" t="str">
        <f t="shared" si="0"/>
        <v>13/0</v>
      </c>
      <c r="C22" s="15" t="s">
        <v>11</v>
      </c>
      <c r="D22" s="412" t="s">
        <v>979</v>
      </c>
      <c r="E22" s="191">
        <v>0.89790000000000003</v>
      </c>
      <c r="F22" s="191">
        <f t="shared" si="1"/>
        <v>0.89790000000000003</v>
      </c>
      <c r="G22" s="84">
        <v>45439</v>
      </c>
      <c r="H22" s="84">
        <v>45439</v>
      </c>
      <c r="I22" s="84">
        <v>45441</v>
      </c>
      <c r="J22" s="113"/>
    </row>
    <row r="23" spans="1:10">
      <c r="A23" s="81">
        <f t="shared" si="2"/>
        <v>18</v>
      </c>
      <c r="B23" s="15" t="str">
        <f t="shared" si="0"/>
        <v>14/0</v>
      </c>
      <c r="C23" s="15" t="s">
        <v>167</v>
      </c>
      <c r="D23" s="412"/>
      <c r="E23" s="191">
        <v>0.224</v>
      </c>
      <c r="F23" s="191">
        <f t="shared" si="1"/>
        <v>0.224</v>
      </c>
      <c r="G23" s="84">
        <v>45439</v>
      </c>
      <c r="H23" s="84">
        <v>45439</v>
      </c>
      <c r="I23" s="84">
        <v>45441</v>
      </c>
      <c r="J23" s="113" t="s">
        <v>506</v>
      </c>
    </row>
    <row r="24" spans="1:10">
      <c r="A24" s="81">
        <f t="shared" si="2"/>
        <v>19</v>
      </c>
      <c r="B24" s="15" t="str">
        <f t="shared" si="0"/>
        <v>15/0</v>
      </c>
      <c r="C24" s="15" t="s">
        <v>12</v>
      </c>
      <c r="D24" s="412" t="s">
        <v>979</v>
      </c>
      <c r="E24" s="192">
        <v>5.0201000000000002</v>
      </c>
      <c r="F24" s="191">
        <f t="shared" si="1"/>
        <v>5.0201000000000002</v>
      </c>
      <c r="G24" s="84">
        <v>45439</v>
      </c>
      <c r="H24" s="84">
        <v>45439</v>
      </c>
      <c r="I24" s="84">
        <v>45441</v>
      </c>
      <c r="J24" s="113" t="s">
        <v>514</v>
      </c>
    </row>
    <row r="25" spans="1:10" s="305" customFormat="1">
      <c r="A25" s="81">
        <f t="shared" si="2"/>
        <v>20</v>
      </c>
      <c r="B25" s="15" t="str">
        <f t="shared" si="0"/>
        <v>16/0</v>
      </c>
      <c r="C25" s="15" t="s">
        <v>13</v>
      </c>
      <c r="D25" s="412"/>
      <c r="E25" s="191">
        <v>0.3861</v>
      </c>
      <c r="F25" s="191">
        <f t="shared" si="1"/>
        <v>0.3861</v>
      </c>
      <c r="G25" s="84">
        <v>45448</v>
      </c>
      <c r="H25" s="84">
        <v>45499</v>
      </c>
      <c r="I25" s="84">
        <v>45499</v>
      </c>
      <c r="J25" s="113"/>
    </row>
    <row r="26" spans="1:10" s="305" customFormat="1">
      <c r="A26" s="81">
        <f t="shared" si="2"/>
        <v>21</v>
      </c>
      <c r="B26" s="15" t="str">
        <f t="shared" si="0"/>
        <v>17/0</v>
      </c>
      <c r="C26" s="15" t="s">
        <v>51</v>
      </c>
      <c r="D26" s="412"/>
      <c r="E26" s="191">
        <v>0.41139999999999999</v>
      </c>
      <c r="F26" s="191">
        <f t="shared" si="1"/>
        <v>0.41139999999999999</v>
      </c>
      <c r="G26" s="84">
        <v>45448</v>
      </c>
      <c r="H26" s="84">
        <v>45499</v>
      </c>
      <c r="I26" s="84">
        <v>45499</v>
      </c>
      <c r="J26" s="113"/>
    </row>
    <row r="27" spans="1:10" s="305" customFormat="1">
      <c r="A27" s="81">
        <f t="shared" si="2"/>
        <v>22</v>
      </c>
      <c r="B27" s="15" t="str">
        <f t="shared" si="0"/>
        <v>18/0</v>
      </c>
      <c r="C27" s="15" t="s">
        <v>52</v>
      </c>
      <c r="D27" s="412"/>
      <c r="E27" s="191">
        <v>3.0234000000000001</v>
      </c>
      <c r="F27" s="191">
        <f t="shared" si="1"/>
        <v>3.0234000000000001</v>
      </c>
      <c r="G27" s="84">
        <v>45448</v>
      </c>
      <c r="H27" s="84">
        <v>45499</v>
      </c>
      <c r="I27" s="84">
        <v>45499</v>
      </c>
      <c r="J27" s="113"/>
    </row>
    <row r="28" spans="1:10" s="305" customFormat="1" ht="29">
      <c r="A28" s="81">
        <f t="shared" si="2"/>
        <v>23</v>
      </c>
      <c r="B28" s="15" t="str">
        <f t="shared" si="0"/>
        <v>19/0</v>
      </c>
      <c r="C28" s="15" t="s">
        <v>53</v>
      </c>
      <c r="D28" s="412"/>
      <c r="E28" s="191">
        <v>0.27950000000000003</v>
      </c>
      <c r="F28" s="191">
        <f t="shared" si="1"/>
        <v>0.27950000000000003</v>
      </c>
      <c r="G28" s="84">
        <v>45448</v>
      </c>
      <c r="H28" s="84">
        <v>45499</v>
      </c>
      <c r="I28" s="84">
        <v>45499</v>
      </c>
      <c r="J28" s="113" t="s">
        <v>508</v>
      </c>
    </row>
    <row r="29" spans="1:10" s="305" customFormat="1">
      <c r="A29" s="81">
        <f t="shared" si="2"/>
        <v>24</v>
      </c>
      <c r="B29" s="15" t="str">
        <f t="shared" si="0"/>
        <v>20/0</v>
      </c>
      <c r="C29" s="15" t="s">
        <v>54</v>
      </c>
      <c r="D29" s="412"/>
      <c r="E29" s="191">
        <v>2.5514000000000001</v>
      </c>
      <c r="F29" s="191">
        <f t="shared" si="1"/>
        <v>2.5514000000000001</v>
      </c>
      <c r="G29" s="84">
        <v>45448</v>
      </c>
      <c r="H29" s="84">
        <v>45499</v>
      </c>
      <c r="I29" s="84">
        <v>45499</v>
      </c>
      <c r="J29" s="113"/>
    </row>
    <row r="30" spans="1:10" s="305" customFormat="1">
      <c r="A30" s="81">
        <f t="shared" si="2"/>
        <v>25</v>
      </c>
      <c r="B30" s="15" t="str">
        <f t="shared" si="0"/>
        <v>21/0</v>
      </c>
      <c r="C30" s="15" t="s">
        <v>55</v>
      </c>
      <c r="D30" s="15"/>
      <c r="E30" s="192">
        <v>2.2835000000000001</v>
      </c>
      <c r="F30" s="191">
        <f t="shared" si="1"/>
        <v>2.2835000000000001</v>
      </c>
      <c r="G30" s="84">
        <v>45448</v>
      </c>
      <c r="H30" s="84">
        <v>45499</v>
      </c>
      <c r="I30" s="84">
        <v>45499</v>
      </c>
      <c r="J30" s="113"/>
    </row>
    <row r="31" spans="1:10" s="305" customFormat="1" ht="15.75" customHeight="1">
      <c r="A31" s="81">
        <f t="shared" si="2"/>
        <v>26</v>
      </c>
      <c r="B31" s="15" t="str">
        <f t="shared" si="0"/>
        <v>22/0</v>
      </c>
      <c r="C31" s="15" t="s">
        <v>56</v>
      </c>
      <c r="D31" s="15"/>
      <c r="E31" s="192">
        <v>0.25940000000000002</v>
      </c>
      <c r="F31" s="191">
        <f t="shared" si="1"/>
        <v>0.25940000000000002</v>
      </c>
      <c r="G31" s="84">
        <v>45448</v>
      </c>
      <c r="H31" s="84">
        <v>45499</v>
      </c>
      <c r="I31" s="84">
        <v>45499</v>
      </c>
      <c r="J31" s="113" t="s">
        <v>509</v>
      </c>
    </row>
    <row r="32" spans="1:10" s="305" customFormat="1" ht="15.75" customHeight="1">
      <c r="A32" s="81">
        <f t="shared" si="2"/>
        <v>27</v>
      </c>
      <c r="B32" s="15" t="str">
        <f t="shared" si="0"/>
        <v>23/0</v>
      </c>
      <c r="C32" s="15" t="s">
        <v>57</v>
      </c>
      <c r="D32" s="15"/>
      <c r="E32" s="192">
        <v>0.92849999999999999</v>
      </c>
      <c r="F32" s="191">
        <f t="shared" si="1"/>
        <v>0.92849999999999999</v>
      </c>
      <c r="G32" s="82">
        <v>45455</v>
      </c>
      <c r="H32" s="84">
        <v>45499</v>
      </c>
      <c r="I32" s="84">
        <v>45499</v>
      </c>
      <c r="J32" s="443"/>
    </row>
    <row r="33" spans="1:10" s="305" customFormat="1">
      <c r="A33" s="81">
        <f t="shared" si="2"/>
        <v>28</v>
      </c>
      <c r="B33" s="15" t="str">
        <f t="shared" si="0"/>
        <v>24/0</v>
      </c>
      <c r="C33" s="413" t="s">
        <v>58</v>
      </c>
      <c r="D33" s="413"/>
      <c r="E33" s="192">
        <v>0.25209999999999999</v>
      </c>
      <c r="F33" s="191">
        <f t="shared" si="1"/>
        <v>0.25209999999999999</v>
      </c>
      <c r="G33" s="82">
        <v>45455</v>
      </c>
      <c r="H33" s="84">
        <v>45499</v>
      </c>
      <c r="I33" s="84">
        <v>45499</v>
      </c>
      <c r="J33" s="113" t="s">
        <v>510</v>
      </c>
    </row>
    <row r="34" spans="1:10" s="305" customFormat="1">
      <c r="A34" s="81">
        <f t="shared" si="2"/>
        <v>29</v>
      </c>
      <c r="B34" s="15" t="str">
        <f t="shared" si="0"/>
        <v>25/0</v>
      </c>
      <c r="C34" s="413" t="s">
        <v>59</v>
      </c>
      <c r="D34" s="413"/>
      <c r="E34" s="192">
        <v>0.2374</v>
      </c>
      <c r="F34" s="191">
        <f t="shared" si="1"/>
        <v>0.2374</v>
      </c>
      <c r="G34" s="82">
        <v>45455</v>
      </c>
      <c r="H34" s="84">
        <v>45499</v>
      </c>
      <c r="I34" s="84">
        <v>45499</v>
      </c>
      <c r="J34" s="113"/>
    </row>
    <row r="35" spans="1:10" s="305" customFormat="1" ht="29">
      <c r="A35" s="81">
        <f t="shared" si="2"/>
        <v>30</v>
      </c>
      <c r="B35" s="15" t="str">
        <f t="shared" si="0"/>
        <v>26/0</v>
      </c>
      <c r="C35" s="413" t="s">
        <v>60</v>
      </c>
      <c r="D35" s="413"/>
      <c r="E35" s="192">
        <v>0.20399999999999999</v>
      </c>
      <c r="F35" s="191">
        <f t="shared" si="1"/>
        <v>0.20399999999999999</v>
      </c>
      <c r="G35" s="82">
        <v>45455</v>
      </c>
      <c r="H35" s="84">
        <v>45499</v>
      </c>
      <c r="I35" s="84">
        <v>45499</v>
      </c>
      <c r="J35" s="113" t="s">
        <v>511</v>
      </c>
    </row>
    <row r="36" spans="1:10" s="305" customFormat="1">
      <c r="A36" s="81">
        <f t="shared" si="2"/>
        <v>31</v>
      </c>
      <c r="B36" s="15" t="str">
        <f t="shared" si="0"/>
        <v>27/0</v>
      </c>
      <c r="C36" s="413" t="s">
        <v>63</v>
      </c>
      <c r="D36" s="413"/>
      <c r="E36" s="192">
        <v>2.5476000000000001</v>
      </c>
      <c r="F36" s="191">
        <f t="shared" si="1"/>
        <v>2.5476000000000001</v>
      </c>
      <c r="G36" s="82">
        <v>45455</v>
      </c>
      <c r="H36" s="84">
        <v>45499</v>
      </c>
      <c r="I36" s="84">
        <v>45499</v>
      </c>
      <c r="J36" s="113"/>
    </row>
    <row r="37" spans="1:10" s="305" customFormat="1">
      <c r="A37" s="81">
        <f t="shared" si="2"/>
        <v>32</v>
      </c>
      <c r="B37" s="15" t="str">
        <f t="shared" si="0"/>
        <v>28/0</v>
      </c>
      <c r="C37" s="413" t="s">
        <v>64</v>
      </c>
      <c r="D37" s="413"/>
      <c r="E37" s="192">
        <v>0.21179999999999999</v>
      </c>
      <c r="F37" s="191">
        <f t="shared" si="1"/>
        <v>0.21179999999999999</v>
      </c>
      <c r="G37" s="82">
        <v>45455</v>
      </c>
      <c r="H37" s="84">
        <v>45499</v>
      </c>
      <c r="I37" s="84">
        <v>45499</v>
      </c>
      <c r="J37" s="113" t="s">
        <v>512</v>
      </c>
    </row>
    <row r="38" spans="1:10" s="305" customFormat="1">
      <c r="A38" s="81">
        <f t="shared" si="2"/>
        <v>33</v>
      </c>
      <c r="B38" s="15" t="str">
        <f t="shared" si="0"/>
        <v>29/0</v>
      </c>
      <c r="C38" s="413" t="s">
        <v>65</v>
      </c>
      <c r="D38" s="413"/>
      <c r="E38" s="192">
        <v>4.9546999999999999</v>
      </c>
      <c r="F38" s="191">
        <f t="shared" si="1"/>
        <v>4.9546999999999999</v>
      </c>
      <c r="G38" s="82">
        <v>45455</v>
      </c>
      <c r="H38" s="84">
        <v>45499</v>
      </c>
      <c r="I38" s="84">
        <v>45499</v>
      </c>
      <c r="J38" s="113"/>
    </row>
    <row r="39" spans="1:10" s="305" customFormat="1">
      <c r="A39" s="81">
        <f t="shared" si="2"/>
        <v>34</v>
      </c>
      <c r="B39" s="15" t="str">
        <f t="shared" si="0"/>
        <v>30/0</v>
      </c>
      <c r="C39" s="413" t="s">
        <v>9</v>
      </c>
      <c r="D39" s="413"/>
      <c r="E39" s="192">
        <v>4.2188999999999997</v>
      </c>
      <c r="F39" s="191">
        <f t="shared" si="1"/>
        <v>4.2188999999999997</v>
      </c>
      <c r="G39" s="82">
        <v>45455</v>
      </c>
      <c r="H39" s="84">
        <v>45499</v>
      </c>
      <c r="I39" s="84">
        <v>45499</v>
      </c>
      <c r="J39" s="113"/>
    </row>
    <row r="40" spans="1:10" s="305" customFormat="1">
      <c r="A40" s="81">
        <f t="shared" si="2"/>
        <v>35</v>
      </c>
      <c r="B40" s="15" t="str">
        <f t="shared" si="0"/>
        <v>31/0</v>
      </c>
      <c r="C40" s="413" t="s">
        <v>10</v>
      </c>
      <c r="D40" s="413"/>
      <c r="E40" s="192">
        <v>4.3323</v>
      </c>
      <c r="F40" s="191">
        <f t="shared" si="1"/>
        <v>4.3323</v>
      </c>
      <c r="G40" s="82">
        <v>45455</v>
      </c>
      <c r="H40" s="84">
        <v>45499</v>
      </c>
      <c r="I40" s="84">
        <v>45499</v>
      </c>
      <c r="J40" s="113"/>
    </row>
    <row r="41" spans="1:10" s="305" customFormat="1">
      <c r="A41" s="81">
        <f t="shared" si="2"/>
        <v>36</v>
      </c>
      <c r="B41" s="15" t="str">
        <f t="shared" si="0"/>
        <v>32/0</v>
      </c>
      <c r="C41" s="15" t="s">
        <v>67</v>
      </c>
      <c r="D41" s="413"/>
      <c r="E41" s="192">
        <v>4.1241000000000003</v>
      </c>
      <c r="F41" s="191">
        <f t="shared" si="1"/>
        <v>4.1241000000000003</v>
      </c>
      <c r="G41" s="36">
        <v>45502</v>
      </c>
      <c r="H41" s="36">
        <v>45516</v>
      </c>
      <c r="I41" s="460">
        <v>45516</v>
      </c>
      <c r="J41" s="113" t="s">
        <v>516</v>
      </c>
    </row>
    <row r="42" spans="1:10" s="305" customFormat="1">
      <c r="A42" s="81">
        <f t="shared" si="2"/>
        <v>37</v>
      </c>
      <c r="B42" s="15" t="str">
        <f t="shared" si="0"/>
        <v>33/0</v>
      </c>
      <c r="C42" s="15" t="s">
        <v>166</v>
      </c>
      <c r="D42" s="413"/>
      <c r="E42" s="192">
        <f>4049.76/1000</f>
        <v>4.04976</v>
      </c>
      <c r="F42" s="191">
        <f t="shared" si="1"/>
        <v>4.04976</v>
      </c>
      <c r="G42" s="36">
        <v>45502</v>
      </c>
      <c r="H42" s="36">
        <v>45502</v>
      </c>
      <c r="I42" s="36">
        <v>45502</v>
      </c>
      <c r="J42" s="113"/>
    </row>
    <row r="43" spans="1:10" s="305" customFormat="1">
      <c r="A43" s="81">
        <f t="shared" si="2"/>
        <v>38</v>
      </c>
      <c r="B43" s="15" t="str">
        <f t="shared" si="0"/>
        <v>34/0</v>
      </c>
      <c r="C43" s="15" t="s">
        <v>71</v>
      </c>
      <c r="D43" s="413"/>
      <c r="E43" s="192">
        <f>4898.59/1000</f>
        <v>4.8985900000000004</v>
      </c>
      <c r="F43" s="191">
        <f t="shared" si="1"/>
        <v>4.8985900000000004</v>
      </c>
      <c r="G43" s="36">
        <v>45502</v>
      </c>
      <c r="H43" s="36">
        <v>45502</v>
      </c>
      <c r="I43" s="36">
        <v>45502</v>
      </c>
      <c r="J43" s="113"/>
    </row>
    <row r="44" spans="1:10" s="305" customFormat="1">
      <c r="A44" s="81">
        <f t="shared" si="2"/>
        <v>39</v>
      </c>
      <c r="B44" s="15" t="str">
        <f t="shared" si="0"/>
        <v>35/0</v>
      </c>
      <c r="C44" s="15" t="s">
        <v>8</v>
      </c>
      <c r="D44" s="413"/>
      <c r="E44" s="192">
        <f>4916.35/1000</f>
        <v>4.9163500000000004</v>
      </c>
      <c r="F44" s="191">
        <f t="shared" si="1"/>
        <v>4.9163500000000004</v>
      </c>
      <c r="G44" s="36">
        <v>45502</v>
      </c>
      <c r="H44" s="36">
        <v>45502</v>
      </c>
      <c r="I44" s="36">
        <v>45502</v>
      </c>
      <c r="J44" s="113"/>
    </row>
    <row r="45" spans="1:10" s="305" customFormat="1">
      <c r="A45" s="81">
        <f t="shared" si="2"/>
        <v>40</v>
      </c>
      <c r="B45" s="15" t="str">
        <f t="shared" si="0"/>
        <v>36/0</v>
      </c>
      <c r="C45" s="15" t="s">
        <v>168</v>
      </c>
      <c r="D45" s="414"/>
      <c r="E45" s="191">
        <f>1745.52/1000</f>
        <v>1.74552</v>
      </c>
      <c r="F45" s="191">
        <f t="shared" si="1"/>
        <v>1.74552</v>
      </c>
      <c r="G45" s="36">
        <v>45502</v>
      </c>
      <c r="H45" s="36">
        <v>45502</v>
      </c>
      <c r="I45" s="36">
        <v>45502</v>
      </c>
      <c r="J45" s="444"/>
    </row>
    <row r="46" spans="1:10" s="305" customFormat="1">
      <c r="A46" s="81">
        <f t="shared" si="2"/>
        <v>41</v>
      </c>
      <c r="B46" s="15" t="str">
        <f t="shared" si="0"/>
        <v>37/0</v>
      </c>
      <c r="C46" s="15" t="s">
        <v>775</v>
      </c>
      <c r="D46" s="413"/>
      <c r="E46" s="192">
        <f>2496.39/1000</f>
        <v>2.4963899999999999</v>
      </c>
      <c r="F46" s="191">
        <f t="shared" si="1"/>
        <v>2.4963899999999999</v>
      </c>
      <c r="G46" s="36">
        <v>45502</v>
      </c>
      <c r="H46" s="36">
        <v>45502</v>
      </c>
      <c r="I46" s="36">
        <v>45502</v>
      </c>
      <c r="J46" s="113"/>
    </row>
    <row r="47" spans="1:10" s="305" customFormat="1">
      <c r="A47" s="81">
        <f t="shared" si="2"/>
        <v>42</v>
      </c>
      <c r="B47" s="15" t="str">
        <f t="shared" si="0"/>
        <v>37A/0</v>
      </c>
      <c r="C47" s="15" t="s">
        <v>72</v>
      </c>
      <c r="D47" s="413"/>
      <c r="E47" s="192">
        <f>2583.59/1000</f>
        <v>2.5835900000000001</v>
      </c>
      <c r="F47" s="191">
        <f t="shared" si="1"/>
        <v>2.5835900000000001</v>
      </c>
      <c r="G47" s="36">
        <v>45502</v>
      </c>
      <c r="H47" s="36">
        <v>45502</v>
      </c>
      <c r="I47" s="36">
        <v>45502</v>
      </c>
      <c r="J47" s="113"/>
    </row>
    <row r="48" spans="1:10" s="305" customFormat="1">
      <c r="A48" s="81">
        <f t="shared" si="2"/>
        <v>43</v>
      </c>
      <c r="B48" s="15" t="str">
        <f t="shared" si="0"/>
        <v>38/0</v>
      </c>
      <c r="C48" s="15" t="s">
        <v>73</v>
      </c>
      <c r="D48" s="413"/>
      <c r="E48" s="192">
        <f>4163.68/1000</f>
        <v>4.1636800000000003</v>
      </c>
      <c r="F48" s="191">
        <f t="shared" si="1"/>
        <v>4.1636800000000003</v>
      </c>
      <c r="G48" s="36">
        <v>45502</v>
      </c>
      <c r="H48" s="36">
        <v>45502</v>
      </c>
      <c r="I48" s="36">
        <v>45502</v>
      </c>
      <c r="J48" s="113"/>
    </row>
    <row r="49" spans="1:10" s="305" customFormat="1">
      <c r="A49" s="81">
        <f t="shared" si="2"/>
        <v>44</v>
      </c>
      <c r="B49" s="15" t="str">
        <f t="shared" si="0"/>
        <v>39/0</v>
      </c>
      <c r="C49" s="15" t="s">
        <v>74</v>
      </c>
      <c r="D49" s="413"/>
      <c r="E49" s="192">
        <f>4716.81/1000</f>
        <v>4.7168100000000006</v>
      </c>
      <c r="F49" s="191">
        <f t="shared" si="1"/>
        <v>4.7168100000000006</v>
      </c>
      <c r="G49" s="36">
        <v>45502</v>
      </c>
      <c r="H49" s="36">
        <v>45502</v>
      </c>
      <c r="I49" s="36">
        <v>45502</v>
      </c>
      <c r="J49" s="113"/>
    </row>
    <row r="50" spans="1:10" s="305" customFormat="1">
      <c r="A50" s="81">
        <f t="shared" si="2"/>
        <v>45</v>
      </c>
      <c r="B50" s="15" t="str">
        <f t="shared" si="0"/>
        <v>40/0</v>
      </c>
      <c r="C50" s="15" t="s">
        <v>638</v>
      </c>
      <c r="D50" s="413"/>
      <c r="E50" s="192">
        <f>4665.92/1000</f>
        <v>4.6659199999999998</v>
      </c>
      <c r="F50" s="191">
        <f t="shared" si="1"/>
        <v>4.6659199999999998</v>
      </c>
      <c r="G50" s="36">
        <v>45502</v>
      </c>
      <c r="H50" s="36">
        <v>45502</v>
      </c>
      <c r="I50" s="36">
        <v>45502</v>
      </c>
      <c r="J50" s="113"/>
    </row>
    <row r="51" spans="1:10" s="305" customFormat="1">
      <c r="A51" s="81">
        <f t="shared" si="2"/>
        <v>46</v>
      </c>
      <c r="B51" s="15" t="str">
        <f t="shared" si="0"/>
        <v>40A/0</v>
      </c>
      <c r="C51" s="15" t="s">
        <v>75</v>
      </c>
      <c r="D51" s="413"/>
      <c r="E51" s="192">
        <f>410.607/1000</f>
        <v>0.41060700000000006</v>
      </c>
      <c r="F51" s="191">
        <f t="shared" si="1"/>
        <v>0.41060700000000006</v>
      </c>
      <c r="G51" s="36">
        <v>45502</v>
      </c>
      <c r="H51" s="36">
        <v>45502</v>
      </c>
      <c r="I51" s="36">
        <v>45502</v>
      </c>
      <c r="J51" s="113"/>
    </row>
    <row r="52" spans="1:10" s="305" customFormat="1">
      <c r="A52" s="81">
        <f t="shared" si="2"/>
        <v>47</v>
      </c>
      <c r="B52" s="15" t="str">
        <f t="shared" si="0"/>
        <v>41/0</v>
      </c>
      <c r="C52" s="15" t="s">
        <v>77</v>
      </c>
      <c r="D52" s="413"/>
      <c r="E52" s="192">
        <f>823.782/1000</f>
        <v>0.82378200000000001</v>
      </c>
      <c r="F52" s="191">
        <f t="shared" si="1"/>
        <v>0.82378200000000001</v>
      </c>
      <c r="G52" s="36">
        <v>45502</v>
      </c>
      <c r="H52" s="36">
        <v>45502</v>
      </c>
      <c r="I52" s="36">
        <v>45502</v>
      </c>
      <c r="J52" s="113"/>
    </row>
    <row r="53" spans="1:10" s="305" customFormat="1">
      <c r="A53" s="81">
        <f t="shared" si="2"/>
        <v>48</v>
      </c>
      <c r="B53" s="15" t="str">
        <f t="shared" si="0"/>
        <v>42/0</v>
      </c>
      <c r="C53" s="15" t="s">
        <v>78</v>
      </c>
      <c r="D53" s="415"/>
      <c r="E53" s="264">
        <f>1683.889/1000</f>
        <v>1.683889</v>
      </c>
      <c r="F53" s="191">
        <f t="shared" si="1"/>
        <v>1.683889</v>
      </c>
      <c r="G53" s="36">
        <v>45502</v>
      </c>
      <c r="H53" s="36">
        <v>45502</v>
      </c>
      <c r="I53" s="36">
        <v>45502</v>
      </c>
      <c r="J53" s="445"/>
    </row>
    <row r="54" spans="1:10" s="305" customFormat="1">
      <c r="A54" s="81">
        <f t="shared" si="2"/>
        <v>49</v>
      </c>
      <c r="B54" s="15" t="str">
        <f t="shared" si="0"/>
        <v>43/0</v>
      </c>
      <c r="C54" s="15" t="s">
        <v>7</v>
      </c>
      <c r="D54" s="415"/>
      <c r="E54" s="264">
        <f>3436.41/1000</f>
        <v>3.43641</v>
      </c>
      <c r="F54" s="191">
        <f t="shared" si="1"/>
        <v>3.43641</v>
      </c>
      <c r="G54" s="36">
        <v>45502</v>
      </c>
      <c r="H54" s="36">
        <v>45502</v>
      </c>
      <c r="I54" s="36">
        <v>45502</v>
      </c>
      <c r="J54" s="445"/>
    </row>
    <row r="55" spans="1:10" s="305" customFormat="1">
      <c r="A55" s="81">
        <f t="shared" si="2"/>
        <v>50</v>
      </c>
      <c r="B55" s="15" t="s">
        <v>7</v>
      </c>
      <c r="C55" s="15" t="s">
        <v>1245</v>
      </c>
      <c r="D55" s="415"/>
      <c r="E55" s="264">
        <f>2591.68/1000</f>
        <v>2.5916799999999998</v>
      </c>
      <c r="F55" s="191">
        <f t="shared" si="1"/>
        <v>2.5916799999999998</v>
      </c>
      <c r="G55" s="36">
        <v>45708</v>
      </c>
      <c r="H55" s="36">
        <v>45708</v>
      </c>
      <c r="I55" s="36">
        <v>45708</v>
      </c>
      <c r="J55" s="445"/>
    </row>
    <row r="56" spans="1:10" s="305" customFormat="1">
      <c r="A56" s="754"/>
      <c r="B56" s="15"/>
      <c r="C56" s="15"/>
      <c r="D56" s="415"/>
      <c r="E56" s="264"/>
      <c r="F56" s="264"/>
      <c r="G56" s="36"/>
      <c r="H56" s="36"/>
      <c r="I56" s="265"/>
      <c r="J56" s="445"/>
    </row>
    <row r="57" spans="1:10" s="305" customFormat="1">
      <c r="A57" s="754"/>
      <c r="B57" s="15"/>
      <c r="C57" s="15"/>
      <c r="D57" s="415"/>
      <c r="E57" s="264"/>
      <c r="F57" s="264"/>
      <c r="G57" s="36"/>
      <c r="H57" s="36"/>
      <c r="I57" s="265"/>
      <c r="J57" s="445"/>
    </row>
    <row r="58" spans="1:10" s="305" customFormat="1">
      <c r="A58" s="754"/>
      <c r="B58" s="15"/>
      <c r="C58" s="15"/>
      <c r="D58" s="415"/>
      <c r="E58" s="264"/>
      <c r="F58" s="264"/>
      <c r="G58" s="36"/>
      <c r="H58" s="36"/>
      <c r="I58" s="265"/>
      <c r="J58" s="445"/>
    </row>
    <row r="59" spans="1:10" s="305" customFormat="1">
      <c r="A59" s="754"/>
      <c r="B59" s="15"/>
      <c r="C59" s="15"/>
      <c r="D59" s="415"/>
      <c r="E59" s="264"/>
      <c r="F59" s="264"/>
      <c r="G59" s="36"/>
      <c r="H59" s="36"/>
      <c r="I59" s="265"/>
      <c r="J59" s="445"/>
    </row>
    <row r="60" spans="1:10" s="305" customFormat="1">
      <c r="A60" s="754"/>
      <c r="B60" s="15"/>
      <c r="C60" s="15"/>
      <c r="D60" s="415"/>
      <c r="E60" s="264"/>
      <c r="F60" s="264"/>
      <c r="G60" s="36"/>
      <c r="H60" s="36"/>
      <c r="I60" s="265"/>
      <c r="J60" s="445"/>
    </row>
    <row r="61" spans="1:10" s="305" customFormat="1">
      <c r="A61" s="754"/>
      <c r="B61" s="15"/>
      <c r="C61" s="15"/>
      <c r="D61" s="415"/>
      <c r="E61" s="264"/>
      <c r="F61" s="264"/>
      <c r="G61" s="36"/>
      <c r="H61" s="36"/>
      <c r="I61" s="265"/>
      <c r="J61" s="445"/>
    </row>
    <row r="62" spans="1:10">
      <c r="A62" s="15"/>
      <c r="B62" s="15"/>
      <c r="C62" s="416"/>
      <c r="D62" s="417"/>
      <c r="E62" s="264"/>
      <c r="F62" s="264"/>
      <c r="G62" s="36"/>
      <c r="H62" s="36"/>
      <c r="I62" s="265"/>
      <c r="J62" s="445"/>
    </row>
    <row r="63" spans="1:10" ht="15" thickBot="1">
      <c r="A63" s="269"/>
      <c r="B63" s="269"/>
      <c r="C63" s="417"/>
      <c r="D63" s="417"/>
      <c r="E63" s="264"/>
      <c r="F63" s="264"/>
      <c r="G63" s="36"/>
      <c r="H63" s="36"/>
      <c r="I63" s="265"/>
      <c r="J63" s="445"/>
    </row>
    <row r="64" spans="1:10" ht="15" thickBot="1">
      <c r="A64" s="270" t="s">
        <v>81</v>
      </c>
      <c r="B64" s="271"/>
      <c r="C64" s="272"/>
      <c r="D64" s="272"/>
      <c r="E64" s="273">
        <f>SUBTOTAL(9,E6:E55)</f>
        <v>117.84802299999998</v>
      </c>
      <c r="F64" s="273">
        <f>SUBTOTAL(9,F6:F55)</f>
        <v>117.84802299999998</v>
      </c>
      <c r="G64" s="274"/>
      <c r="H64" s="274"/>
      <c r="I64" s="275"/>
      <c r="J64" s="446"/>
    </row>
    <row r="65" spans="6:10">
      <c r="J65" s="447"/>
    </row>
    <row r="66" spans="6:10">
      <c r="J66" s="447"/>
    </row>
    <row r="67" spans="6:10">
      <c r="F67" s="11"/>
      <c r="J67" s="447"/>
    </row>
    <row r="68" spans="6:10">
      <c r="J68" s="447"/>
    </row>
    <row r="69" spans="6:10">
      <c r="J69" s="447"/>
    </row>
    <row r="70" spans="6:10">
      <c r="J70" s="447"/>
    </row>
    <row r="71" spans="6:10">
      <c r="J71" s="447"/>
    </row>
    <row r="72" spans="6:10">
      <c r="J72" s="447"/>
    </row>
    <row r="73" spans="6:10">
      <c r="J73" s="447"/>
    </row>
    <row r="74" spans="6:10">
      <c r="J74" s="447"/>
    </row>
    <row r="75" spans="6:10">
      <c r="J75" s="447"/>
    </row>
    <row r="76" spans="6:10">
      <c r="J76" s="447"/>
    </row>
    <row r="77" spans="6:10">
      <c r="J77" s="447"/>
    </row>
    <row r="78" spans="6:10">
      <c r="J78" s="447"/>
    </row>
  </sheetData>
  <autoFilter ref="A4:J52" xr:uid="{00000000-0009-0000-0000-000002000000}">
    <filterColumn colId="1" showButton="0"/>
  </autoFilter>
  <mergeCells count="12">
    <mergeCell ref="A1:J1"/>
    <mergeCell ref="A2:J2"/>
    <mergeCell ref="A4:A5"/>
    <mergeCell ref="B4:C4"/>
    <mergeCell ref="E4:E5"/>
    <mergeCell ref="F4:F5"/>
    <mergeCell ref="G4:G5"/>
    <mergeCell ref="H4:H5"/>
    <mergeCell ref="A3:H3"/>
    <mergeCell ref="I4:I5"/>
    <mergeCell ref="J4:J5"/>
    <mergeCell ref="D4:D5"/>
  </mergeCells>
  <phoneticPr fontId="46" type="noConversion"/>
  <pageMargins left="0.70866141732283472" right="0.70866141732283472" top="0.74803149606299213" bottom="0.74803149606299213" header="0.31496062992125984" footer="0.31496062992125984"/>
  <pageSetup paperSize="9" scale="46" orientation="landscape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4">
    <tabColor rgb="FFFF0000"/>
  </sheetPr>
  <dimension ref="A1:G60"/>
  <sheetViews>
    <sheetView zoomScaleNormal="100" workbookViewId="0">
      <selection activeCell="G13" sqref="G13"/>
    </sheetView>
  </sheetViews>
  <sheetFormatPr defaultColWidth="9.1796875" defaultRowHeight="14.5"/>
  <cols>
    <col min="1" max="1" width="7.7265625" style="7" customWidth="1"/>
    <col min="2" max="3" width="14.7265625" style="7" customWidth="1"/>
    <col min="4" max="4" width="14.26953125" style="7" customWidth="1"/>
    <col min="5" max="5" width="16.7265625" style="7" customWidth="1"/>
    <col min="6" max="6" width="14.81640625" style="7" customWidth="1"/>
    <col min="7" max="7" width="32.54296875" style="7" customWidth="1"/>
    <col min="8" max="16384" width="9.1796875" style="7"/>
  </cols>
  <sheetData>
    <row r="1" spans="1:7" ht="15.5">
      <c r="A1" s="1588" t="s">
        <v>120</v>
      </c>
      <c r="B1" s="1589"/>
      <c r="C1" s="1589"/>
      <c r="D1" s="1589"/>
      <c r="E1" s="1589"/>
      <c r="F1" s="1589"/>
      <c r="G1" s="1590"/>
    </row>
    <row r="2" spans="1:7" ht="15.5">
      <c r="A2" s="1579" t="str">
        <f>TA413_PBNTL!A3</f>
        <v>Name of Line: 765 KV D/C Bikaner III - Neemrana II TL02                                                                                                                                                                                                                     LOA Value: 378 Crore</v>
      </c>
      <c r="B2" s="1559"/>
      <c r="C2" s="1559"/>
      <c r="D2" s="1559"/>
      <c r="E2" s="1559"/>
      <c r="F2" s="1559"/>
      <c r="G2" s="1591"/>
    </row>
    <row r="3" spans="1:7" ht="15.5">
      <c r="A3" s="1582" t="s">
        <v>40</v>
      </c>
      <c r="B3" s="1583"/>
      <c r="C3" s="1583"/>
      <c r="D3" s="1583"/>
      <c r="E3" s="1583"/>
      <c r="F3" s="1584"/>
      <c r="G3" s="80" t="str">
        <f>TA413_PBNTL!M1</f>
        <v>17.07.2026</v>
      </c>
    </row>
    <row r="4" spans="1:7" ht="15" customHeight="1">
      <c r="A4" s="1592" t="s">
        <v>20</v>
      </c>
      <c r="B4" s="1575" t="s">
        <v>21</v>
      </c>
      <c r="C4" s="1576"/>
      <c r="D4" s="1593" t="s">
        <v>39</v>
      </c>
      <c r="E4" s="1577" t="s">
        <v>23</v>
      </c>
      <c r="F4" s="1593" t="s">
        <v>248</v>
      </c>
      <c r="G4" s="1580" t="s">
        <v>1</v>
      </c>
    </row>
    <row r="5" spans="1:7">
      <c r="A5" s="1592"/>
      <c r="B5" s="12" t="s">
        <v>24</v>
      </c>
      <c r="C5" s="12" t="s">
        <v>25</v>
      </c>
      <c r="D5" s="1593"/>
      <c r="E5" s="1578"/>
      <c r="F5" s="1593"/>
      <c r="G5" s="1581"/>
    </row>
    <row r="6" spans="1:7" ht="16.5" customHeight="1">
      <c r="A6" s="81">
        <v>1</v>
      </c>
      <c r="B6" s="15" t="str">
        <f>'Detailed Survey '!B6</f>
        <v>Gnatry BKN -III</v>
      </c>
      <c r="C6" s="15" t="str">
        <f>'Detailed Survey '!C6</f>
        <v>1/0</v>
      </c>
      <c r="D6" s="15">
        <f>'Detailed Survey '!F6</f>
        <v>0.15</v>
      </c>
      <c r="E6" s="978">
        <v>45709</v>
      </c>
      <c r="F6" s="978">
        <v>45709</v>
      </c>
      <c r="G6" s="16"/>
    </row>
    <row r="7" spans="1:7" ht="16.5" customHeight="1">
      <c r="A7" s="81">
        <f>A6+1</f>
        <v>2</v>
      </c>
      <c r="B7" s="15" t="str">
        <f>'Detailed Survey '!B7</f>
        <v>1/0</v>
      </c>
      <c r="C7" s="15" t="str">
        <f>'Detailed Survey '!C7</f>
        <v>2A/0</v>
      </c>
      <c r="D7" s="15">
        <f>'Detailed Survey '!F7</f>
        <v>0.29021000000000002</v>
      </c>
      <c r="E7" s="978">
        <v>45709</v>
      </c>
      <c r="F7" s="978">
        <v>45709</v>
      </c>
      <c r="G7" s="16"/>
    </row>
    <row r="8" spans="1:7" ht="16.5" customHeight="1">
      <c r="A8" s="81">
        <f t="shared" ref="A8:A55" si="0">A7+1</f>
        <v>3</v>
      </c>
      <c r="B8" s="15" t="str">
        <f>'Detailed Survey '!B8</f>
        <v>2A/0</v>
      </c>
      <c r="C8" s="15" t="str">
        <f>'Detailed Survey '!C8</f>
        <v>3A/0</v>
      </c>
      <c r="D8" s="15">
        <f>'Detailed Survey '!F8</f>
        <v>2.836992</v>
      </c>
      <c r="E8" s="978">
        <v>45709</v>
      </c>
      <c r="F8" s="978">
        <v>45709</v>
      </c>
      <c r="G8" s="18"/>
    </row>
    <row r="9" spans="1:7" ht="16.5" customHeight="1">
      <c r="A9" s="81">
        <f t="shared" si="0"/>
        <v>4</v>
      </c>
      <c r="B9" s="15" t="str">
        <f>'Detailed Survey '!B9</f>
        <v>3A/0</v>
      </c>
      <c r="C9" s="15" t="str">
        <f>'Detailed Survey '!C9</f>
        <v>3B/0</v>
      </c>
      <c r="D9" s="192">
        <f>'Detailed Survey '!F9</f>
        <v>2.6909999999999998</v>
      </c>
      <c r="E9" s="978">
        <v>45709</v>
      </c>
      <c r="F9" s="978">
        <v>45709</v>
      </c>
      <c r="G9" s="16"/>
    </row>
    <row r="10" spans="1:7" ht="16.5" customHeight="1">
      <c r="A10" s="81">
        <f t="shared" si="0"/>
        <v>5</v>
      </c>
      <c r="B10" s="15" t="s">
        <v>1263</v>
      </c>
      <c r="C10" s="15" t="s">
        <v>256</v>
      </c>
      <c r="D10" s="412">
        <v>1.627</v>
      </c>
      <c r="E10" s="978">
        <v>45709</v>
      </c>
      <c r="F10" s="978">
        <v>45709</v>
      </c>
      <c r="G10" s="16"/>
    </row>
    <row r="11" spans="1:7" ht="16.5" customHeight="1">
      <c r="A11" s="81">
        <f t="shared" si="0"/>
        <v>6</v>
      </c>
      <c r="B11" s="15" t="s">
        <v>256</v>
      </c>
      <c r="C11" s="15" t="s">
        <v>890</v>
      </c>
      <c r="D11" s="412">
        <v>0.70899999999999996</v>
      </c>
      <c r="E11" s="978">
        <v>45492</v>
      </c>
      <c r="F11" s="978">
        <v>45492</v>
      </c>
      <c r="G11" s="16"/>
    </row>
    <row r="12" spans="1:7" ht="16.5" customHeight="1">
      <c r="A12" s="81">
        <f t="shared" si="0"/>
        <v>7</v>
      </c>
      <c r="B12" s="15" t="s">
        <v>890</v>
      </c>
      <c r="C12" s="15" t="s">
        <v>257</v>
      </c>
      <c r="D12" s="412">
        <v>2.6819999999999999</v>
      </c>
      <c r="E12" s="978">
        <v>45492</v>
      </c>
      <c r="F12" s="978">
        <v>45492</v>
      </c>
      <c r="G12" s="16"/>
    </row>
    <row r="13" spans="1:7" ht="16.5" customHeight="1">
      <c r="A13" s="81">
        <f t="shared" si="0"/>
        <v>8</v>
      </c>
      <c r="B13" s="15" t="s">
        <v>257</v>
      </c>
      <c r="C13" s="15" t="s">
        <v>672</v>
      </c>
      <c r="D13" s="412">
        <v>4.4180000000000001</v>
      </c>
      <c r="E13" s="978">
        <v>45503</v>
      </c>
      <c r="F13" s="978">
        <v>45503</v>
      </c>
      <c r="G13" s="16"/>
    </row>
    <row r="14" spans="1:7" ht="16.5" customHeight="1">
      <c r="A14" s="81">
        <f t="shared" si="0"/>
        <v>9</v>
      </c>
      <c r="B14" s="15" t="str">
        <f>'Detailed Survey '!B14</f>
        <v>5A/0</v>
      </c>
      <c r="C14" s="15" t="str">
        <f>'Detailed Survey '!C14</f>
        <v>6/0</v>
      </c>
      <c r="D14" s="192">
        <f>'Detailed Survey '!F14</f>
        <v>0.41948000000000002</v>
      </c>
      <c r="E14" s="978">
        <v>45500</v>
      </c>
      <c r="F14" s="978">
        <v>45503</v>
      </c>
      <c r="G14" s="16"/>
    </row>
    <row r="15" spans="1:7" ht="16.5" customHeight="1">
      <c r="A15" s="81">
        <f t="shared" si="0"/>
        <v>10</v>
      </c>
      <c r="B15" s="15" t="str">
        <f>'Detailed Survey '!B15</f>
        <v>6/0</v>
      </c>
      <c r="C15" s="15" t="str">
        <f>'Detailed Survey '!C15</f>
        <v>7/0</v>
      </c>
      <c r="D15" s="192">
        <f>'Detailed Survey '!F15</f>
        <v>4.9099000000000004</v>
      </c>
      <c r="E15" s="978">
        <v>45526</v>
      </c>
      <c r="F15" s="978">
        <v>45523</v>
      </c>
      <c r="G15" s="16"/>
    </row>
    <row r="16" spans="1:7" ht="16.5" customHeight="1">
      <c r="A16" s="81">
        <f t="shared" si="0"/>
        <v>11</v>
      </c>
      <c r="B16" s="15" t="str">
        <f>'Detailed Survey '!B16</f>
        <v>7/0</v>
      </c>
      <c r="C16" s="15" t="str">
        <f>'Detailed Survey '!C16</f>
        <v>8/0</v>
      </c>
      <c r="D16" s="192">
        <f>'Detailed Survey '!F16</f>
        <v>5.0833000000000004</v>
      </c>
      <c r="E16" s="978">
        <v>45500</v>
      </c>
      <c r="F16" s="978">
        <v>45503</v>
      </c>
      <c r="G16" s="16"/>
    </row>
    <row r="17" spans="1:7" ht="16.5" customHeight="1">
      <c r="A17" s="81">
        <f t="shared" si="0"/>
        <v>12</v>
      </c>
      <c r="B17" s="15" t="str">
        <f>'Detailed Survey '!B17</f>
        <v>8/0</v>
      </c>
      <c r="C17" s="15" t="str">
        <f>'Detailed Survey '!C17</f>
        <v>9/0</v>
      </c>
      <c r="D17" s="192">
        <f>'Detailed Survey '!F17</f>
        <v>4.9957000000000003</v>
      </c>
      <c r="E17" s="978">
        <v>45456</v>
      </c>
      <c r="F17" s="978">
        <v>45456</v>
      </c>
      <c r="G17" s="16"/>
    </row>
    <row r="18" spans="1:7" ht="16.5" customHeight="1">
      <c r="A18" s="81">
        <f t="shared" si="0"/>
        <v>13</v>
      </c>
      <c r="B18" s="15" t="str">
        <f>'Detailed Survey '!B18</f>
        <v>9/0</v>
      </c>
      <c r="C18" s="15" t="str">
        <f>'Detailed Survey '!C18</f>
        <v>10/0</v>
      </c>
      <c r="D18" s="192">
        <f>'Detailed Survey '!F18</f>
        <v>4.9230999999999998</v>
      </c>
      <c r="E18" s="978">
        <v>45428</v>
      </c>
      <c r="F18" s="978">
        <v>45428</v>
      </c>
      <c r="G18" s="16"/>
    </row>
    <row r="19" spans="1:7" ht="16.5" customHeight="1">
      <c r="A19" s="81">
        <f t="shared" si="0"/>
        <v>14</v>
      </c>
      <c r="B19" s="15" t="str">
        <f>'Detailed Survey '!B19</f>
        <v>10/0</v>
      </c>
      <c r="C19" s="15" t="str">
        <f>'Detailed Survey '!C19</f>
        <v>11/0</v>
      </c>
      <c r="D19" s="192">
        <f>'Detailed Survey '!F19</f>
        <v>1.0051000000000001</v>
      </c>
      <c r="E19" s="978">
        <v>45428</v>
      </c>
      <c r="F19" s="978">
        <v>45428</v>
      </c>
      <c r="G19" s="16"/>
    </row>
    <row r="20" spans="1:7" ht="16.5" customHeight="1">
      <c r="A20" s="81">
        <f t="shared" si="0"/>
        <v>15</v>
      </c>
      <c r="B20" s="15" t="str">
        <f>'Detailed Survey '!B20</f>
        <v>11/0</v>
      </c>
      <c r="C20" s="15" t="str">
        <f>'Detailed Survey '!C20</f>
        <v>12/0</v>
      </c>
      <c r="D20" s="192">
        <f>'Detailed Survey '!F20</f>
        <v>0.24679999999999999</v>
      </c>
      <c r="E20" s="978">
        <v>45497</v>
      </c>
      <c r="F20" s="978"/>
      <c r="G20" s="596" t="s">
        <v>346</v>
      </c>
    </row>
    <row r="21" spans="1:7" ht="16.5" customHeight="1">
      <c r="A21" s="81">
        <f t="shared" si="0"/>
        <v>16</v>
      </c>
      <c r="B21" s="15" t="str">
        <f>'Detailed Survey '!B21</f>
        <v>12/0</v>
      </c>
      <c r="C21" s="15" t="str">
        <f>'Detailed Survey '!C21</f>
        <v>13/0</v>
      </c>
      <c r="D21" s="192">
        <f>'Detailed Survey '!F21</f>
        <v>0.32919999999999999</v>
      </c>
      <c r="E21" s="978">
        <v>45497</v>
      </c>
      <c r="F21" s="978">
        <v>45632</v>
      </c>
      <c r="G21" s="596" t="s">
        <v>941</v>
      </c>
    </row>
    <row r="22" spans="1:7" ht="16.5" customHeight="1">
      <c r="A22" s="81">
        <f t="shared" si="0"/>
        <v>17</v>
      </c>
      <c r="B22" s="15" t="str">
        <f>'Detailed Survey '!B22</f>
        <v>13/0</v>
      </c>
      <c r="C22" s="15" t="str">
        <f>'Detailed Survey '!C22</f>
        <v>14/0</v>
      </c>
      <c r="D22" s="192">
        <f>'Detailed Survey '!F22</f>
        <v>0.89790000000000003</v>
      </c>
      <c r="E22" s="978">
        <v>45682</v>
      </c>
      <c r="F22" s="978"/>
      <c r="G22" s="16"/>
    </row>
    <row r="23" spans="1:7" ht="16.5" customHeight="1">
      <c r="A23" s="81">
        <f t="shared" si="0"/>
        <v>18</v>
      </c>
      <c r="B23" s="15" t="str">
        <f>'Detailed Survey '!B23</f>
        <v>14/0</v>
      </c>
      <c r="C23" s="15" t="str">
        <f>'Detailed Survey '!C23</f>
        <v>15/0</v>
      </c>
      <c r="D23" s="192">
        <f>'Detailed Survey '!F23</f>
        <v>0.224</v>
      </c>
      <c r="E23" s="978">
        <v>45497</v>
      </c>
      <c r="F23" s="978">
        <v>45678</v>
      </c>
      <c r="G23" s="597" t="s">
        <v>349</v>
      </c>
    </row>
    <row r="24" spans="1:7" ht="16.5" customHeight="1">
      <c r="A24" s="81">
        <f t="shared" si="0"/>
        <v>19</v>
      </c>
      <c r="B24" s="15" t="str">
        <f>'Detailed Survey '!B24</f>
        <v>15/0</v>
      </c>
      <c r="C24" s="15" t="str">
        <f>'Detailed Survey '!C24</f>
        <v>16/0</v>
      </c>
      <c r="D24" s="192">
        <f>'Detailed Survey '!F24</f>
        <v>5.0201000000000002</v>
      </c>
      <c r="E24" s="978">
        <v>45454</v>
      </c>
      <c r="F24" s="978">
        <v>45454</v>
      </c>
      <c r="G24" s="16"/>
    </row>
    <row r="25" spans="1:7" ht="16.5" customHeight="1">
      <c r="A25" s="81">
        <f t="shared" si="0"/>
        <v>20</v>
      </c>
      <c r="B25" s="15" t="str">
        <f>'Detailed Survey '!B25</f>
        <v>16/0</v>
      </c>
      <c r="C25" s="15" t="str">
        <f>'Detailed Survey '!C25</f>
        <v>17/0</v>
      </c>
      <c r="D25" s="192">
        <f>'Detailed Survey '!F25</f>
        <v>0.3861</v>
      </c>
      <c r="E25" s="978">
        <v>45583</v>
      </c>
      <c r="F25" s="978">
        <v>45583</v>
      </c>
      <c r="G25" s="16"/>
    </row>
    <row r="26" spans="1:7" ht="16.5" customHeight="1">
      <c r="A26" s="81">
        <f t="shared" si="0"/>
        <v>21</v>
      </c>
      <c r="B26" s="15" t="str">
        <f>'Detailed Survey '!B26</f>
        <v>17/0</v>
      </c>
      <c r="C26" s="15" t="str">
        <f>'Detailed Survey '!C26</f>
        <v>18/0</v>
      </c>
      <c r="D26" s="192">
        <f>'Detailed Survey '!F26</f>
        <v>0.41139999999999999</v>
      </c>
      <c r="E26" s="978">
        <v>45583</v>
      </c>
      <c r="F26" s="978">
        <v>45583</v>
      </c>
      <c r="G26" s="16"/>
    </row>
    <row r="27" spans="1:7" ht="16.5" customHeight="1">
      <c r="A27" s="81">
        <f t="shared" si="0"/>
        <v>22</v>
      </c>
      <c r="B27" s="15" t="str">
        <f>'Detailed Survey '!B27</f>
        <v>18/0</v>
      </c>
      <c r="C27" s="15" t="str">
        <f>'Detailed Survey '!C27</f>
        <v>19/0</v>
      </c>
      <c r="D27" s="192">
        <f>'Detailed Survey '!F27</f>
        <v>3.0234000000000001</v>
      </c>
      <c r="E27" s="978">
        <v>45583</v>
      </c>
      <c r="F27" s="978">
        <v>45583</v>
      </c>
      <c r="G27" s="16"/>
    </row>
    <row r="28" spans="1:7" ht="16.5" customHeight="1">
      <c r="A28" s="81">
        <f t="shared" si="0"/>
        <v>23</v>
      </c>
      <c r="B28" s="15" t="str">
        <f>'Detailed Survey '!B28</f>
        <v>19/0</v>
      </c>
      <c r="C28" s="15" t="str">
        <f>'Detailed Survey '!C28</f>
        <v>20/0</v>
      </c>
      <c r="D28" s="192">
        <f>'Detailed Survey '!F28</f>
        <v>0.27950000000000003</v>
      </c>
      <c r="E28" s="978">
        <v>45497</v>
      </c>
      <c r="F28" s="978"/>
      <c r="G28" s="597" t="s">
        <v>1035</v>
      </c>
    </row>
    <row r="29" spans="1:7" ht="16.5" customHeight="1">
      <c r="A29" s="81">
        <f t="shared" si="0"/>
        <v>24</v>
      </c>
      <c r="B29" s="15" t="str">
        <f>'Detailed Survey '!B29</f>
        <v>20/0</v>
      </c>
      <c r="C29" s="15" t="str">
        <f>'Detailed Survey '!C29</f>
        <v>21/0</v>
      </c>
      <c r="D29" s="192">
        <f>'Detailed Survey '!F29</f>
        <v>2.5514000000000001</v>
      </c>
      <c r="E29" s="978">
        <v>45465</v>
      </c>
      <c r="F29" s="978">
        <v>45484</v>
      </c>
      <c r="G29" s="16"/>
    </row>
    <row r="30" spans="1:7" ht="16.5" customHeight="1">
      <c r="A30" s="81">
        <f t="shared" si="0"/>
        <v>25</v>
      </c>
      <c r="B30" s="15" t="str">
        <f>'Detailed Survey '!B30</f>
        <v>21/0</v>
      </c>
      <c r="C30" s="15" t="str">
        <f>'Detailed Survey '!C30</f>
        <v>22/0</v>
      </c>
      <c r="D30" s="192">
        <f>'Detailed Survey '!F30</f>
        <v>2.2835000000000001</v>
      </c>
      <c r="E30" s="978">
        <v>45693</v>
      </c>
      <c r="F30" s="978"/>
      <c r="G30" s="16"/>
    </row>
    <row r="31" spans="1:7" ht="16.5" customHeight="1">
      <c r="A31" s="81">
        <f t="shared" si="0"/>
        <v>26</v>
      </c>
      <c r="B31" s="15" t="str">
        <f>'Detailed Survey '!B31</f>
        <v>22/0</v>
      </c>
      <c r="C31" s="15" t="str">
        <f>'Detailed Survey '!C31</f>
        <v>23/0</v>
      </c>
      <c r="D31" s="192">
        <f>'Detailed Survey '!F31</f>
        <v>0.25940000000000002</v>
      </c>
      <c r="E31" s="978">
        <v>45497</v>
      </c>
      <c r="F31" s="978">
        <v>45632</v>
      </c>
      <c r="G31" s="597" t="s">
        <v>943</v>
      </c>
    </row>
    <row r="32" spans="1:7" ht="16.5" customHeight="1">
      <c r="A32" s="81">
        <f t="shared" si="0"/>
        <v>27</v>
      </c>
      <c r="B32" s="15" t="str">
        <f>'Detailed Survey '!B32</f>
        <v>23/0</v>
      </c>
      <c r="C32" s="15" t="str">
        <f>'Detailed Survey '!C32</f>
        <v>24/0</v>
      </c>
      <c r="D32" s="192">
        <f>'Detailed Survey '!F32</f>
        <v>0.92849999999999999</v>
      </c>
      <c r="E32" s="978">
        <v>45497</v>
      </c>
      <c r="F32" s="978">
        <v>45632</v>
      </c>
      <c r="G32" s="16"/>
    </row>
    <row r="33" spans="1:7" ht="16.5" customHeight="1">
      <c r="A33" s="81">
        <f t="shared" si="0"/>
        <v>28</v>
      </c>
      <c r="B33" s="15" t="str">
        <f>'Detailed Survey '!B33</f>
        <v>24/0</v>
      </c>
      <c r="C33" s="15" t="str">
        <f>'Detailed Survey '!C33</f>
        <v>25/0</v>
      </c>
      <c r="D33" s="192">
        <f>'Detailed Survey '!F33</f>
        <v>0.25209999999999999</v>
      </c>
      <c r="E33" s="978">
        <v>45497</v>
      </c>
      <c r="F33" s="978">
        <v>45632</v>
      </c>
      <c r="G33" s="597" t="s">
        <v>942</v>
      </c>
    </row>
    <row r="34" spans="1:7" ht="16.5" customHeight="1">
      <c r="A34" s="81">
        <f t="shared" si="0"/>
        <v>29</v>
      </c>
      <c r="B34" s="15" t="str">
        <f>'Detailed Survey '!B34</f>
        <v>25/0</v>
      </c>
      <c r="C34" s="15" t="str">
        <f>'Detailed Survey '!C34</f>
        <v>26/0</v>
      </c>
      <c r="D34" s="192">
        <f>'Detailed Survey '!F34</f>
        <v>0.2374</v>
      </c>
      <c r="E34" s="978">
        <v>45497</v>
      </c>
      <c r="F34" s="978">
        <v>45632</v>
      </c>
      <c r="G34" s="16"/>
    </row>
    <row r="35" spans="1:7" ht="16.5" customHeight="1">
      <c r="A35" s="81">
        <f t="shared" si="0"/>
        <v>30</v>
      </c>
      <c r="B35" s="15" t="str">
        <f>'Detailed Survey '!B35</f>
        <v>26/0</v>
      </c>
      <c r="C35" s="15" t="str">
        <f>'Detailed Survey '!C35</f>
        <v>27/0</v>
      </c>
      <c r="D35" s="192">
        <f>'Detailed Survey '!F35</f>
        <v>0.20399999999999999</v>
      </c>
      <c r="E35" s="978">
        <v>45497</v>
      </c>
      <c r="F35" s="978">
        <v>45632</v>
      </c>
      <c r="G35" s="597" t="s">
        <v>359</v>
      </c>
    </row>
    <row r="36" spans="1:7" ht="16.5" customHeight="1">
      <c r="A36" s="81">
        <f t="shared" si="0"/>
        <v>31</v>
      </c>
      <c r="B36" s="15" t="str">
        <f>'Detailed Survey '!B36</f>
        <v>27/0</v>
      </c>
      <c r="C36" s="15" t="str">
        <f>'Detailed Survey '!C36</f>
        <v>28/0</v>
      </c>
      <c r="D36" s="192">
        <f>'Detailed Survey '!F36</f>
        <v>2.5476000000000001</v>
      </c>
      <c r="E36" s="978">
        <v>45476</v>
      </c>
      <c r="F36" s="978">
        <v>45484</v>
      </c>
      <c r="G36" s="16"/>
    </row>
    <row r="37" spans="1:7" ht="16.5" customHeight="1">
      <c r="A37" s="81">
        <f t="shared" si="0"/>
        <v>32</v>
      </c>
      <c r="B37" s="15" t="str">
        <f>'Detailed Survey '!B37</f>
        <v>28/0</v>
      </c>
      <c r="C37" s="15" t="str">
        <f>'Detailed Survey '!C37</f>
        <v>29/0</v>
      </c>
      <c r="D37" s="192">
        <f>'Detailed Survey '!F37</f>
        <v>0.21179999999999999</v>
      </c>
      <c r="E37" s="978">
        <v>45497</v>
      </c>
      <c r="F37" s="978"/>
      <c r="G37" s="597" t="s">
        <v>1114</v>
      </c>
    </row>
    <row r="38" spans="1:7" ht="16.5" customHeight="1">
      <c r="A38" s="81">
        <f t="shared" si="0"/>
        <v>33</v>
      </c>
      <c r="B38" s="15" t="str">
        <f>'Detailed Survey '!B38</f>
        <v>29/0</v>
      </c>
      <c r="C38" s="15" t="str">
        <f>'Detailed Survey '!C38</f>
        <v>30/0</v>
      </c>
      <c r="D38" s="192">
        <f>'Detailed Survey '!F38</f>
        <v>4.9546999999999999</v>
      </c>
      <c r="E38" s="978">
        <v>45490</v>
      </c>
      <c r="F38" s="978">
        <v>45491</v>
      </c>
      <c r="G38" s="16"/>
    </row>
    <row r="39" spans="1:7" ht="16.5" customHeight="1">
      <c r="A39" s="81">
        <f t="shared" si="0"/>
        <v>34</v>
      </c>
      <c r="B39" s="15" t="str">
        <f>'Detailed Survey '!B39</f>
        <v>30/0</v>
      </c>
      <c r="C39" s="15" t="str">
        <f>'Detailed Survey '!C39</f>
        <v>31/0</v>
      </c>
      <c r="D39" s="192">
        <f>'Detailed Survey '!F39</f>
        <v>4.2188999999999997</v>
      </c>
      <c r="E39" s="978">
        <v>45490</v>
      </c>
      <c r="F39" s="978">
        <v>45490</v>
      </c>
      <c r="G39" s="16"/>
    </row>
    <row r="40" spans="1:7" ht="16.5" customHeight="1">
      <c r="A40" s="81">
        <f t="shared" si="0"/>
        <v>35</v>
      </c>
      <c r="B40" s="15" t="str">
        <f>'Detailed Survey '!B40</f>
        <v>31/0</v>
      </c>
      <c r="C40" s="15" t="str">
        <f>'Detailed Survey '!C40</f>
        <v>32/0</v>
      </c>
      <c r="D40" s="192">
        <f>'Detailed Survey '!F40</f>
        <v>4.3323</v>
      </c>
      <c r="E40" s="978">
        <v>45475</v>
      </c>
      <c r="F40" s="978">
        <v>45477</v>
      </c>
      <c r="G40" s="16"/>
    </row>
    <row r="41" spans="1:7" ht="16.5" customHeight="1">
      <c r="A41" s="81">
        <f t="shared" si="0"/>
        <v>36</v>
      </c>
      <c r="B41" s="15" t="str">
        <f>'Detailed Survey '!B41</f>
        <v>32/0</v>
      </c>
      <c r="C41" s="15" t="str">
        <f>'Detailed Survey '!C41</f>
        <v>33/0</v>
      </c>
      <c r="D41" s="192">
        <f>'Detailed Survey '!F41</f>
        <v>4.1241000000000003</v>
      </c>
      <c r="E41" s="978">
        <v>45516</v>
      </c>
      <c r="F41" s="978">
        <v>45516</v>
      </c>
      <c r="G41" s="16"/>
    </row>
    <row r="42" spans="1:7" ht="16.5" customHeight="1">
      <c r="A42" s="81">
        <f t="shared" si="0"/>
        <v>37</v>
      </c>
      <c r="B42" s="15" t="str">
        <f>'Detailed Survey '!B42</f>
        <v>33/0</v>
      </c>
      <c r="C42" s="15" t="str">
        <f>'Detailed Survey '!C42</f>
        <v>34/0</v>
      </c>
      <c r="D42" s="192">
        <f>'Detailed Survey '!F42</f>
        <v>4.04976</v>
      </c>
      <c r="E42" s="978">
        <v>45516</v>
      </c>
      <c r="F42" s="978">
        <v>45516</v>
      </c>
      <c r="G42" s="16"/>
    </row>
    <row r="43" spans="1:7" ht="16.5" customHeight="1">
      <c r="A43" s="81">
        <f t="shared" si="0"/>
        <v>38</v>
      </c>
      <c r="B43" s="15" t="str">
        <f>'Detailed Survey '!B43</f>
        <v>34/0</v>
      </c>
      <c r="C43" s="15" t="str">
        <f>'Detailed Survey '!C43</f>
        <v>35/0</v>
      </c>
      <c r="D43" s="192">
        <f>'Detailed Survey '!F43</f>
        <v>4.8985900000000004</v>
      </c>
      <c r="E43" s="978">
        <v>45516</v>
      </c>
      <c r="F43" s="978">
        <v>45516</v>
      </c>
      <c r="G43" s="16"/>
    </row>
    <row r="44" spans="1:7" ht="16.5" customHeight="1">
      <c r="A44" s="81">
        <f t="shared" si="0"/>
        <v>39</v>
      </c>
      <c r="B44" s="15" t="str">
        <f>'Detailed Survey '!B44</f>
        <v>35/0</v>
      </c>
      <c r="C44" s="15" t="str">
        <f>'Detailed Survey '!C44</f>
        <v>36/0</v>
      </c>
      <c r="D44" s="192">
        <f>'Detailed Survey '!F44</f>
        <v>4.9163500000000004</v>
      </c>
      <c r="E44" s="978">
        <v>45516</v>
      </c>
      <c r="F44" s="978">
        <v>45516</v>
      </c>
      <c r="G44" s="16"/>
    </row>
    <row r="45" spans="1:7" ht="16.5" customHeight="1">
      <c r="A45" s="81">
        <f t="shared" si="0"/>
        <v>40</v>
      </c>
      <c r="B45" s="15" t="str">
        <f>'Detailed Survey '!B45</f>
        <v>36/0</v>
      </c>
      <c r="C45" s="15" t="str">
        <f>'Detailed Survey '!C45</f>
        <v>37/0</v>
      </c>
      <c r="D45" s="192">
        <f>'Detailed Survey '!F45</f>
        <v>1.74552</v>
      </c>
      <c r="E45" s="978">
        <v>45516</v>
      </c>
      <c r="F45" s="978">
        <v>45516</v>
      </c>
      <c r="G45" s="16"/>
    </row>
    <row r="46" spans="1:7" ht="16.5" customHeight="1">
      <c r="A46" s="81">
        <f t="shared" si="0"/>
        <v>41</v>
      </c>
      <c r="B46" s="15" t="str">
        <f>'Detailed Survey '!B46</f>
        <v>37/0</v>
      </c>
      <c r="C46" s="15" t="str">
        <f>'Detailed Survey '!C46</f>
        <v>37A/0</v>
      </c>
      <c r="D46" s="192">
        <f>'Detailed Survey '!F46</f>
        <v>2.4963899999999999</v>
      </c>
      <c r="E46" s="978">
        <v>45551</v>
      </c>
      <c r="F46" s="978">
        <v>45551</v>
      </c>
      <c r="G46" s="16"/>
    </row>
    <row r="47" spans="1:7" ht="16.5" customHeight="1">
      <c r="A47" s="81">
        <f t="shared" si="0"/>
        <v>42</v>
      </c>
      <c r="B47" s="15" t="str">
        <f>'Detailed Survey '!B47</f>
        <v>37A/0</v>
      </c>
      <c r="C47" s="15" t="str">
        <f>'Detailed Survey '!C47</f>
        <v>38/0</v>
      </c>
      <c r="D47" s="192">
        <f>'Detailed Survey '!F47</f>
        <v>2.5835900000000001</v>
      </c>
      <c r="E47" s="978">
        <v>45551</v>
      </c>
      <c r="F47" s="978">
        <v>45551</v>
      </c>
      <c r="G47" s="16"/>
    </row>
    <row r="48" spans="1:7">
      <c r="A48" s="81">
        <f t="shared" si="0"/>
        <v>43</v>
      </c>
      <c r="B48" s="15" t="str">
        <f>'Detailed Survey '!B48</f>
        <v>38/0</v>
      </c>
      <c r="C48" s="15" t="str">
        <f>'Detailed Survey '!C48</f>
        <v>39/0</v>
      </c>
      <c r="D48" s="192">
        <f>'Detailed Survey '!F48</f>
        <v>4.1636800000000003</v>
      </c>
      <c r="E48" s="978">
        <v>45583</v>
      </c>
      <c r="F48" s="978">
        <v>45583</v>
      </c>
      <c r="G48" s="16"/>
    </row>
    <row r="49" spans="1:7">
      <c r="A49" s="81">
        <f t="shared" si="0"/>
        <v>44</v>
      </c>
      <c r="B49" s="15" t="str">
        <f>'Detailed Survey '!B49</f>
        <v>39/0</v>
      </c>
      <c r="C49" s="15" t="str">
        <f>'Detailed Survey '!C49</f>
        <v>40/0</v>
      </c>
      <c r="D49" s="192">
        <f>'Detailed Survey '!F49</f>
        <v>4.7168100000000006</v>
      </c>
      <c r="E49" s="978">
        <v>45597</v>
      </c>
      <c r="F49" s="978">
        <v>45597</v>
      </c>
      <c r="G49" s="16"/>
    </row>
    <row r="50" spans="1:7">
      <c r="A50" s="81">
        <f t="shared" si="0"/>
        <v>45</v>
      </c>
      <c r="B50" s="15" t="str">
        <f>'Detailed Survey '!B50</f>
        <v>40/0</v>
      </c>
      <c r="C50" s="15" t="str">
        <f>'Detailed Survey '!C50</f>
        <v>40A/0</v>
      </c>
      <c r="D50" s="192">
        <f>'Detailed Survey '!F50</f>
        <v>4.6659199999999998</v>
      </c>
      <c r="E50" s="978">
        <v>45597</v>
      </c>
      <c r="F50" s="978">
        <v>45597</v>
      </c>
      <c r="G50" s="16"/>
    </row>
    <row r="51" spans="1:7">
      <c r="A51" s="81">
        <f t="shared" si="0"/>
        <v>46</v>
      </c>
      <c r="B51" s="15" t="str">
        <f>'Detailed Survey '!B51</f>
        <v>40A/0</v>
      </c>
      <c r="C51" s="15" t="str">
        <f>'Detailed Survey '!C51</f>
        <v>41/0</v>
      </c>
      <c r="D51" s="192">
        <f>'Detailed Survey '!F51</f>
        <v>0.41060700000000006</v>
      </c>
      <c r="E51" s="978">
        <v>45597</v>
      </c>
      <c r="F51" s="978">
        <v>45597</v>
      </c>
      <c r="G51" s="16"/>
    </row>
    <row r="52" spans="1:7">
      <c r="A52" s="81">
        <f t="shared" si="0"/>
        <v>47</v>
      </c>
      <c r="B52" s="15" t="str">
        <f>'Detailed Survey '!B52</f>
        <v>41/0</v>
      </c>
      <c r="C52" s="15" t="str">
        <f>'Detailed Survey '!C52</f>
        <v>42/0</v>
      </c>
      <c r="D52" s="192">
        <f>'Detailed Survey '!F52</f>
        <v>0.82378200000000001</v>
      </c>
      <c r="E52" s="978">
        <v>45597</v>
      </c>
      <c r="F52" s="978">
        <v>45597</v>
      </c>
      <c r="G52" s="16"/>
    </row>
    <row r="53" spans="1:7">
      <c r="A53" s="81">
        <f t="shared" si="0"/>
        <v>48</v>
      </c>
      <c r="B53" s="15" t="str">
        <f>C52</f>
        <v>42/0</v>
      </c>
      <c r="C53" s="56" t="s">
        <v>78</v>
      </c>
      <c r="D53" s="264">
        <v>1.683889</v>
      </c>
      <c r="E53" s="978">
        <v>45597</v>
      </c>
      <c r="F53" s="978">
        <v>45597</v>
      </c>
      <c r="G53" s="300"/>
    </row>
    <row r="54" spans="1:7">
      <c r="A54" s="81">
        <f t="shared" si="0"/>
        <v>49</v>
      </c>
      <c r="B54" s="15" t="str">
        <f>C53</f>
        <v>43/0</v>
      </c>
      <c r="C54" s="56" t="s">
        <v>7</v>
      </c>
      <c r="D54" s="264">
        <v>3.43641</v>
      </c>
      <c r="E54" s="978">
        <v>45597</v>
      </c>
      <c r="F54" s="978">
        <v>45597</v>
      </c>
      <c r="G54" s="300"/>
    </row>
    <row r="55" spans="1:7">
      <c r="A55" s="81">
        <f t="shared" si="0"/>
        <v>50</v>
      </c>
      <c r="B55" s="15" t="s">
        <v>7</v>
      </c>
      <c r="C55" s="56" t="s">
        <v>1245</v>
      </c>
      <c r="D55" s="192">
        <v>2.5916799999999998</v>
      </c>
      <c r="E55" s="978">
        <v>45708</v>
      </c>
      <c r="F55" s="978">
        <v>45708</v>
      </c>
      <c r="G55" s="62"/>
    </row>
    <row r="56" spans="1:7" ht="15" thickBot="1">
      <c r="A56" s="299"/>
      <c r="B56" s="755"/>
      <c r="C56" s="756"/>
      <c r="D56" s="757"/>
      <c r="E56" s="758"/>
      <c r="F56" s="758"/>
      <c r="G56" s="759"/>
    </row>
    <row r="57" spans="1:7" ht="15" thickBot="1">
      <c r="A57" s="1585" t="s">
        <v>81</v>
      </c>
      <c r="B57" s="1586"/>
      <c r="C57" s="1587"/>
      <c r="D57" s="273">
        <f>SUM(D6:D55)</f>
        <v>117.84785999999998</v>
      </c>
      <c r="E57" s="274"/>
      <c r="F57" s="274"/>
      <c r="G57" s="644"/>
    </row>
    <row r="60" spans="1:7">
      <c r="D60" s="11"/>
    </row>
  </sheetData>
  <autoFilter ref="A4:G57" xr:uid="{00000000-0009-0000-0000-000003000000}">
    <filterColumn colId="1" showButton="0"/>
  </autoFilter>
  <mergeCells count="10">
    <mergeCell ref="G4:G5"/>
    <mergeCell ref="A3:F3"/>
    <mergeCell ref="A57:C57"/>
    <mergeCell ref="A1:G1"/>
    <mergeCell ref="A2:G2"/>
    <mergeCell ref="A4:A5"/>
    <mergeCell ref="B4:C4"/>
    <mergeCell ref="D4:D5"/>
    <mergeCell ref="E4:E5"/>
    <mergeCell ref="F4:F5"/>
  </mergeCells>
  <pageMargins left="0.70866141732283472" right="0.70866141732283472" top="0.74803149606299213" bottom="0.74803149606299213" header="0.31496062992125984" footer="0.31496062992125984"/>
  <pageSetup paperSize="9" scale="83" orientation="portrait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9">
    <tabColor rgb="FFFFFF00"/>
  </sheetPr>
  <dimension ref="A1:K313"/>
  <sheetViews>
    <sheetView showGridLines="0" zoomScale="95" zoomScaleNormal="95" workbookViewId="0">
      <pane xSplit="4" ySplit="4" topLeftCell="E5" activePane="bottomRight" state="frozen"/>
      <selection activeCell="F23" sqref="F23"/>
      <selection pane="topRight" activeCell="F23" sqref="F23"/>
      <selection pane="bottomLeft" activeCell="F23" sqref="F23"/>
      <selection pane="bottomRight" activeCell="K313" sqref="K313"/>
    </sheetView>
  </sheetViews>
  <sheetFormatPr defaultColWidth="9.1796875" defaultRowHeight="14.5"/>
  <cols>
    <col min="1" max="1" width="8.81640625" style="2" customWidth="1"/>
    <col min="2" max="2" width="11.7265625" style="2" bestFit="1" customWidth="1"/>
    <col min="3" max="3" width="9" style="13" customWidth="1"/>
    <col min="4" max="4" width="9.54296875" style="2" customWidth="1"/>
    <col min="5" max="5" width="13.81640625" style="2" customWidth="1"/>
    <col min="6" max="6" width="11.7265625" style="2" customWidth="1"/>
    <col min="7" max="7" width="12.1796875" style="2" customWidth="1"/>
    <col min="8" max="8" width="20.54296875" style="2" customWidth="1"/>
    <col min="9" max="9" width="14.453125" style="2" customWidth="1"/>
    <col min="10" max="10" width="11.54296875" style="32" customWidth="1"/>
    <col min="11" max="11" width="12.26953125" style="2" customWidth="1"/>
    <col min="12" max="16384" width="9.1796875" style="2"/>
  </cols>
  <sheetData>
    <row r="1" spans="1:11" ht="15" customHeight="1">
      <c r="A1" s="1595" t="str">
        <f>Foundation!A1</f>
        <v>KEC International Limited</v>
      </c>
      <c r="B1" s="1595"/>
      <c r="C1" s="1595"/>
      <c r="D1" s="1595"/>
      <c r="E1" s="1595"/>
      <c r="F1" s="1595"/>
      <c r="G1" s="1595"/>
      <c r="H1" s="1595"/>
      <c r="I1" s="1595"/>
      <c r="J1" s="1595"/>
      <c r="K1" s="1595"/>
    </row>
    <row r="2" spans="1:11" ht="15.5">
      <c r="A2" s="1596" t="str">
        <f>Foundation!A2</f>
        <v xml:space="preserve"> TA413 : 765 KV D/C Bikaner III - Neemrana II TL02</v>
      </c>
      <c r="B2" s="1596"/>
      <c r="C2" s="1596"/>
      <c r="D2" s="1596"/>
      <c r="E2" s="1596"/>
      <c r="F2" s="1596"/>
      <c r="G2" s="1596"/>
      <c r="H2" s="1596"/>
      <c r="I2" s="1596"/>
      <c r="J2" s="1596"/>
      <c r="K2" s="1596"/>
    </row>
    <row r="3" spans="1:11" ht="15.5">
      <c r="A3" s="1594" t="s">
        <v>105</v>
      </c>
      <c r="B3" s="1594"/>
      <c r="C3" s="1594"/>
      <c r="D3" s="1594"/>
      <c r="E3" s="1594"/>
      <c r="F3" s="1594"/>
      <c r="G3" s="1594"/>
      <c r="H3" s="1594"/>
      <c r="I3" s="1594"/>
      <c r="J3" s="1597" t="str">
        <f>TA413_PBNTL!M1</f>
        <v>17.07.2026</v>
      </c>
      <c r="K3" s="1597"/>
    </row>
    <row r="4" spans="1:11" ht="29">
      <c r="A4" s="277" t="s">
        <v>41</v>
      </c>
      <c r="B4" s="284" t="s">
        <v>42</v>
      </c>
      <c r="C4" s="959" t="s">
        <v>43</v>
      </c>
      <c r="D4" s="284" t="s">
        <v>44</v>
      </c>
      <c r="E4" s="284" t="s">
        <v>45</v>
      </c>
      <c r="F4" s="960" t="s">
        <v>46</v>
      </c>
      <c r="G4" s="960" t="s">
        <v>47</v>
      </c>
      <c r="H4" s="961" t="s">
        <v>87</v>
      </c>
      <c r="I4" s="284" t="s">
        <v>48</v>
      </c>
      <c r="J4" s="962" t="s">
        <v>307</v>
      </c>
      <c r="K4" s="284" t="s">
        <v>1</v>
      </c>
    </row>
    <row r="5" spans="1:11" s="613" customFormat="1" ht="15.5">
      <c r="A5" s="608">
        <v>1</v>
      </c>
      <c r="B5" s="608">
        <f>SUBTOTAL(103,$C$5:C5)</f>
        <v>1</v>
      </c>
      <c r="C5" s="990" t="s">
        <v>399</v>
      </c>
      <c r="D5" s="609" t="s">
        <v>3</v>
      </c>
      <c r="E5" s="1014" t="s">
        <v>403</v>
      </c>
      <c r="F5" s="610">
        <v>45522</v>
      </c>
      <c r="G5" s="610">
        <v>45522</v>
      </c>
      <c r="H5" s="611" t="s">
        <v>950</v>
      </c>
      <c r="I5" s="611" t="s">
        <v>887</v>
      </c>
      <c r="J5" s="608" t="s">
        <v>973</v>
      </c>
      <c r="K5" s="611" t="s">
        <v>255</v>
      </c>
    </row>
    <row r="6" spans="1:11" s="613" customFormat="1" ht="15.5">
      <c r="A6" s="608">
        <v>2</v>
      </c>
      <c r="B6" s="608">
        <f>SUBTOTAL(103,$C$5:C6)</f>
        <v>2</v>
      </c>
      <c r="C6" s="990" t="s">
        <v>398</v>
      </c>
      <c r="D6" s="609" t="str">
        <f>VLOOKUP(C6,Foundation!$C$5:$D$143,2,0)</f>
        <v>DA+3</v>
      </c>
      <c r="E6" s="1014" t="s">
        <v>403</v>
      </c>
      <c r="F6" s="610">
        <v>45522</v>
      </c>
      <c r="G6" s="610">
        <v>45522</v>
      </c>
      <c r="H6" s="611" t="s">
        <v>950</v>
      </c>
      <c r="I6" s="611" t="s">
        <v>887</v>
      </c>
      <c r="J6" s="608" t="s">
        <v>973</v>
      </c>
      <c r="K6" s="611" t="s">
        <v>255</v>
      </c>
    </row>
    <row r="7" spans="1:11" s="613" customFormat="1" ht="15.5">
      <c r="A7" s="608">
        <v>3</v>
      </c>
      <c r="B7" s="608">
        <f>SUBTOTAL(103,$C$5:C7)</f>
        <v>3</v>
      </c>
      <c r="C7" s="990" t="s">
        <v>397</v>
      </c>
      <c r="D7" s="609" t="str">
        <f>VLOOKUP(C7,Foundation!$C$5:$D$143,2,0)</f>
        <v>DA+9</v>
      </c>
      <c r="E7" s="1014" t="s">
        <v>403</v>
      </c>
      <c r="F7" s="610">
        <v>45522</v>
      </c>
      <c r="G7" s="610">
        <v>45522</v>
      </c>
      <c r="H7" s="611" t="s">
        <v>950</v>
      </c>
      <c r="I7" s="611" t="s">
        <v>887</v>
      </c>
      <c r="J7" s="608" t="s">
        <v>973</v>
      </c>
      <c r="K7" s="611" t="s">
        <v>255</v>
      </c>
    </row>
    <row r="8" spans="1:11" s="613" customFormat="1" ht="15.5">
      <c r="A8" s="608">
        <v>4</v>
      </c>
      <c r="B8" s="608">
        <f>SUBTOTAL(103,$C$5:C8)</f>
        <v>4</v>
      </c>
      <c r="C8" s="990" t="s">
        <v>394</v>
      </c>
      <c r="D8" s="609" t="str">
        <f>VLOOKUP(C8,Foundation!$C$5:$D$143,2,0)</f>
        <v>DA+9</v>
      </c>
      <c r="E8" s="1014" t="s">
        <v>403</v>
      </c>
      <c r="F8" s="610">
        <v>45524</v>
      </c>
      <c r="G8" s="610">
        <v>45524</v>
      </c>
      <c r="H8" s="611" t="s">
        <v>950</v>
      </c>
      <c r="I8" s="611" t="s">
        <v>887</v>
      </c>
      <c r="J8" s="608" t="s">
        <v>973</v>
      </c>
      <c r="K8" s="611" t="s">
        <v>255</v>
      </c>
    </row>
    <row r="9" spans="1:11" s="613" customFormat="1" ht="15.5">
      <c r="A9" s="608">
        <v>5</v>
      </c>
      <c r="B9" s="608">
        <f>SUBTOTAL(103,$C$5:C9)</f>
        <v>5</v>
      </c>
      <c r="C9" s="990" t="s">
        <v>395</v>
      </c>
      <c r="D9" s="609" t="str">
        <f>VLOOKUP(C9,Foundation!$C$5:$D$143,2,0)</f>
        <v>DA+3</v>
      </c>
      <c r="E9" s="1014" t="s">
        <v>403</v>
      </c>
      <c r="F9" s="610">
        <v>45524</v>
      </c>
      <c r="G9" s="610">
        <v>45524</v>
      </c>
      <c r="H9" s="611" t="s">
        <v>950</v>
      </c>
      <c r="I9" s="611" t="s">
        <v>887</v>
      </c>
      <c r="J9" s="608" t="s">
        <v>973</v>
      </c>
      <c r="K9" s="611" t="s">
        <v>255</v>
      </c>
    </row>
    <row r="10" spans="1:11" s="613" customFormat="1" ht="15.5">
      <c r="A10" s="608">
        <v>6</v>
      </c>
      <c r="B10" s="608">
        <f>SUBTOTAL(103,$C$5:C10)</f>
        <v>6</v>
      </c>
      <c r="C10" s="990" t="s">
        <v>396</v>
      </c>
      <c r="D10" s="609" t="str">
        <f>VLOOKUP(C10,Foundation!$C$5:$D$143,2,0)</f>
        <v>DA+3</v>
      </c>
      <c r="E10" s="1014" t="s">
        <v>403</v>
      </c>
      <c r="F10" s="610">
        <v>45524</v>
      </c>
      <c r="G10" s="610">
        <v>45524</v>
      </c>
      <c r="H10" s="611" t="s">
        <v>950</v>
      </c>
      <c r="I10" s="611" t="s">
        <v>887</v>
      </c>
      <c r="J10" s="608" t="s">
        <v>973</v>
      </c>
      <c r="K10" s="611" t="s">
        <v>255</v>
      </c>
    </row>
    <row r="11" spans="1:11" s="613" customFormat="1" ht="15.5">
      <c r="A11" s="608">
        <v>7</v>
      </c>
      <c r="B11" s="608">
        <f>SUBTOTAL(103,$C$5:C11)</f>
        <v>7</v>
      </c>
      <c r="C11" s="990" t="s">
        <v>405</v>
      </c>
      <c r="D11" s="609" t="str">
        <f>VLOOKUP(C11,Foundation!$C$5:$D$143,2,0)</f>
        <v>DA+0</v>
      </c>
      <c r="E11" s="1014" t="s">
        <v>403</v>
      </c>
      <c r="F11" s="610">
        <v>45528</v>
      </c>
      <c r="G11" s="610">
        <v>45528</v>
      </c>
      <c r="H11" s="611" t="s">
        <v>950</v>
      </c>
      <c r="I11" s="611" t="s">
        <v>887</v>
      </c>
      <c r="J11" s="608" t="s">
        <v>973</v>
      </c>
      <c r="K11" s="611" t="s">
        <v>255</v>
      </c>
    </row>
    <row r="12" spans="1:11" s="613" customFormat="1" ht="15.75" customHeight="1">
      <c r="A12" s="608">
        <v>8</v>
      </c>
      <c r="B12" s="608">
        <f>SUBTOTAL(103,$C$5:C12)</f>
        <v>8</v>
      </c>
      <c r="C12" s="993" t="s">
        <v>368</v>
      </c>
      <c r="D12" s="609" t="str">
        <f>IFERROR(VLOOKUP(C12,Foundation!$C$5:$D$143,2,0),"")</f>
        <v>DA+6</v>
      </c>
      <c r="E12" s="1014" t="s">
        <v>403</v>
      </c>
      <c r="F12" s="610">
        <v>45528</v>
      </c>
      <c r="G12" s="610">
        <v>45528</v>
      </c>
      <c r="H12" s="611" t="s">
        <v>950</v>
      </c>
      <c r="I12" s="611" t="s">
        <v>887</v>
      </c>
      <c r="J12" s="608" t="s">
        <v>973</v>
      </c>
      <c r="K12" s="611" t="s">
        <v>255</v>
      </c>
    </row>
    <row r="13" spans="1:11" s="613" customFormat="1" ht="15.75" customHeight="1">
      <c r="A13" s="608">
        <v>9</v>
      </c>
      <c r="B13" s="608">
        <f>SUBTOTAL(103,$C$5:C13)</f>
        <v>9</v>
      </c>
      <c r="C13" s="993" t="s">
        <v>402</v>
      </c>
      <c r="D13" s="609" t="str">
        <f>IFERROR(VLOOKUP(C13,Foundation!$C$5:$D$143,2,0),"")</f>
        <v>DA+3</v>
      </c>
      <c r="E13" s="1014" t="s">
        <v>403</v>
      </c>
      <c r="F13" s="610">
        <v>45530</v>
      </c>
      <c r="G13" s="610">
        <v>45530</v>
      </c>
      <c r="H13" s="611" t="s">
        <v>950</v>
      </c>
      <c r="I13" s="611" t="s">
        <v>887</v>
      </c>
      <c r="J13" s="608" t="s">
        <v>973</v>
      </c>
      <c r="K13" s="611" t="s">
        <v>255</v>
      </c>
    </row>
    <row r="14" spans="1:11" s="613" customFormat="1" ht="15.75" customHeight="1">
      <c r="A14" s="608">
        <v>10</v>
      </c>
      <c r="B14" s="608">
        <f>SUBTOTAL(103,$C$5:C14)</f>
        <v>10</v>
      </c>
      <c r="C14" s="993" t="s">
        <v>493</v>
      </c>
      <c r="D14" s="609" t="str">
        <f>IFERROR(VLOOKUP(C14,Foundation!$C$5:$D$143,2,0),"")</f>
        <v>DA+3</v>
      </c>
      <c r="E14" s="1014" t="s">
        <v>403</v>
      </c>
      <c r="F14" s="610">
        <v>45541</v>
      </c>
      <c r="G14" s="610">
        <v>45541</v>
      </c>
      <c r="H14" s="611" t="s">
        <v>950</v>
      </c>
      <c r="I14" s="611" t="s">
        <v>887</v>
      </c>
      <c r="J14" s="608" t="s">
        <v>1004</v>
      </c>
      <c r="K14" s="611" t="s">
        <v>255</v>
      </c>
    </row>
    <row r="15" spans="1:11" s="613" customFormat="1" ht="15.75" customHeight="1">
      <c r="A15" s="608">
        <v>11</v>
      </c>
      <c r="B15" s="608">
        <f>SUBTOTAL(103,$C$5:C15)</f>
        <v>11</v>
      </c>
      <c r="C15" s="993" t="s">
        <v>464</v>
      </c>
      <c r="D15" s="609" t="str">
        <f>IFERROR(VLOOKUP(C15,Foundation!$C$5:$D$143,2,0),"")</f>
        <v>DA+6</v>
      </c>
      <c r="E15" s="1014" t="s">
        <v>403</v>
      </c>
      <c r="F15" s="610">
        <v>45545</v>
      </c>
      <c r="G15" s="610">
        <v>45545</v>
      </c>
      <c r="H15" s="611" t="s">
        <v>950</v>
      </c>
      <c r="I15" s="611" t="s">
        <v>1005</v>
      </c>
      <c r="J15" s="608" t="s">
        <v>1004</v>
      </c>
      <c r="K15" s="611" t="s">
        <v>255</v>
      </c>
    </row>
    <row r="16" spans="1:11" s="613" customFormat="1" ht="15.75" customHeight="1">
      <c r="A16" s="608">
        <v>12</v>
      </c>
      <c r="B16" s="608">
        <f>SUBTOTAL(103,$C$5:C16)</f>
        <v>12</v>
      </c>
      <c r="C16" s="990" t="s">
        <v>466</v>
      </c>
      <c r="D16" s="609" t="str">
        <f>IFERROR(VLOOKUP(C16,Foundation!$C$5:$D$143,2,0),"")</f>
        <v>DA+9</v>
      </c>
      <c r="E16" s="1014" t="s">
        <v>403</v>
      </c>
      <c r="F16" s="610">
        <v>45544</v>
      </c>
      <c r="G16" s="610">
        <v>45544</v>
      </c>
      <c r="H16" s="611" t="s">
        <v>950</v>
      </c>
      <c r="I16" s="611" t="s">
        <v>1005</v>
      </c>
      <c r="J16" s="608" t="s">
        <v>1004</v>
      </c>
      <c r="K16" s="611" t="s">
        <v>255</v>
      </c>
    </row>
    <row r="17" spans="1:11" s="613" customFormat="1" ht="15.75" customHeight="1">
      <c r="A17" s="608">
        <v>13</v>
      </c>
      <c r="B17" s="608">
        <f>SUBTOTAL(103,$C$5:C17)</f>
        <v>13</v>
      </c>
      <c r="C17" s="993" t="s">
        <v>260</v>
      </c>
      <c r="D17" s="609" t="str">
        <f>IFERROR(VLOOKUP(C17,Foundation!$C$5:$D$143,2,0),"")</f>
        <v>DA+6</v>
      </c>
      <c r="E17" s="1014" t="s">
        <v>403</v>
      </c>
      <c r="F17" s="610">
        <v>45545</v>
      </c>
      <c r="G17" s="610">
        <v>45545</v>
      </c>
      <c r="H17" s="611" t="s">
        <v>950</v>
      </c>
      <c r="I17" s="611" t="s">
        <v>887</v>
      </c>
      <c r="J17" s="608" t="s">
        <v>1004</v>
      </c>
      <c r="K17" s="611" t="s">
        <v>255</v>
      </c>
    </row>
    <row r="18" spans="1:11" s="613" customFormat="1" ht="15.75" customHeight="1">
      <c r="A18" s="608">
        <v>14</v>
      </c>
      <c r="B18" s="608">
        <f>SUBTOTAL(103,$C$5:C18)</f>
        <v>14</v>
      </c>
      <c r="C18" s="993" t="s">
        <v>259</v>
      </c>
      <c r="D18" s="609" t="str">
        <f>IFERROR(VLOOKUP(C18,Foundation!$C$5:$D$143,2,0),"")</f>
        <v>DA+9</v>
      </c>
      <c r="E18" s="1014" t="s">
        <v>403</v>
      </c>
      <c r="F18" s="610">
        <v>45545</v>
      </c>
      <c r="G18" s="610">
        <v>45545</v>
      </c>
      <c r="H18" s="611" t="s">
        <v>950</v>
      </c>
      <c r="I18" s="611" t="s">
        <v>887</v>
      </c>
      <c r="J18" s="608" t="s">
        <v>1004</v>
      </c>
      <c r="K18" s="611" t="s">
        <v>255</v>
      </c>
    </row>
    <row r="19" spans="1:11" s="613" customFormat="1" ht="15.5">
      <c r="A19" s="608">
        <v>15</v>
      </c>
      <c r="B19" s="608">
        <f>SUBTOTAL(103,$C$5:C19)</f>
        <v>15</v>
      </c>
      <c r="C19" s="990" t="s">
        <v>490</v>
      </c>
      <c r="D19" s="614" t="str">
        <f>IFERROR(VLOOKUP(C19,Foundation!$C$5:$D$143,2,0),"")</f>
        <v>DA+1.5</v>
      </c>
      <c r="E19" s="1014" t="s">
        <v>403</v>
      </c>
      <c r="F19" s="610">
        <v>45550</v>
      </c>
      <c r="G19" s="610">
        <v>45550</v>
      </c>
      <c r="H19" s="611" t="s">
        <v>950</v>
      </c>
      <c r="I19" s="611" t="s">
        <v>887</v>
      </c>
      <c r="J19" s="608" t="s">
        <v>1004</v>
      </c>
      <c r="K19" s="611" t="s">
        <v>255</v>
      </c>
    </row>
    <row r="20" spans="1:11" s="613" customFormat="1" ht="15.75" customHeight="1">
      <c r="A20" s="608">
        <v>16</v>
      </c>
      <c r="B20" s="608">
        <f>SUBTOTAL(103,$C$5:C20)</f>
        <v>16</v>
      </c>
      <c r="C20" s="993" t="s">
        <v>475</v>
      </c>
      <c r="D20" s="609" t="str">
        <f>IFERROR(VLOOKUP(C20,Foundation!$C$5:$D$143,2,0),"")</f>
        <v>DA-1.5</v>
      </c>
      <c r="E20" s="1014" t="s">
        <v>403</v>
      </c>
      <c r="F20" s="610">
        <v>45550</v>
      </c>
      <c r="G20" s="610">
        <v>45550</v>
      </c>
      <c r="H20" s="611" t="s">
        <v>950</v>
      </c>
      <c r="I20" s="611" t="s">
        <v>887</v>
      </c>
      <c r="J20" s="608" t="s">
        <v>1004</v>
      </c>
      <c r="K20" s="611" t="s">
        <v>255</v>
      </c>
    </row>
    <row r="21" spans="1:11" s="613" customFormat="1" ht="15.75" customHeight="1">
      <c r="A21" s="608">
        <v>17</v>
      </c>
      <c r="B21" s="608">
        <f>SUBTOTAL(103,$C$5:C21)</f>
        <v>17</v>
      </c>
      <c r="C21" s="993" t="s">
        <v>494</v>
      </c>
      <c r="D21" s="609" t="str">
        <f>IFERROR(VLOOKUP(C21,Foundation!$C$5:$D$143,2,0),"")</f>
        <v>DA+3</v>
      </c>
      <c r="E21" s="1014" t="s">
        <v>403</v>
      </c>
      <c r="F21" s="610">
        <v>45550</v>
      </c>
      <c r="G21" s="610">
        <v>45550</v>
      </c>
      <c r="H21" s="611" t="s">
        <v>950</v>
      </c>
      <c r="I21" s="611" t="s">
        <v>887</v>
      </c>
      <c r="J21" s="608" t="s">
        <v>1004</v>
      </c>
      <c r="K21" s="611" t="s">
        <v>255</v>
      </c>
    </row>
    <row r="22" spans="1:11" s="613" customFormat="1" ht="15.5">
      <c r="A22" s="608">
        <v>18</v>
      </c>
      <c r="B22" s="608">
        <v>18</v>
      </c>
      <c r="C22" s="993" t="s">
        <v>893</v>
      </c>
      <c r="D22" s="609" t="str">
        <f>IFERROR(VLOOKUP(C22,Foundation!$C$5:$D$143,2,0),"")</f>
        <v>DA+9</v>
      </c>
      <c r="E22" s="1014" t="s">
        <v>403</v>
      </c>
      <c r="F22" s="610">
        <v>45551</v>
      </c>
      <c r="G22" s="610">
        <v>45551</v>
      </c>
      <c r="H22" s="611" t="s">
        <v>950</v>
      </c>
      <c r="I22" s="611" t="s">
        <v>887</v>
      </c>
      <c r="J22" s="608" t="s">
        <v>1004</v>
      </c>
      <c r="K22" s="611" t="s">
        <v>255</v>
      </c>
    </row>
    <row r="23" spans="1:11" s="613" customFormat="1" ht="15.75" customHeight="1">
      <c r="A23" s="608">
        <v>19</v>
      </c>
      <c r="B23" s="608">
        <v>19</v>
      </c>
      <c r="C23" s="993" t="s">
        <v>462</v>
      </c>
      <c r="D23" s="614" t="str">
        <f>IFERROR(VLOOKUP(C23,Foundation!$C$5:$D$143,2,0),"")</f>
        <v>DA+3</v>
      </c>
      <c r="E23" s="1014" t="s">
        <v>403</v>
      </c>
      <c r="F23" s="610">
        <v>45555</v>
      </c>
      <c r="G23" s="610">
        <v>45555</v>
      </c>
      <c r="H23" s="611" t="s">
        <v>950</v>
      </c>
      <c r="I23" s="611" t="s">
        <v>887</v>
      </c>
      <c r="J23" s="608" t="s">
        <v>1004</v>
      </c>
      <c r="K23" s="611" t="s">
        <v>255</v>
      </c>
    </row>
    <row r="24" spans="1:11" s="613" customFormat="1" ht="15.75" customHeight="1">
      <c r="A24" s="608">
        <v>20</v>
      </c>
      <c r="B24" s="608">
        <v>20</v>
      </c>
      <c r="C24" s="993" t="s">
        <v>463</v>
      </c>
      <c r="D24" s="614" t="str">
        <f>IFERROR(VLOOKUP(C24,Foundation!$C$5:$D$143,2,0),"")</f>
        <v>DA+9</v>
      </c>
      <c r="E24" s="1014" t="s">
        <v>403</v>
      </c>
      <c r="F24" s="610">
        <v>45555</v>
      </c>
      <c r="G24" s="610">
        <v>45555</v>
      </c>
      <c r="H24" s="611" t="s">
        <v>950</v>
      </c>
      <c r="I24" s="611" t="s">
        <v>887</v>
      </c>
      <c r="J24" s="608" t="s">
        <v>1004</v>
      </c>
      <c r="K24" s="611" t="s">
        <v>255</v>
      </c>
    </row>
    <row r="25" spans="1:11" s="613" customFormat="1" ht="15.75" customHeight="1">
      <c r="A25" s="608">
        <v>21</v>
      </c>
      <c r="B25" s="608">
        <v>21</v>
      </c>
      <c r="C25" s="993" t="s">
        <v>467</v>
      </c>
      <c r="D25" s="614" t="str">
        <f>IFERROR(VLOOKUP(C25,Foundation!$C$5:$D$143,2,0),"")</f>
        <v>DA+3</v>
      </c>
      <c r="E25" s="1014" t="s">
        <v>403</v>
      </c>
      <c r="F25" s="610">
        <v>45547</v>
      </c>
      <c r="G25" s="610">
        <f t="shared" ref="G25:G56" si="0">F25</f>
        <v>45547</v>
      </c>
      <c r="H25" s="611" t="s">
        <v>950</v>
      </c>
      <c r="I25" s="611" t="s">
        <v>887</v>
      </c>
      <c r="J25" s="608" t="s">
        <v>1004</v>
      </c>
      <c r="K25" s="611" t="s">
        <v>255</v>
      </c>
    </row>
    <row r="26" spans="1:11" s="613" customFormat="1" ht="15.75" customHeight="1">
      <c r="A26" s="608">
        <v>22</v>
      </c>
      <c r="B26" s="608">
        <v>22</v>
      </c>
      <c r="C26" s="993" t="s">
        <v>894</v>
      </c>
      <c r="D26" s="614" t="str">
        <f>IFERROR(VLOOKUP(C26,Foundation!$C$5:$D$143,2,0),"")</f>
        <v>DA+6</v>
      </c>
      <c r="E26" s="1014" t="s">
        <v>403</v>
      </c>
      <c r="F26" s="610">
        <v>45548</v>
      </c>
      <c r="G26" s="610">
        <f t="shared" si="0"/>
        <v>45548</v>
      </c>
      <c r="H26" s="611" t="s">
        <v>950</v>
      </c>
      <c r="I26" s="611" t="s">
        <v>887</v>
      </c>
      <c r="J26" s="608" t="s">
        <v>1004</v>
      </c>
      <c r="K26" s="611" t="s">
        <v>255</v>
      </c>
    </row>
    <row r="27" spans="1:11" s="613" customFormat="1" ht="15.75" customHeight="1">
      <c r="A27" s="608">
        <v>23</v>
      </c>
      <c r="B27" s="608">
        <v>23</v>
      </c>
      <c r="C27" s="993" t="s">
        <v>895</v>
      </c>
      <c r="D27" s="614" t="str">
        <f>IFERROR(VLOOKUP(C27,Foundation!$C$5:$D$143,2,0),"")</f>
        <v>DA+9</v>
      </c>
      <c r="E27" s="1014" t="s">
        <v>403</v>
      </c>
      <c r="F27" s="610">
        <v>45547</v>
      </c>
      <c r="G27" s="610">
        <f t="shared" si="0"/>
        <v>45547</v>
      </c>
      <c r="H27" s="611" t="s">
        <v>950</v>
      </c>
      <c r="I27" s="611" t="s">
        <v>887</v>
      </c>
      <c r="J27" s="608" t="s">
        <v>1004</v>
      </c>
      <c r="K27" s="611" t="s">
        <v>255</v>
      </c>
    </row>
    <row r="28" spans="1:11" s="613" customFormat="1" ht="15.75" customHeight="1">
      <c r="A28" s="608">
        <v>24</v>
      </c>
      <c r="B28" s="608">
        <v>24</v>
      </c>
      <c r="C28" s="993" t="s">
        <v>496</v>
      </c>
      <c r="D28" s="614" t="str">
        <f>IFERROR(VLOOKUP(C28,Foundation!$C$5:$D$143,2,0),"")</f>
        <v>DA+3</v>
      </c>
      <c r="E28" s="1014" t="s">
        <v>403</v>
      </c>
      <c r="F28" s="610">
        <v>45540</v>
      </c>
      <c r="G28" s="610">
        <f t="shared" si="0"/>
        <v>45540</v>
      </c>
      <c r="H28" s="611" t="s">
        <v>950</v>
      </c>
      <c r="I28" s="611" t="s">
        <v>887</v>
      </c>
      <c r="J28" s="608" t="s">
        <v>1004</v>
      </c>
      <c r="K28" s="611" t="s">
        <v>255</v>
      </c>
    </row>
    <row r="29" spans="1:11" s="613" customFormat="1" ht="15.75" customHeight="1">
      <c r="A29" s="608">
        <v>25</v>
      </c>
      <c r="B29" s="608">
        <v>25</v>
      </c>
      <c r="C29" s="993" t="s">
        <v>495</v>
      </c>
      <c r="D29" s="614" t="str">
        <f>IFERROR(VLOOKUP(C29,Foundation!$C$5:$D$143,2,0),"")</f>
        <v>DA+3</v>
      </c>
      <c r="E29" s="1014" t="s">
        <v>403</v>
      </c>
      <c r="F29" s="610">
        <v>45540</v>
      </c>
      <c r="G29" s="610">
        <f t="shared" si="0"/>
        <v>45540</v>
      </c>
      <c r="H29" s="611" t="s">
        <v>950</v>
      </c>
      <c r="I29" s="611" t="s">
        <v>887</v>
      </c>
      <c r="J29" s="608" t="s">
        <v>1004</v>
      </c>
      <c r="K29" s="611" t="s">
        <v>255</v>
      </c>
    </row>
    <row r="30" spans="1:11" s="613" customFormat="1" ht="15.75" customHeight="1">
      <c r="A30" s="608">
        <v>26</v>
      </c>
      <c r="B30" s="608">
        <v>26</v>
      </c>
      <c r="C30" s="993" t="s">
        <v>492</v>
      </c>
      <c r="D30" s="614" t="str">
        <f>IFERROR(VLOOKUP(C30,Foundation!$C$5:$D$143,2,0),"")</f>
        <v>DA+1.5</v>
      </c>
      <c r="E30" s="1014" t="s">
        <v>403</v>
      </c>
      <c r="F30" s="610">
        <v>45540</v>
      </c>
      <c r="G30" s="610">
        <f t="shared" si="0"/>
        <v>45540</v>
      </c>
      <c r="H30" s="611" t="s">
        <v>950</v>
      </c>
      <c r="I30" s="611" t="s">
        <v>887</v>
      </c>
      <c r="J30" s="608" t="s">
        <v>1004</v>
      </c>
      <c r="K30" s="611" t="s">
        <v>255</v>
      </c>
    </row>
    <row r="31" spans="1:11" s="613" customFormat="1" ht="15.75" customHeight="1">
      <c r="A31" s="608">
        <v>27</v>
      </c>
      <c r="B31" s="608">
        <v>1</v>
      </c>
      <c r="C31" s="993" t="s">
        <v>468</v>
      </c>
      <c r="D31" s="614" t="str">
        <f>IFERROR(VLOOKUP(C31,Foundation!$C$5:$D$143,2,0),"")</f>
        <v>DA+9</v>
      </c>
      <c r="E31" s="1014" t="s">
        <v>403</v>
      </c>
      <c r="F31" s="610">
        <v>45576</v>
      </c>
      <c r="G31" s="610">
        <f t="shared" si="0"/>
        <v>45576</v>
      </c>
      <c r="H31" s="611" t="s">
        <v>950</v>
      </c>
      <c r="I31" s="611" t="s">
        <v>887</v>
      </c>
      <c r="J31" s="608" t="s">
        <v>1083</v>
      </c>
      <c r="K31" s="611" t="s">
        <v>255</v>
      </c>
    </row>
    <row r="32" spans="1:11" s="613" customFormat="1" ht="15.75" customHeight="1">
      <c r="A32" s="608">
        <v>28</v>
      </c>
      <c r="B32" s="608">
        <v>2</v>
      </c>
      <c r="C32" s="993" t="s">
        <v>470</v>
      </c>
      <c r="D32" s="614" t="str">
        <f>IFERROR(VLOOKUP(C32,Foundation!$C$5:$D$143,2,0),"")</f>
        <v>DA-3</v>
      </c>
      <c r="E32" s="1014" t="s">
        <v>403</v>
      </c>
      <c r="F32" s="610">
        <v>45576</v>
      </c>
      <c r="G32" s="610">
        <f t="shared" si="0"/>
        <v>45576</v>
      </c>
      <c r="H32" s="611" t="s">
        <v>950</v>
      </c>
      <c r="I32" s="611" t="s">
        <v>887</v>
      </c>
      <c r="J32" s="608" t="s">
        <v>1083</v>
      </c>
      <c r="K32" s="611" t="s">
        <v>255</v>
      </c>
    </row>
    <row r="33" spans="1:11" s="613" customFormat="1" ht="15.75" customHeight="1">
      <c r="A33" s="608">
        <v>29</v>
      </c>
      <c r="B33" s="608">
        <v>3</v>
      </c>
      <c r="C33" s="993" t="s">
        <v>473</v>
      </c>
      <c r="D33" s="614" t="str">
        <f>IFERROR(VLOOKUP(C33,Foundation!$C$5:$D$143,2,0),"")</f>
        <v>DA+6</v>
      </c>
      <c r="E33" s="1014" t="s">
        <v>403</v>
      </c>
      <c r="F33" s="610">
        <v>45576</v>
      </c>
      <c r="G33" s="610">
        <f t="shared" si="0"/>
        <v>45576</v>
      </c>
      <c r="H33" s="611" t="s">
        <v>950</v>
      </c>
      <c r="I33" s="611" t="s">
        <v>887</v>
      </c>
      <c r="J33" s="608" t="s">
        <v>1083</v>
      </c>
      <c r="K33" s="611" t="s">
        <v>255</v>
      </c>
    </row>
    <row r="34" spans="1:11" s="613" customFormat="1" ht="15.75" customHeight="1">
      <c r="A34" s="608">
        <v>30</v>
      </c>
      <c r="B34" s="608">
        <v>4</v>
      </c>
      <c r="C34" s="993" t="s">
        <v>474</v>
      </c>
      <c r="D34" s="614" t="str">
        <f>IFERROR(VLOOKUP(C34,Foundation!$C$5:$D$143,2,0),"")</f>
        <v>DA+1.5</v>
      </c>
      <c r="E34" s="1014" t="s">
        <v>403</v>
      </c>
      <c r="F34" s="610">
        <v>45576</v>
      </c>
      <c r="G34" s="610">
        <f t="shared" si="0"/>
        <v>45576</v>
      </c>
      <c r="H34" s="611" t="s">
        <v>950</v>
      </c>
      <c r="I34" s="611" t="s">
        <v>887</v>
      </c>
      <c r="J34" s="608" t="s">
        <v>1083</v>
      </c>
      <c r="K34" s="611" t="s">
        <v>255</v>
      </c>
    </row>
    <row r="35" spans="1:11" s="613" customFormat="1" ht="15.5">
      <c r="A35" s="608">
        <v>31</v>
      </c>
      <c r="B35" s="608">
        <v>5</v>
      </c>
      <c r="C35" s="72" t="s">
        <v>476</v>
      </c>
      <c r="D35" s="614" t="str">
        <f>IFERROR(VLOOKUP(C35,Foundation!$C$5:$D$143,2,0),"")</f>
        <v>DA-3</v>
      </c>
      <c r="E35" s="1014" t="s">
        <v>403</v>
      </c>
      <c r="F35" s="610">
        <v>45576</v>
      </c>
      <c r="G35" s="610">
        <f t="shared" si="0"/>
        <v>45576</v>
      </c>
      <c r="H35" s="611" t="s">
        <v>950</v>
      </c>
      <c r="I35" s="611" t="s">
        <v>887</v>
      </c>
      <c r="J35" s="608" t="s">
        <v>1083</v>
      </c>
      <c r="K35" s="611" t="s">
        <v>255</v>
      </c>
    </row>
    <row r="36" spans="1:11" s="613" customFormat="1" ht="15.5">
      <c r="A36" s="608">
        <v>32</v>
      </c>
      <c r="B36" s="608">
        <v>6</v>
      </c>
      <c r="C36" s="72" t="s">
        <v>478</v>
      </c>
      <c r="D36" s="614" t="str">
        <f>IFERROR(VLOOKUP(C36,Foundation!$C$5:$D$143,2,0),"")</f>
        <v>DA+9</v>
      </c>
      <c r="E36" s="1014" t="s">
        <v>403</v>
      </c>
      <c r="F36" s="610">
        <v>45576</v>
      </c>
      <c r="G36" s="610">
        <f t="shared" si="0"/>
        <v>45576</v>
      </c>
      <c r="H36" s="611" t="s">
        <v>950</v>
      </c>
      <c r="I36" s="611" t="s">
        <v>887</v>
      </c>
      <c r="J36" s="608" t="s">
        <v>1083</v>
      </c>
      <c r="K36" s="611" t="s">
        <v>255</v>
      </c>
    </row>
    <row r="37" spans="1:11" s="613" customFormat="1" ht="15.5">
      <c r="A37" s="608">
        <v>33</v>
      </c>
      <c r="B37" s="608">
        <v>7</v>
      </c>
      <c r="C37" s="72" t="s">
        <v>891</v>
      </c>
      <c r="D37" s="614" t="str">
        <f>IFERROR(VLOOKUP(C37,Foundation!$C$5:$D$143,2,0),"")</f>
        <v>DA+6</v>
      </c>
      <c r="E37" s="1014" t="s">
        <v>403</v>
      </c>
      <c r="F37" s="610">
        <v>45577</v>
      </c>
      <c r="G37" s="610">
        <f t="shared" si="0"/>
        <v>45577</v>
      </c>
      <c r="H37" s="611" t="s">
        <v>950</v>
      </c>
      <c r="I37" s="611" t="s">
        <v>887</v>
      </c>
      <c r="J37" s="608" t="s">
        <v>1083</v>
      </c>
      <c r="K37" s="611" t="s">
        <v>255</v>
      </c>
    </row>
    <row r="38" spans="1:11" s="613" customFormat="1" ht="15.5">
      <c r="A38" s="608">
        <v>34</v>
      </c>
      <c r="B38" s="608">
        <v>8</v>
      </c>
      <c r="C38" s="72" t="s">
        <v>460</v>
      </c>
      <c r="D38" s="614" t="str">
        <f>IFERROR(VLOOKUP(C38,Foundation!$C$5:$D$143,2,0),"")</f>
        <v>DA-1.5</v>
      </c>
      <c r="E38" s="1014" t="s">
        <v>403</v>
      </c>
      <c r="F38" s="610">
        <v>45577</v>
      </c>
      <c r="G38" s="610">
        <f t="shared" si="0"/>
        <v>45577</v>
      </c>
      <c r="H38" s="611" t="s">
        <v>950</v>
      </c>
      <c r="I38" s="611" t="s">
        <v>887</v>
      </c>
      <c r="J38" s="608" t="s">
        <v>1083</v>
      </c>
      <c r="K38" s="611" t="s">
        <v>255</v>
      </c>
    </row>
    <row r="39" spans="1:11" s="613" customFormat="1" ht="15.5">
      <c r="A39" s="608">
        <v>35</v>
      </c>
      <c r="B39" s="608">
        <v>9</v>
      </c>
      <c r="C39" s="72" t="s">
        <v>458</v>
      </c>
      <c r="D39" s="614" t="str">
        <f>IFERROR(VLOOKUP(C39,Foundation!$C$5:$D$143,2,0),"")</f>
        <v>DA+9</v>
      </c>
      <c r="E39" s="1014" t="s">
        <v>403</v>
      </c>
      <c r="F39" s="610">
        <v>45577</v>
      </c>
      <c r="G39" s="610">
        <f t="shared" si="0"/>
        <v>45577</v>
      </c>
      <c r="H39" s="611" t="s">
        <v>950</v>
      </c>
      <c r="I39" s="611" t="s">
        <v>887</v>
      </c>
      <c r="J39" s="608" t="s">
        <v>1083</v>
      </c>
      <c r="K39" s="611" t="s">
        <v>255</v>
      </c>
    </row>
    <row r="40" spans="1:11" s="613" customFormat="1" ht="15.5">
      <c r="A40" s="608">
        <v>36</v>
      </c>
      <c r="B40" s="608">
        <v>10</v>
      </c>
      <c r="C40" s="72" t="s">
        <v>459</v>
      </c>
      <c r="D40" s="614" t="str">
        <f>IFERROR(VLOOKUP(C40,Foundation!$C$5:$D$143,2,0),"")</f>
        <v>DA+9</v>
      </c>
      <c r="E40" s="1014" t="s">
        <v>403</v>
      </c>
      <c r="F40" s="610">
        <v>45577</v>
      </c>
      <c r="G40" s="610">
        <f t="shared" si="0"/>
        <v>45577</v>
      </c>
      <c r="H40" s="611" t="s">
        <v>950</v>
      </c>
      <c r="I40" s="611" t="s">
        <v>887</v>
      </c>
      <c r="J40" s="608" t="s">
        <v>1083</v>
      </c>
      <c r="K40" s="611" t="s">
        <v>255</v>
      </c>
    </row>
    <row r="41" spans="1:11" s="613" customFormat="1" ht="15.5">
      <c r="A41" s="608">
        <v>37</v>
      </c>
      <c r="B41" s="608">
        <v>11</v>
      </c>
      <c r="C41" s="72" t="s">
        <v>413</v>
      </c>
      <c r="D41" s="614" t="str">
        <f>IFERROR(VLOOKUP(C41,Foundation!$C$5:$D$143,2,0),"")</f>
        <v>DA+3</v>
      </c>
      <c r="E41" s="1014" t="s">
        <v>403</v>
      </c>
      <c r="F41" s="610">
        <v>41925</v>
      </c>
      <c r="G41" s="610">
        <f t="shared" si="0"/>
        <v>41925</v>
      </c>
      <c r="H41" s="611" t="s">
        <v>950</v>
      </c>
      <c r="I41" s="611" t="s">
        <v>887</v>
      </c>
      <c r="J41" s="608" t="s">
        <v>1083</v>
      </c>
      <c r="K41" s="611" t="s">
        <v>255</v>
      </c>
    </row>
    <row r="42" spans="1:11" s="613" customFormat="1" ht="15.5">
      <c r="A42" s="608">
        <v>38</v>
      </c>
      <c r="B42" s="608">
        <v>12</v>
      </c>
      <c r="C42" s="72" t="s">
        <v>414</v>
      </c>
      <c r="D42" s="614" t="str">
        <f>IFERROR(VLOOKUP(C42,Foundation!$C$5:$D$143,2,0),"")</f>
        <v>DA+3</v>
      </c>
      <c r="E42" s="1014" t="s">
        <v>403</v>
      </c>
      <c r="F42" s="610">
        <v>41925</v>
      </c>
      <c r="G42" s="610">
        <f t="shared" si="0"/>
        <v>41925</v>
      </c>
      <c r="H42" s="611" t="s">
        <v>950</v>
      </c>
      <c r="I42" s="611" t="s">
        <v>887</v>
      </c>
      <c r="J42" s="608" t="s">
        <v>1083</v>
      </c>
      <c r="K42" s="611" t="s">
        <v>255</v>
      </c>
    </row>
    <row r="43" spans="1:11" s="613" customFormat="1" ht="15.5">
      <c r="A43" s="608">
        <v>39</v>
      </c>
      <c r="B43" s="608">
        <v>13</v>
      </c>
      <c r="C43" s="72" t="s">
        <v>415</v>
      </c>
      <c r="D43" s="614" t="str">
        <f>IFERROR(VLOOKUP(C43,Foundation!$C$5:$D$143,2,0),"")</f>
        <v>DA+6</v>
      </c>
      <c r="E43" s="1014" t="s">
        <v>403</v>
      </c>
      <c r="F43" s="610">
        <v>41925</v>
      </c>
      <c r="G43" s="610">
        <f t="shared" si="0"/>
        <v>41925</v>
      </c>
      <c r="H43" s="611" t="s">
        <v>950</v>
      </c>
      <c r="I43" s="611" t="s">
        <v>887</v>
      </c>
      <c r="J43" s="608" t="s">
        <v>1083</v>
      </c>
      <c r="K43" s="611" t="s">
        <v>255</v>
      </c>
    </row>
    <row r="44" spans="1:11" s="613" customFormat="1" ht="15.5">
      <c r="A44" s="608">
        <v>40</v>
      </c>
      <c r="B44" s="608">
        <v>14</v>
      </c>
      <c r="C44" s="72" t="s">
        <v>417</v>
      </c>
      <c r="D44" s="614" t="str">
        <f>IFERROR(VLOOKUP(C44,Foundation!$C$5:$D$143,2,0),"")</f>
        <v>DA+9</v>
      </c>
      <c r="E44" s="1014" t="s">
        <v>403</v>
      </c>
      <c r="F44" s="610">
        <v>41925</v>
      </c>
      <c r="G44" s="610">
        <f t="shared" si="0"/>
        <v>41925</v>
      </c>
      <c r="H44" s="611" t="s">
        <v>950</v>
      </c>
      <c r="I44" s="611" t="s">
        <v>887</v>
      </c>
      <c r="J44" s="608" t="s">
        <v>1083</v>
      </c>
      <c r="K44" s="611" t="s">
        <v>255</v>
      </c>
    </row>
    <row r="45" spans="1:11" s="613" customFormat="1" ht="15.5">
      <c r="A45" s="608">
        <v>41</v>
      </c>
      <c r="B45" s="608">
        <v>15</v>
      </c>
      <c r="C45" s="72" t="s">
        <v>420</v>
      </c>
      <c r="D45" s="614" t="str">
        <f>IFERROR(VLOOKUP(C45,Foundation!$C$5:$D$143,2,0),"")</f>
        <v>DA+0</v>
      </c>
      <c r="E45" s="1014" t="s">
        <v>403</v>
      </c>
      <c r="F45" s="610">
        <v>45579</v>
      </c>
      <c r="G45" s="610">
        <f t="shared" si="0"/>
        <v>45579</v>
      </c>
      <c r="H45" s="611" t="s">
        <v>950</v>
      </c>
      <c r="I45" s="611" t="s">
        <v>887</v>
      </c>
      <c r="J45" s="608" t="s">
        <v>1083</v>
      </c>
      <c r="K45" s="611" t="s">
        <v>255</v>
      </c>
    </row>
    <row r="46" spans="1:11" s="613" customFormat="1" ht="15.5">
      <c r="A46" s="608">
        <v>42</v>
      </c>
      <c r="B46" s="608">
        <v>16</v>
      </c>
      <c r="C46" s="72" t="s">
        <v>422</v>
      </c>
      <c r="D46" s="614" t="str">
        <f>IFERROR(VLOOKUP(C46,Foundation!$C$5:$D$143,2,0),"")</f>
        <v>DA+0</v>
      </c>
      <c r="E46" s="1014" t="s">
        <v>403</v>
      </c>
      <c r="F46" s="610">
        <v>45579</v>
      </c>
      <c r="G46" s="610">
        <f t="shared" si="0"/>
        <v>45579</v>
      </c>
      <c r="H46" s="611" t="s">
        <v>950</v>
      </c>
      <c r="I46" s="611" t="s">
        <v>887</v>
      </c>
      <c r="J46" s="608" t="s">
        <v>1083</v>
      </c>
      <c r="K46" s="611" t="s">
        <v>255</v>
      </c>
    </row>
    <row r="47" spans="1:11" s="613" customFormat="1" ht="15.5">
      <c r="A47" s="608">
        <v>43</v>
      </c>
      <c r="B47" s="608">
        <v>17</v>
      </c>
      <c r="C47" s="72" t="s">
        <v>419</v>
      </c>
      <c r="D47" s="614" t="str">
        <f>IFERROR(VLOOKUP(C47,Foundation!$C$5:$D$143,2,0),"")</f>
        <v>DA+1.5</v>
      </c>
      <c r="E47" s="1014" t="s">
        <v>403</v>
      </c>
      <c r="F47" s="610">
        <v>45579</v>
      </c>
      <c r="G47" s="610">
        <f t="shared" si="0"/>
        <v>45579</v>
      </c>
      <c r="H47" s="611" t="s">
        <v>950</v>
      </c>
      <c r="I47" s="611" t="s">
        <v>887</v>
      </c>
      <c r="J47" s="608" t="s">
        <v>1083</v>
      </c>
      <c r="K47" s="611" t="s">
        <v>255</v>
      </c>
    </row>
    <row r="48" spans="1:11" s="613" customFormat="1" ht="15.5">
      <c r="A48" s="608">
        <v>44</v>
      </c>
      <c r="B48" s="608">
        <v>18</v>
      </c>
      <c r="C48" s="72" t="s">
        <v>418</v>
      </c>
      <c r="D48" s="614" t="str">
        <f>IFERROR(VLOOKUP(C48,Foundation!$C$5:$D$143,2,0),"")</f>
        <v>DA+0</v>
      </c>
      <c r="E48" s="1014" t="s">
        <v>403</v>
      </c>
      <c r="F48" s="610">
        <v>45580</v>
      </c>
      <c r="G48" s="610">
        <f t="shared" si="0"/>
        <v>45580</v>
      </c>
      <c r="H48" s="611" t="s">
        <v>950</v>
      </c>
      <c r="I48" s="611" t="s">
        <v>887</v>
      </c>
      <c r="J48" s="608" t="s">
        <v>1083</v>
      </c>
      <c r="K48" s="611" t="s">
        <v>255</v>
      </c>
    </row>
    <row r="49" spans="1:11" s="613" customFormat="1" ht="15.5">
      <c r="A49" s="608">
        <v>45</v>
      </c>
      <c r="B49" s="608">
        <v>19</v>
      </c>
      <c r="C49" s="72" t="s">
        <v>416</v>
      </c>
      <c r="D49" s="614" t="str">
        <f>IFERROR(VLOOKUP(C49,Foundation!$C$5:$D$143,2,0),"")</f>
        <v>DA+3</v>
      </c>
      <c r="E49" s="1014" t="s">
        <v>403</v>
      </c>
      <c r="F49" s="610">
        <v>45580</v>
      </c>
      <c r="G49" s="610">
        <f t="shared" si="0"/>
        <v>45580</v>
      </c>
      <c r="H49" s="611" t="s">
        <v>950</v>
      </c>
      <c r="I49" s="611" t="s">
        <v>887</v>
      </c>
      <c r="J49" s="608" t="s">
        <v>1083</v>
      </c>
      <c r="K49" s="611" t="s">
        <v>255</v>
      </c>
    </row>
    <row r="50" spans="1:11" s="613" customFormat="1" ht="15.5">
      <c r="A50" s="608">
        <v>46</v>
      </c>
      <c r="B50" s="608">
        <v>20</v>
      </c>
      <c r="C50" s="72" t="s">
        <v>162</v>
      </c>
      <c r="D50" s="614" t="str">
        <f>IFERROR(VLOOKUP(C50,Foundation!$C$5:$D$143,2,0),"")</f>
        <v>DA-3</v>
      </c>
      <c r="E50" s="1014" t="s">
        <v>403</v>
      </c>
      <c r="F50" s="610">
        <v>45580</v>
      </c>
      <c r="G50" s="610">
        <f t="shared" si="0"/>
        <v>45580</v>
      </c>
      <c r="H50" s="611" t="s">
        <v>950</v>
      </c>
      <c r="I50" s="611" t="s">
        <v>1084</v>
      </c>
      <c r="J50" s="608" t="s">
        <v>1083</v>
      </c>
      <c r="K50" s="611" t="s">
        <v>255</v>
      </c>
    </row>
    <row r="51" spans="1:11" s="613" customFormat="1" ht="15.5">
      <c r="A51" s="608">
        <v>47</v>
      </c>
      <c r="B51" s="608">
        <v>21</v>
      </c>
      <c r="C51" s="72" t="s">
        <v>26</v>
      </c>
      <c r="D51" s="614" t="str">
        <f>IFERROR(VLOOKUP(C51,Foundation!$C$5:$D$143,2,0),"")</f>
        <v>DA+0</v>
      </c>
      <c r="E51" s="1014" t="s">
        <v>403</v>
      </c>
      <c r="F51" s="610">
        <v>45580</v>
      </c>
      <c r="G51" s="610">
        <f t="shared" si="0"/>
        <v>45580</v>
      </c>
      <c r="H51" s="611" t="s">
        <v>950</v>
      </c>
      <c r="I51" s="611" t="s">
        <v>1084</v>
      </c>
      <c r="J51" s="608" t="s">
        <v>1083</v>
      </c>
      <c r="K51" s="611" t="s">
        <v>255</v>
      </c>
    </row>
    <row r="52" spans="1:11" s="613" customFormat="1" ht="15.5">
      <c r="A52" s="608">
        <v>48</v>
      </c>
      <c r="B52" s="608">
        <v>22</v>
      </c>
      <c r="C52" s="72" t="s">
        <v>61</v>
      </c>
      <c r="D52" s="614" t="str">
        <f>IFERROR(VLOOKUP(C52,Foundation!$C$5:$D$143,2,0),"")</f>
        <v>DA+9</v>
      </c>
      <c r="E52" s="1014" t="s">
        <v>403</v>
      </c>
      <c r="F52" s="615">
        <v>45581</v>
      </c>
      <c r="G52" s="610">
        <f t="shared" si="0"/>
        <v>45581</v>
      </c>
      <c r="H52" s="611" t="s">
        <v>950</v>
      </c>
      <c r="I52" s="611" t="s">
        <v>1084</v>
      </c>
      <c r="J52" s="608" t="s">
        <v>1083</v>
      </c>
      <c r="K52" s="611" t="s">
        <v>255</v>
      </c>
    </row>
    <row r="53" spans="1:11" s="613" customFormat="1" ht="15.5">
      <c r="A53" s="608">
        <v>49</v>
      </c>
      <c r="B53" s="608">
        <v>23</v>
      </c>
      <c r="C53" s="72" t="s">
        <v>62</v>
      </c>
      <c r="D53" s="614" t="str">
        <f>IFERROR(VLOOKUP(C53,Foundation!$C$5:$D$143,2,0),"")</f>
        <v>DA-1.5</v>
      </c>
      <c r="E53" s="1014" t="s">
        <v>403</v>
      </c>
      <c r="F53" s="615">
        <v>45581</v>
      </c>
      <c r="G53" s="610">
        <f t="shared" si="0"/>
        <v>45581</v>
      </c>
      <c r="H53" s="611" t="s">
        <v>950</v>
      </c>
      <c r="I53" s="611" t="s">
        <v>1084</v>
      </c>
      <c r="J53" s="608" t="s">
        <v>1083</v>
      </c>
      <c r="K53" s="611" t="s">
        <v>255</v>
      </c>
    </row>
    <row r="54" spans="1:11" s="613" customFormat="1" ht="15.5">
      <c r="A54" s="608">
        <v>50</v>
      </c>
      <c r="B54" s="608">
        <v>24</v>
      </c>
      <c r="C54" s="72" t="s">
        <v>153</v>
      </c>
      <c r="D54" s="614" t="str">
        <f>IFERROR(VLOOKUP(C54,Foundation!$C$5:$D$143,2,0),"")</f>
        <v>DA+1.5</v>
      </c>
      <c r="E54" s="1014" t="s">
        <v>403</v>
      </c>
      <c r="F54" s="615">
        <v>45581</v>
      </c>
      <c r="G54" s="610">
        <f t="shared" si="0"/>
        <v>45581</v>
      </c>
      <c r="H54" s="611" t="s">
        <v>950</v>
      </c>
      <c r="I54" s="611" t="s">
        <v>1084</v>
      </c>
      <c r="J54" s="608" t="s">
        <v>1083</v>
      </c>
      <c r="K54" s="611" t="s">
        <v>255</v>
      </c>
    </row>
    <row r="55" spans="1:11" s="613" customFormat="1" ht="15.5">
      <c r="A55" s="608">
        <v>51</v>
      </c>
      <c r="B55" s="608">
        <v>25</v>
      </c>
      <c r="C55" s="72" t="s">
        <v>155</v>
      </c>
      <c r="D55" s="614" t="str">
        <f>IFERROR(VLOOKUP(C55,Foundation!$C$5:$D$143,2,0),"")</f>
        <v>DA+1.5</v>
      </c>
      <c r="E55" s="1014" t="s">
        <v>403</v>
      </c>
      <c r="F55" s="615">
        <v>45581</v>
      </c>
      <c r="G55" s="610">
        <f t="shared" si="0"/>
        <v>45581</v>
      </c>
      <c r="H55" s="611" t="s">
        <v>950</v>
      </c>
      <c r="I55" s="611" t="s">
        <v>1084</v>
      </c>
      <c r="J55" s="608" t="s">
        <v>1083</v>
      </c>
      <c r="K55" s="611" t="s">
        <v>255</v>
      </c>
    </row>
    <row r="56" spans="1:11" s="613" customFormat="1" ht="15.5">
      <c r="A56" s="608">
        <v>52</v>
      </c>
      <c r="B56" s="608">
        <v>26</v>
      </c>
      <c r="C56" s="72" t="s">
        <v>156</v>
      </c>
      <c r="D56" s="614" t="str">
        <f>IFERROR(VLOOKUP(C56,Foundation!$C$5:$D$143,2,0),"")</f>
        <v>DA-1.5</v>
      </c>
      <c r="E56" s="1014" t="s">
        <v>403</v>
      </c>
      <c r="F56" s="615">
        <v>45581</v>
      </c>
      <c r="G56" s="610">
        <f t="shared" si="0"/>
        <v>45581</v>
      </c>
      <c r="H56" s="611" t="s">
        <v>950</v>
      </c>
      <c r="I56" s="611" t="s">
        <v>1084</v>
      </c>
      <c r="J56" s="608" t="s">
        <v>1083</v>
      </c>
      <c r="K56" s="611" t="s">
        <v>255</v>
      </c>
    </row>
    <row r="57" spans="1:11" s="613" customFormat="1" ht="15.5">
      <c r="A57" s="608">
        <v>53</v>
      </c>
      <c r="B57" s="608">
        <v>27</v>
      </c>
      <c r="C57" s="72" t="s">
        <v>430</v>
      </c>
      <c r="D57" s="614" t="str">
        <f>IFERROR(VLOOKUP(C57,Foundation!$C$5:$D$143,2,0),"")</f>
        <v>DA+6</v>
      </c>
      <c r="E57" s="1014" t="s">
        <v>403</v>
      </c>
      <c r="F57" s="615">
        <v>45581</v>
      </c>
      <c r="G57" s="610">
        <f t="shared" ref="G57:G88" si="1">F57</f>
        <v>45581</v>
      </c>
      <c r="H57" s="611" t="s">
        <v>950</v>
      </c>
      <c r="I57" s="611" t="s">
        <v>1084</v>
      </c>
      <c r="J57" s="608" t="s">
        <v>1083</v>
      </c>
      <c r="K57" s="611" t="s">
        <v>255</v>
      </c>
    </row>
    <row r="58" spans="1:11" s="613" customFormat="1" ht="15.5">
      <c r="A58" s="608">
        <v>54</v>
      </c>
      <c r="B58" s="608">
        <v>28</v>
      </c>
      <c r="C58" s="72" t="s">
        <v>432</v>
      </c>
      <c r="D58" s="614" t="str">
        <f>IFERROR(VLOOKUP(C58,Foundation!$C$5:$D$143,2,0),"")</f>
        <v>DA+0</v>
      </c>
      <c r="E58" s="1014" t="s">
        <v>403</v>
      </c>
      <c r="F58" s="615">
        <v>45582</v>
      </c>
      <c r="G58" s="610">
        <f t="shared" si="1"/>
        <v>45582</v>
      </c>
      <c r="H58" s="611" t="s">
        <v>950</v>
      </c>
      <c r="I58" s="611" t="s">
        <v>1084</v>
      </c>
      <c r="J58" s="608" t="s">
        <v>1083</v>
      </c>
      <c r="K58" s="611" t="s">
        <v>255</v>
      </c>
    </row>
    <row r="59" spans="1:11" s="613" customFormat="1" ht="15.5">
      <c r="A59" s="608">
        <v>55</v>
      </c>
      <c r="B59" s="608">
        <v>29</v>
      </c>
      <c r="C59" s="72" t="s">
        <v>433</v>
      </c>
      <c r="D59" s="614" t="str">
        <f>IFERROR(VLOOKUP(C59,Foundation!$C$5:$D$143,2,0),"")</f>
        <v>DA+3</v>
      </c>
      <c r="E59" s="1014" t="s">
        <v>403</v>
      </c>
      <c r="F59" s="615">
        <v>45582</v>
      </c>
      <c r="G59" s="610">
        <f t="shared" si="1"/>
        <v>45582</v>
      </c>
      <c r="H59" s="611" t="s">
        <v>950</v>
      </c>
      <c r="I59" s="611" t="s">
        <v>1084</v>
      </c>
      <c r="J59" s="608" t="s">
        <v>1083</v>
      </c>
      <c r="K59" s="611" t="s">
        <v>255</v>
      </c>
    </row>
    <row r="60" spans="1:11" s="613" customFormat="1" ht="15.5">
      <c r="A60" s="608">
        <v>56</v>
      </c>
      <c r="B60" s="608">
        <v>30</v>
      </c>
      <c r="C60" s="72" t="s">
        <v>434</v>
      </c>
      <c r="D60" s="614" t="str">
        <f>IFERROR(VLOOKUP(C60,Foundation!$C$5:$D$143,2,0),"")</f>
        <v>DA+0</v>
      </c>
      <c r="E60" s="1014" t="s">
        <v>403</v>
      </c>
      <c r="F60" s="615">
        <v>45582</v>
      </c>
      <c r="G60" s="610">
        <f t="shared" si="1"/>
        <v>45582</v>
      </c>
      <c r="H60" s="611" t="s">
        <v>950</v>
      </c>
      <c r="I60" s="611" t="s">
        <v>1084</v>
      </c>
      <c r="J60" s="608" t="s">
        <v>1083</v>
      </c>
      <c r="K60" s="611" t="s">
        <v>255</v>
      </c>
    </row>
    <row r="61" spans="1:11" s="613" customFormat="1" ht="15.5">
      <c r="A61" s="608">
        <v>57</v>
      </c>
      <c r="B61" s="608">
        <v>31</v>
      </c>
      <c r="C61" s="72" t="s">
        <v>900</v>
      </c>
      <c r="D61" s="614" t="str">
        <f>IFERROR(VLOOKUP(C61,Foundation!$C$5:$D$143,2,0),"")</f>
        <v>DA+6</v>
      </c>
      <c r="E61" s="1014" t="s">
        <v>403</v>
      </c>
      <c r="F61" s="615">
        <v>45582</v>
      </c>
      <c r="G61" s="610">
        <f t="shared" si="1"/>
        <v>45582</v>
      </c>
      <c r="H61" s="611" t="s">
        <v>950</v>
      </c>
      <c r="I61" s="611" t="s">
        <v>1084</v>
      </c>
      <c r="J61" s="608" t="s">
        <v>1083</v>
      </c>
      <c r="K61" s="611" t="s">
        <v>255</v>
      </c>
    </row>
    <row r="62" spans="1:11" s="613" customFormat="1" ht="15.5">
      <c r="A62" s="608">
        <v>58</v>
      </c>
      <c r="B62" s="608">
        <v>32</v>
      </c>
      <c r="C62" s="72" t="s">
        <v>904</v>
      </c>
      <c r="D62" s="614" t="str">
        <f>IFERROR(VLOOKUP(C62,Foundation!$C$5:$D$143,2,0),"")</f>
        <v>DA+9</v>
      </c>
      <c r="E62" s="1014" t="s">
        <v>403</v>
      </c>
      <c r="F62" s="615">
        <v>45583</v>
      </c>
      <c r="G62" s="610">
        <f t="shared" si="1"/>
        <v>45583</v>
      </c>
      <c r="H62" s="611" t="s">
        <v>950</v>
      </c>
      <c r="I62" s="611" t="s">
        <v>1084</v>
      </c>
      <c r="J62" s="608" t="s">
        <v>1083</v>
      </c>
      <c r="K62" s="611" t="s">
        <v>255</v>
      </c>
    </row>
    <row r="63" spans="1:11" s="613" customFormat="1" ht="15.5">
      <c r="A63" s="608">
        <v>59</v>
      </c>
      <c r="B63" s="608">
        <v>33</v>
      </c>
      <c r="C63" s="72" t="s">
        <v>901</v>
      </c>
      <c r="D63" s="614" t="str">
        <f>IFERROR(VLOOKUP(C63,Foundation!$C$5:$D$143,2,0),"")</f>
        <v>DA+6</v>
      </c>
      <c r="E63" s="1014" t="s">
        <v>403</v>
      </c>
      <c r="F63" s="615">
        <v>45584</v>
      </c>
      <c r="G63" s="610">
        <f t="shared" si="1"/>
        <v>45584</v>
      </c>
      <c r="H63" s="611" t="s">
        <v>950</v>
      </c>
      <c r="I63" s="611" t="s">
        <v>1092</v>
      </c>
      <c r="J63" s="608" t="s">
        <v>1083</v>
      </c>
      <c r="K63" s="611" t="s">
        <v>255</v>
      </c>
    </row>
    <row r="64" spans="1:11" s="613" customFormat="1" ht="15.5">
      <c r="A64" s="608">
        <v>60</v>
      </c>
      <c r="B64" s="608">
        <v>34</v>
      </c>
      <c r="C64" s="72" t="s">
        <v>903</v>
      </c>
      <c r="D64" s="614" t="str">
        <f>IFERROR(VLOOKUP(C64,Foundation!$C$5:$D$143,2,0),"")</f>
        <v>DA+6</v>
      </c>
      <c r="E64" s="1014" t="s">
        <v>403</v>
      </c>
      <c r="F64" s="615">
        <v>45584</v>
      </c>
      <c r="G64" s="610">
        <f t="shared" si="1"/>
        <v>45584</v>
      </c>
      <c r="H64" s="611" t="s">
        <v>950</v>
      </c>
      <c r="I64" s="611" t="s">
        <v>1092</v>
      </c>
      <c r="J64" s="608" t="s">
        <v>1083</v>
      </c>
      <c r="K64" s="611" t="s">
        <v>255</v>
      </c>
    </row>
    <row r="65" spans="1:11" s="613" customFormat="1" ht="15.5">
      <c r="A65" s="608">
        <v>61</v>
      </c>
      <c r="B65" s="608">
        <v>35</v>
      </c>
      <c r="C65" s="72" t="s">
        <v>164</v>
      </c>
      <c r="D65" s="614" t="str">
        <f>IFERROR(VLOOKUP(C65,Foundation!$C$5:$D$143,2,0),"")</f>
        <v>DA+3</v>
      </c>
      <c r="E65" s="1014" t="s">
        <v>403</v>
      </c>
      <c r="F65" s="615">
        <v>45584</v>
      </c>
      <c r="G65" s="610">
        <f t="shared" si="1"/>
        <v>45584</v>
      </c>
      <c r="H65" s="611" t="s">
        <v>950</v>
      </c>
      <c r="I65" s="611" t="s">
        <v>1092</v>
      </c>
      <c r="J65" s="608" t="s">
        <v>1083</v>
      </c>
      <c r="K65" s="611" t="s">
        <v>255</v>
      </c>
    </row>
    <row r="66" spans="1:11" s="613" customFormat="1" ht="15.5">
      <c r="A66" s="608">
        <v>62</v>
      </c>
      <c r="B66" s="608">
        <v>36</v>
      </c>
      <c r="C66" s="72" t="s">
        <v>446</v>
      </c>
      <c r="D66" s="614" t="str">
        <f>IFERROR(VLOOKUP(C66,Foundation!$C$5:$D$143,2,0),"")</f>
        <v>DA+9</v>
      </c>
      <c r="E66" s="1014" t="s">
        <v>403</v>
      </c>
      <c r="F66" s="615">
        <v>45584</v>
      </c>
      <c r="G66" s="610">
        <f t="shared" si="1"/>
        <v>45584</v>
      </c>
      <c r="H66" s="611" t="s">
        <v>950</v>
      </c>
      <c r="I66" s="611" t="s">
        <v>1092</v>
      </c>
      <c r="J66" s="608" t="s">
        <v>1083</v>
      </c>
      <c r="K66" s="611" t="s">
        <v>255</v>
      </c>
    </row>
    <row r="67" spans="1:11" s="613" customFormat="1" ht="15.5">
      <c r="A67" s="608">
        <v>63</v>
      </c>
      <c r="B67" s="608">
        <v>37</v>
      </c>
      <c r="C67" s="72" t="s">
        <v>448</v>
      </c>
      <c r="D67" s="614" t="str">
        <f>IFERROR(VLOOKUP(C67,Foundation!$C$5:$D$143,2,0),"")</f>
        <v>DA+0</v>
      </c>
      <c r="E67" s="1014" t="s">
        <v>403</v>
      </c>
      <c r="F67" s="615">
        <v>45584</v>
      </c>
      <c r="G67" s="610">
        <f t="shared" si="1"/>
        <v>45584</v>
      </c>
      <c r="H67" s="611" t="s">
        <v>950</v>
      </c>
      <c r="I67" s="611" t="s">
        <v>1092</v>
      </c>
      <c r="J67" s="608" t="s">
        <v>1083</v>
      </c>
      <c r="K67" s="611" t="s">
        <v>255</v>
      </c>
    </row>
    <row r="68" spans="1:11" s="613" customFormat="1" ht="15.5">
      <c r="A68" s="608">
        <v>64</v>
      </c>
      <c r="B68" s="608">
        <v>38</v>
      </c>
      <c r="C68" s="72" t="s">
        <v>447</v>
      </c>
      <c r="D68" s="614" t="str">
        <f>IFERROR(VLOOKUP(C68,Foundation!$C$5:$D$143,2,0),"")</f>
        <v>DA+0</v>
      </c>
      <c r="E68" s="1014" t="s">
        <v>403</v>
      </c>
      <c r="F68" s="615">
        <v>45585</v>
      </c>
      <c r="G68" s="610">
        <f t="shared" si="1"/>
        <v>45585</v>
      </c>
      <c r="H68" s="611" t="s">
        <v>950</v>
      </c>
      <c r="I68" s="611" t="s">
        <v>1092</v>
      </c>
      <c r="J68" s="608" t="s">
        <v>1083</v>
      </c>
      <c r="K68" s="611" t="s">
        <v>255</v>
      </c>
    </row>
    <row r="69" spans="1:11" s="613" customFormat="1" ht="15.5">
      <c r="A69" s="608">
        <v>65</v>
      </c>
      <c r="B69" s="608">
        <v>39</v>
      </c>
      <c r="C69" s="72" t="s">
        <v>449</v>
      </c>
      <c r="D69" s="614" t="str">
        <f>IFERROR(VLOOKUP(C69,Foundation!$C$5:$D$143,2,0),"")</f>
        <v>DA+1.5</v>
      </c>
      <c r="E69" s="1014" t="s">
        <v>403</v>
      </c>
      <c r="F69" s="615">
        <v>45585</v>
      </c>
      <c r="G69" s="610">
        <f t="shared" si="1"/>
        <v>45585</v>
      </c>
      <c r="H69" s="611" t="s">
        <v>950</v>
      </c>
      <c r="I69" s="611" t="s">
        <v>1092</v>
      </c>
      <c r="J69" s="608" t="s">
        <v>1083</v>
      </c>
      <c r="K69" s="611" t="s">
        <v>255</v>
      </c>
    </row>
    <row r="70" spans="1:11" s="613" customFormat="1" ht="15.5">
      <c r="A70" s="608">
        <v>66</v>
      </c>
      <c r="B70" s="608">
        <v>40</v>
      </c>
      <c r="C70" s="72" t="s">
        <v>873</v>
      </c>
      <c r="D70" s="614" t="str">
        <f>IFERROR(VLOOKUP(C70,Foundation!$C$5:$D$143,2,0),"")</f>
        <v>DA+6</v>
      </c>
      <c r="E70" s="1014" t="s">
        <v>403</v>
      </c>
      <c r="F70" s="615">
        <v>45585</v>
      </c>
      <c r="G70" s="610">
        <f t="shared" si="1"/>
        <v>45585</v>
      </c>
      <c r="H70" s="611" t="s">
        <v>950</v>
      </c>
      <c r="I70" s="611" t="s">
        <v>1092</v>
      </c>
      <c r="J70" s="608" t="s">
        <v>1083</v>
      </c>
      <c r="K70" s="611" t="s">
        <v>255</v>
      </c>
    </row>
    <row r="71" spans="1:11" s="613" customFormat="1" ht="15.5">
      <c r="A71" s="608">
        <v>67</v>
      </c>
      <c r="B71" s="608">
        <v>41</v>
      </c>
      <c r="C71" s="72" t="s">
        <v>575</v>
      </c>
      <c r="D71" s="614" t="str">
        <f>IFERROR(VLOOKUP(C71,Foundation!$C$5:$D$143,2,0),"")</f>
        <v>DA+9</v>
      </c>
      <c r="E71" s="1014" t="s">
        <v>403</v>
      </c>
      <c r="F71" s="615">
        <v>45585</v>
      </c>
      <c r="G71" s="610">
        <f t="shared" si="1"/>
        <v>45585</v>
      </c>
      <c r="H71" s="611" t="s">
        <v>950</v>
      </c>
      <c r="I71" s="611" t="s">
        <v>1092</v>
      </c>
      <c r="J71" s="608" t="s">
        <v>1083</v>
      </c>
      <c r="K71" s="611" t="s">
        <v>255</v>
      </c>
    </row>
    <row r="72" spans="1:11" s="613" customFormat="1" ht="15.5">
      <c r="A72" s="608">
        <v>68</v>
      </c>
      <c r="B72" s="608">
        <v>42</v>
      </c>
      <c r="C72" s="72" t="s">
        <v>70</v>
      </c>
      <c r="D72" s="614" t="str">
        <f>IFERROR(VLOOKUP(C72,Foundation!$C$5:$D$143,2,0),"")</f>
        <v>DA+3</v>
      </c>
      <c r="E72" s="1014" t="s">
        <v>403</v>
      </c>
      <c r="F72" s="615">
        <v>45585</v>
      </c>
      <c r="G72" s="610">
        <f t="shared" si="1"/>
        <v>45585</v>
      </c>
      <c r="H72" s="611" t="s">
        <v>950</v>
      </c>
      <c r="I72" s="611" t="s">
        <v>1092</v>
      </c>
      <c r="J72" s="608" t="s">
        <v>1083</v>
      </c>
      <c r="K72" s="611" t="s">
        <v>255</v>
      </c>
    </row>
    <row r="73" spans="1:11" s="613" customFormat="1" ht="15.5">
      <c r="A73" s="608">
        <v>69</v>
      </c>
      <c r="B73" s="608">
        <v>43</v>
      </c>
      <c r="C73" s="72" t="s">
        <v>187</v>
      </c>
      <c r="D73" s="614" t="str">
        <f>IFERROR(VLOOKUP(C73,Foundation!$C$5:$D$143,2,0),"")</f>
        <v>DA+3</v>
      </c>
      <c r="E73" s="1014" t="s">
        <v>403</v>
      </c>
      <c r="F73" s="615">
        <v>45585</v>
      </c>
      <c r="G73" s="610">
        <f t="shared" si="1"/>
        <v>45585</v>
      </c>
      <c r="H73" s="611" t="s">
        <v>950</v>
      </c>
      <c r="I73" s="611" t="s">
        <v>1092</v>
      </c>
      <c r="J73" s="608" t="s">
        <v>1083</v>
      </c>
      <c r="K73" s="611" t="s">
        <v>255</v>
      </c>
    </row>
    <row r="74" spans="1:11" s="613" customFormat="1" ht="15.5">
      <c r="A74" s="608">
        <v>70</v>
      </c>
      <c r="B74" s="608">
        <v>44</v>
      </c>
      <c r="C74" s="72" t="s">
        <v>570</v>
      </c>
      <c r="D74" s="614" t="str">
        <f>IFERROR(VLOOKUP(C74,Foundation!$C$5:$D$143,2,0),"")</f>
        <v>DA+6</v>
      </c>
      <c r="E74" s="1014" t="s">
        <v>403</v>
      </c>
      <c r="F74" s="615">
        <v>45585</v>
      </c>
      <c r="G74" s="610">
        <f t="shared" si="1"/>
        <v>45585</v>
      </c>
      <c r="H74" s="611" t="s">
        <v>950</v>
      </c>
      <c r="I74" s="611" t="s">
        <v>1092</v>
      </c>
      <c r="J74" s="608" t="s">
        <v>1083</v>
      </c>
      <c r="K74" s="611" t="s">
        <v>255</v>
      </c>
    </row>
    <row r="75" spans="1:11" s="613" customFormat="1" ht="15.5">
      <c r="A75" s="608">
        <v>71</v>
      </c>
      <c r="B75" s="608">
        <v>45</v>
      </c>
      <c r="C75" s="72" t="s">
        <v>571</v>
      </c>
      <c r="D75" s="614" t="str">
        <f>IFERROR(VLOOKUP(C75,Foundation!$C$5:$D$143,2,0),"")</f>
        <v>DA+6</v>
      </c>
      <c r="E75" s="1014" t="s">
        <v>403</v>
      </c>
      <c r="F75" s="615">
        <v>45585</v>
      </c>
      <c r="G75" s="610">
        <f t="shared" si="1"/>
        <v>45585</v>
      </c>
      <c r="H75" s="611" t="s">
        <v>950</v>
      </c>
      <c r="I75" s="611" t="s">
        <v>1092</v>
      </c>
      <c r="J75" s="608" t="s">
        <v>1083</v>
      </c>
      <c r="K75" s="611" t="s">
        <v>255</v>
      </c>
    </row>
    <row r="76" spans="1:11" s="613" customFormat="1" ht="15.5">
      <c r="A76" s="608">
        <v>72</v>
      </c>
      <c r="B76" s="608">
        <v>46</v>
      </c>
      <c r="C76" s="72" t="s">
        <v>576</v>
      </c>
      <c r="D76" s="614" t="str">
        <f>IFERROR(VLOOKUP(C76,Foundation!$C$5:$D$143,2,0),"")</f>
        <v>DA+9</v>
      </c>
      <c r="E76" s="1014" t="s">
        <v>403</v>
      </c>
      <c r="F76" s="615">
        <v>45587</v>
      </c>
      <c r="G76" s="610">
        <f t="shared" si="1"/>
        <v>45587</v>
      </c>
      <c r="H76" s="611" t="s">
        <v>950</v>
      </c>
      <c r="I76" s="611" t="s">
        <v>1092</v>
      </c>
      <c r="J76" s="608" t="s">
        <v>1083</v>
      </c>
      <c r="K76" s="611" t="s">
        <v>255</v>
      </c>
    </row>
    <row r="77" spans="1:11" s="613" customFormat="1" ht="15.5">
      <c r="A77" s="608">
        <v>73</v>
      </c>
      <c r="B77" s="608">
        <v>47</v>
      </c>
      <c r="C77" s="72" t="s">
        <v>577</v>
      </c>
      <c r="D77" s="614" t="str">
        <f>IFERROR(VLOOKUP(C77,Foundation!$C$5:$D$143,2,0),"")</f>
        <v>DA+1.5</v>
      </c>
      <c r="E77" s="1014" t="s">
        <v>403</v>
      </c>
      <c r="F77" s="615">
        <v>45587</v>
      </c>
      <c r="G77" s="610">
        <f t="shared" si="1"/>
        <v>45587</v>
      </c>
      <c r="H77" s="611" t="s">
        <v>950</v>
      </c>
      <c r="I77" s="611" t="s">
        <v>1092</v>
      </c>
      <c r="J77" s="608" t="s">
        <v>1083</v>
      </c>
      <c r="K77" s="611" t="s">
        <v>255</v>
      </c>
    </row>
    <row r="78" spans="1:11" s="613" customFormat="1" ht="15.5">
      <c r="A78" s="608">
        <v>74</v>
      </c>
      <c r="B78" s="608">
        <v>48</v>
      </c>
      <c r="C78" s="72" t="s">
        <v>579</v>
      </c>
      <c r="D78" s="614" t="str">
        <f>IFERROR(VLOOKUP(C78,Foundation!$C$5:$D$143,2,0),"")</f>
        <v>DA+9</v>
      </c>
      <c r="E78" s="1014" t="s">
        <v>403</v>
      </c>
      <c r="F78" s="615">
        <v>45587</v>
      </c>
      <c r="G78" s="610">
        <f t="shared" si="1"/>
        <v>45587</v>
      </c>
      <c r="H78" s="611" t="s">
        <v>950</v>
      </c>
      <c r="I78" s="611" t="s">
        <v>1092</v>
      </c>
      <c r="J78" s="608" t="s">
        <v>1083</v>
      </c>
      <c r="K78" s="611" t="s">
        <v>255</v>
      </c>
    </row>
    <row r="79" spans="1:11" s="613" customFormat="1" ht="15.5">
      <c r="A79" s="608">
        <v>75</v>
      </c>
      <c r="B79" s="608">
        <v>49</v>
      </c>
      <c r="C79" s="72" t="s">
        <v>580</v>
      </c>
      <c r="D79" s="614" t="str">
        <f>IFERROR(VLOOKUP(C79,Foundation!$C$5:$D$143,2,0),"")</f>
        <v>DA+3</v>
      </c>
      <c r="E79" s="1014" t="s">
        <v>403</v>
      </c>
      <c r="F79" s="615">
        <v>45588</v>
      </c>
      <c r="G79" s="610">
        <f t="shared" si="1"/>
        <v>45588</v>
      </c>
      <c r="H79" s="611" t="s">
        <v>950</v>
      </c>
      <c r="I79" s="611" t="s">
        <v>1092</v>
      </c>
      <c r="J79" s="608" t="s">
        <v>1083</v>
      </c>
      <c r="K79" s="611" t="s">
        <v>255</v>
      </c>
    </row>
    <row r="80" spans="1:11" s="613" customFormat="1" ht="15.5">
      <c r="A80" s="608">
        <v>76</v>
      </c>
      <c r="B80" s="608">
        <v>50</v>
      </c>
      <c r="C80" s="72" t="s">
        <v>581</v>
      </c>
      <c r="D80" s="614" t="str">
        <f>IFERROR(VLOOKUP(C80,Foundation!$C$5:$D$143,2,0),"")</f>
        <v>DA+0</v>
      </c>
      <c r="E80" s="1014" t="s">
        <v>403</v>
      </c>
      <c r="F80" s="615">
        <v>45588</v>
      </c>
      <c r="G80" s="610">
        <f t="shared" si="1"/>
        <v>45588</v>
      </c>
      <c r="H80" s="611" t="s">
        <v>950</v>
      </c>
      <c r="I80" s="611" t="s">
        <v>1092</v>
      </c>
      <c r="J80" s="608" t="s">
        <v>1083</v>
      </c>
      <c r="K80" s="611" t="s">
        <v>255</v>
      </c>
    </row>
    <row r="81" spans="1:11" s="613" customFormat="1" ht="15.5">
      <c r="A81" s="608">
        <v>77</v>
      </c>
      <c r="B81" s="608">
        <v>51</v>
      </c>
      <c r="C81" s="72" t="s">
        <v>583</v>
      </c>
      <c r="D81" s="614" t="str">
        <f>IFERROR(VLOOKUP(C81,Foundation!$C$5:$D$143,2,0),"")</f>
        <v>DA+1.5</v>
      </c>
      <c r="E81" s="1014" t="s">
        <v>403</v>
      </c>
      <c r="F81" s="615">
        <v>45588</v>
      </c>
      <c r="G81" s="610">
        <f t="shared" si="1"/>
        <v>45588</v>
      </c>
      <c r="H81" s="611" t="s">
        <v>950</v>
      </c>
      <c r="I81" s="611" t="s">
        <v>1092</v>
      </c>
      <c r="J81" s="608" t="s">
        <v>1083</v>
      </c>
      <c r="K81" s="611" t="s">
        <v>255</v>
      </c>
    </row>
    <row r="82" spans="1:11" s="613" customFormat="1" ht="15.5">
      <c r="A82" s="608">
        <v>78</v>
      </c>
      <c r="B82" s="608">
        <v>52</v>
      </c>
      <c r="C82" s="72" t="s">
        <v>585</v>
      </c>
      <c r="D82" s="614" t="str">
        <f>IFERROR(VLOOKUP(C82,Foundation!$C$5:$D$143,2,0),"")</f>
        <v>DA+1.5</v>
      </c>
      <c r="E82" s="1014" t="s">
        <v>403</v>
      </c>
      <c r="F82" s="615">
        <v>45588</v>
      </c>
      <c r="G82" s="610">
        <f t="shared" si="1"/>
        <v>45588</v>
      </c>
      <c r="H82" s="611" t="s">
        <v>950</v>
      </c>
      <c r="I82" s="611" t="s">
        <v>1092</v>
      </c>
      <c r="J82" s="608" t="s">
        <v>1083</v>
      </c>
      <c r="K82" s="611" t="s">
        <v>255</v>
      </c>
    </row>
    <row r="83" spans="1:11" s="613" customFormat="1" ht="15.5">
      <c r="A83" s="608">
        <v>79</v>
      </c>
      <c r="B83" s="608">
        <v>53</v>
      </c>
      <c r="C83" s="72" t="s">
        <v>586</v>
      </c>
      <c r="D83" s="614" t="str">
        <f>IFERROR(VLOOKUP(C83,Foundation!$C$5:$D$143,2,0),"")</f>
        <v>DA+3</v>
      </c>
      <c r="E83" s="1014" t="s">
        <v>403</v>
      </c>
      <c r="F83" s="615">
        <v>45588</v>
      </c>
      <c r="G83" s="610">
        <f t="shared" si="1"/>
        <v>45588</v>
      </c>
      <c r="H83" s="611" t="s">
        <v>950</v>
      </c>
      <c r="I83" s="611" t="s">
        <v>1092</v>
      </c>
      <c r="J83" s="608" t="s">
        <v>1083</v>
      </c>
      <c r="K83" s="611" t="s">
        <v>255</v>
      </c>
    </row>
    <row r="84" spans="1:11" s="613" customFormat="1" ht="15.5">
      <c r="A84" s="608">
        <v>80</v>
      </c>
      <c r="B84" s="608">
        <v>54</v>
      </c>
      <c r="C84" s="72" t="s">
        <v>588</v>
      </c>
      <c r="D84" s="614" t="str">
        <f>IFERROR(VLOOKUP(C84,Foundation!$C$5:$D$143,2,0),"")</f>
        <v>DA+6</v>
      </c>
      <c r="E84" s="1014" t="s">
        <v>403</v>
      </c>
      <c r="F84" s="615">
        <v>45588</v>
      </c>
      <c r="G84" s="610">
        <f t="shared" si="1"/>
        <v>45588</v>
      </c>
      <c r="H84" s="611" t="s">
        <v>950</v>
      </c>
      <c r="I84" s="611" t="s">
        <v>1092</v>
      </c>
      <c r="J84" s="608" t="s">
        <v>1083</v>
      </c>
      <c r="K84" s="611" t="s">
        <v>255</v>
      </c>
    </row>
    <row r="85" spans="1:11" s="613" customFormat="1" ht="15.5">
      <c r="A85" s="608">
        <v>81</v>
      </c>
      <c r="B85" s="608">
        <v>55</v>
      </c>
      <c r="C85" s="72" t="s">
        <v>592</v>
      </c>
      <c r="D85" s="614" t="str">
        <f>IFERROR(VLOOKUP(C85,Foundation!$C$5:$D$143,2,0),"")</f>
        <v>DA+9</v>
      </c>
      <c r="E85" s="1014" t="s">
        <v>403</v>
      </c>
      <c r="F85" s="615">
        <v>45589</v>
      </c>
      <c r="G85" s="610">
        <f t="shared" si="1"/>
        <v>45589</v>
      </c>
      <c r="H85" s="611" t="s">
        <v>950</v>
      </c>
      <c r="I85" s="611" t="s">
        <v>1092</v>
      </c>
      <c r="J85" s="608" t="s">
        <v>1083</v>
      </c>
      <c r="K85" s="611" t="s">
        <v>255</v>
      </c>
    </row>
    <row r="86" spans="1:11" s="613" customFormat="1" ht="15.5">
      <c r="A86" s="608">
        <v>82</v>
      </c>
      <c r="B86" s="608">
        <v>56</v>
      </c>
      <c r="C86" s="72" t="s">
        <v>593</v>
      </c>
      <c r="D86" s="614" t="str">
        <f>IFERROR(VLOOKUP(C86,Foundation!$C$5:$D$143,2,0),"")</f>
        <v>DA+6</v>
      </c>
      <c r="E86" s="1014" t="s">
        <v>403</v>
      </c>
      <c r="F86" s="615">
        <v>45589</v>
      </c>
      <c r="G86" s="610">
        <f t="shared" si="1"/>
        <v>45589</v>
      </c>
      <c r="H86" s="611" t="s">
        <v>950</v>
      </c>
      <c r="I86" s="611" t="s">
        <v>1092</v>
      </c>
      <c r="J86" s="608" t="s">
        <v>1083</v>
      </c>
      <c r="K86" s="611" t="s">
        <v>255</v>
      </c>
    </row>
    <row r="87" spans="1:11" s="613" customFormat="1" ht="15.5">
      <c r="A87" s="608">
        <v>83</v>
      </c>
      <c r="B87" s="608">
        <v>57</v>
      </c>
      <c r="C87" s="72" t="s">
        <v>594</v>
      </c>
      <c r="D87" s="614" t="str">
        <f>IFERROR(VLOOKUP(C87,Foundation!$C$5:$D$143,2,0),"")</f>
        <v>DA+3</v>
      </c>
      <c r="E87" s="1014" t="s">
        <v>403</v>
      </c>
      <c r="F87" s="615">
        <v>45589</v>
      </c>
      <c r="G87" s="610">
        <f t="shared" si="1"/>
        <v>45589</v>
      </c>
      <c r="H87" s="611" t="s">
        <v>950</v>
      </c>
      <c r="I87" s="611" t="s">
        <v>1092</v>
      </c>
      <c r="J87" s="608" t="s">
        <v>1083</v>
      </c>
      <c r="K87" s="611" t="s">
        <v>255</v>
      </c>
    </row>
    <row r="88" spans="1:11" s="613" customFormat="1" ht="15.5">
      <c r="A88" s="608">
        <v>84</v>
      </c>
      <c r="B88" s="608">
        <v>58</v>
      </c>
      <c r="C88" s="72" t="s">
        <v>874</v>
      </c>
      <c r="D88" s="614" t="str">
        <f>IFERROR(VLOOKUP(C88,Foundation!$C$5:$D$143,2,0),"")</f>
        <v>DA+9</v>
      </c>
      <c r="E88" s="1014" t="s">
        <v>403</v>
      </c>
      <c r="F88" s="615">
        <v>45589</v>
      </c>
      <c r="G88" s="610">
        <f t="shared" si="1"/>
        <v>45589</v>
      </c>
      <c r="H88" s="611" t="s">
        <v>950</v>
      </c>
      <c r="I88" s="611" t="s">
        <v>1092</v>
      </c>
      <c r="J88" s="608" t="s">
        <v>1083</v>
      </c>
      <c r="K88" s="611" t="s">
        <v>255</v>
      </c>
    </row>
    <row r="89" spans="1:11" s="613" customFormat="1" ht="15.5">
      <c r="A89" s="608">
        <v>85</v>
      </c>
      <c r="B89" s="608">
        <v>59</v>
      </c>
      <c r="C89" s="72" t="s">
        <v>1070</v>
      </c>
      <c r="D89" s="614" t="str">
        <f>IFERROR(VLOOKUP(C89,Foundation!$C$5:$D$143,2,0),"")</f>
        <v>DA+3</v>
      </c>
      <c r="E89" s="1014" t="s">
        <v>403</v>
      </c>
      <c r="F89" s="615">
        <v>45590</v>
      </c>
      <c r="G89" s="610">
        <f t="shared" ref="G89:G100" si="2">F89</f>
        <v>45590</v>
      </c>
      <c r="H89" s="611" t="s">
        <v>950</v>
      </c>
      <c r="I89" s="611" t="s">
        <v>1092</v>
      </c>
      <c r="J89" s="608" t="s">
        <v>1083</v>
      </c>
      <c r="K89" s="611" t="s">
        <v>255</v>
      </c>
    </row>
    <row r="90" spans="1:11" s="613" customFormat="1" ht="15.5">
      <c r="A90" s="608">
        <v>86</v>
      </c>
      <c r="B90" s="608">
        <v>60</v>
      </c>
      <c r="C90" s="72" t="s">
        <v>1071</v>
      </c>
      <c r="D90" s="614" t="str">
        <f>IFERROR(VLOOKUP(C90,Foundation!$C$5:$D$143,2,0),"")</f>
        <v>DA+9</v>
      </c>
      <c r="E90" s="1014" t="s">
        <v>403</v>
      </c>
      <c r="F90" s="615">
        <v>45590</v>
      </c>
      <c r="G90" s="610">
        <f t="shared" si="2"/>
        <v>45590</v>
      </c>
      <c r="H90" s="611" t="s">
        <v>950</v>
      </c>
      <c r="I90" s="611" t="s">
        <v>1092</v>
      </c>
      <c r="J90" s="608" t="s">
        <v>1083</v>
      </c>
      <c r="K90" s="611" t="s">
        <v>255</v>
      </c>
    </row>
    <row r="91" spans="1:11" s="613" customFormat="1" ht="15.5">
      <c r="A91" s="608">
        <v>87</v>
      </c>
      <c r="B91" s="608">
        <v>61</v>
      </c>
      <c r="C91" s="72" t="s">
        <v>601</v>
      </c>
      <c r="D91" s="614" t="str">
        <f>IFERROR(VLOOKUP(C91,Foundation!$C$5:$D$143,2,0),"")</f>
        <v>DA+3</v>
      </c>
      <c r="E91" s="1014" t="s">
        <v>403</v>
      </c>
      <c r="F91" s="615">
        <v>45590</v>
      </c>
      <c r="G91" s="610">
        <f t="shared" si="2"/>
        <v>45590</v>
      </c>
      <c r="H91" s="611" t="s">
        <v>950</v>
      </c>
      <c r="I91" s="611" t="s">
        <v>1092</v>
      </c>
      <c r="J91" s="608" t="s">
        <v>1083</v>
      </c>
      <c r="K91" s="611" t="s">
        <v>255</v>
      </c>
    </row>
    <row r="92" spans="1:11" s="613" customFormat="1" ht="15.5">
      <c r="A92" s="608">
        <v>88</v>
      </c>
      <c r="B92" s="608">
        <v>62</v>
      </c>
      <c r="C92" s="72" t="s">
        <v>602</v>
      </c>
      <c r="D92" s="614" t="str">
        <f>IFERROR(VLOOKUP(C92,Foundation!$C$5:$D$143,2,0),"")</f>
        <v>DA+3</v>
      </c>
      <c r="E92" s="1014" t="s">
        <v>403</v>
      </c>
      <c r="F92" s="615">
        <v>45590</v>
      </c>
      <c r="G92" s="610">
        <f t="shared" si="2"/>
        <v>45590</v>
      </c>
      <c r="H92" s="611" t="s">
        <v>950</v>
      </c>
      <c r="I92" s="611" t="s">
        <v>1092</v>
      </c>
      <c r="J92" s="608" t="s">
        <v>1083</v>
      </c>
      <c r="K92" s="611" t="s">
        <v>255</v>
      </c>
    </row>
    <row r="93" spans="1:11" s="613" customFormat="1" ht="15.5">
      <c r="A93" s="608">
        <v>89</v>
      </c>
      <c r="B93" s="608">
        <v>63</v>
      </c>
      <c r="C93" s="72" t="s">
        <v>603</v>
      </c>
      <c r="D93" s="614" t="str">
        <f>IFERROR(VLOOKUP(C93,Foundation!$C$5:$D$143,2,0),"")</f>
        <v>DA-1.5</v>
      </c>
      <c r="E93" s="1014" t="s">
        <v>403</v>
      </c>
      <c r="F93" s="615">
        <v>45590</v>
      </c>
      <c r="G93" s="610">
        <f t="shared" si="2"/>
        <v>45590</v>
      </c>
      <c r="H93" s="611" t="s">
        <v>950</v>
      </c>
      <c r="I93" s="611" t="s">
        <v>1092</v>
      </c>
      <c r="J93" s="608" t="s">
        <v>1083</v>
      </c>
      <c r="K93" s="611" t="s">
        <v>255</v>
      </c>
    </row>
    <row r="94" spans="1:11" s="613" customFormat="1" ht="15.5">
      <c r="A94" s="608">
        <v>90</v>
      </c>
      <c r="B94" s="608">
        <v>64</v>
      </c>
      <c r="C94" s="72" t="s">
        <v>899</v>
      </c>
      <c r="D94" s="614" t="str">
        <f>IFERROR(VLOOKUP(C94,Foundation!$C$5:$D$143,2,0),"")</f>
        <v>DA+6</v>
      </c>
      <c r="E94" s="1014" t="s">
        <v>403</v>
      </c>
      <c r="F94" s="615">
        <v>45591</v>
      </c>
      <c r="G94" s="610">
        <f t="shared" si="2"/>
        <v>45591</v>
      </c>
      <c r="H94" s="611" t="s">
        <v>950</v>
      </c>
      <c r="I94" s="611" t="s">
        <v>1092</v>
      </c>
      <c r="J94" s="608" t="s">
        <v>1083</v>
      </c>
      <c r="K94" s="611" t="s">
        <v>255</v>
      </c>
    </row>
    <row r="95" spans="1:11" s="613" customFormat="1" ht="15.5">
      <c r="A95" s="608">
        <v>91</v>
      </c>
      <c r="B95" s="608">
        <v>65</v>
      </c>
      <c r="C95" s="72" t="s">
        <v>902</v>
      </c>
      <c r="D95" s="614" t="str">
        <f>IFERROR(VLOOKUP(C95,Foundation!$C$5:$D$143,2,0),"")</f>
        <v>DA+3</v>
      </c>
      <c r="E95" s="1014" t="s">
        <v>403</v>
      </c>
      <c r="F95" s="615">
        <v>45591</v>
      </c>
      <c r="G95" s="610">
        <f t="shared" si="2"/>
        <v>45591</v>
      </c>
      <c r="H95" s="611" t="s">
        <v>950</v>
      </c>
      <c r="I95" s="611" t="s">
        <v>1092</v>
      </c>
      <c r="J95" s="608" t="s">
        <v>1083</v>
      </c>
      <c r="K95" s="611" t="s">
        <v>255</v>
      </c>
    </row>
    <row r="96" spans="1:11" s="613" customFormat="1" ht="15.5">
      <c r="A96" s="608">
        <v>92</v>
      </c>
      <c r="B96" s="608">
        <v>66</v>
      </c>
      <c r="C96" s="72" t="s">
        <v>450</v>
      </c>
      <c r="D96" s="614" t="str">
        <f>IFERROR(VLOOKUP(C96,Foundation!$C$5:$D$143,2,0),"")</f>
        <v>DA+4.5</v>
      </c>
      <c r="E96" s="1014" t="s">
        <v>403</v>
      </c>
      <c r="F96" s="615">
        <v>45591</v>
      </c>
      <c r="G96" s="610">
        <f t="shared" si="2"/>
        <v>45591</v>
      </c>
      <c r="H96" s="611" t="s">
        <v>950</v>
      </c>
      <c r="I96" s="611" t="s">
        <v>1092</v>
      </c>
      <c r="J96" s="608" t="s">
        <v>1083</v>
      </c>
      <c r="K96" s="611" t="s">
        <v>255</v>
      </c>
    </row>
    <row r="97" spans="1:11" s="613" customFormat="1" ht="15.5">
      <c r="A97" s="608">
        <v>93</v>
      </c>
      <c r="B97" s="608">
        <v>67</v>
      </c>
      <c r="C97" s="72" t="s">
        <v>578</v>
      </c>
      <c r="D97" s="614" t="str">
        <f>IFERROR(VLOOKUP(C97,Foundation!$C$5:$D$143,2,0),"")</f>
        <v>DA+6</v>
      </c>
      <c r="E97" s="1014" t="s">
        <v>403</v>
      </c>
      <c r="F97" s="615">
        <v>45591</v>
      </c>
      <c r="G97" s="610">
        <f t="shared" si="2"/>
        <v>45591</v>
      </c>
      <c r="H97" s="611" t="s">
        <v>950</v>
      </c>
      <c r="I97" s="611" t="s">
        <v>1092</v>
      </c>
      <c r="J97" s="608" t="s">
        <v>1083</v>
      </c>
      <c r="K97" s="611" t="s">
        <v>255</v>
      </c>
    </row>
    <row r="98" spans="1:11" s="613" customFormat="1" ht="15.5">
      <c r="A98" s="608">
        <v>94</v>
      </c>
      <c r="B98" s="608">
        <v>68</v>
      </c>
      <c r="C98" s="72" t="s">
        <v>258</v>
      </c>
      <c r="D98" s="614" t="str">
        <f>IFERROR(VLOOKUP(C98,Foundation!$C$5:$D$143,2,0),"")</f>
        <v>DB1+9</v>
      </c>
      <c r="E98" s="1014" t="s">
        <v>403</v>
      </c>
      <c r="F98" s="615" t="s">
        <v>1101</v>
      </c>
      <c r="G98" s="610" t="str">
        <f t="shared" si="2"/>
        <v>27/10/202</v>
      </c>
      <c r="H98" s="611" t="s">
        <v>950</v>
      </c>
      <c r="I98" s="611" t="s">
        <v>887</v>
      </c>
      <c r="J98" s="608" t="s">
        <v>1083</v>
      </c>
      <c r="K98" s="611" t="s">
        <v>255</v>
      </c>
    </row>
    <row r="99" spans="1:11" s="613" customFormat="1" ht="15.5">
      <c r="A99" s="608">
        <v>95</v>
      </c>
      <c r="B99" s="608">
        <v>69</v>
      </c>
      <c r="C99" s="72" t="s">
        <v>465</v>
      </c>
      <c r="D99" s="614" t="str">
        <f>IFERROR(VLOOKUP(C99,Foundation!$C$5:$D$143,2,0),"")</f>
        <v>DA+6</v>
      </c>
      <c r="E99" s="1014" t="s">
        <v>403</v>
      </c>
      <c r="F99" s="615">
        <v>45592</v>
      </c>
      <c r="G99" s="610">
        <f t="shared" si="2"/>
        <v>45592</v>
      </c>
      <c r="H99" s="611" t="s">
        <v>950</v>
      </c>
      <c r="I99" s="611" t="s">
        <v>887</v>
      </c>
      <c r="J99" s="608" t="s">
        <v>1083</v>
      </c>
      <c r="K99" s="611" t="s">
        <v>255</v>
      </c>
    </row>
    <row r="100" spans="1:11" s="308" customFormat="1" ht="15.5">
      <c r="A100" s="608">
        <v>96</v>
      </c>
      <c r="B100" s="62">
        <v>70</v>
      </c>
      <c r="C100" s="72" t="s">
        <v>890</v>
      </c>
      <c r="D100" s="614" t="str">
        <f>IFERROR(VLOOKUP(C100,Foundation!$C$5:$D$143,2,0),"")</f>
        <v>DB1+3</v>
      </c>
      <c r="E100" s="1014" t="s">
        <v>403</v>
      </c>
      <c r="F100" s="716">
        <v>45592</v>
      </c>
      <c r="G100" s="718">
        <f t="shared" si="2"/>
        <v>45592</v>
      </c>
      <c r="H100" s="61" t="s">
        <v>950</v>
      </c>
      <c r="I100" s="61" t="s">
        <v>887</v>
      </c>
      <c r="J100" s="62" t="s">
        <v>1083</v>
      </c>
      <c r="K100" s="611" t="s">
        <v>255</v>
      </c>
    </row>
    <row r="101" spans="1:11" s="308" customFormat="1" ht="15.5">
      <c r="A101" s="608">
        <v>97</v>
      </c>
      <c r="B101" s="62">
        <v>1</v>
      </c>
      <c r="C101" s="72" t="s">
        <v>13</v>
      </c>
      <c r="D101" s="614" t="str">
        <f>IFERROR(VLOOKUP(C101,Foundation!$C$5:$D$427,2,0),"")</f>
        <v>DC1+3</v>
      </c>
      <c r="E101" s="1014" t="s">
        <v>403</v>
      </c>
      <c r="F101" s="716">
        <v>45649</v>
      </c>
      <c r="G101" s="716">
        <v>45649</v>
      </c>
      <c r="H101" s="61" t="s">
        <v>1177</v>
      </c>
      <c r="I101" s="61" t="s">
        <v>887</v>
      </c>
      <c r="J101" s="62" t="s">
        <v>1178</v>
      </c>
      <c r="K101" s="611" t="s">
        <v>255</v>
      </c>
    </row>
    <row r="102" spans="1:11" s="308" customFormat="1" ht="15.5">
      <c r="A102" s="608">
        <v>98</v>
      </c>
      <c r="B102" s="62">
        <v>2</v>
      </c>
      <c r="C102" s="72" t="s">
        <v>192</v>
      </c>
      <c r="D102" s="614" t="str">
        <f>IFERROR(VLOOKUP(C102,Foundation!$C$5:$D$427,2,0),"")</f>
        <v>DA+3</v>
      </c>
      <c r="E102" s="1014" t="s">
        <v>403</v>
      </c>
      <c r="F102" s="716">
        <v>45650</v>
      </c>
      <c r="G102" s="716">
        <v>45650</v>
      </c>
      <c r="H102" s="61" t="s">
        <v>1177</v>
      </c>
      <c r="I102" s="61" t="s">
        <v>887</v>
      </c>
      <c r="J102" s="62" t="s">
        <v>1178</v>
      </c>
      <c r="K102" s="611" t="s">
        <v>255</v>
      </c>
    </row>
    <row r="103" spans="1:11" s="308" customFormat="1" ht="15.5">
      <c r="A103" s="608">
        <v>99</v>
      </c>
      <c r="B103" s="62">
        <v>3</v>
      </c>
      <c r="C103" s="72" t="s">
        <v>193</v>
      </c>
      <c r="D103" s="614" t="str">
        <f>IFERROR(VLOOKUP(C103,Foundation!$C$5:$D$427,2,0),"")</f>
        <v>DA+1.5</v>
      </c>
      <c r="E103" s="1014" t="s">
        <v>403</v>
      </c>
      <c r="F103" s="716">
        <v>45650</v>
      </c>
      <c r="G103" s="716">
        <v>45650</v>
      </c>
      <c r="H103" s="61" t="s">
        <v>1177</v>
      </c>
      <c r="I103" s="61" t="s">
        <v>887</v>
      </c>
      <c r="J103" s="62" t="s">
        <v>1178</v>
      </c>
      <c r="K103" s="611" t="s">
        <v>255</v>
      </c>
    </row>
    <row r="104" spans="1:11" s="308" customFormat="1" ht="15.5">
      <c r="A104" s="608">
        <v>100</v>
      </c>
      <c r="B104" s="62">
        <v>4</v>
      </c>
      <c r="C104" s="72" t="s">
        <v>254</v>
      </c>
      <c r="D104" s="614" t="str">
        <f>IFERROR(VLOOKUP(C104,Foundation!$C$5:$D$427,2,0),"")</f>
        <v>DA+6</v>
      </c>
      <c r="E104" s="1014" t="s">
        <v>403</v>
      </c>
      <c r="F104" s="716">
        <v>45650</v>
      </c>
      <c r="G104" s="716">
        <v>45650</v>
      </c>
      <c r="H104" s="61" t="s">
        <v>1177</v>
      </c>
      <c r="I104" s="61" t="s">
        <v>887</v>
      </c>
      <c r="J104" s="62" t="s">
        <v>1178</v>
      </c>
      <c r="K104" s="611" t="s">
        <v>255</v>
      </c>
    </row>
    <row r="105" spans="1:11" s="308" customFormat="1" ht="15.5">
      <c r="A105" s="608">
        <v>101</v>
      </c>
      <c r="B105" s="62">
        <v>5</v>
      </c>
      <c r="C105" s="719" t="s">
        <v>253</v>
      </c>
      <c r="D105" s="614" t="str">
        <f>IFERROR(VLOOKUP(C105,Foundation!$C$5:$D$427,2,0),"")</f>
        <v>DA-3</v>
      </c>
      <c r="E105" s="1014" t="s">
        <v>403</v>
      </c>
      <c r="F105" s="716">
        <v>45651</v>
      </c>
      <c r="G105" s="716">
        <v>45651</v>
      </c>
      <c r="H105" s="61" t="s">
        <v>1177</v>
      </c>
      <c r="I105" s="61" t="s">
        <v>887</v>
      </c>
      <c r="J105" s="62" t="s">
        <v>1178</v>
      </c>
      <c r="K105" s="611" t="s">
        <v>255</v>
      </c>
    </row>
    <row r="106" spans="1:11" s="308" customFormat="1" ht="15.5">
      <c r="A106" s="608">
        <v>102</v>
      </c>
      <c r="B106" s="62">
        <v>6</v>
      </c>
      <c r="C106" s="72" t="s">
        <v>252</v>
      </c>
      <c r="D106" s="614" t="str">
        <f>IFERROR(VLOOKUP(C106,Foundation!$C$5:$D$427,2,0),"")</f>
        <v>DA+0</v>
      </c>
      <c r="E106" s="1014" t="s">
        <v>403</v>
      </c>
      <c r="F106" s="716">
        <v>45651</v>
      </c>
      <c r="G106" s="716">
        <v>45651</v>
      </c>
      <c r="H106" s="61" t="s">
        <v>1177</v>
      </c>
      <c r="I106" s="61" t="s">
        <v>887</v>
      </c>
      <c r="J106" s="62" t="s">
        <v>1178</v>
      </c>
      <c r="K106" s="611" t="s">
        <v>255</v>
      </c>
    </row>
    <row r="107" spans="1:11" s="308" customFormat="1" ht="15.5">
      <c r="A107" s="608">
        <v>103</v>
      </c>
      <c r="B107" s="62">
        <v>7</v>
      </c>
      <c r="C107" s="72" t="s">
        <v>51</v>
      </c>
      <c r="D107" s="614" t="str">
        <f>IFERROR(VLOOKUP(C107,Foundation!$C$5:$D$427,2,0),"")</f>
        <v>DB2+6</v>
      </c>
      <c r="E107" s="1014" t="s">
        <v>403</v>
      </c>
      <c r="F107" s="716">
        <v>45651</v>
      </c>
      <c r="G107" s="716">
        <v>45651</v>
      </c>
      <c r="H107" s="61" t="s">
        <v>1177</v>
      </c>
      <c r="I107" s="61" t="s">
        <v>887</v>
      </c>
      <c r="J107" s="62" t="s">
        <v>1178</v>
      </c>
      <c r="K107" s="611" t="s">
        <v>255</v>
      </c>
    </row>
    <row r="108" spans="1:11" s="308" customFormat="1" ht="15.5">
      <c r="A108" s="608">
        <v>104</v>
      </c>
      <c r="B108" s="62">
        <v>8</v>
      </c>
      <c r="C108" s="72" t="s">
        <v>607</v>
      </c>
      <c r="D108" s="614" t="str">
        <f>IFERROR(VLOOKUP(C108,Foundation!$C$5:$D$427,2,0),"")</f>
        <v>DA+0</v>
      </c>
      <c r="E108" s="1014" t="s">
        <v>403</v>
      </c>
      <c r="F108" s="716">
        <v>45652</v>
      </c>
      <c r="G108" s="716">
        <v>45652</v>
      </c>
      <c r="H108" s="61" t="s">
        <v>1177</v>
      </c>
      <c r="I108" s="61" t="s">
        <v>1182</v>
      </c>
      <c r="J108" s="62" t="s">
        <v>1178</v>
      </c>
      <c r="K108" s="611" t="s">
        <v>255</v>
      </c>
    </row>
    <row r="109" spans="1:11" s="308" customFormat="1" ht="15.5">
      <c r="A109" s="608">
        <v>105</v>
      </c>
      <c r="B109" s="62">
        <v>9</v>
      </c>
      <c r="C109" s="72" t="s">
        <v>608</v>
      </c>
      <c r="D109" s="614" t="str">
        <f>IFERROR(VLOOKUP(C109,Foundation!$C$5:$D$427,2,0),"")</f>
        <v>DA+0</v>
      </c>
      <c r="E109" s="1014" t="s">
        <v>403</v>
      </c>
      <c r="F109" s="716">
        <v>45652</v>
      </c>
      <c r="G109" s="716">
        <v>45652</v>
      </c>
      <c r="H109" s="61" t="s">
        <v>1177</v>
      </c>
      <c r="I109" s="61" t="s">
        <v>1182</v>
      </c>
      <c r="J109" s="62" t="s">
        <v>1178</v>
      </c>
      <c r="K109" s="611" t="s">
        <v>255</v>
      </c>
    </row>
    <row r="110" spans="1:11" s="308" customFormat="1" ht="15.5">
      <c r="A110" s="608">
        <v>106</v>
      </c>
      <c r="B110" s="62">
        <v>10</v>
      </c>
      <c r="C110" s="72" t="s">
        <v>611</v>
      </c>
      <c r="D110" s="614" t="str">
        <f>IFERROR(VLOOKUP(C110,Foundation!$C$5:$D$427,2,0),"")</f>
        <v>DA+3</v>
      </c>
      <c r="E110" s="1014" t="s">
        <v>403</v>
      </c>
      <c r="F110" s="716">
        <v>45652</v>
      </c>
      <c r="G110" s="716">
        <v>45652</v>
      </c>
      <c r="H110" s="61" t="s">
        <v>1177</v>
      </c>
      <c r="I110" s="61" t="s">
        <v>1182</v>
      </c>
      <c r="J110" s="62" t="s">
        <v>1178</v>
      </c>
      <c r="K110" s="611" t="s">
        <v>255</v>
      </c>
    </row>
    <row r="111" spans="1:11" s="308" customFormat="1" ht="15.5">
      <c r="A111" s="608">
        <v>107</v>
      </c>
      <c r="B111" s="62">
        <v>11</v>
      </c>
      <c r="C111" s="72" t="s">
        <v>612</v>
      </c>
      <c r="D111" s="614" t="str">
        <f>IFERROR(VLOOKUP(C111,Foundation!$C$5:$D$427,2,0),"")</f>
        <v>DA+6</v>
      </c>
      <c r="E111" s="1014" t="s">
        <v>403</v>
      </c>
      <c r="F111" s="716">
        <v>45652</v>
      </c>
      <c r="G111" s="716">
        <v>45652</v>
      </c>
      <c r="H111" s="61" t="s">
        <v>1177</v>
      </c>
      <c r="I111" s="61" t="s">
        <v>1182</v>
      </c>
      <c r="J111" s="62" t="s">
        <v>1178</v>
      </c>
      <c r="K111" s="611" t="s">
        <v>255</v>
      </c>
    </row>
    <row r="112" spans="1:11" s="308" customFormat="1" ht="15.5">
      <c r="A112" s="608">
        <v>108</v>
      </c>
      <c r="B112" s="62">
        <v>12</v>
      </c>
      <c r="C112" s="72" t="s">
        <v>613</v>
      </c>
      <c r="D112" s="614" t="str">
        <f>IFERROR(VLOOKUP(C112,Foundation!$C$5:$D$427,2,0),"")</f>
        <v>DA+9</v>
      </c>
      <c r="E112" s="1014" t="s">
        <v>403</v>
      </c>
      <c r="F112" s="716">
        <v>45653</v>
      </c>
      <c r="G112" s="716">
        <v>45653</v>
      </c>
      <c r="H112" s="61" t="s">
        <v>1177</v>
      </c>
      <c r="I112" s="61" t="s">
        <v>1182</v>
      </c>
      <c r="J112" s="62" t="s">
        <v>1178</v>
      </c>
      <c r="K112" s="611" t="s">
        <v>255</v>
      </c>
    </row>
    <row r="113" spans="1:11" s="308" customFormat="1" ht="15.5">
      <c r="A113" s="608">
        <v>109</v>
      </c>
      <c r="B113" s="62">
        <v>13</v>
      </c>
      <c r="C113" s="72" t="s">
        <v>614</v>
      </c>
      <c r="D113" s="614" t="str">
        <f>IFERROR(VLOOKUP(C113,Foundation!$C$5:$D$427,2,0),"")</f>
        <v>DA+1.5</v>
      </c>
      <c r="E113" s="1014" t="s">
        <v>403</v>
      </c>
      <c r="F113" s="716">
        <v>45653</v>
      </c>
      <c r="G113" s="716">
        <v>45653</v>
      </c>
      <c r="H113" s="61" t="s">
        <v>1177</v>
      </c>
      <c r="I113" s="61" t="s">
        <v>1182</v>
      </c>
      <c r="J113" s="62" t="s">
        <v>1178</v>
      </c>
      <c r="K113" s="611" t="s">
        <v>255</v>
      </c>
    </row>
    <row r="114" spans="1:11" s="308" customFormat="1" ht="15.5">
      <c r="A114" s="608">
        <v>110</v>
      </c>
      <c r="B114" s="62">
        <v>14</v>
      </c>
      <c r="C114" s="72" t="s">
        <v>615</v>
      </c>
      <c r="D114" s="614" t="str">
        <f>IFERROR(VLOOKUP(C114,Foundation!$C$5:$D$427,2,0),"")</f>
        <v>DA+0</v>
      </c>
      <c r="E114" s="1014" t="s">
        <v>403</v>
      </c>
      <c r="F114" s="716">
        <v>45653</v>
      </c>
      <c r="G114" s="716">
        <v>45653</v>
      </c>
      <c r="H114" s="61" t="s">
        <v>1177</v>
      </c>
      <c r="I114" s="61" t="s">
        <v>1182</v>
      </c>
      <c r="J114" s="62" t="s">
        <v>1178</v>
      </c>
      <c r="K114" s="611" t="s">
        <v>255</v>
      </c>
    </row>
    <row r="115" spans="1:11" s="308" customFormat="1" ht="15.5">
      <c r="A115" s="608">
        <v>111</v>
      </c>
      <c r="B115" s="62">
        <v>15</v>
      </c>
      <c r="C115" s="72" t="s">
        <v>616</v>
      </c>
      <c r="D115" s="614" t="str">
        <f>IFERROR(VLOOKUP(C115,Foundation!$C$5:$D$427,2,0),"")</f>
        <v>DA+3</v>
      </c>
      <c r="E115" s="1014" t="s">
        <v>403</v>
      </c>
      <c r="F115" s="716">
        <v>45653</v>
      </c>
      <c r="G115" s="716">
        <v>45653</v>
      </c>
      <c r="H115" s="61" t="s">
        <v>1177</v>
      </c>
      <c r="I115" s="61" t="s">
        <v>1182</v>
      </c>
      <c r="J115" s="62" t="s">
        <v>1178</v>
      </c>
      <c r="K115" s="611" t="s">
        <v>255</v>
      </c>
    </row>
    <row r="116" spans="1:11" s="308" customFormat="1" ht="15.5">
      <c r="A116" s="608">
        <v>112</v>
      </c>
      <c r="B116" s="62">
        <v>16</v>
      </c>
      <c r="C116" s="72" t="s">
        <v>73</v>
      </c>
      <c r="D116" s="614" t="str">
        <f>IFERROR(VLOOKUP(C116,Foundation!$C$5:$D$427,2,0),"")</f>
        <v>DB2+0</v>
      </c>
      <c r="E116" s="1014" t="s">
        <v>403</v>
      </c>
      <c r="F116" s="716">
        <v>45654</v>
      </c>
      <c r="G116" s="716">
        <v>45654</v>
      </c>
      <c r="H116" s="61" t="s">
        <v>1177</v>
      </c>
      <c r="I116" s="61" t="s">
        <v>1182</v>
      </c>
      <c r="J116" s="62" t="s">
        <v>1178</v>
      </c>
      <c r="K116" s="611" t="s">
        <v>255</v>
      </c>
    </row>
    <row r="117" spans="1:11" s="308" customFormat="1" ht="15.5">
      <c r="A117" s="608">
        <v>113</v>
      </c>
      <c r="B117" s="62">
        <v>17</v>
      </c>
      <c r="C117" s="72" t="s">
        <v>618</v>
      </c>
      <c r="D117" s="614" t="str">
        <f>IFERROR(VLOOKUP(C117,Foundation!$C$5:$D$427,2,0),"")</f>
        <v>DA-1.5</v>
      </c>
      <c r="E117" s="1014" t="s">
        <v>403</v>
      </c>
      <c r="F117" s="716">
        <v>45654</v>
      </c>
      <c r="G117" s="716">
        <v>45654</v>
      </c>
      <c r="H117" s="61" t="s">
        <v>1177</v>
      </c>
      <c r="I117" s="61" t="s">
        <v>1182</v>
      </c>
      <c r="J117" s="62" t="s">
        <v>1178</v>
      </c>
      <c r="K117" s="611" t="s">
        <v>255</v>
      </c>
    </row>
    <row r="118" spans="1:11" s="308" customFormat="1" ht="15.5">
      <c r="A118" s="608">
        <v>114</v>
      </c>
      <c r="B118" s="62">
        <v>18</v>
      </c>
      <c r="C118" s="72" t="s">
        <v>619</v>
      </c>
      <c r="D118" s="614" t="str">
        <f>IFERROR(VLOOKUP(C118,Foundation!$C$5:$D$427,2,0),"")</f>
        <v>DA+3</v>
      </c>
      <c r="E118" s="1014" t="s">
        <v>403</v>
      </c>
      <c r="F118" s="716">
        <v>45654</v>
      </c>
      <c r="G118" s="716">
        <v>45654</v>
      </c>
      <c r="H118" s="61" t="s">
        <v>1177</v>
      </c>
      <c r="I118" s="61" t="s">
        <v>1182</v>
      </c>
      <c r="J118" s="62" t="s">
        <v>1178</v>
      </c>
      <c r="K118" s="611" t="s">
        <v>255</v>
      </c>
    </row>
    <row r="119" spans="1:11" s="308" customFormat="1" ht="15.5">
      <c r="A119" s="608">
        <v>115</v>
      </c>
      <c r="B119" s="62">
        <v>19</v>
      </c>
      <c r="C119" s="72" t="s">
        <v>261</v>
      </c>
      <c r="D119" s="614" t="str">
        <f>IFERROR(VLOOKUP(C119,Foundation!$C$5:$D$427,2,0),"")</f>
        <v>DB2+0</v>
      </c>
      <c r="E119" s="1014" t="s">
        <v>403</v>
      </c>
      <c r="F119" s="716">
        <v>45655</v>
      </c>
      <c r="G119" s="716">
        <v>45655</v>
      </c>
      <c r="H119" s="61" t="s">
        <v>950</v>
      </c>
      <c r="I119" s="61" t="s">
        <v>887</v>
      </c>
      <c r="J119" s="62" t="s">
        <v>1178</v>
      </c>
      <c r="K119" s="611" t="s">
        <v>255</v>
      </c>
    </row>
    <row r="120" spans="1:11" s="308" customFormat="1" ht="15.5">
      <c r="A120" s="608">
        <v>116</v>
      </c>
      <c r="B120" s="62">
        <v>20</v>
      </c>
      <c r="C120" s="72" t="s">
        <v>477</v>
      </c>
      <c r="D120" s="614" t="str">
        <f>IFERROR(VLOOKUP(C120,Foundation!$C$5:$D$427,2,0),"")</f>
        <v>DA+6</v>
      </c>
      <c r="E120" s="1014" t="s">
        <v>403</v>
      </c>
      <c r="F120" s="716">
        <v>45655</v>
      </c>
      <c r="G120" s="716">
        <v>45655</v>
      </c>
      <c r="H120" s="61" t="s">
        <v>950</v>
      </c>
      <c r="I120" s="61" t="s">
        <v>887</v>
      </c>
      <c r="J120" s="62" t="s">
        <v>1178</v>
      </c>
      <c r="K120" s="611" t="s">
        <v>255</v>
      </c>
    </row>
    <row r="121" spans="1:11" s="308" customFormat="1" ht="15.5">
      <c r="A121" s="608">
        <v>117</v>
      </c>
      <c r="B121" s="62">
        <v>21</v>
      </c>
      <c r="C121" s="72" t="s">
        <v>479</v>
      </c>
      <c r="D121" s="614" t="str">
        <f>IFERROR(VLOOKUP(C121,Foundation!$C$5:$D$427,2,0),"")</f>
        <v>DA+6</v>
      </c>
      <c r="E121" s="1014" t="s">
        <v>403</v>
      </c>
      <c r="F121" s="716">
        <v>45655</v>
      </c>
      <c r="G121" s="716">
        <v>45655</v>
      </c>
      <c r="H121" s="61" t="s">
        <v>950</v>
      </c>
      <c r="I121" s="61" t="s">
        <v>887</v>
      </c>
      <c r="J121" s="62" t="s">
        <v>1178</v>
      </c>
      <c r="K121" s="611" t="s">
        <v>255</v>
      </c>
    </row>
    <row r="122" spans="1:11" s="308" customFormat="1" ht="15.5">
      <c r="A122" s="608">
        <v>118</v>
      </c>
      <c r="B122" s="62">
        <v>22</v>
      </c>
      <c r="C122" s="72" t="s">
        <v>480</v>
      </c>
      <c r="D122" s="614" t="str">
        <f>IFERROR(VLOOKUP(C122,Foundation!$C$5:$D$427,2,0),"")</f>
        <v>DA+6</v>
      </c>
      <c r="E122" s="1014" t="s">
        <v>403</v>
      </c>
      <c r="F122" s="716">
        <v>45655</v>
      </c>
      <c r="G122" s="716">
        <v>45655</v>
      </c>
      <c r="H122" s="61" t="s">
        <v>950</v>
      </c>
      <c r="I122" s="61" t="s">
        <v>887</v>
      </c>
      <c r="J122" s="62" t="s">
        <v>1178</v>
      </c>
      <c r="K122" s="611" t="s">
        <v>255</v>
      </c>
    </row>
    <row r="123" spans="1:11" s="308" customFormat="1" ht="15.5">
      <c r="A123" s="608">
        <v>119</v>
      </c>
      <c r="B123" s="62">
        <v>23</v>
      </c>
      <c r="C123" s="72" t="s">
        <v>390</v>
      </c>
      <c r="D123" s="614" t="str">
        <f>IFERROR(VLOOKUP(C123,Foundation!$C$5:$D$427,2,0),"")</f>
        <v>DA-3</v>
      </c>
      <c r="E123" s="1014" t="s">
        <v>403</v>
      </c>
      <c r="F123" s="716">
        <v>45655</v>
      </c>
      <c r="G123" s="716">
        <v>45655</v>
      </c>
      <c r="H123" s="61" t="s">
        <v>950</v>
      </c>
      <c r="I123" s="61" t="s">
        <v>887</v>
      </c>
      <c r="J123" s="62" t="s">
        <v>1178</v>
      </c>
      <c r="K123" s="611" t="s">
        <v>255</v>
      </c>
    </row>
    <row r="124" spans="1:11" s="308" customFormat="1" ht="15.5">
      <c r="A124" s="608">
        <v>120</v>
      </c>
      <c r="B124" s="62">
        <v>24</v>
      </c>
      <c r="C124" s="72" t="s">
        <v>391</v>
      </c>
      <c r="D124" s="614" t="str">
        <f>IFERROR(VLOOKUP(C124,Foundation!$C$5:$D$427,2,0),"")</f>
        <v>DA+6</v>
      </c>
      <c r="E124" s="1014" t="s">
        <v>403</v>
      </c>
      <c r="F124" s="716">
        <v>45655</v>
      </c>
      <c r="G124" s="716">
        <v>45655</v>
      </c>
      <c r="H124" s="61" t="s">
        <v>950</v>
      </c>
      <c r="I124" s="61" t="s">
        <v>887</v>
      </c>
      <c r="J124" s="62" t="s">
        <v>1178</v>
      </c>
      <c r="K124" s="611" t="s">
        <v>255</v>
      </c>
    </row>
    <row r="125" spans="1:11" s="308" customFormat="1" ht="15.5">
      <c r="A125" s="608">
        <v>121</v>
      </c>
      <c r="B125" s="62">
        <v>25</v>
      </c>
      <c r="C125" s="72" t="s">
        <v>404</v>
      </c>
      <c r="D125" s="614" t="str">
        <f>IFERROR(VLOOKUP(C125,Foundation!$C$5:$D$427,2,0),"")</f>
        <v>DA+3</v>
      </c>
      <c r="E125" s="1014" t="s">
        <v>403</v>
      </c>
      <c r="F125" s="716">
        <v>45657</v>
      </c>
      <c r="G125" s="716">
        <v>45657</v>
      </c>
      <c r="H125" s="61" t="s">
        <v>950</v>
      </c>
      <c r="I125" s="61" t="s">
        <v>887</v>
      </c>
      <c r="J125" s="62" t="s">
        <v>1178</v>
      </c>
      <c r="K125" s="611" t="s">
        <v>255</v>
      </c>
    </row>
    <row r="126" spans="1:11" s="308" customFormat="1" ht="15.5">
      <c r="A126" s="608">
        <v>122</v>
      </c>
      <c r="B126" s="62">
        <v>26</v>
      </c>
      <c r="C126" s="72" t="s">
        <v>369</v>
      </c>
      <c r="D126" s="614" t="str">
        <f>IFERROR(VLOOKUP(C126,Foundation!$C$5:$D$427,2,0),"")</f>
        <v>DA+3</v>
      </c>
      <c r="E126" s="1014" t="s">
        <v>403</v>
      </c>
      <c r="F126" s="716">
        <v>45657</v>
      </c>
      <c r="G126" s="716">
        <v>45657</v>
      </c>
      <c r="H126" s="61" t="s">
        <v>950</v>
      </c>
      <c r="I126" s="61" t="s">
        <v>887</v>
      </c>
      <c r="J126" s="62" t="s">
        <v>1178</v>
      </c>
      <c r="K126" s="611" t="s">
        <v>255</v>
      </c>
    </row>
    <row r="127" spans="1:11" s="308" customFormat="1" ht="15.5">
      <c r="A127" s="608">
        <v>123</v>
      </c>
      <c r="B127" s="62">
        <v>27</v>
      </c>
      <c r="C127" s="72" t="s">
        <v>409</v>
      </c>
      <c r="D127" s="614" t="str">
        <f>IFERROR(VLOOKUP(C127,Foundation!$C$5:$D$427,2,0),"")</f>
        <v>DA+3</v>
      </c>
      <c r="E127" s="1014" t="s">
        <v>403</v>
      </c>
      <c r="F127" s="716">
        <v>45657</v>
      </c>
      <c r="G127" s="716">
        <v>45657</v>
      </c>
      <c r="H127" s="61" t="s">
        <v>950</v>
      </c>
      <c r="I127" s="61" t="s">
        <v>887</v>
      </c>
      <c r="J127" s="62" t="s">
        <v>1178</v>
      </c>
      <c r="K127" s="611" t="s">
        <v>255</v>
      </c>
    </row>
    <row r="128" spans="1:11" s="308" customFormat="1" ht="15.5">
      <c r="A128" s="608">
        <v>124</v>
      </c>
      <c r="B128" s="62">
        <v>28</v>
      </c>
      <c r="C128" s="72" t="s">
        <v>410</v>
      </c>
      <c r="D128" s="614" t="str">
        <f>IFERROR(VLOOKUP(C128,Foundation!$C$5:$D$427,2,0),"")</f>
        <v>DA+3</v>
      </c>
      <c r="E128" s="1014" t="s">
        <v>403</v>
      </c>
      <c r="F128" s="716">
        <v>45657</v>
      </c>
      <c r="G128" s="716">
        <v>45657</v>
      </c>
      <c r="H128" s="61" t="s">
        <v>950</v>
      </c>
      <c r="I128" s="61" t="s">
        <v>887</v>
      </c>
      <c r="J128" s="62" t="s">
        <v>1178</v>
      </c>
      <c r="K128" s="611" t="s">
        <v>255</v>
      </c>
    </row>
    <row r="129" spans="1:11" s="308" customFormat="1" ht="15.5">
      <c r="A129" s="608">
        <v>125</v>
      </c>
      <c r="B129" s="62">
        <v>1</v>
      </c>
      <c r="C129" s="72" t="s">
        <v>777</v>
      </c>
      <c r="D129" s="614" t="str">
        <f>IFERROR(VLOOKUP(C129,Foundation!$C$5:$D$427,2,0),"")</f>
        <v>DA+1.5</v>
      </c>
      <c r="E129" s="1014" t="s">
        <v>403</v>
      </c>
      <c r="F129" s="716">
        <v>45658</v>
      </c>
      <c r="G129" s="716">
        <v>45658</v>
      </c>
      <c r="H129" s="61" t="s">
        <v>1177</v>
      </c>
      <c r="I129" s="61" t="s">
        <v>1182</v>
      </c>
      <c r="J129" s="62" t="s">
        <v>1186</v>
      </c>
      <c r="K129" s="611" t="s">
        <v>255</v>
      </c>
    </row>
    <row r="130" spans="1:11" s="308" customFormat="1" ht="15.5">
      <c r="A130" s="608">
        <v>126</v>
      </c>
      <c r="B130" s="62">
        <v>2</v>
      </c>
      <c r="C130" s="72" t="s">
        <v>778</v>
      </c>
      <c r="D130" s="614" t="str">
        <f>IFERROR(VLOOKUP(C130,Foundation!$C$5:$D$427,2,0),"")</f>
        <v>DA+3</v>
      </c>
      <c r="E130" s="1014" t="s">
        <v>403</v>
      </c>
      <c r="F130" s="716">
        <v>45658</v>
      </c>
      <c r="G130" s="716">
        <v>45658</v>
      </c>
      <c r="H130" s="61" t="s">
        <v>1177</v>
      </c>
      <c r="I130" s="61" t="s">
        <v>1182</v>
      </c>
      <c r="J130" s="62" t="s">
        <v>1186</v>
      </c>
      <c r="K130" s="611" t="s">
        <v>255</v>
      </c>
    </row>
    <row r="131" spans="1:11" s="308" customFormat="1" ht="15.5">
      <c r="A131" s="608">
        <v>127</v>
      </c>
      <c r="B131" s="62">
        <v>3</v>
      </c>
      <c r="C131" s="72" t="s">
        <v>779</v>
      </c>
      <c r="D131" s="614" t="str">
        <f>IFERROR(VLOOKUP(C131,Foundation!$C$5:$D$427,2,0),"")</f>
        <v>DA+9</v>
      </c>
      <c r="E131" s="1014" t="s">
        <v>403</v>
      </c>
      <c r="F131" s="716">
        <v>45658</v>
      </c>
      <c r="G131" s="716">
        <v>45658</v>
      </c>
      <c r="H131" s="61" t="s">
        <v>1177</v>
      </c>
      <c r="I131" s="61" t="s">
        <v>1182</v>
      </c>
      <c r="J131" s="62" t="s">
        <v>1186</v>
      </c>
      <c r="K131" s="611" t="s">
        <v>255</v>
      </c>
    </row>
    <row r="132" spans="1:11" s="308" customFormat="1" ht="15.5">
      <c r="A132" s="608">
        <v>128</v>
      </c>
      <c r="B132" s="62">
        <v>4</v>
      </c>
      <c r="C132" s="72" t="s">
        <v>780</v>
      </c>
      <c r="D132" s="614" t="str">
        <f>IFERROR(VLOOKUP(C132,Foundation!$C$5:$D$427,2,0),"")</f>
        <v>DA+3</v>
      </c>
      <c r="E132" s="1014" t="s">
        <v>403</v>
      </c>
      <c r="F132" s="716">
        <v>45658</v>
      </c>
      <c r="G132" s="716">
        <v>45658</v>
      </c>
      <c r="H132" s="61" t="s">
        <v>1177</v>
      </c>
      <c r="I132" s="61" t="s">
        <v>1182</v>
      </c>
      <c r="J132" s="62" t="s">
        <v>1186</v>
      </c>
      <c r="K132" s="611" t="s">
        <v>255</v>
      </c>
    </row>
    <row r="133" spans="1:11" s="308" customFormat="1" ht="15.5">
      <c r="A133" s="608">
        <v>129</v>
      </c>
      <c r="B133" s="62">
        <v>5</v>
      </c>
      <c r="C133" s="72" t="s">
        <v>781</v>
      </c>
      <c r="D133" s="614" t="str">
        <f>IFERROR(VLOOKUP(C133,Foundation!$C$5:$D$427,2,0),"")</f>
        <v>DA+3</v>
      </c>
      <c r="E133" s="1014" t="s">
        <v>403</v>
      </c>
      <c r="F133" s="716">
        <v>45658</v>
      </c>
      <c r="G133" s="716">
        <v>45658</v>
      </c>
      <c r="H133" s="61" t="s">
        <v>1177</v>
      </c>
      <c r="I133" s="61" t="s">
        <v>1182</v>
      </c>
      <c r="J133" s="62" t="s">
        <v>1186</v>
      </c>
      <c r="K133" s="611" t="s">
        <v>255</v>
      </c>
    </row>
    <row r="134" spans="1:11" s="308" customFormat="1" ht="15.5">
      <c r="A134" s="608">
        <v>130</v>
      </c>
      <c r="B134" s="62">
        <v>6</v>
      </c>
      <c r="C134" s="72" t="s">
        <v>776</v>
      </c>
      <c r="D134" s="614" t="str">
        <f>IFERROR(VLOOKUP(C134,Foundation!$C$5:$D$427,2,0),"")</f>
        <v>DA+3</v>
      </c>
      <c r="E134" s="1014" t="s">
        <v>403</v>
      </c>
      <c r="F134" s="716">
        <v>45659</v>
      </c>
      <c r="G134" s="716">
        <v>45659</v>
      </c>
      <c r="H134" s="61" t="s">
        <v>1177</v>
      </c>
      <c r="I134" s="61" t="s">
        <v>1182</v>
      </c>
      <c r="J134" s="62" t="s">
        <v>1186</v>
      </c>
      <c r="K134" s="611" t="s">
        <v>255</v>
      </c>
    </row>
    <row r="135" spans="1:11" s="308" customFormat="1" ht="15.5">
      <c r="A135" s="608">
        <v>131</v>
      </c>
      <c r="B135" s="62">
        <v>7</v>
      </c>
      <c r="C135" s="72" t="s">
        <v>775</v>
      </c>
      <c r="D135" s="614" t="str">
        <f>IFERROR(VLOOKUP(C135,Foundation!$C$5:$D$427,2,0),"")</f>
        <v>DB1+0</v>
      </c>
      <c r="E135" s="1014" t="s">
        <v>403</v>
      </c>
      <c r="F135" s="716">
        <v>45659</v>
      </c>
      <c r="G135" s="716">
        <v>45659</v>
      </c>
      <c r="H135" s="61" t="s">
        <v>1177</v>
      </c>
      <c r="I135" s="61" t="s">
        <v>1182</v>
      </c>
      <c r="J135" s="62" t="s">
        <v>1186</v>
      </c>
      <c r="K135" s="611" t="s">
        <v>255</v>
      </c>
    </row>
    <row r="136" spans="1:11" s="308" customFormat="1" ht="15.5">
      <c r="A136" s="608">
        <v>132</v>
      </c>
      <c r="B136" s="62">
        <v>8</v>
      </c>
      <c r="C136" s="72" t="s">
        <v>605</v>
      </c>
      <c r="D136" s="614" t="str">
        <f>IFERROR(VLOOKUP(C136,Foundation!$C$5:$D$427,2,0),"")</f>
        <v>DA+3</v>
      </c>
      <c r="E136" s="1014" t="s">
        <v>403</v>
      </c>
      <c r="F136" s="716">
        <v>45659</v>
      </c>
      <c r="G136" s="716">
        <v>45659</v>
      </c>
      <c r="H136" s="61" t="s">
        <v>1177</v>
      </c>
      <c r="I136" s="61" t="s">
        <v>1182</v>
      </c>
      <c r="J136" s="62" t="s">
        <v>1186</v>
      </c>
      <c r="K136" s="611" t="s">
        <v>255</v>
      </c>
    </row>
    <row r="137" spans="1:11" s="308" customFormat="1" ht="15.5">
      <c r="A137" s="608">
        <v>133</v>
      </c>
      <c r="B137" s="62">
        <v>9</v>
      </c>
      <c r="C137" s="72" t="s">
        <v>604</v>
      </c>
      <c r="D137" s="614" t="str">
        <f>IFERROR(VLOOKUP(C137,Foundation!$C$5:$D$427,2,0),"")</f>
        <v>DA+9</v>
      </c>
      <c r="E137" s="1014" t="s">
        <v>403</v>
      </c>
      <c r="F137" s="716">
        <v>45659</v>
      </c>
      <c r="G137" s="716">
        <v>45659</v>
      </c>
      <c r="H137" s="61" t="s">
        <v>1177</v>
      </c>
      <c r="I137" s="61" t="s">
        <v>1182</v>
      </c>
      <c r="J137" s="62" t="s">
        <v>1186</v>
      </c>
      <c r="K137" s="611" t="s">
        <v>255</v>
      </c>
    </row>
    <row r="138" spans="1:11" s="308" customFormat="1" ht="15.5">
      <c r="A138" s="608">
        <v>134</v>
      </c>
      <c r="B138" s="62">
        <v>10</v>
      </c>
      <c r="C138" s="72" t="s">
        <v>620</v>
      </c>
      <c r="D138" s="614" t="str">
        <f>IFERROR(VLOOKUP(C138,Foundation!$C$5:$D$427,2,0),"")</f>
        <v>DA+1.5</v>
      </c>
      <c r="E138" s="1014" t="s">
        <v>403</v>
      </c>
      <c r="F138" s="716">
        <v>45660</v>
      </c>
      <c r="G138" s="716">
        <v>45660</v>
      </c>
      <c r="H138" s="61" t="s">
        <v>1177</v>
      </c>
      <c r="I138" s="61" t="s">
        <v>1182</v>
      </c>
      <c r="J138" s="62" t="s">
        <v>1186</v>
      </c>
      <c r="K138" s="611" t="s">
        <v>255</v>
      </c>
    </row>
    <row r="139" spans="1:11" s="308" customFormat="1" ht="15.5">
      <c r="A139" s="608">
        <v>135</v>
      </c>
      <c r="B139" s="62">
        <v>11</v>
      </c>
      <c r="C139" s="72" t="s">
        <v>207</v>
      </c>
      <c r="D139" s="614" t="str">
        <f>IFERROR(VLOOKUP(C139,Foundation!$C$5:$D$427,2,0),"")</f>
        <v>DA+6</v>
      </c>
      <c r="E139" s="1014" t="s">
        <v>403</v>
      </c>
      <c r="F139" s="716" t="s">
        <v>1187</v>
      </c>
      <c r="G139" s="716" t="s">
        <v>1187</v>
      </c>
      <c r="H139" s="61" t="s">
        <v>1177</v>
      </c>
      <c r="I139" s="61" t="s">
        <v>1182</v>
      </c>
      <c r="J139" s="62" t="s">
        <v>1186</v>
      </c>
      <c r="K139" s="611" t="s">
        <v>255</v>
      </c>
    </row>
    <row r="140" spans="1:11" s="308" customFormat="1" ht="15.5">
      <c r="A140" s="608">
        <v>136</v>
      </c>
      <c r="B140" s="62">
        <v>12</v>
      </c>
      <c r="C140" s="72" t="s">
        <v>5</v>
      </c>
      <c r="D140" s="614" t="str">
        <f>IFERROR(VLOOKUP(C140,Foundation!$C$5:$D$427,2,0),"")</f>
        <v>DA+3</v>
      </c>
      <c r="E140" s="1014" t="s">
        <v>403</v>
      </c>
      <c r="F140" s="716" t="s">
        <v>1187</v>
      </c>
      <c r="G140" s="716" t="s">
        <v>1187</v>
      </c>
      <c r="H140" s="61" t="s">
        <v>1177</v>
      </c>
      <c r="I140" s="61" t="s">
        <v>1182</v>
      </c>
      <c r="J140" s="62" t="s">
        <v>1186</v>
      </c>
      <c r="K140" s="611" t="s">
        <v>255</v>
      </c>
    </row>
    <row r="141" spans="1:11" s="308" customFormat="1" ht="15.5">
      <c r="A141" s="608">
        <v>137</v>
      </c>
      <c r="B141" s="62">
        <v>13</v>
      </c>
      <c r="C141" s="72" t="s">
        <v>6</v>
      </c>
      <c r="D141" s="614" t="str">
        <f>IFERROR(VLOOKUP(C141,Foundation!$C$5:$D$427,2,0),"")</f>
        <v>DA+6</v>
      </c>
      <c r="E141" s="1014" t="s">
        <v>403</v>
      </c>
      <c r="F141" s="716" t="s">
        <v>1187</v>
      </c>
      <c r="G141" s="716" t="s">
        <v>1187</v>
      </c>
      <c r="H141" s="61" t="s">
        <v>1177</v>
      </c>
      <c r="I141" s="61" t="s">
        <v>1182</v>
      </c>
      <c r="J141" s="62" t="s">
        <v>1186</v>
      </c>
      <c r="K141" s="611" t="s">
        <v>255</v>
      </c>
    </row>
    <row r="142" spans="1:11" s="308" customFormat="1" ht="15.5">
      <c r="A142" s="608">
        <v>138</v>
      </c>
      <c r="B142" s="62">
        <v>14</v>
      </c>
      <c r="C142" s="72" t="s">
        <v>630</v>
      </c>
      <c r="D142" s="614" t="str">
        <f>IFERROR(VLOOKUP(C142,Foundation!$C$5:$D$427,2,0),"")</f>
        <v>DA+9</v>
      </c>
      <c r="E142" s="1014" t="s">
        <v>403</v>
      </c>
      <c r="F142" s="716" t="s">
        <v>1187</v>
      </c>
      <c r="G142" s="716" t="s">
        <v>1187</v>
      </c>
      <c r="H142" s="61" t="s">
        <v>1177</v>
      </c>
      <c r="I142" s="61" t="s">
        <v>1182</v>
      </c>
      <c r="J142" s="62" t="s">
        <v>1186</v>
      </c>
      <c r="K142" s="611" t="s">
        <v>255</v>
      </c>
    </row>
    <row r="143" spans="1:11" s="308" customFormat="1" ht="15.5">
      <c r="A143" s="608">
        <v>139</v>
      </c>
      <c r="B143" s="62">
        <v>15</v>
      </c>
      <c r="C143" s="72" t="s">
        <v>631</v>
      </c>
      <c r="D143" s="614" t="str">
        <f>IFERROR(VLOOKUP(C143,Foundation!$C$5:$D$427,2,0),"")</f>
        <v>DA+9</v>
      </c>
      <c r="E143" s="1014" t="s">
        <v>403</v>
      </c>
      <c r="F143" s="716" t="s">
        <v>1187</v>
      </c>
      <c r="G143" s="716" t="s">
        <v>1187</v>
      </c>
      <c r="H143" s="61" t="s">
        <v>1177</v>
      </c>
      <c r="I143" s="61" t="s">
        <v>1182</v>
      </c>
      <c r="J143" s="62" t="s">
        <v>1186</v>
      </c>
      <c r="K143" s="611" t="s">
        <v>255</v>
      </c>
    </row>
    <row r="144" spans="1:11" s="308" customFormat="1" ht="15.5">
      <c r="A144" s="608">
        <v>140</v>
      </c>
      <c r="B144" s="62">
        <v>16</v>
      </c>
      <c r="C144" s="72" t="s">
        <v>632</v>
      </c>
      <c r="D144" s="614" t="str">
        <f>IFERROR(VLOOKUP(C144,Foundation!$C$5:$D$427,2,0),"")</f>
        <v>DA+3</v>
      </c>
      <c r="E144" s="1014" t="s">
        <v>403</v>
      </c>
      <c r="F144" s="716" t="s">
        <v>1187</v>
      </c>
      <c r="G144" s="716" t="s">
        <v>1187</v>
      </c>
      <c r="H144" s="61" t="s">
        <v>1177</v>
      </c>
      <c r="I144" s="61" t="s">
        <v>1182</v>
      </c>
      <c r="J144" s="62" t="s">
        <v>1186</v>
      </c>
      <c r="K144" s="611" t="s">
        <v>255</v>
      </c>
    </row>
    <row r="145" spans="1:11" s="308" customFormat="1" ht="15.5">
      <c r="A145" s="608">
        <v>141</v>
      </c>
      <c r="B145" s="62">
        <v>1</v>
      </c>
      <c r="C145" s="72" t="s">
        <v>569</v>
      </c>
      <c r="D145" s="614" t="str">
        <f>IFERROR(VLOOKUP(C145,Foundation!$C$5:$D$427,2,0),"")</f>
        <v>DA+0</v>
      </c>
      <c r="E145" s="1014" t="s">
        <v>403</v>
      </c>
      <c r="F145" s="716">
        <v>45701</v>
      </c>
      <c r="G145" s="716">
        <v>45701</v>
      </c>
      <c r="H145" s="61" t="s">
        <v>1177</v>
      </c>
      <c r="I145" s="61" t="s">
        <v>1182</v>
      </c>
      <c r="J145" s="62" t="s">
        <v>1218</v>
      </c>
      <c r="K145" s="611" t="s">
        <v>255</v>
      </c>
    </row>
    <row r="146" spans="1:11" s="308" customFormat="1" ht="15.5">
      <c r="A146" s="608">
        <v>142</v>
      </c>
      <c r="B146" s="62">
        <v>2</v>
      </c>
      <c r="C146" s="72" t="s">
        <v>572</v>
      </c>
      <c r="D146" s="614" t="str">
        <f>IFERROR(VLOOKUP(C146,Foundation!$C$5:$D$427,2,0),"")</f>
        <v>DA+3</v>
      </c>
      <c r="E146" s="1014" t="s">
        <v>403</v>
      </c>
      <c r="F146" s="716">
        <v>45701</v>
      </c>
      <c r="G146" s="716">
        <v>45701</v>
      </c>
      <c r="H146" s="61" t="s">
        <v>1177</v>
      </c>
      <c r="I146" s="61" t="s">
        <v>1182</v>
      </c>
      <c r="J146" s="62" t="s">
        <v>1218</v>
      </c>
      <c r="K146" s="611" t="s">
        <v>255</v>
      </c>
    </row>
    <row r="147" spans="1:11" s="308" customFormat="1" ht="15.5">
      <c r="A147" s="608">
        <v>143</v>
      </c>
      <c r="B147" s="62">
        <v>3</v>
      </c>
      <c r="C147" s="72" t="s">
        <v>573</v>
      </c>
      <c r="D147" s="614" t="str">
        <f>IFERROR(VLOOKUP(C147,Foundation!$C$5:$D$427,2,0),"")</f>
        <v>DA+1.5</v>
      </c>
      <c r="E147" s="1014" t="s">
        <v>403</v>
      </c>
      <c r="F147" s="716">
        <v>45701</v>
      </c>
      <c r="G147" s="716">
        <v>45701</v>
      </c>
      <c r="H147" s="61" t="s">
        <v>1177</v>
      </c>
      <c r="I147" s="61" t="s">
        <v>1182</v>
      </c>
      <c r="J147" s="62" t="s">
        <v>1218</v>
      </c>
      <c r="K147" s="611" t="s">
        <v>255</v>
      </c>
    </row>
    <row r="148" spans="1:11" s="308" customFormat="1" ht="15.5">
      <c r="A148" s="608">
        <v>144</v>
      </c>
      <c r="B148" s="62">
        <v>4</v>
      </c>
      <c r="C148" s="72" t="s">
        <v>166</v>
      </c>
      <c r="D148" s="614" t="str">
        <f>IFERROR(VLOOKUP(C148,Foundation!$C$5:$D$427,2,0),"")</f>
        <v>DB1+6</v>
      </c>
      <c r="E148" s="1014" t="s">
        <v>403</v>
      </c>
      <c r="F148" s="716">
        <v>45701</v>
      </c>
      <c r="G148" s="716">
        <v>45701</v>
      </c>
      <c r="H148" s="61" t="s">
        <v>1177</v>
      </c>
      <c r="I148" s="61" t="s">
        <v>1182</v>
      </c>
      <c r="J148" s="62" t="s">
        <v>1218</v>
      </c>
      <c r="K148" s="611" t="s">
        <v>255</v>
      </c>
    </row>
    <row r="149" spans="1:11" s="308" customFormat="1" ht="15.5">
      <c r="A149" s="608">
        <v>145</v>
      </c>
      <c r="B149" s="62">
        <v>5</v>
      </c>
      <c r="C149" s="72" t="s">
        <v>582</v>
      </c>
      <c r="D149" s="614" t="str">
        <f>IFERROR(VLOOKUP(C149,Foundation!$C$5:$D$427,2,0),"")</f>
        <v>DA+0</v>
      </c>
      <c r="E149" s="1014" t="s">
        <v>403</v>
      </c>
      <c r="F149" s="716">
        <v>45701</v>
      </c>
      <c r="G149" s="716">
        <v>45701</v>
      </c>
      <c r="H149" s="61" t="s">
        <v>1177</v>
      </c>
      <c r="I149" s="61" t="s">
        <v>1182</v>
      </c>
      <c r="J149" s="62" t="s">
        <v>1218</v>
      </c>
      <c r="K149" s="611" t="s">
        <v>255</v>
      </c>
    </row>
    <row r="150" spans="1:11" s="308" customFormat="1" ht="15.5">
      <c r="A150" s="608">
        <v>146</v>
      </c>
      <c r="B150" s="62">
        <v>6</v>
      </c>
      <c r="C150" s="72" t="s">
        <v>71</v>
      </c>
      <c r="D150" s="614" t="str">
        <f>IFERROR(VLOOKUP(C150,Foundation!$C$5:$D$427,2,0),"")</f>
        <v>DB2+0</v>
      </c>
      <c r="E150" s="1014" t="s">
        <v>403</v>
      </c>
      <c r="F150" s="716">
        <v>45701</v>
      </c>
      <c r="G150" s="716">
        <v>45701</v>
      </c>
      <c r="H150" s="61" t="s">
        <v>1177</v>
      </c>
      <c r="I150" s="61" t="s">
        <v>1182</v>
      </c>
      <c r="J150" s="62" t="s">
        <v>1218</v>
      </c>
      <c r="K150" s="611" t="s">
        <v>255</v>
      </c>
    </row>
    <row r="151" spans="1:11" s="308" customFormat="1" ht="15.5">
      <c r="A151" s="608">
        <v>147</v>
      </c>
      <c r="B151" s="62">
        <v>7</v>
      </c>
      <c r="C151" s="72" t="s">
        <v>591</v>
      </c>
      <c r="D151" s="614" t="str">
        <f>IFERROR(VLOOKUP(C151,Foundation!$C$5:$D$427,2,0),"")</f>
        <v>DA+9</v>
      </c>
      <c r="E151" s="1014" t="s">
        <v>403</v>
      </c>
      <c r="F151" s="716">
        <v>45702</v>
      </c>
      <c r="G151" s="716">
        <v>45702</v>
      </c>
      <c r="H151" s="61" t="s">
        <v>1177</v>
      </c>
      <c r="I151" s="61" t="s">
        <v>1182</v>
      </c>
      <c r="J151" s="62" t="s">
        <v>1218</v>
      </c>
      <c r="K151" s="611" t="s">
        <v>255</v>
      </c>
    </row>
    <row r="152" spans="1:11" s="308" customFormat="1" ht="15.5">
      <c r="A152" s="608">
        <v>148</v>
      </c>
      <c r="B152" s="62">
        <v>8</v>
      </c>
      <c r="C152" s="72" t="s">
        <v>595</v>
      </c>
      <c r="D152" s="614" t="str">
        <f>IFERROR(VLOOKUP(C152,Foundation!$C$5:$D$427,2,0),"")</f>
        <v>DA+6</v>
      </c>
      <c r="E152" s="1014" t="s">
        <v>403</v>
      </c>
      <c r="F152" s="716">
        <v>45702</v>
      </c>
      <c r="G152" s="716">
        <v>45702</v>
      </c>
      <c r="H152" s="61" t="s">
        <v>1177</v>
      </c>
      <c r="I152" s="61" t="s">
        <v>1182</v>
      </c>
      <c r="J152" s="62" t="s">
        <v>1218</v>
      </c>
      <c r="K152" s="611" t="s">
        <v>255</v>
      </c>
    </row>
    <row r="153" spans="1:11" s="308" customFormat="1" ht="15.5">
      <c r="A153" s="608">
        <v>149</v>
      </c>
      <c r="B153" s="62">
        <v>9</v>
      </c>
      <c r="C153" s="72" t="s">
        <v>596</v>
      </c>
      <c r="D153" s="614" t="str">
        <f>IFERROR(VLOOKUP(C153,Foundation!$C$5:$D$427,2,0),"")</f>
        <v>DA+1.5</v>
      </c>
      <c r="E153" s="1014" t="s">
        <v>403</v>
      </c>
      <c r="F153" s="716">
        <v>45702</v>
      </c>
      <c r="G153" s="716">
        <v>45702</v>
      </c>
      <c r="H153" s="61" t="s">
        <v>1177</v>
      </c>
      <c r="I153" s="61" t="s">
        <v>1182</v>
      </c>
      <c r="J153" s="62" t="s">
        <v>1218</v>
      </c>
      <c r="K153" s="611" t="s">
        <v>255</v>
      </c>
    </row>
    <row r="154" spans="1:11" s="308" customFormat="1" ht="15.5">
      <c r="A154" s="608">
        <v>150</v>
      </c>
      <c r="B154" s="62">
        <v>10</v>
      </c>
      <c r="C154" s="72" t="s">
        <v>598</v>
      </c>
      <c r="D154" s="614" t="str">
        <f>IFERROR(VLOOKUP(C154,Foundation!$C$5:$D$427,2,0),"")</f>
        <v>DA+3</v>
      </c>
      <c r="E154" s="1014" t="s">
        <v>403</v>
      </c>
      <c r="F154" s="716">
        <v>45702</v>
      </c>
      <c r="G154" s="716">
        <v>45702</v>
      </c>
      <c r="H154" s="61" t="s">
        <v>1177</v>
      </c>
      <c r="I154" s="61" t="s">
        <v>1182</v>
      </c>
      <c r="J154" s="62" t="s">
        <v>1218</v>
      </c>
      <c r="K154" s="611" t="s">
        <v>255</v>
      </c>
    </row>
    <row r="155" spans="1:11" s="308" customFormat="1" ht="15.5">
      <c r="A155" s="608">
        <v>151</v>
      </c>
      <c r="B155" s="62">
        <v>11</v>
      </c>
      <c r="C155" s="72" t="s">
        <v>8</v>
      </c>
      <c r="D155" s="614" t="str">
        <f>IFERROR(VLOOKUP(C155,Foundation!$C$5:$D$427,2,0),"")</f>
        <v>DB2+3</v>
      </c>
      <c r="E155" s="1014" t="s">
        <v>403</v>
      </c>
      <c r="F155" s="716">
        <v>45702</v>
      </c>
      <c r="G155" s="716">
        <v>45702</v>
      </c>
      <c r="H155" s="61" t="s">
        <v>1177</v>
      </c>
      <c r="I155" s="61" t="s">
        <v>1182</v>
      </c>
      <c r="J155" s="62" t="s">
        <v>1218</v>
      </c>
      <c r="K155" s="611" t="s">
        <v>255</v>
      </c>
    </row>
    <row r="156" spans="1:11" s="308" customFormat="1" ht="15.5">
      <c r="A156" s="608">
        <v>152</v>
      </c>
      <c r="B156" s="62">
        <v>12</v>
      </c>
      <c r="C156" s="72" t="s">
        <v>65</v>
      </c>
      <c r="D156" s="614" t="str">
        <f>IFERROR(VLOOKUP(C156,Foundation!$C$5:$D$427,2,0),"")</f>
        <v>DB1+0</v>
      </c>
      <c r="E156" s="1014" t="s">
        <v>403</v>
      </c>
      <c r="F156" s="716">
        <v>45704</v>
      </c>
      <c r="G156" s="716">
        <v>45704</v>
      </c>
      <c r="H156" s="61" t="s">
        <v>1177</v>
      </c>
      <c r="I156" s="61" t="s">
        <v>1182</v>
      </c>
      <c r="J156" s="62" t="s">
        <v>1218</v>
      </c>
      <c r="K156" s="611" t="s">
        <v>255</v>
      </c>
    </row>
    <row r="157" spans="1:11" s="308" customFormat="1" ht="15.5">
      <c r="A157" s="608">
        <v>153</v>
      </c>
      <c r="B157" s="62">
        <v>13</v>
      </c>
      <c r="C157" s="72" t="s">
        <v>437</v>
      </c>
      <c r="D157" s="614" t="str">
        <f>IFERROR(VLOOKUP(C157,Foundation!$C$5:$D$427,2,0),"")</f>
        <v>DA+9</v>
      </c>
      <c r="E157" s="1014" t="s">
        <v>403</v>
      </c>
      <c r="F157" s="716">
        <v>45704</v>
      </c>
      <c r="G157" s="716">
        <v>45704</v>
      </c>
      <c r="H157" s="61" t="s">
        <v>1177</v>
      </c>
      <c r="I157" s="61" t="s">
        <v>1182</v>
      </c>
      <c r="J157" s="62" t="s">
        <v>1218</v>
      </c>
      <c r="K157" s="611" t="s">
        <v>255</v>
      </c>
    </row>
    <row r="158" spans="1:11" s="308" customFormat="1" ht="15.5">
      <c r="A158" s="608">
        <v>154</v>
      </c>
      <c r="B158" s="62">
        <v>14</v>
      </c>
      <c r="C158" s="72" t="s">
        <v>438</v>
      </c>
      <c r="D158" s="614" t="str">
        <f>IFERROR(VLOOKUP(C158,Foundation!$C$5:$D$427,2,0),"")</f>
        <v>DA+0</v>
      </c>
      <c r="E158" s="1014" t="s">
        <v>403</v>
      </c>
      <c r="F158" s="716">
        <v>45704</v>
      </c>
      <c r="G158" s="716">
        <v>45704</v>
      </c>
      <c r="H158" s="61" t="s">
        <v>1177</v>
      </c>
      <c r="I158" s="61" t="s">
        <v>1182</v>
      </c>
      <c r="J158" s="62" t="s">
        <v>1218</v>
      </c>
      <c r="K158" s="611" t="s">
        <v>255</v>
      </c>
    </row>
    <row r="159" spans="1:11" s="308" customFormat="1" ht="15.5">
      <c r="A159" s="608">
        <v>155</v>
      </c>
      <c r="B159" s="62">
        <v>15</v>
      </c>
      <c r="C159" s="72" t="s">
        <v>435</v>
      </c>
      <c r="D159" s="614" t="str">
        <f>IFERROR(VLOOKUP(C159,Foundation!$C$5:$D$427,2,0),"")</f>
        <v>DA+9</v>
      </c>
      <c r="E159" s="1014" t="s">
        <v>403</v>
      </c>
      <c r="F159" s="716">
        <v>45339</v>
      </c>
      <c r="G159" s="716">
        <v>45339</v>
      </c>
      <c r="H159" s="61" t="s">
        <v>1177</v>
      </c>
      <c r="I159" s="61" t="s">
        <v>1182</v>
      </c>
      <c r="J159" s="62" t="s">
        <v>1218</v>
      </c>
      <c r="K159" s="611" t="s">
        <v>255</v>
      </c>
    </row>
    <row r="160" spans="1:11" s="308" customFormat="1" ht="15.5">
      <c r="A160" s="608">
        <v>156</v>
      </c>
      <c r="B160" s="62">
        <v>16</v>
      </c>
      <c r="C160" s="72" t="s">
        <v>436</v>
      </c>
      <c r="D160" s="614" t="str">
        <f>IFERROR(VLOOKUP(C160,Foundation!$C$5:$D$427,2,0),"")</f>
        <v>DA+3</v>
      </c>
      <c r="E160" s="1014" t="s">
        <v>403</v>
      </c>
      <c r="F160" s="716">
        <v>45339</v>
      </c>
      <c r="G160" s="716">
        <v>45339</v>
      </c>
      <c r="H160" s="61" t="s">
        <v>1177</v>
      </c>
      <c r="I160" s="61" t="s">
        <v>1182</v>
      </c>
      <c r="J160" s="62" t="s">
        <v>1218</v>
      </c>
      <c r="K160" s="611" t="s">
        <v>255</v>
      </c>
    </row>
    <row r="161" spans="1:11" s="308" customFormat="1" ht="15.5">
      <c r="A161" s="608">
        <v>157</v>
      </c>
      <c r="B161" s="62">
        <v>17</v>
      </c>
      <c r="C161" s="72" t="s">
        <v>439</v>
      </c>
      <c r="D161" s="614" t="str">
        <f>IFERROR(VLOOKUP(C161,Foundation!$C$5:$D$427,2,0),"")</f>
        <v>DA+6</v>
      </c>
      <c r="E161" s="1014" t="s">
        <v>403</v>
      </c>
      <c r="F161" s="716">
        <v>45339</v>
      </c>
      <c r="G161" s="716">
        <v>45339</v>
      </c>
      <c r="H161" s="61" t="s">
        <v>1177</v>
      </c>
      <c r="I161" s="61" t="s">
        <v>1182</v>
      </c>
      <c r="J161" s="62" t="s">
        <v>1218</v>
      </c>
      <c r="K161" s="611" t="s">
        <v>255</v>
      </c>
    </row>
    <row r="162" spans="1:11" s="308" customFormat="1" ht="15.5">
      <c r="A162" s="608">
        <v>158</v>
      </c>
      <c r="B162" s="62">
        <v>18</v>
      </c>
      <c r="C162" s="72" t="s">
        <v>440</v>
      </c>
      <c r="D162" s="614" t="str">
        <f>IFERROR(VLOOKUP(C162,Foundation!$C$5:$D$427,2,0),"")</f>
        <v>DA-3</v>
      </c>
      <c r="E162" s="1014" t="s">
        <v>403</v>
      </c>
      <c r="F162" s="716">
        <v>45339</v>
      </c>
      <c r="G162" s="716">
        <v>45339</v>
      </c>
      <c r="H162" s="61" t="s">
        <v>1177</v>
      </c>
      <c r="I162" s="61" t="s">
        <v>1182</v>
      </c>
      <c r="J162" s="62" t="s">
        <v>1218</v>
      </c>
      <c r="K162" s="611" t="s">
        <v>255</v>
      </c>
    </row>
    <row r="163" spans="1:11" s="308" customFormat="1" ht="15.5">
      <c r="A163" s="608">
        <v>159</v>
      </c>
      <c r="B163" s="62">
        <v>19</v>
      </c>
      <c r="C163" s="72" t="s">
        <v>441</v>
      </c>
      <c r="D163" s="614" t="str">
        <f>IFERROR(VLOOKUP(C163,Foundation!$C$5:$D$427,2,0),"")</f>
        <v>DA+3</v>
      </c>
      <c r="E163" s="1014" t="s">
        <v>403</v>
      </c>
      <c r="F163" s="716">
        <v>45339</v>
      </c>
      <c r="G163" s="716">
        <v>45339</v>
      </c>
      <c r="H163" s="61" t="s">
        <v>1177</v>
      </c>
      <c r="I163" s="61" t="s">
        <v>1182</v>
      </c>
      <c r="J163" s="62" t="s">
        <v>1218</v>
      </c>
      <c r="K163" s="611" t="s">
        <v>255</v>
      </c>
    </row>
    <row r="164" spans="1:11" s="308" customFormat="1" ht="15.5">
      <c r="A164" s="608">
        <v>160</v>
      </c>
      <c r="B164" s="62">
        <v>20</v>
      </c>
      <c r="C164" s="72" t="s">
        <v>442</v>
      </c>
      <c r="D164" s="614" t="str">
        <f>IFERROR(VLOOKUP(C164,Foundation!$C$5:$D$427,2,0),"")</f>
        <v>DA-3</v>
      </c>
      <c r="E164" s="1014" t="s">
        <v>403</v>
      </c>
      <c r="F164" s="716">
        <v>45339</v>
      </c>
      <c r="G164" s="716">
        <v>45339</v>
      </c>
      <c r="H164" s="61" t="s">
        <v>1177</v>
      </c>
      <c r="I164" s="61" t="s">
        <v>1182</v>
      </c>
      <c r="J164" s="62" t="s">
        <v>1218</v>
      </c>
      <c r="K164" s="611" t="s">
        <v>255</v>
      </c>
    </row>
    <row r="165" spans="1:11" s="308" customFormat="1" ht="15.5">
      <c r="A165" s="608">
        <v>161</v>
      </c>
      <c r="B165" s="62">
        <v>21</v>
      </c>
      <c r="C165" s="72" t="s">
        <v>443</v>
      </c>
      <c r="D165" s="614" t="str">
        <f>IFERROR(VLOOKUP(C165,Foundation!$C$5:$D$427,2,0),"")</f>
        <v>DA+3</v>
      </c>
      <c r="E165" s="1014" t="s">
        <v>403</v>
      </c>
      <c r="F165" s="716">
        <v>45339</v>
      </c>
      <c r="G165" s="716">
        <v>45339</v>
      </c>
      <c r="H165" s="61" t="s">
        <v>1177</v>
      </c>
      <c r="I165" s="61" t="s">
        <v>1182</v>
      </c>
      <c r="J165" s="62" t="s">
        <v>1218</v>
      </c>
      <c r="K165" s="611" t="s">
        <v>255</v>
      </c>
    </row>
    <row r="166" spans="1:11" s="308" customFormat="1" ht="15.5">
      <c r="A166" s="608">
        <v>162</v>
      </c>
      <c r="B166" s="62">
        <v>22</v>
      </c>
      <c r="C166" s="72" t="s">
        <v>9</v>
      </c>
      <c r="D166" s="614" t="str">
        <f>IFERROR(VLOOKUP(C166,Foundation!$C$5:$D$427,2,0),"")</f>
        <v>DB1+0</v>
      </c>
      <c r="E166" s="1014" t="s">
        <v>403</v>
      </c>
      <c r="F166" s="716">
        <v>45706</v>
      </c>
      <c r="G166" s="716">
        <v>45706</v>
      </c>
      <c r="H166" s="61" t="s">
        <v>1177</v>
      </c>
      <c r="I166" s="61" t="s">
        <v>1182</v>
      </c>
      <c r="J166" s="62" t="s">
        <v>1218</v>
      </c>
      <c r="K166" s="611" t="s">
        <v>255</v>
      </c>
    </row>
    <row r="167" spans="1:11" s="308" customFormat="1" ht="15.5">
      <c r="A167" s="608">
        <v>163</v>
      </c>
      <c r="B167" s="62">
        <v>23</v>
      </c>
      <c r="C167" s="72" t="s">
        <v>82</v>
      </c>
      <c r="D167" s="614" t="str">
        <f>IFERROR(VLOOKUP(C167,Foundation!$C$5:$D$427,2,0),"")</f>
        <v>DA+3</v>
      </c>
      <c r="E167" s="1014" t="s">
        <v>403</v>
      </c>
      <c r="F167" s="716">
        <v>45706</v>
      </c>
      <c r="G167" s="716">
        <v>45706</v>
      </c>
      <c r="H167" s="61" t="s">
        <v>1177</v>
      </c>
      <c r="I167" s="61" t="s">
        <v>1182</v>
      </c>
      <c r="J167" s="62" t="s">
        <v>1218</v>
      </c>
      <c r="K167" s="611" t="s">
        <v>255</v>
      </c>
    </row>
    <row r="168" spans="1:11" s="308" customFormat="1" ht="15.5">
      <c r="A168" s="608">
        <v>164</v>
      </c>
      <c r="B168" s="62">
        <v>24</v>
      </c>
      <c r="C168" s="72" t="s">
        <v>163</v>
      </c>
      <c r="D168" s="614" t="str">
        <f>IFERROR(VLOOKUP(C168,Foundation!$C$5:$D$427,2,0),"")</f>
        <v>DA+1.5</v>
      </c>
      <c r="E168" s="1014" t="s">
        <v>403</v>
      </c>
      <c r="F168" s="716">
        <v>45706</v>
      </c>
      <c r="G168" s="716">
        <v>45706</v>
      </c>
      <c r="H168" s="61" t="s">
        <v>1177</v>
      </c>
      <c r="I168" s="61" t="s">
        <v>1182</v>
      </c>
      <c r="J168" s="62" t="s">
        <v>1218</v>
      </c>
      <c r="K168" s="611" t="s">
        <v>255</v>
      </c>
    </row>
    <row r="169" spans="1:11" s="308" customFormat="1" ht="15.5">
      <c r="A169" s="608">
        <v>165</v>
      </c>
      <c r="B169" s="62">
        <v>25</v>
      </c>
      <c r="C169" s="72" t="s">
        <v>444</v>
      </c>
      <c r="D169" s="614" t="str">
        <f>IFERROR(VLOOKUP(C169,Foundation!$C$5:$D$427,2,0),"")</f>
        <v>DA-1.5</v>
      </c>
      <c r="E169" s="1014" t="s">
        <v>403</v>
      </c>
      <c r="F169" s="716">
        <v>45706</v>
      </c>
      <c r="G169" s="716">
        <v>45706</v>
      </c>
      <c r="H169" s="61" t="s">
        <v>1177</v>
      </c>
      <c r="I169" s="61" t="s">
        <v>1182</v>
      </c>
      <c r="J169" s="62" t="s">
        <v>1218</v>
      </c>
      <c r="K169" s="611" t="s">
        <v>255</v>
      </c>
    </row>
    <row r="170" spans="1:11" s="308" customFormat="1" ht="15.5">
      <c r="A170" s="608">
        <v>166</v>
      </c>
      <c r="B170" s="62">
        <v>26</v>
      </c>
      <c r="C170" s="72" t="s">
        <v>445</v>
      </c>
      <c r="D170" s="614" t="str">
        <f>IFERROR(VLOOKUP(C170,Foundation!$C$5:$D$427,2,0),"")</f>
        <v>DA+6</v>
      </c>
      <c r="E170" s="1014" t="s">
        <v>403</v>
      </c>
      <c r="F170" s="716">
        <v>45706</v>
      </c>
      <c r="G170" s="716">
        <v>45706</v>
      </c>
      <c r="H170" s="61" t="s">
        <v>1177</v>
      </c>
      <c r="I170" s="61" t="s">
        <v>1182</v>
      </c>
      <c r="J170" s="62" t="s">
        <v>1218</v>
      </c>
      <c r="K170" s="611" t="s">
        <v>255</v>
      </c>
    </row>
    <row r="171" spans="1:11" s="308" customFormat="1" ht="15.5">
      <c r="A171" s="608">
        <v>167</v>
      </c>
      <c r="B171" s="62">
        <v>27</v>
      </c>
      <c r="C171" s="72" t="s">
        <v>10</v>
      </c>
      <c r="D171" s="614" t="str">
        <f>IFERROR(VLOOKUP(C171,Foundation!$C$5:$D$427,2,0),"")</f>
        <v>DB2+0</v>
      </c>
      <c r="E171" s="1014" t="s">
        <v>403</v>
      </c>
      <c r="F171" s="716">
        <v>45706</v>
      </c>
      <c r="G171" s="716">
        <v>45706</v>
      </c>
      <c r="H171" s="61" t="s">
        <v>1177</v>
      </c>
      <c r="I171" s="61" t="s">
        <v>1182</v>
      </c>
      <c r="J171" s="62" t="s">
        <v>1218</v>
      </c>
      <c r="K171" s="611" t="s">
        <v>255</v>
      </c>
    </row>
    <row r="172" spans="1:11" s="308" customFormat="1" ht="15.5">
      <c r="A172" s="608">
        <v>168</v>
      </c>
      <c r="B172" s="62">
        <v>28</v>
      </c>
      <c r="C172" s="72" t="s">
        <v>66</v>
      </c>
      <c r="D172" s="614" t="str">
        <f>IFERROR(VLOOKUP(C172,Foundation!$C$5:$D$427,2,0),"")</f>
        <v>DA+6</v>
      </c>
      <c r="E172" s="1014" t="s">
        <v>403</v>
      </c>
      <c r="F172" s="716">
        <v>45706</v>
      </c>
      <c r="G172" s="716">
        <v>45706</v>
      </c>
      <c r="H172" s="61" t="s">
        <v>1177</v>
      </c>
      <c r="I172" s="61" t="s">
        <v>1182</v>
      </c>
      <c r="J172" s="62" t="s">
        <v>1218</v>
      </c>
      <c r="K172" s="611" t="s">
        <v>255</v>
      </c>
    </row>
    <row r="173" spans="1:11" s="308" customFormat="1" ht="15.5">
      <c r="A173" s="608">
        <v>169</v>
      </c>
      <c r="B173" s="62">
        <v>29</v>
      </c>
      <c r="C173" s="72" t="s">
        <v>165</v>
      </c>
      <c r="D173" s="614" t="str">
        <f>IFERROR(VLOOKUP(C173,Foundation!$C$5:$D$427,2,0),"")</f>
        <v>DA+9</v>
      </c>
      <c r="E173" s="1014" t="s">
        <v>403</v>
      </c>
      <c r="F173" s="716">
        <v>45706</v>
      </c>
      <c r="G173" s="716">
        <v>45706</v>
      </c>
      <c r="H173" s="61" t="s">
        <v>1177</v>
      </c>
      <c r="I173" s="61" t="s">
        <v>1182</v>
      </c>
      <c r="J173" s="62" t="s">
        <v>1218</v>
      </c>
      <c r="K173" s="611" t="s">
        <v>255</v>
      </c>
    </row>
    <row r="174" spans="1:11" s="308" customFormat="1" ht="15.5">
      <c r="A174" s="608">
        <v>170</v>
      </c>
      <c r="B174" s="62">
        <v>1</v>
      </c>
      <c r="C174" s="72" t="s">
        <v>621</v>
      </c>
      <c r="D174" s="614" t="str">
        <f>IFERROR(VLOOKUP(C174,Foundation!$C$5:$D$427,2,0),"")</f>
        <v>DA+3</v>
      </c>
      <c r="E174" s="1014" t="s">
        <v>403</v>
      </c>
      <c r="F174" s="716">
        <v>45746</v>
      </c>
      <c r="G174" s="716">
        <v>45746</v>
      </c>
      <c r="H174" s="61" t="s">
        <v>950</v>
      </c>
      <c r="I174" s="61" t="s">
        <v>1406</v>
      </c>
      <c r="J174" s="62" t="s">
        <v>1407</v>
      </c>
      <c r="K174" s="611" t="s">
        <v>255</v>
      </c>
    </row>
    <row r="175" spans="1:11" s="308" customFormat="1" ht="15.5">
      <c r="A175" s="608">
        <v>171</v>
      </c>
      <c r="B175" s="62">
        <v>2</v>
      </c>
      <c r="C175" s="72" t="s">
        <v>622</v>
      </c>
      <c r="D175" s="614" t="str">
        <f>IFERROR(VLOOKUP(C175,Foundation!$C$5:$D$427,2,0),"")</f>
        <v>DA+1.5</v>
      </c>
      <c r="E175" s="1014" t="s">
        <v>403</v>
      </c>
      <c r="F175" s="716">
        <v>45746</v>
      </c>
      <c r="G175" s="716">
        <v>45746</v>
      </c>
      <c r="H175" s="61" t="s">
        <v>950</v>
      </c>
      <c r="I175" s="61" t="s">
        <v>1406</v>
      </c>
      <c r="J175" s="62" t="s">
        <v>1407</v>
      </c>
      <c r="K175" s="611" t="s">
        <v>255</v>
      </c>
    </row>
    <row r="176" spans="1:11" s="308" customFormat="1" ht="15.5">
      <c r="A176" s="608">
        <v>172</v>
      </c>
      <c r="B176" s="62">
        <v>3</v>
      </c>
      <c r="C176" s="72" t="s">
        <v>623</v>
      </c>
      <c r="D176" s="614" t="str">
        <f>IFERROR(VLOOKUP(C176,Foundation!$C$5:$D$427,2,0),"")</f>
        <v>DA+1.5</v>
      </c>
      <c r="E176" s="1014" t="s">
        <v>403</v>
      </c>
      <c r="F176" s="716">
        <v>45746</v>
      </c>
      <c r="G176" s="716">
        <v>45746</v>
      </c>
      <c r="H176" s="61" t="s">
        <v>950</v>
      </c>
      <c r="I176" s="61" t="s">
        <v>1406</v>
      </c>
      <c r="J176" s="62" t="s">
        <v>1407</v>
      </c>
      <c r="K176" s="611" t="s">
        <v>255</v>
      </c>
    </row>
    <row r="177" spans="1:11" s="308" customFormat="1" ht="15.5">
      <c r="A177" s="62">
        <v>173</v>
      </c>
      <c r="B177" s="62">
        <v>4</v>
      </c>
      <c r="C177" s="72" t="s">
        <v>624</v>
      </c>
      <c r="D177" s="614" t="str">
        <f>IFERROR(VLOOKUP(C177,Foundation!$C$5:$D$427,2,0),"")</f>
        <v>DA+3</v>
      </c>
      <c r="E177" s="1014" t="s">
        <v>403</v>
      </c>
      <c r="F177" s="716">
        <v>45747</v>
      </c>
      <c r="G177" s="716">
        <v>45747</v>
      </c>
      <c r="H177" s="61" t="s">
        <v>950</v>
      </c>
      <c r="I177" s="61" t="s">
        <v>1406</v>
      </c>
      <c r="J177" s="62" t="s">
        <v>1407</v>
      </c>
      <c r="K177" s="61" t="s">
        <v>255</v>
      </c>
    </row>
    <row r="178" spans="1:11" s="308" customFormat="1" ht="15.5">
      <c r="A178" s="62">
        <v>174</v>
      </c>
      <c r="B178" s="62">
        <v>5</v>
      </c>
      <c r="C178" s="72" t="s">
        <v>626</v>
      </c>
      <c r="D178" s="614" t="str">
        <f>IFERROR(VLOOKUP(C178,Foundation!$C$5:$D$427,2,0),"")</f>
        <v>DA+6</v>
      </c>
      <c r="E178" s="1014" t="s">
        <v>403</v>
      </c>
      <c r="F178" s="716">
        <v>45747</v>
      </c>
      <c r="G178" s="716">
        <v>45747</v>
      </c>
      <c r="H178" s="61" t="s">
        <v>950</v>
      </c>
      <c r="I178" s="61" t="s">
        <v>1406</v>
      </c>
      <c r="J178" s="62" t="s">
        <v>1407</v>
      </c>
      <c r="K178" s="61" t="s">
        <v>255</v>
      </c>
    </row>
    <row r="179" spans="1:11" s="308" customFormat="1" ht="15.5">
      <c r="A179" s="62">
        <v>175</v>
      </c>
      <c r="B179" s="62">
        <v>6</v>
      </c>
      <c r="C179" s="72" t="s">
        <v>627</v>
      </c>
      <c r="D179" s="614" t="str">
        <f>IFERROR(VLOOKUP(C179,Foundation!$C$5:$D$427,2,0),"")</f>
        <v>DA+3</v>
      </c>
      <c r="E179" s="1014" t="s">
        <v>403</v>
      </c>
      <c r="F179" s="716">
        <v>45747</v>
      </c>
      <c r="G179" s="716">
        <v>45747</v>
      </c>
      <c r="H179" s="61" t="s">
        <v>950</v>
      </c>
      <c r="I179" s="61" t="s">
        <v>1406</v>
      </c>
      <c r="J179" s="62" t="s">
        <v>1407</v>
      </c>
      <c r="K179" s="61" t="s">
        <v>255</v>
      </c>
    </row>
    <row r="180" spans="1:11" s="308" customFormat="1" ht="15.5">
      <c r="A180" s="62">
        <v>176</v>
      </c>
      <c r="B180" s="62">
        <v>7</v>
      </c>
      <c r="C180" s="72" t="s">
        <v>628</v>
      </c>
      <c r="D180" s="614" t="str">
        <f>IFERROR(VLOOKUP(C180,Foundation!$C$5:$D$427,2,0),"")</f>
        <v>DA+6</v>
      </c>
      <c r="E180" s="1014" t="s">
        <v>403</v>
      </c>
      <c r="F180" s="716">
        <v>45747</v>
      </c>
      <c r="G180" s="716">
        <v>45747</v>
      </c>
      <c r="H180" s="61" t="s">
        <v>950</v>
      </c>
      <c r="I180" s="61" t="s">
        <v>1406</v>
      </c>
      <c r="J180" s="62" t="s">
        <v>1407</v>
      </c>
      <c r="K180" s="61" t="s">
        <v>255</v>
      </c>
    </row>
    <row r="181" spans="1:11" s="308" customFormat="1" ht="15.5">
      <c r="A181" s="62">
        <v>177</v>
      </c>
      <c r="B181" s="62">
        <v>8</v>
      </c>
      <c r="C181" s="72" t="s">
        <v>74</v>
      </c>
      <c r="D181" s="614" t="str">
        <f>IFERROR(VLOOKUP(C181,Foundation!$C$5:$D$427,2,0),"")</f>
        <v>DB1+6</v>
      </c>
      <c r="E181" s="1014" t="s">
        <v>403</v>
      </c>
      <c r="F181" s="716">
        <v>45747</v>
      </c>
      <c r="G181" s="716">
        <v>45747</v>
      </c>
      <c r="H181" s="61" t="s">
        <v>950</v>
      </c>
      <c r="I181" s="61" t="s">
        <v>1406</v>
      </c>
      <c r="J181" s="62" t="s">
        <v>1407</v>
      </c>
      <c r="K181" s="61" t="s">
        <v>255</v>
      </c>
    </row>
    <row r="182" spans="1:11" s="308" customFormat="1" ht="15.5">
      <c r="A182" s="608">
        <v>178</v>
      </c>
      <c r="B182" s="62">
        <v>1</v>
      </c>
      <c r="C182" s="72" t="s">
        <v>633</v>
      </c>
      <c r="D182" s="614" t="str">
        <f>IFERROR(VLOOKUP(C182,Foundation!$C$5:$D$427,2,0),"")</f>
        <v>DA-1.5</v>
      </c>
      <c r="E182" s="1014" t="s">
        <v>403</v>
      </c>
      <c r="F182" s="716">
        <v>45748</v>
      </c>
      <c r="G182" s="716">
        <v>45748</v>
      </c>
      <c r="H182" s="61" t="s">
        <v>950</v>
      </c>
      <c r="I182" s="61" t="s">
        <v>1406</v>
      </c>
      <c r="J182" s="62" t="s">
        <v>1409</v>
      </c>
      <c r="K182" s="611" t="s">
        <v>255</v>
      </c>
    </row>
    <row r="183" spans="1:11" s="308" customFormat="1" ht="15.5">
      <c r="A183" s="608">
        <v>179</v>
      </c>
      <c r="B183" s="62">
        <v>2</v>
      </c>
      <c r="C183" s="72" t="s">
        <v>634</v>
      </c>
      <c r="D183" s="614" t="str">
        <f>IFERROR(VLOOKUP(C183,Foundation!$C$5:$D$427,2,0),"")</f>
        <v>DA+9</v>
      </c>
      <c r="E183" s="1014" t="s">
        <v>403</v>
      </c>
      <c r="F183" s="716">
        <v>45748</v>
      </c>
      <c r="G183" s="716">
        <v>45748</v>
      </c>
      <c r="H183" s="61" t="s">
        <v>950</v>
      </c>
      <c r="I183" s="61" t="s">
        <v>1406</v>
      </c>
      <c r="J183" s="62" t="s">
        <v>1409</v>
      </c>
      <c r="K183" s="611" t="s">
        <v>255</v>
      </c>
    </row>
    <row r="184" spans="1:11" s="308" customFormat="1" ht="15.5">
      <c r="A184" s="608">
        <v>180</v>
      </c>
      <c r="B184" s="62">
        <v>3</v>
      </c>
      <c r="C184" s="72" t="s">
        <v>635</v>
      </c>
      <c r="D184" s="614" t="str">
        <f>IFERROR(VLOOKUP(C184,Foundation!$C$5:$D$427,2,0),"")</f>
        <v>DA+3</v>
      </c>
      <c r="E184" s="1014" t="s">
        <v>403</v>
      </c>
      <c r="F184" s="716">
        <v>45750</v>
      </c>
      <c r="G184" s="716">
        <v>45750</v>
      </c>
      <c r="H184" s="61" t="s">
        <v>950</v>
      </c>
      <c r="I184" s="61" t="s">
        <v>1406</v>
      </c>
      <c r="J184" s="62" t="s">
        <v>1409</v>
      </c>
      <c r="K184" s="611" t="s">
        <v>255</v>
      </c>
    </row>
    <row r="185" spans="1:11" s="308" customFormat="1" ht="15.5">
      <c r="A185" s="608">
        <v>181</v>
      </c>
      <c r="B185" s="62">
        <v>4</v>
      </c>
      <c r="C185" s="72" t="s">
        <v>636</v>
      </c>
      <c r="D185" s="614" t="str">
        <f>IFERROR(VLOOKUP(C185,Foundation!$C$5:$D$427,2,0),"")</f>
        <v>DA+9</v>
      </c>
      <c r="E185" s="1014" t="s">
        <v>403</v>
      </c>
      <c r="F185" s="716">
        <v>45750</v>
      </c>
      <c r="G185" s="716">
        <v>45750</v>
      </c>
      <c r="H185" s="61" t="s">
        <v>950</v>
      </c>
      <c r="I185" s="61" t="s">
        <v>1406</v>
      </c>
      <c r="J185" s="62" t="s">
        <v>1409</v>
      </c>
      <c r="K185" s="611" t="s">
        <v>255</v>
      </c>
    </row>
    <row r="186" spans="1:11" s="308" customFormat="1" ht="15.5">
      <c r="A186" s="608">
        <v>182</v>
      </c>
      <c r="B186" s="62">
        <v>5</v>
      </c>
      <c r="C186" s="72" t="s">
        <v>638</v>
      </c>
      <c r="D186" s="614" t="str">
        <f>IFERROR(VLOOKUP(C186,Foundation!$C$5:$D$427,2,0),"")</f>
        <v>DB1+9</v>
      </c>
      <c r="E186" s="1014" t="s">
        <v>403</v>
      </c>
      <c r="F186" s="716">
        <v>45750</v>
      </c>
      <c r="G186" s="716">
        <v>45750</v>
      </c>
      <c r="H186" s="61" t="s">
        <v>950</v>
      </c>
      <c r="I186" s="61" t="s">
        <v>1406</v>
      </c>
      <c r="J186" s="62" t="s">
        <v>1409</v>
      </c>
      <c r="K186" s="611" t="s">
        <v>255</v>
      </c>
    </row>
    <row r="187" spans="1:11" s="308" customFormat="1" ht="15.5">
      <c r="A187" s="608">
        <v>183</v>
      </c>
      <c r="B187" s="62">
        <v>6</v>
      </c>
      <c r="C187" s="72" t="s">
        <v>75</v>
      </c>
      <c r="D187" s="614" t="str">
        <f>IFERROR(VLOOKUP(C187,Foundation!$C$5:$D$427,2,0),"")</f>
        <v>DB1+9</v>
      </c>
      <c r="E187" s="1014" t="s">
        <v>403</v>
      </c>
      <c r="F187" s="716">
        <v>45750</v>
      </c>
      <c r="G187" s="716">
        <v>45750</v>
      </c>
      <c r="H187" s="61" t="s">
        <v>950</v>
      </c>
      <c r="I187" s="61" t="s">
        <v>1406</v>
      </c>
      <c r="J187" s="62" t="s">
        <v>1409</v>
      </c>
      <c r="K187" s="611" t="s">
        <v>255</v>
      </c>
    </row>
    <row r="188" spans="1:11" s="308" customFormat="1" ht="15.5">
      <c r="A188" s="608">
        <v>184</v>
      </c>
      <c r="B188" s="62">
        <v>7</v>
      </c>
      <c r="C188" s="72" t="s">
        <v>77</v>
      </c>
      <c r="D188" s="614" t="str">
        <f>IFERROR(VLOOKUP(C188,Foundation!$C$5:$D$427,2,0),"")</f>
        <v>DB2+0</v>
      </c>
      <c r="E188" s="1014" t="s">
        <v>403</v>
      </c>
      <c r="F188" s="716">
        <v>45751</v>
      </c>
      <c r="G188" s="716">
        <f t="shared" ref="G188:G219" si="3">F188</f>
        <v>45751</v>
      </c>
      <c r="H188" s="61" t="s">
        <v>950</v>
      </c>
      <c r="I188" s="61" t="s">
        <v>1406</v>
      </c>
      <c r="J188" s="62" t="s">
        <v>1409</v>
      </c>
      <c r="K188" s="611" t="s">
        <v>255</v>
      </c>
    </row>
    <row r="189" spans="1:11" s="308" customFormat="1" ht="15.5">
      <c r="A189" s="608">
        <v>185</v>
      </c>
      <c r="B189" s="62">
        <v>8</v>
      </c>
      <c r="C189" s="72" t="s">
        <v>171</v>
      </c>
      <c r="D189" s="614" t="str">
        <f>IFERROR(VLOOKUP(C189,Foundation!$C$5:$D$427,2,0),"")</f>
        <v>DA+3</v>
      </c>
      <c r="E189" s="1014" t="s">
        <v>403</v>
      </c>
      <c r="F189" s="716">
        <v>45751</v>
      </c>
      <c r="G189" s="716">
        <f t="shared" si="3"/>
        <v>45751</v>
      </c>
      <c r="H189" s="61" t="s">
        <v>950</v>
      </c>
      <c r="I189" s="61" t="s">
        <v>1406</v>
      </c>
      <c r="J189" s="62" t="s">
        <v>1409</v>
      </c>
      <c r="K189" s="611" t="s">
        <v>255</v>
      </c>
    </row>
    <row r="190" spans="1:11" s="308" customFormat="1" ht="15.5">
      <c r="A190" s="608">
        <v>186</v>
      </c>
      <c r="B190" s="62">
        <v>9</v>
      </c>
      <c r="C190" s="72" t="s">
        <v>172</v>
      </c>
      <c r="D190" s="614" t="str">
        <f>IFERROR(VLOOKUP(C190,Foundation!$C$5:$D$427,2,0),"")</f>
        <v>DA+9</v>
      </c>
      <c r="E190" s="1014" t="s">
        <v>403</v>
      </c>
      <c r="F190" s="716">
        <v>45751</v>
      </c>
      <c r="G190" s="716">
        <f t="shared" si="3"/>
        <v>45751</v>
      </c>
      <c r="H190" s="61" t="s">
        <v>950</v>
      </c>
      <c r="I190" s="61" t="s">
        <v>1406</v>
      </c>
      <c r="J190" s="62" t="s">
        <v>1409</v>
      </c>
      <c r="K190" s="611" t="s">
        <v>255</v>
      </c>
    </row>
    <row r="191" spans="1:11" s="308" customFormat="1" ht="15.5">
      <c r="A191" s="608">
        <v>187</v>
      </c>
      <c r="B191" s="62">
        <v>10</v>
      </c>
      <c r="C191" s="72" t="s">
        <v>1784</v>
      </c>
      <c r="D191" s="614" t="str">
        <f>IFERROR(VLOOKUP(C191,Foundation!$C$5:$D$427,2,0),"")</f>
        <v>DB1+9</v>
      </c>
      <c r="E191" s="1014" t="s">
        <v>403</v>
      </c>
      <c r="F191" s="716">
        <v>45751</v>
      </c>
      <c r="G191" s="716">
        <f t="shared" si="3"/>
        <v>45751</v>
      </c>
      <c r="H191" s="61" t="s">
        <v>950</v>
      </c>
      <c r="I191" s="61" t="s">
        <v>1406</v>
      </c>
      <c r="J191" s="62" t="s">
        <v>1409</v>
      </c>
      <c r="K191" s="611" t="s">
        <v>255</v>
      </c>
    </row>
    <row r="192" spans="1:11" s="308" customFormat="1" ht="15.5">
      <c r="A192" s="608">
        <v>188</v>
      </c>
      <c r="B192" s="62">
        <v>11</v>
      </c>
      <c r="C192" s="72" t="s">
        <v>643</v>
      </c>
      <c r="D192" s="614" t="str">
        <f>IFERROR(VLOOKUP(C192,Foundation!$C$5:$D$427,2,0),"")</f>
        <v>DA+6</v>
      </c>
      <c r="E192" s="1014" t="s">
        <v>403</v>
      </c>
      <c r="F192" s="716">
        <v>45752</v>
      </c>
      <c r="G192" s="716">
        <f t="shared" si="3"/>
        <v>45752</v>
      </c>
      <c r="H192" s="61" t="s">
        <v>950</v>
      </c>
      <c r="I192" s="61" t="s">
        <v>1406</v>
      </c>
      <c r="J192" s="62" t="s">
        <v>1409</v>
      </c>
      <c r="K192" s="611" t="s">
        <v>255</v>
      </c>
    </row>
    <row r="193" spans="1:11" s="308" customFormat="1" ht="15.5">
      <c r="A193" s="608">
        <v>189</v>
      </c>
      <c r="B193" s="62">
        <v>12</v>
      </c>
      <c r="C193" s="72" t="s">
        <v>644</v>
      </c>
      <c r="D193" s="614" t="str">
        <f>IFERROR(VLOOKUP(C193,Foundation!$C$5:$D$427,2,0),"")</f>
        <v>DA-1.5</v>
      </c>
      <c r="E193" s="1014" t="s">
        <v>403</v>
      </c>
      <c r="F193" s="716">
        <v>45752</v>
      </c>
      <c r="G193" s="716">
        <f t="shared" si="3"/>
        <v>45752</v>
      </c>
      <c r="H193" s="61" t="s">
        <v>950</v>
      </c>
      <c r="I193" s="61" t="s">
        <v>1406</v>
      </c>
      <c r="J193" s="62" t="s">
        <v>1409</v>
      </c>
      <c r="K193" s="611" t="s">
        <v>255</v>
      </c>
    </row>
    <row r="194" spans="1:11" s="308" customFormat="1" ht="15.5">
      <c r="A194" s="608">
        <v>190</v>
      </c>
      <c r="B194" s="62">
        <v>13</v>
      </c>
      <c r="C194" s="72" t="s">
        <v>645</v>
      </c>
      <c r="D194" s="614" t="str">
        <f>IFERROR(VLOOKUP(C194,Foundation!$C$5:$D$427,2,0),"")</f>
        <v>DA+0</v>
      </c>
      <c r="E194" s="1014" t="s">
        <v>403</v>
      </c>
      <c r="F194" s="716">
        <v>45752</v>
      </c>
      <c r="G194" s="716">
        <f t="shared" si="3"/>
        <v>45752</v>
      </c>
      <c r="H194" s="61" t="s">
        <v>950</v>
      </c>
      <c r="I194" s="61" t="s">
        <v>1406</v>
      </c>
      <c r="J194" s="62" t="s">
        <v>1409</v>
      </c>
      <c r="K194" s="611" t="s">
        <v>255</v>
      </c>
    </row>
    <row r="195" spans="1:11" s="308" customFormat="1" ht="15.5">
      <c r="A195" s="608">
        <v>191</v>
      </c>
      <c r="B195" s="62">
        <v>14</v>
      </c>
      <c r="C195" s="72" t="s">
        <v>647</v>
      </c>
      <c r="D195" s="614" t="str">
        <f>IFERROR(VLOOKUP(C195,Foundation!$C$5:$D$427,2,0),"")</f>
        <v>DA+3</v>
      </c>
      <c r="E195" s="1014" t="s">
        <v>403</v>
      </c>
      <c r="F195" s="716">
        <v>45752</v>
      </c>
      <c r="G195" s="716">
        <f t="shared" si="3"/>
        <v>45752</v>
      </c>
      <c r="H195" s="61" t="s">
        <v>950</v>
      </c>
      <c r="I195" s="61" t="s">
        <v>1406</v>
      </c>
      <c r="J195" s="62" t="s">
        <v>1409</v>
      </c>
      <c r="K195" s="611" t="s">
        <v>255</v>
      </c>
    </row>
    <row r="196" spans="1:11" s="308" customFormat="1" ht="15.5">
      <c r="A196" s="608">
        <v>192</v>
      </c>
      <c r="B196" s="62">
        <v>15</v>
      </c>
      <c r="C196" s="72" t="s">
        <v>648</v>
      </c>
      <c r="D196" s="614" t="str">
        <f>IFERROR(VLOOKUP(C196,Foundation!$C$5:$D$427,2,0),"")</f>
        <v>DA+0</v>
      </c>
      <c r="E196" s="1014" t="s">
        <v>403</v>
      </c>
      <c r="F196" s="716">
        <v>45752</v>
      </c>
      <c r="G196" s="716">
        <f t="shared" si="3"/>
        <v>45752</v>
      </c>
      <c r="H196" s="61" t="s">
        <v>950</v>
      </c>
      <c r="I196" s="61" t="s">
        <v>1406</v>
      </c>
      <c r="J196" s="62" t="s">
        <v>1409</v>
      </c>
      <c r="K196" s="611" t="s">
        <v>255</v>
      </c>
    </row>
    <row r="197" spans="1:11" s="308" customFormat="1" ht="15.5">
      <c r="A197" s="608">
        <v>193</v>
      </c>
      <c r="B197" s="62">
        <v>16</v>
      </c>
      <c r="C197" s="72" t="s">
        <v>649</v>
      </c>
      <c r="D197" s="614" t="str">
        <f>IFERROR(VLOOKUP(C197,Foundation!$C$5:$D$427,2,0),"")</f>
        <v>DA+9</v>
      </c>
      <c r="E197" s="1014" t="s">
        <v>403</v>
      </c>
      <c r="F197" s="716">
        <v>45752</v>
      </c>
      <c r="G197" s="716">
        <f t="shared" si="3"/>
        <v>45752</v>
      </c>
      <c r="H197" s="61" t="s">
        <v>950</v>
      </c>
      <c r="I197" s="61" t="s">
        <v>1406</v>
      </c>
      <c r="J197" s="62" t="s">
        <v>1409</v>
      </c>
      <c r="K197" s="611" t="s">
        <v>255</v>
      </c>
    </row>
    <row r="198" spans="1:11" s="308" customFormat="1" ht="15.5">
      <c r="A198" s="608">
        <v>194</v>
      </c>
      <c r="B198" s="62">
        <v>17</v>
      </c>
      <c r="C198" s="72" t="s">
        <v>1238</v>
      </c>
      <c r="D198" s="614" t="str">
        <f>IFERROR(VLOOKUP(C198,Foundation!$C$5:$D$427,2,0),"")</f>
        <v>DA+3</v>
      </c>
      <c r="E198" s="1014" t="s">
        <v>403</v>
      </c>
      <c r="F198" s="716">
        <v>45753</v>
      </c>
      <c r="G198" s="716">
        <f t="shared" si="3"/>
        <v>45753</v>
      </c>
      <c r="H198" s="61" t="s">
        <v>950</v>
      </c>
      <c r="I198" s="61" t="s">
        <v>1406</v>
      </c>
      <c r="J198" s="62" t="s">
        <v>1409</v>
      </c>
      <c r="K198" s="611" t="s">
        <v>255</v>
      </c>
    </row>
    <row r="199" spans="1:11" s="308" customFormat="1" ht="15.5">
      <c r="A199" s="608">
        <v>195</v>
      </c>
      <c r="B199" s="62">
        <v>18</v>
      </c>
      <c r="C199" s="72" t="s">
        <v>1240</v>
      </c>
      <c r="D199" s="614" t="str">
        <f>IFERROR(VLOOKUP(C199,Foundation!$C$5:$D$427,2,0),"")</f>
        <v>DA+3</v>
      </c>
      <c r="E199" s="1014" t="s">
        <v>403</v>
      </c>
      <c r="F199" s="716">
        <v>45753</v>
      </c>
      <c r="G199" s="716">
        <f t="shared" si="3"/>
        <v>45753</v>
      </c>
      <c r="H199" s="61" t="s">
        <v>950</v>
      </c>
      <c r="I199" s="61" t="s">
        <v>1406</v>
      </c>
      <c r="J199" s="62" t="s">
        <v>1409</v>
      </c>
      <c r="K199" s="611" t="s">
        <v>255</v>
      </c>
    </row>
    <row r="200" spans="1:11" s="308" customFormat="1" ht="15.5">
      <c r="A200" s="608">
        <v>196</v>
      </c>
      <c r="B200" s="62">
        <v>19</v>
      </c>
      <c r="C200" s="72" t="s">
        <v>1241</v>
      </c>
      <c r="D200" s="614" t="str">
        <f>IFERROR(VLOOKUP(C200,Foundation!$C$5:$D$427,2,0),"")</f>
        <v>DA+3</v>
      </c>
      <c r="E200" s="1014" t="s">
        <v>403</v>
      </c>
      <c r="F200" s="716">
        <v>45753</v>
      </c>
      <c r="G200" s="716">
        <f t="shared" si="3"/>
        <v>45753</v>
      </c>
      <c r="H200" s="61" t="s">
        <v>950</v>
      </c>
      <c r="I200" s="61" t="s">
        <v>1406</v>
      </c>
      <c r="J200" s="62" t="s">
        <v>1409</v>
      </c>
      <c r="K200" s="611" t="s">
        <v>255</v>
      </c>
    </row>
    <row r="201" spans="1:11" s="308" customFormat="1" ht="15.5">
      <c r="A201" s="625">
        <v>197</v>
      </c>
      <c r="B201" s="625">
        <v>20</v>
      </c>
      <c r="C201" s="975" t="s">
        <v>1242</v>
      </c>
      <c r="D201" s="1013" t="str">
        <f>IFERROR(VLOOKUP(C201,Foundation!$C$5:$D$427,2,0),"")</f>
        <v>DA+0</v>
      </c>
      <c r="E201" s="1015" t="s">
        <v>403</v>
      </c>
      <c r="F201" s="1009">
        <v>45753</v>
      </c>
      <c r="G201" s="1009">
        <f t="shared" si="3"/>
        <v>45753</v>
      </c>
      <c r="H201" s="664" t="s">
        <v>950</v>
      </c>
      <c r="I201" s="664" t="s">
        <v>1406</v>
      </c>
      <c r="J201" s="625" t="s">
        <v>1409</v>
      </c>
      <c r="K201" s="664" t="s">
        <v>255</v>
      </c>
    </row>
    <row r="202" spans="1:11" s="308" customFormat="1" ht="15.5">
      <c r="A202" s="608">
        <v>198</v>
      </c>
      <c r="B202" s="62">
        <v>21</v>
      </c>
      <c r="C202" s="72" t="s">
        <v>1243</v>
      </c>
      <c r="D202" s="614" t="str">
        <f>IFERROR(VLOOKUP(C202,Foundation!$C$5:$D$427,2,0),"")</f>
        <v>DA+0</v>
      </c>
      <c r="E202" s="1014" t="s">
        <v>403</v>
      </c>
      <c r="F202" s="716">
        <v>45753</v>
      </c>
      <c r="G202" s="716">
        <f t="shared" si="3"/>
        <v>45753</v>
      </c>
      <c r="H202" s="61" t="s">
        <v>950</v>
      </c>
      <c r="I202" s="61" t="s">
        <v>1406</v>
      </c>
      <c r="J202" s="62" t="s">
        <v>1409</v>
      </c>
      <c r="K202" s="611" t="s">
        <v>255</v>
      </c>
    </row>
    <row r="203" spans="1:11" s="308" customFormat="1" ht="15.5">
      <c r="A203" s="608">
        <v>199</v>
      </c>
      <c r="B203" s="62">
        <v>22</v>
      </c>
      <c r="C203" s="72" t="s">
        <v>625</v>
      </c>
      <c r="D203" s="614" t="str">
        <f>IFERROR(VLOOKUP(C203,Foundation!$C$5:$D$427,2,0),"")</f>
        <v>DA+1.5</v>
      </c>
      <c r="E203" s="1014" t="s">
        <v>403</v>
      </c>
      <c r="F203" s="716">
        <v>45754</v>
      </c>
      <c r="G203" s="716">
        <f t="shared" si="3"/>
        <v>45754</v>
      </c>
      <c r="H203" s="61" t="s">
        <v>950</v>
      </c>
      <c r="I203" s="61" t="s">
        <v>1406</v>
      </c>
      <c r="J203" s="62" t="s">
        <v>1409</v>
      </c>
      <c r="K203" s="611" t="s">
        <v>255</v>
      </c>
    </row>
    <row r="204" spans="1:11" s="308" customFormat="1" ht="15.5">
      <c r="A204" s="608">
        <v>200</v>
      </c>
      <c r="B204" s="62">
        <v>23</v>
      </c>
      <c r="C204" s="72" t="s">
        <v>609</v>
      </c>
      <c r="D204" s="614" t="str">
        <f>IFERROR(VLOOKUP(C204,Foundation!$C$5:$D$427,2,0),"")</f>
        <v>DA+3</v>
      </c>
      <c r="E204" s="1014" t="s">
        <v>403</v>
      </c>
      <c r="F204" s="716">
        <v>45754</v>
      </c>
      <c r="G204" s="716">
        <f t="shared" si="3"/>
        <v>45754</v>
      </c>
      <c r="H204" s="61" t="s">
        <v>950</v>
      </c>
      <c r="I204" s="61" t="s">
        <v>1406</v>
      </c>
      <c r="J204" s="62" t="s">
        <v>1409</v>
      </c>
      <c r="K204" s="611" t="s">
        <v>255</v>
      </c>
    </row>
    <row r="205" spans="1:11" s="308" customFormat="1" ht="15.5">
      <c r="A205" s="608">
        <v>201</v>
      </c>
      <c r="B205" s="62">
        <v>24</v>
      </c>
      <c r="C205" s="719" t="s">
        <v>610</v>
      </c>
      <c r="D205" s="614" t="str">
        <f>IFERROR(VLOOKUP(C205,Foundation!$C$5:$D$427,2,0),"")</f>
        <v>DA+1.5</v>
      </c>
      <c r="E205" s="1014" t="s">
        <v>403</v>
      </c>
      <c r="F205" s="716">
        <v>45754</v>
      </c>
      <c r="G205" s="716">
        <f t="shared" si="3"/>
        <v>45754</v>
      </c>
      <c r="H205" s="61" t="s">
        <v>950</v>
      </c>
      <c r="I205" s="61" t="s">
        <v>1406</v>
      </c>
      <c r="J205" s="62" t="s">
        <v>1409</v>
      </c>
      <c r="K205" s="611" t="s">
        <v>255</v>
      </c>
    </row>
    <row r="206" spans="1:11" s="308" customFormat="1" ht="15.5">
      <c r="A206" s="625">
        <v>202</v>
      </c>
      <c r="B206" s="625">
        <v>25</v>
      </c>
      <c r="C206" s="975" t="s">
        <v>370</v>
      </c>
      <c r="D206" s="1013" t="str">
        <f>IFERROR(VLOOKUP(C206,Foundation!$C$5:$D$427,2,0),"")</f>
        <v>DA+3</v>
      </c>
      <c r="E206" s="1015" t="s">
        <v>403</v>
      </c>
      <c r="F206" s="1009">
        <v>45755</v>
      </c>
      <c r="G206" s="1009">
        <f t="shared" si="3"/>
        <v>45755</v>
      </c>
      <c r="H206" s="664" t="s">
        <v>950</v>
      </c>
      <c r="I206" s="664" t="s">
        <v>1406</v>
      </c>
      <c r="J206" s="625" t="s">
        <v>1409</v>
      </c>
      <c r="K206" s="664" t="s">
        <v>255</v>
      </c>
    </row>
    <row r="207" spans="1:11" s="308" customFormat="1" ht="15.5">
      <c r="A207" s="625">
        <v>203</v>
      </c>
      <c r="B207" s="625">
        <v>26</v>
      </c>
      <c r="C207" s="975" t="s">
        <v>406</v>
      </c>
      <c r="D207" s="1013" t="str">
        <f>IFERROR(VLOOKUP(C207,Foundation!$C$5:$D$427,2,0),"")</f>
        <v>DA+9</v>
      </c>
      <c r="E207" s="1015" t="s">
        <v>403</v>
      </c>
      <c r="F207" s="1009">
        <v>45755</v>
      </c>
      <c r="G207" s="1009">
        <f t="shared" si="3"/>
        <v>45755</v>
      </c>
      <c r="H207" s="664" t="s">
        <v>950</v>
      </c>
      <c r="I207" s="664" t="s">
        <v>1406</v>
      </c>
      <c r="J207" s="625" t="s">
        <v>1409</v>
      </c>
      <c r="K207" s="664" t="s">
        <v>255</v>
      </c>
    </row>
    <row r="208" spans="1:11" s="308" customFormat="1" ht="15.5">
      <c r="A208" s="625">
        <v>204</v>
      </c>
      <c r="B208" s="625">
        <v>27</v>
      </c>
      <c r="C208" s="975" t="s">
        <v>407</v>
      </c>
      <c r="D208" s="1013" t="str">
        <f>IFERROR(VLOOKUP(C208,Foundation!$C$5:$D$427,2,0),"")</f>
        <v>DA+0</v>
      </c>
      <c r="E208" s="1015" t="s">
        <v>403</v>
      </c>
      <c r="F208" s="1009">
        <v>45755</v>
      </c>
      <c r="G208" s="1009">
        <f t="shared" si="3"/>
        <v>45755</v>
      </c>
      <c r="H208" s="664" t="s">
        <v>950</v>
      </c>
      <c r="I208" s="664" t="s">
        <v>1406</v>
      </c>
      <c r="J208" s="625" t="s">
        <v>1409</v>
      </c>
      <c r="K208" s="664" t="s">
        <v>255</v>
      </c>
    </row>
    <row r="209" spans="1:11" s="308" customFormat="1" ht="15.5">
      <c r="A209" s="625">
        <v>205</v>
      </c>
      <c r="B209" s="625">
        <v>28</v>
      </c>
      <c r="C209" s="975" t="s">
        <v>264</v>
      </c>
      <c r="D209" s="1013" t="str">
        <f>IFERROR(VLOOKUP(C209,Foundation!$C$5:$D$427,2,0),"")</f>
        <v>DB1+6</v>
      </c>
      <c r="E209" s="1015" t="s">
        <v>403</v>
      </c>
      <c r="F209" s="1009">
        <v>45756</v>
      </c>
      <c r="G209" s="1009">
        <f t="shared" si="3"/>
        <v>45756</v>
      </c>
      <c r="H209" s="664" t="s">
        <v>950</v>
      </c>
      <c r="I209" s="664" t="s">
        <v>993</v>
      </c>
      <c r="J209" s="625" t="s">
        <v>1409</v>
      </c>
      <c r="K209" s="664" t="s">
        <v>255</v>
      </c>
    </row>
    <row r="210" spans="1:11" s="308" customFormat="1" ht="15.5">
      <c r="A210" s="625">
        <v>206</v>
      </c>
      <c r="B210" s="625">
        <v>29</v>
      </c>
      <c r="C210" s="975" t="s">
        <v>408</v>
      </c>
      <c r="D210" s="1013" t="str">
        <f>IFERROR(VLOOKUP(C210,Foundation!$C$5:$D$427,2,0),"")</f>
        <v>DA+0</v>
      </c>
      <c r="E210" s="1015" t="s">
        <v>403</v>
      </c>
      <c r="F210" s="1009">
        <v>45756</v>
      </c>
      <c r="G210" s="1009">
        <f t="shared" si="3"/>
        <v>45756</v>
      </c>
      <c r="H210" s="664" t="s">
        <v>950</v>
      </c>
      <c r="I210" s="664" t="s">
        <v>993</v>
      </c>
      <c r="J210" s="625" t="s">
        <v>1409</v>
      </c>
      <c r="K210" s="664" t="s">
        <v>255</v>
      </c>
    </row>
    <row r="211" spans="1:11" s="308" customFormat="1" ht="15.5">
      <c r="A211" s="625">
        <v>207</v>
      </c>
      <c r="B211" s="625">
        <v>30</v>
      </c>
      <c r="C211" s="975" t="s">
        <v>411</v>
      </c>
      <c r="D211" s="1013" t="str">
        <f>IFERROR(VLOOKUP(C211,Foundation!$C$5:$D$427,2,0),"")</f>
        <v>DA+3</v>
      </c>
      <c r="E211" s="1015" t="s">
        <v>403</v>
      </c>
      <c r="F211" s="1009">
        <v>45756</v>
      </c>
      <c r="G211" s="1009">
        <f t="shared" si="3"/>
        <v>45756</v>
      </c>
      <c r="H211" s="664" t="s">
        <v>950</v>
      </c>
      <c r="I211" s="664" t="s">
        <v>993</v>
      </c>
      <c r="J211" s="625" t="s">
        <v>1409</v>
      </c>
      <c r="K211" s="664" t="s">
        <v>255</v>
      </c>
    </row>
    <row r="212" spans="1:11" s="308" customFormat="1" ht="15.5">
      <c r="A212" s="608">
        <v>208</v>
      </c>
      <c r="B212" s="62">
        <v>31</v>
      </c>
      <c r="C212" s="72" t="s">
        <v>262</v>
      </c>
      <c r="D212" s="614" t="str">
        <f>IFERROR(VLOOKUP(C212,Foundation!$C$5:$D$427,2,0),"")</f>
        <v>DB1+0</v>
      </c>
      <c r="E212" s="1014" t="s">
        <v>403</v>
      </c>
      <c r="F212" s="716">
        <v>45757</v>
      </c>
      <c r="G212" s="716">
        <f t="shared" si="3"/>
        <v>45757</v>
      </c>
      <c r="H212" s="61" t="s">
        <v>1177</v>
      </c>
      <c r="I212" s="61" t="s">
        <v>1428</v>
      </c>
      <c r="J212" s="62" t="s">
        <v>1409</v>
      </c>
      <c r="K212" s="611" t="s">
        <v>255</v>
      </c>
    </row>
    <row r="213" spans="1:11" s="308" customFormat="1" ht="15.5">
      <c r="A213" s="608">
        <v>209</v>
      </c>
      <c r="B213" s="62">
        <v>32</v>
      </c>
      <c r="C213" s="719" t="s">
        <v>392</v>
      </c>
      <c r="D213" s="614" t="str">
        <f>IFERROR(VLOOKUP(C213,Foundation!$C$5:$D$427,2,0),"")</f>
        <v>DA+9</v>
      </c>
      <c r="E213" s="1014" t="s">
        <v>403</v>
      </c>
      <c r="F213" s="716">
        <v>45757</v>
      </c>
      <c r="G213" s="716">
        <f t="shared" si="3"/>
        <v>45757</v>
      </c>
      <c r="H213" s="61" t="s">
        <v>1177</v>
      </c>
      <c r="I213" s="61" t="s">
        <v>1428</v>
      </c>
      <c r="J213" s="62" t="s">
        <v>1409</v>
      </c>
      <c r="K213" s="611" t="s">
        <v>255</v>
      </c>
    </row>
    <row r="214" spans="1:11" s="308" customFormat="1" ht="15.5">
      <c r="A214" s="608">
        <v>210</v>
      </c>
      <c r="B214" s="62">
        <v>33</v>
      </c>
      <c r="C214" s="719" t="s">
        <v>393</v>
      </c>
      <c r="D214" s="614" t="str">
        <f>IFERROR(VLOOKUP(C214,Foundation!$C$5:$D$427,2,0),"")</f>
        <v>DA+6</v>
      </c>
      <c r="E214" s="1014" t="s">
        <v>403</v>
      </c>
      <c r="F214" s="716">
        <v>45757</v>
      </c>
      <c r="G214" s="716">
        <f t="shared" si="3"/>
        <v>45757</v>
      </c>
      <c r="H214" s="61" t="s">
        <v>1177</v>
      </c>
      <c r="I214" s="61" t="s">
        <v>1428</v>
      </c>
      <c r="J214" s="62" t="s">
        <v>1409</v>
      </c>
      <c r="K214" s="611" t="s">
        <v>255</v>
      </c>
    </row>
    <row r="215" spans="1:11" s="308" customFormat="1" ht="15.5">
      <c r="A215" s="608">
        <v>211</v>
      </c>
      <c r="B215" s="62">
        <v>34</v>
      </c>
      <c r="C215" s="719" t="s">
        <v>491</v>
      </c>
      <c r="D215" s="614" t="str">
        <f>IFERROR(VLOOKUP(C215,Foundation!$C$5:$D$427,2,0),"")</f>
        <v>DB1+6</v>
      </c>
      <c r="E215" s="1014" t="s">
        <v>403</v>
      </c>
      <c r="F215" s="716">
        <v>45758</v>
      </c>
      <c r="G215" s="716">
        <f t="shared" si="3"/>
        <v>45758</v>
      </c>
      <c r="H215" s="61" t="s">
        <v>1177</v>
      </c>
      <c r="I215" s="61" t="s">
        <v>1428</v>
      </c>
      <c r="J215" s="62" t="s">
        <v>1409</v>
      </c>
      <c r="K215" s="611" t="s">
        <v>255</v>
      </c>
    </row>
    <row r="216" spans="1:11" s="308" customFormat="1" ht="15.5">
      <c r="A216" s="608">
        <v>212</v>
      </c>
      <c r="B216" s="62">
        <v>35</v>
      </c>
      <c r="C216" s="719" t="s">
        <v>472</v>
      </c>
      <c r="D216" s="614" t="str">
        <f>IFERROR(VLOOKUP(C216,Foundation!$C$5:$D$427,2,0),"")</f>
        <v>DA+3</v>
      </c>
      <c r="E216" s="1014" t="s">
        <v>403</v>
      </c>
      <c r="F216" s="716">
        <v>45758</v>
      </c>
      <c r="G216" s="716">
        <f t="shared" si="3"/>
        <v>45758</v>
      </c>
      <c r="H216" s="61" t="s">
        <v>1177</v>
      </c>
      <c r="I216" s="61" t="s">
        <v>1428</v>
      </c>
      <c r="J216" s="62" t="s">
        <v>1409</v>
      </c>
      <c r="K216" s="611" t="s">
        <v>255</v>
      </c>
    </row>
    <row r="217" spans="1:11" s="308" customFormat="1" ht="15.5">
      <c r="A217" s="608">
        <v>213</v>
      </c>
      <c r="B217" s="62">
        <v>36</v>
      </c>
      <c r="C217" s="719" t="s">
        <v>584</v>
      </c>
      <c r="D217" s="614" t="str">
        <f>IFERROR(VLOOKUP(C217,Foundation!$C$5:$D$427,2,0),"")</f>
        <v>DA-3</v>
      </c>
      <c r="E217" s="1014" t="s">
        <v>403</v>
      </c>
      <c r="F217" s="716">
        <v>45758</v>
      </c>
      <c r="G217" s="716">
        <f t="shared" si="3"/>
        <v>45758</v>
      </c>
      <c r="H217" s="61" t="s">
        <v>950</v>
      </c>
      <c r="I217" s="61" t="s">
        <v>660</v>
      </c>
      <c r="J217" s="62" t="s">
        <v>1409</v>
      </c>
      <c r="K217" s="611" t="s">
        <v>255</v>
      </c>
    </row>
    <row r="218" spans="1:11" s="308" customFormat="1" ht="15.5">
      <c r="A218" s="608">
        <v>214</v>
      </c>
      <c r="B218" s="62">
        <v>37</v>
      </c>
      <c r="C218" s="719" t="s">
        <v>68</v>
      </c>
      <c r="D218" s="614" t="str">
        <f>IFERROR(VLOOKUP(C218,Foundation!$C$5:$D$427,2,0),"")</f>
        <v>DA+9</v>
      </c>
      <c r="E218" s="1014" t="s">
        <v>403</v>
      </c>
      <c r="F218" s="716">
        <v>45758</v>
      </c>
      <c r="G218" s="716">
        <f t="shared" si="3"/>
        <v>45758</v>
      </c>
      <c r="H218" s="61" t="s">
        <v>950</v>
      </c>
      <c r="I218" s="61" t="s">
        <v>660</v>
      </c>
      <c r="J218" s="62" t="s">
        <v>1409</v>
      </c>
      <c r="K218" s="611" t="s">
        <v>255</v>
      </c>
    </row>
    <row r="219" spans="1:11" s="308" customFormat="1" ht="15.5">
      <c r="A219" s="608">
        <v>215</v>
      </c>
      <c r="B219" s="62">
        <v>38</v>
      </c>
      <c r="C219" s="719" t="s">
        <v>69</v>
      </c>
      <c r="D219" s="614" t="str">
        <f>IFERROR(VLOOKUP(C219,Foundation!$C$5:$D$427,2,0),"")</f>
        <v>DA+9</v>
      </c>
      <c r="E219" s="1014" t="s">
        <v>403</v>
      </c>
      <c r="F219" s="716">
        <v>45758</v>
      </c>
      <c r="G219" s="716">
        <f t="shared" si="3"/>
        <v>45758</v>
      </c>
      <c r="H219" s="61" t="s">
        <v>950</v>
      </c>
      <c r="I219" s="61" t="s">
        <v>660</v>
      </c>
      <c r="J219" s="62" t="s">
        <v>1409</v>
      </c>
      <c r="K219" s="611" t="s">
        <v>255</v>
      </c>
    </row>
    <row r="220" spans="1:11" s="308" customFormat="1" ht="15.5">
      <c r="A220" s="608">
        <v>216</v>
      </c>
      <c r="B220" s="62">
        <v>39</v>
      </c>
      <c r="C220" s="719" t="s">
        <v>67</v>
      </c>
      <c r="D220" s="614" t="str">
        <f>IFERROR(VLOOKUP(C220,Foundation!$C$5:$D$427,2,0),"")</f>
        <v>DB1+9</v>
      </c>
      <c r="E220" s="1014" t="s">
        <v>403</v>
      </c>
      <c r="F220" s="716">
        <v>45759</v>
      </c>
      <c r="G220" s="716">
        <f t="shared" ref="G220:G251" si="4">F220</f>
        <v>45759</v>
      </c>
      <c r="H220" s="61" t="s">
        <v>950</v>
      </c>
      <c r="I220" s="61" t="s">
        <v>660</v>
      </c>
      <c r="J220" s="62" t="s">
        <v>1409</v>
      </c>
      <c r="K220" s="611" t="s">
        <v>255</v>
      </c>
    </row>
    <row r="221" spans="1:11" s="308" customFormat="1" ht="15.5">
      <c r="A221" s="608">
        <v>217</v>
      </c>
      <c r="B221" s="62">
        <v>40</v>
      </c>
      <c r="C221" s="719" t="s">
        <v>875</v>
      </c>
      <c r="D221" s="614" t="str">
        <f>IFERROR(VLOOKUP(C221,Foundation!$C$5:$D$427,2,0),"")</f>
        <v>DA+9</v>
      </c>
      <c r="E221" s="1014" t="s">
        <v>403</v>
      </c>
      <c r="F221" s="716">
        <v>45759</v>
      </c>
      <c r="G221" s="716">
        <f t="shared" si="4"/>
        <v>45759</v>
      </c>
      <c r="H221" s="61" t="s">
        <v>950</v>
      </c>
      <c r="I221" s="61" t="s">
        <v>660</v>
      </c>
      <c r="J221" s="62" t="s">
        <v>1409</v>
      </c>
      <c r="K221" s="611" t="s">
        <v>255</v>
      </c>
    </row>
    <row r="222" spans="1:11" s="308" customFormat="1" ht="15.5">
      <c r="A222" s="608">
        <v>218</v>
      </c>
      <c r="B222" s="62">
        <v>41</v>
      </c>
      <c r="C222" s="719" t="s">
        <v>876</v>
      </c>
      <c r="D222" s="614" t="str">
        <f>IFERROR(VLOOKUP(C222,Foundation!$C$5:$D$427,2,0),"")</f>
        <v>DA+9</v>
      </c>
      <c r="E222" s="1014" t="s">
        <v>403</v>
      </c>
      <c r="F222" s="716">
        <v>45759</v>
      </c>
      <c r="G222" s="716">
        <f t="shared" si="4"/>
        <v>45759</v>
      </c>
      <c r="H222" s="61" t="s">
        <v>950</v>
      </c>
      <c r="I222" s="61" t="s">
        <v>660</v>
      </c>
      <c r="J222" s="62" t="s">
        <v>1409</v>
      </c>
      <c r="K222" s="611" t="s">
        <v>255</v>
      </c>
    </row>
    <row r="223" spans="1:11" s="308" customFormat="1" ht="15.5">
      <c r="A223" s="608">
        <v>219</v>
      </c>
      <c r="B223" s="62">
        <v>42</v>
      </c>
      <c r="C223" s="719" t="s">
        <v>877</v>
      </c>
      <c r="D223" s="614" t="str">
        <f>IFERROR(VLOOKUP(C223,Foundation!$C$5:$D$427,2,0),"")</f>
        <v>DA+3</v>
      </c>
      <c r="E223" s="1014" t="s">
        <v>403</v>
      </c>
      <c r="F223" s="716">
        <v>45759</v>
      </c>
      <c r="G223" s="716">
        <f t="shared" si="4"/>
        <v>45759</v>
      </c>
      <c r="H223" s="61" t="s">
        <v>950</v>
      </c>
      <c r="I223" s="61" t="s">
        <v>660</v>
      </c>
      <c r="J223" s="62" t="s">
        <v>1409</v>
      </c>
      <c r="K223" s="611" t="s">
        <v>255</v>
      </c>
    </row>
    <row r="224" spans="1:11" s="308" customFormat="1" ht="15.5">
      <c r="A224" s="608">
        <v>220</v>
      </c>
      <c r="B224" s="62">
        <v>43</v>
      </c>
      <c r="C224" s="719" t="s">
        <v>469</v>
      </c>
      <c r="D224" s="614" t="str">
        <f>IFERROR(VLOOKUP(C224,Foundation!$C$5:$D$427,2,0),"")</f>
        <v>DA+9</v>
      </c>
      <c r="E224" s="1014" t="s">
        <v>403</v>
      </c>
      <c r="F224" s="716">
        <v>45759</v>
      </c>
      <c r="G224" s="716">
        <f t="shared" si="4"/>
        <v>45759</v>
      </c>
      <c r="H224" s="61" t="s">
        <v>1177</v>
      </c>
      <c r="I224" s="61" t="s">
        <v>1428</v>
      </c>
      <c r="J224" s="62" t="s">
        <v>1431</v>
      </c>
      <c r="K224" s="611" t="s">
        <v>255</v>
      </c>
    </row>
    <row r="225" spans="1:11" s="308" customFormat="1" ht="15.5">
      <c r="A225" s="608">
        <v>221</v>
      </c>
      <c r="B225" s="62">
        <v>44</v>
      </c>
      <c r="C225" s="719" t="s">
        <v>461</v>
      </c>
      <c r="D225" s="614" t="str">
        <f>IFERROR(VLOOKUP(C225,Foundation!$C$5:$D$427,2,0),"")</f>
        <v>DA+6</v>
      </c>
      <c r="E225" s="1014" t="s">
        <v>403</v>
      </c>
      <c r="F225" s="716">
        <v>45759</v>
      </c>
      <c r="G225" s="716">
        <f t="shared" si="4"/>
        <v>45759</v>
      </c>
      <c r="H225" s="61" t="s">
        <v>1177</v>
      </c>
      <c r="I225" s="61" t="s">
        <v>1428</v>
      </c>
      <c r="J225" s="62" t="s">
        <v>1432</v>
      </c>
      <c r="K225" s="611" t="s">
        <v>255</v>
      </c>
    </row>
    <row r="226" spans="1:11" s="308" customFormat="1" ht="15.5">
      <c r="A226" s="608">
        <v>222</v>
      </c>
      <c r="B226" s="62">
        <v>45</v>
      </c>
      <c r="C226" s="719" t="s">
        <v>672</v>
      </c>
      <c r="D226" s="614" t="str">
        <f>IFERROR(VLOOKUP(C226,Foundation!$C$5:$D$427,2,0),"")</f>
        <v>DB1+12</v>
      </c>
      <c r="E226" s="1014" t="s">
        <v>403</v>
      </c>
      <c r="F226" s="716">
        <v>45759</v>
      </c>
      <c r="G226" s="716">
        <f t="shared" si="4"/>
        <v>45759</v>
      </c>
      <c r="H226" s="61" t="s">
        <v>1177</v>
      </c>
      <c r="I226" s="61" t="s">
        <v>1428</v>
      </c>
      <c r="J226" s="62" t="s">
        <v>1433</v>
      </c>
      <c r="K226" s="611" t="s">
        <v>255</v>
      </c>
    </row>
    <row r="227" spans="1:11" ht="15.5">
      <c r="A227" s="608">
        <v>223</v>
      </c>
      <c r="B227" s="3">
        <v>46</v>
      </c>
      <c r="C227" s="719" t="s">
        <v>774</v>
      </c>
      <c r="D227" s="614" t="str">
        <f>IFERROR(VLOOKUP(C227,Foundation!$C$5:$D$427,2,0),"")</f>
        <v>DA+6</v>
      </c>
      <c r="E227" s="1014" t="s">
        <v>403</v>
      </c>
      <c r="F227" s="35">
        <v>45760</v>
      </c>
      <c r="G227" s="716">
        <f t="shared" si="4"/>
        <v>45760</v>
      </c>
      <c r="H227" s="61" t="s">
        <v>950</v>
      </c>
      <c r="I227" s="61" t="s">
        <v>660</v>
      </c>
      <c r="J227" s="62" t="s">
        <v>1409</v>
      </c>
      <c r="K227" s="611" t="s">
        <v>255</v>
      </c>
    </row>
    <row r="228" spans="1:11" ht="15.5">
      <c r="A228" s="608">
        <v>224</v>
      </c>
      <c r="B228" s="3">
        <v>47</v>
      </c>
      <c r="C228" s="719" t="s">
        <v>898</v>
      </c>
      <c r="D228" s="614" t="str">
        <f>IFERROR(VLOOKUP(C228,Foundation!$C$5:$D$427,2,0),"")</f>
        <v>DB1+0</v>
      </c>
      <c r="E228" s="1014" t="s">
        <v>403</v>
      </c>
      <c r="F228" s="35">
        <v>45760</v>
      </c>
      <c r="G228" s="716">
        <f t="shared" si="4"/>
        <v>45760</v>
      </c>
      <c r="H228" s="61" t="s">
        <v>950</v>
      </c>
      <c r="I228" s="61" t="s">
        <v>660</v>
      </c>
      <c r="J228" s="62" t="s">
        <v>1409</v>
      </c>
      <c r="K228" s="611" t="s">
        <v>255</v>
      </c>
    </row>
    <row r="229" spans="1:11" ht="15.5">
      <c r="A229" s="608">
        <v>225</v>
      </c>
      <c r="B229" s="3">
        <v>48</v>
      </c>
      <c r="C229" s="719" t="s">
        <v>431</v>
      </c>
      <c r="D229" s="614" t="str">
        <f>IFERROR(VLOOKUP(C229,Foundation!$C$5:$D$427,2,0),"")</f>
        <v>DA+0</v>
      </c>
      <c r="E229" s="1014" t="s">
        <v>403</v>
      </c>
      <c r="F229" s="35">
        <v>45760</v>
      </c>
      <c r="G229" s="716">
        <f t="shared" si="4"/>
        <v>45760</v>
      </c>
      <c r="H229" s="61" t="s">
        <v>950</v>
      </c>
      <c r="I229" s="61" t="s">
        <v>660</v>
      </c>
      <c r="J229" s="62" t="s">
        <v>1409</v>
      </c>
      <c r="K229" s="611" t="s">
        <v>255</v>
      </c>
    </row>
    <row r="230" spans="1:11" ht="15.5">
      <c r="A230" s="608">
        <v>226</v>
      </c>
      <c r="B230" s="3">
        <v>49</v>
      </c>
      <c r="C230" s="719" t="s">
        <v>773</v>
      </c>
      <c r="D230" s="614" t="str">
        <f>IFERROR(VLOOKUP(C230,Foundation!$C$5:$D$427,2,0),"")</f>
        <v>DB1+9</v>
      </c>
      <c r="E230" s="1014" t="s">
        <v>403</v>
      </c>
      <c r="F230" s="35">
        <v>45761</v>
      </c>
      <c r="G230" s="716">
        <f t="shared" si="4"/>
        <v>45761</v>
      </c>
      <c r="H230" s="61" t="s">
        <v>950</v>
      </c>
      <c r="I230" s="61" t="s">
        <v>660</v>
      </c>
      <c r="J230" s="62" t="s">
        <v>1409</v>
      </c>
      <c r="K230" s="611" t="s">
        <v>255</v>
      </c>
    </row>
    <row r="231" spans="1:11" ht="15.5">
      <c r="A231" s="608">
        <v>227</v>
      </c>
      <c r="B231" s="3">
        <v>50</v>
      </c>
      <c r="C231" s="719" t="s">
        <v>64</v>
      </c>
      <c r="D231" s="614" t="str">
        <f>IFERROR(VLOOKUP(C231,Foundation!$C$5:$D$427,2,0),"")</f>
        <v>DC1+0</v>
      </c>
      <c r="E231" s="1014" t="s">
        <v>403</v>
      </c>
      <c r="F231" s="35">
        <v>45761</v>
      </c>
      <c r="G231" s="716">
        <f t="shared" si="4"/>
        <v>45761</v>
      </c>
      <c r="H231" s="61" t="s">
        <v>950</v>
      </c>
      <c r="I231" s="61" t="s">
        <v>660</v>
      </c>
      <c r="J231" s="62" t="s">
        <v>1409</v>
      </c>
      <c r="K231" s="611" t="s">
        <v>255</v>
      </c>
    </row>
    <row r="232" spans="1:11" ht="15.5">
      <c r="A232" s="608">
        <v>228</v>
      </c>
      <c r="B232" s="3">
        <v>51</v>
      </c>
      <c r="C232" s="719" t="s">
        <v>63</v>
      </c>
      <c r="D232" s="614" t="str">
        <f>IFERROR(VLOOKUP(C232,Foundation!$C$5:$D$427,2,0),"")</f>
        <v>DC2-3</v>
      </c>
      <c r="E232" s="1014" t="s">
        <v>403</v>
      </c>
      <c r="F232" s="35">
        <v>45761</v>
      </c>
      <c r="G232" s="716">
        <f t="shared" si="4"/>
        <v>45761</v>
      </c>
      <c r="H232" s="61" t="s">
        <v>950</v>
      </c>
      <c r="I232" s="61" t="s">
        <v>660</v>
      </c>
      <c r="J232" s="62" t="s">
        <v>1409</v>
      </c>
      <c r="K232" s="611" t="s">
        <v>255</v>
      </c>
    </row>
    <row r="233" spans="1:11" ht="15.5">
      <c r="A233" s="608">
        <v>229</v>
      </c>
      <c r="B233" s="3">
        <v>52</v>
      </c>
      <c r="C233" s="719" t="s">
        <v>60</v>
      </c>
      <c r="D233" s="614" t="str">
        <f>IFERROR(VLOOKUP(C233,Foundation!$C$5:$D$427,2,0),"")</f>
        <v>DD60+35</v>
      </c>
      <c r="E233" s="1014" t="s">
        <v>403</v>
      </c>
      <c r="F233" s="35">
        <v>45761</v>
      </c>
      <c r="G233" s="716">
        <f t="shared" si="4"/>
        <v>45761</v>
      </c>
      <c r="H233" s="61" t="s">
        <v>950</v>
      </c>
      <c r="I233" s="61" t="s">
        <v>660</v>
      </c>
      <c r="J233" s="62" t="s">
        <v>1409</v>
      </c>
      <c r="K233" s="611" t="s">
        <v>255</v>
      </c>
    </row>
    <row r="234" spans="1:11" ht="15.5">
      <c r="A234" s="608">
        <v>230</v>
      </c>
      <c r="B234" s="3">
        <v>53</v>
      </c>
      <c r="C234" s="719" t="s">
        <v>59</v>
      </c>
      <c r="D234" s="614" t="str">
        <f>IFERROR(VLOOKUP(C234,Foundation!$C$5:$D$427,2,0),"")</f>
        <v>DD60+35</v>
      </c>
      <c r="E234" s="1014" t="s">
        <v>403</v>
      </c>
      <c r="F234" s="35">
        <v>45762</v>
      </c>
      <c r="G234" s="716">
        <f t="shared" si="4"/>
        <v>45762</v>
      </c>
      <c r="H234" s="61" t="s">
        <v>950</v>
      </c>
      <c r="I234" s="61" t="s">
        <v>660</v>
      </c>
      <c r="J234" s="62" t="s">
        <v>1409</v>
      </c>
      <c r="K234" s="611" t="s">
        <v>255</v>
      </c>
    </row>
    <row r="235" spans="1:11" ht="15.5">
      <c r="A235" s="608">
        <v>231</v>
      </c>
      <c r="B235" s="3">
        <v>54</v>
      </c>
      <c r="C235" s="719" t="s">
        <v>58</v>
      </c>
      <c r="D235" s="614" t="str">
        <f>IFERROR(VLOOKUP(C235,Foundation!$C$5:$D$427,2,0),"")</f>
        <v>DD60+18</v>
      </c>
      <c r="E235" s="1014" t="s">
        <v>403</v>
      </c>
      <c r="F235" s="35">
        <v>45762</v>
      </c>
      <c r="G235" s="716">
        <f t="shared" si="4"/>
        <v>45762</v>
      </c>
      <c r="H235" s="61" t="s">
        <v>950</v>
      </c>
      <c r="I235" s="61" t="s">
        <v>660</v>
      </c>
      <c r="J235" s="62" t="s">
        <v>1409</v>
      </c>
      <c r="K235" s="611" t="s">
        <v>255</v>
      </c>
    </row>
    <row r="236" spans="1:11" ht="15.5">
      <c r="A236" s="608">
        <v>232</v>
      </c>
      <c r="B236" s="3">
        <v>55</v>
      </c>
      <c r="C236" s="719" t="s">
        <v>57</v>
      </c>
      <c r="D236" s="614" t="str">
        <f>IFERROR(VLOOKUP(C236,Foundation!$C$5:$D$427,2,0),"")</f>
        <v>DD60+18</v>
      </c>
      <c r="E236" s="1014" t="s">
        <v>403</v>
      </c>
      <c r="F236" s="35">
        <v>45762</v>
      </c>
      <c r="G236" s="716">
        <f t="shared" si="4"/>
        <v>45762</v>
      </c>
      <c r="H236" s="61" t="s">
        <v>950</v>
      </c>
      <c r="I236" s="61" t="s">
        <v>660</v>
      </c>
      <c r="J236" s="62" t="s">
        <v>1409</v>
      </c>
      <c r="K236" s="611" t="s">
        <v>255</v>
      </c>
    </row>
    <row r="237" spans="1:11" ht="15.5">
      <c r="A237" s="608">
        <v>233</v>
      </c>
      <c r="B237" s="3">
        <v>56</v>
      </c>
      <c r="C237" s="719" t="s">
        <v>674</v>
      </c>
      <c r="D237" s="614" t="str">
        <f>IFERROR(VLOOKUP(C237,Foundation!$C$5:$D$427,2,0),"")</f>
        <v>DB1+9</v>
      </c>
      <c r="E237" s="1014" t="s">
        <v>403</v>
      </c>
      <c r="F237" s="35">
        <v>45763</v>
      </c>
      <c r="G237" s="716">
        <f t="shared" si="4"/>
        <v>45763</v>
      </c>
      <c r="H237" s="61" t="s">
        <v>950</v>
      </c>
      <c r="I237" s="61" t="s">
        <v>660</v>
      </c>
      <c r="J237" s="62" t="s">
        <v>1409</v>
      </c>
      <c r="K237" s="611" t="s">
        <v>255</v>
      </c>
    </row>
    <row r="238" spans="1:11" ht="15.5">
      <c r="A238" s="608">
        <v>234</v>
      </c>
      <c r="B238" s="3">
        <v>57</v>
      </c>
      <c r="C238" s="719" t="s">
        <v>56</v>
      </c>
      <c r="D238" s="614" t="str">
        <f>IFERROR(VLOOKUP(C238,Foundation!$C$5:$D$427,2,0),"")</f>
        <v>DB2+9</v>
      </c>
      <c r="E238" s="1014" t="s">
        <v>403</v>
      </c>
      <c r="F238" s="35">
        <v>45763</v>
      </c>
      <c r="G238" s="716">
        <f t="shared" si="4"/>
        <v>45763</v>
      </c>
      <c r="H238" s="61" t="s">
        <v>950</v>
      </c>
      <c r="I238" s="61" t="s">
        <v>660</v>
      </c>
      <c r="J238" s="62" t="s">
        <v>1409</v>
      </c>
      <c r="K238" s="611" t="s">
        <v>255</v>
      </c>
    </row>
    <row r="239" spans="1:11" ht="15.5">
      <c r="A239" s="608">
        <v>235</v>
      </c>
      <c r="B239" s="3">
        <v>58</v>
      </c>
      <c r="C239" s="719" t="s">
        <v>55</v>
      </c>
      <c r="D239" s="614" t="str">
        <f>IFERROR(VLOOKUP(C239,Foundation!$C$5:$D$427,2,0),"")</f>
        <v>DC2+15</v>
      </c>
      <c r="E239" s="1014" t="s">
        <v>403</v>
      </c>
      <c r="F239" s="35">
        <v>45763</v>
      </c>
      <c r="G239" s="716">
        <f t="shared" si="4"/>
        <v>45763</v>
      </c>
      <c r="H239" s="61" t="s">
        <v>950</v>
      </c>
      <c r="I239" s="61" t="s">
        <v>660</v>
      </c>
      <c r="J239" s="62" t="s">
        <v>1409</v>
      </c>
      <c r="K239" s="611" t="s">
        <v>255</v>
      </c>
    </row>
    <row r="240" spans="1:11" ht="15.5">
      <c r="A240" s="608">
        <v>236</v>
      </c>
      <c r="B240" s="3">
        <v>59</v>
      </c>
      <c r="C240" s="719" t="s">
        <v>427</v>
      </c>
      <c r="D240" s="614" t="str">
        <f>IFERROR(VLOOKUP(C240,Foundation!$C$5:$D$427,2,0),"")</f>
        <v>DA+0</v>
      </c>
      <c r="E240" s="1014" t="s">
        <v>403</v>
      </c>
      <c r="F240" s="35">
        <v>45763</v>
      </c>
      <c r="G240" s="716">
        <f t="shared" si="4"/>
        <v>45763</v>
      </c>
      <c r="H240" s="61" t="s">
        <v>950</v>
      </c>
      <c r="I240" s="61" t="s">
        <v>660</v>
      </c>
      <c r="J240" s="62" t="s">
        <v>1409</v>
      </c>
      <c r="K240" s="611" t="s">
        <v>255</v>
      </c>
    </row>
    <row r="241" spans="1:11" ht="15.5">
      <c r="A241" s="608">
        <v>237</v>
      </c>
      <c r="B241" s="3">
        <v>60</v>
      </c>
      <c r="C241" s="719" t="s">
        <v>182</v>
      </c>
      <c r="D241" s="614" t="str">
        <f>IFERROR(VLOOKUP(C241,Foundation!$C$5:$D$427,2,0),"")</f>
        <v>DA+0</v>
      </c>
      <c r="E241" s="1014" t="s">
        <v>403</v>
      </c>
      <c r="F241" s="35">
        <v>45764</v>
      </c>
      <c r="G241" s="716">
        <f t="shared" si="4"/>
        <v>45764</v>
      </c>
      <c r="H241" s="61" t="s">
        <v>950</v>
      </c>
      <c r="I241" s="61" t="s">
        <v>1428</v>
      </c>
      <c r="J241" s="62" t="s">
        <v>1409</v>
      </c>
      <c r="K241" s="611" t="s">
        <v>255</v>
      </c>
    </row>
    <row r="242" spans="1:11" ht="15.5">
      <c r="A242" s="608">
        <v>238</v>
      </c>
      <c r="B242" s="3">
        <v>61</v>
      </c>
      <c r="C242" s="719" t="s">
        <v>175</v>
      </c>
      <c r="D242" s="614" t="str">
        <f>IFERROR(VLOOKUP(C242,Foundation!$C$5:$D$427,2,0),"")</f>
        <v>DA-3</v>
      </c>
      <c r="E242" s="1014" t="s">
        <v>403</v>
      </c>
      <c r="F242" s="35">
        <v>45764</v>
      </c>
      <c r="G242" s="716">
        <f t="shared" si="4"/>
        <v>45764</v>
      </c>
      <c r="H242" s="61" t="s">
        <v>950</v>
      </c>
      <c r="I242" s="61" t="s">
        <v>1428</v>
      </c>
      <c r="J242" s="62" t="s">
        <v>1409</v>
      </c>
      <c r="K242" s="611" t="s">
        <v>255</v>
      </c>
    </row>
    <row r="243" spans="1:11" ht="15.5">
      <c r="A243" s="608">
        <v>239</v>
      </c>
      <c r="B243" s="3">
        <v>62</v>
      </c>
      <c r="C243" s="719" t="s">
        <v>174</v>
      </c>
      <c r="D243" s="614" t="str">
        <f>IFERROR(VLOOKUP(C243,Foundation!$C$5:$D$427,2,0),"")</f>
        <v>DA-3</v>
      </c>
      <c r="E243" s="1014" t="s">
        <v>403</v>
      </c>
      <c r="F243" s="35">
        <v>45764</v>
      </c>
      <c r="G243" s="716">
        <f t="shared" si="4"/>
        <v>45764</v>
      </c>
      <c r="H243" s="61" t="s">
        <v>950</v>
      </c>
      <c r="I243" s="61" t="s">
        <v>1428</v>
      </c>
      <c r="J243" s="62" t="s">
        <v>1409</v>
      </c>
      <c r="K243" s="611" t="s">
        <v>255</v>
      </c>
    </row>
    <row r="244" spans="1:11" ht="15.5">
      <c r="A244" s="608">
        <v>240</v>
      </c>
      <c r="B244" s="3">
        <v>63</v>
      </c>
      <c r="C244" s="719" t="s">
        <v>424</v>
      </c>
      <c r="D244" s="614" t="str">
        <f>IFERROR(VLOOKUP(C244,Foundation!$C$5:$D$427,2,0),"")</f>
        <v>DA+1.5</v>
      </c>
      <c r="E244" s="1014" t="s">
        <v>403</v>
      </c>
      <c r="F244" s="35">
        <v>45765</v>
      </c>
      <c r="G244" s="716">
        <f t="shared" si="4"/>
        <v>45765</v>
      </c>
      <c r="H244" s="61" t="s">
        <v>950</v>
      </c>
      <c r="I244" s="61" t="s">
        <v>1428</v>
      </c>
      <c r="J244" s="62" t="s">
        <v>1409</v>
      </c>
      <c r="K244" s="611" t="s">
        <v>255</v>
      </c>
    </row>
    <row r="245" spans="1:11" ht="15.5">
      <c r="A245" s="608">
        <v>241</v>
      </c>
      <c r="B245" s="3">
        <v>64</v>
      </c>
      <c r="C245" s="719" t="s">
        <v>251</v>
      </c>
      <c r="D245" s="614" t="str">
        <f>IFERROR(VLOOKUP(C245,Foundation!$C$5:$D$427,2,0),"")</f>
        <v>DA+9</v>
      </c>
      <c r="E245" s="1014" t="s">
        <v>403</v>
      </c>
      <c r="F245" s="35">
        <v>45765</v>
      </c>
      <c r="G245" s="716">
        <f t="shared" si="4"/>
        <v>45765</v>
      </c>
      <c r="H245" s="61" t="s">
        <v>950</v>
      </c>
      <c r="I245" s="61" t="s">
        <v>1428</v>
      </c>
      <c r="J245" s="62" t="s">
        <v>1409</v>
      </c>
      <c r="K245" s="611" t="s">
        <v>255</v>
      </c>
    </row>
    <row r="246" spans="1:11" ht="15.5">
      <c r="A246" s="608">
        <v>242</v>
      </c>
      <c r="B246" s="3">
        <v>65</v>
      </c>
      <c r="C246" s="719" t="s">
        <v>421</v>
      </c>
      <c r="D246" s="614" t="str">
        <f>IFERROR(VLOOKUP(C246,Foundation!$C$5:$D$427,2,0),"")</f>
        <v>DA-1.5</v>
      </c>
      <c r="E246" s="1014" t="s">
        <v>403</v>
      </c>
      <c r="F246" s="35">
        <v>45765</v>
      </c>
      <c r="G246" s="716">
        <f t="shared" si="4"/>
        <v>45765</v>
      </c>
      <c r="H246" s="61" t="s">
        <v>950</v>
      </c>
      <c r="I246" s="61" t="s">
        <v>1428</v>
      </c>
      <c r="J246" s="62" t="s">
        <v>1409</v>
      </c>
      <c r="K246" s="611" t="s">
        <v>255</v>
      </c>
    </row>
    <row r="247" spans="1:11" ht="15.5">
      <c r="A247" s="608">
        <v>243</v>
      </c>
      <c r="B247" s="3">
        <v>66</v>
      </c>
      <c r="C247" s="719" t="s">
        <v>167</v>
      </c>
      <c r="D247" s="614" t="str">
        <f>IFERROR(VLOOKUP(C247,Foundation!$C$5:$D$427,2,0),"")</f>
        <v>DD60+25</v>
      </c>
      <c r="E247" s="1014" t="s">
        <v>403</v>
      </c>
      <c r="F247" s="35">
        <v>45766</v>
      </c>
      <c r="G247" s="716">
        <f t="shared" si="4"/>
        <v>45766</v>
      </c>
      <c r="H247" s="61" t="s">
        <v>950</v>
      </c>
      <c r="I247" s="61" t="s">
        <v>1428</v>
      </c>
      <c r="J247" s="62" t="s">
        <v>1409</v>
      </c>
      <c r="K247" s="611" t="s">
        <v>255</v>
      </c>
    </row>
    <row r="248" spans="1:11" ht="15.5">
      <c r="A248" s="608">
        <v>244</v>
      </c>
      <c r="B248" s="3">
        <v>67</v>
      </c>
      <c r="C248" s="719" t="s">
        <v>308</v>
      </c>
      <c r="D248" s="614" t="str">
        <f>IFERROR(VLOOKUP(C248,Foundation!$C$5:$D$427,2,0),"")</f>
        <v>DA+6</v>
      </c>
      <c r="E248" s="1014" t="s">
        <v>403</v>
      </c>
      <c r="F248" s="35">
        <v>45766</v>
      </c>
      <c r="G248" s="716">
        <f t="shared" si="4"/>
        <v>45766</v>
      </c>
      <c r="H248" s="61" t="s">
        <v>950</v>
      </c>
      <c r="I248" s="61" t="s">
        <v>1428</v>
      </c>
      <c r="J248" s="62" t="s">
        <v>1409</v>
      </c>
      <c r="K248" s="611" t="s">
        <v>255</v>
      </c>
    </row>
    <row r="249" spans="1:11" ht="15.5">
      <c r="A249" s="608">
        <v>245</v>
      </c>
      <c r="B249" s="3">
        <v>68</v>
      </c>
      <c r="C249" s="719" t="s">
        <v>267</v>
      </c>
      <c r="D249" s="614" t="str">
        <f>IFERROR(VLOOKUP(C249,Foundation!$C$5:$D$427,2,0),"")</f>
        <v>DD60+9</v>
      </c>
      <c r="E249" s="1014" t="s">
        <v>403</v>
      </c>
      <c r="F249" s="35">
        <v>45766</v>
      </c>
      <c r="G249" s="716">
        <f t="shared" si="4"/>
        <v>45766</v>
      </c>
      <c r="H249" s="61" t="s">
        <v>950</v>
      </c>
      <c r="I249" s="61" t="s">
        <v>1428</v>
      </c>
      <c r="J249" s="62" t="s">
        <v>1409</v>
      </c>
      <c r="K249" s="611" t="s">
        <v>255</v>
      </c>
    </row>
    <row r="250" spans="1:11" ht="15.5">
      <c r="A250" s="608">
        <v>246</v>
      </c>
      <c r="B250" s="3">
        <v>69</v>
      </c>
      <c r="C250" s="719" t="s">
        <v>1251</v>
      </c>
      <c r="D250" s="614" t="str">
        <f>IFERROR(VLOOKUP(C250,Foundation!$C$5:$D$427,2,0),"")</f>
        <v>DA+3</v>
      </c>
      <c r="E250" s="1014" t="s">
        <v>403</v>
      </c>
      <c r="F250" s="35">
        <v>45775</v>
      </c>
      <c r="G250" s="716">
        <f t="shared" si="4"/>
        <v>45775</v>
      </c>
      <c r="H250" s="61" t="s">
        <v>950</v>
      </c>
      <c r="I250" s="61" t="s">
        <v>1412</v>
      </c>
      <c r="J250" s="62" t="s">
        <v>1409</v>
      </c>
      <c r="K250" s="611" t="s">
        <v>255</v>
      </c>
    </row>
    <row r="251" spans="1:11" ht="15.5">
      <c r="A251" s="608">
        <v>247</v>
      </c>
      <c r="B251" s="3">
        <v>70</v>
      </c>
      <c r="C251" s="719" t="s">
        <v>1252</v>
      </c>
      <c r="D251" s="614" t="str">
        <f>IFERROR(VLOOKUP(C251,Foundation!$C$5:$D$427,2,0),"")</f>
        <v>DA+3</v>
      </c>
      <c r="E251" s="1014" t="s">
        <v>403</v>
      </c>
      <c r="F251" s="35">
        <v>45775</v>
      </c>
      <c r="G251" s="716">
        <f t="shared" si="4"/>
        <v>45775</v>
      </c>
      <c r="H251" s="61" t="s">
        <v>950</v>
      </c>
      <c r="I251" s="61" t="s">
        <v>1412</v>
      </c>
      <c r="J251" s="62" t="s">
        <v>1409</v>
      </c>
      <c r="K251" s="611" t="s">
        <v>255</v>
      </c>
    </row>
    <row r="252" spans="1:11" ht="15.5">
      <c r="A252" s="608">
        <v>248</v>
      </c>
      <c r="B252" s="3">
        <v>71</v>
      </c>
      <c r="C252" s="719" t="s">
        <v>1253</v>
      </c>
      <c r="D252" s="614" t="str">
        <f>IFERROR(VLOOKUP(C252,Foundation!$C$5:$D$427,2,0),"")</f>
        <v>DA+3</v>
      </c>
      <c r="E252" s="1014" t="s">
        <v>403</v>
      </c>
      <c r="F252" s="35">
        <v>45776</v>
      </c>
      <c r="G252" s="716">
        <f t="shared" ref="G252:G273" si="5">F252</f>
        <v>45776</v>
      </c>
      <c r="H252" s="61" t="s">
        <v>950</v>
      </c>
      <c r="I252" s="61" t="s">
        <v>1412</v>
      </c>
      <c r="J252" s="62" t="s">
        <v>1409</v>
      </c>
      <c r="K252" s="611" t="s">
        <v>255</v>
      </c>
    </row>
    <row r="253" spans="1:11" ht="15.5">
      <c r="A253" s="608">
        <v>249</v>
      </c>
      <c r="B253" s="3">
        <v>72</v>
      </c>
      <c r="C253" s="719" t="s">
        <v>1254</v>
      </c>
      <c r="D253" s="614" t="str">
        <f>IFERROR(VLOOKUP(C253,Foundation!$C$5:$D$427,2,0),"")</f>
        <v>DA+3</v>
      </c>
      <c r="E253" s="1014" t="s">
        <v>403</v>
      </c>
      <c r="F253" s="35">
        <v>45776</v>
      </c>
      <c r="G253" s="716">
        <f t="shared" si="5"/>
        <v>45776</v>
      </c>
      <c r="H253" s="61" t="s">
        <v>950</v>
      </c>
      <c r="I253" s="61" t="s">
        <v>1412</v>
      </c>
      <c r="J253" s="62" t="s">
        <v>1409</v>
      </c>
      <c r="K253" s="611" t="s">
        <v>255</v>
      </c>
    </row>
    <row r="254" spans="1:11" ht="15.5">
      <c r="A254" s="608">
        <v>250</v>
      </c>
      <c r="B254" s="3">
        <v>73</v>
      </c>
      <c r="C254" s="719" t="s">
        <v>1255</v>
      </c>
      <c r="D254" s="614" t="str">
        <f>IFERROR(VLOOKUP(C254,Foundation!$C$5:$D$427,2,0),"")</f>
        <v>DA+6</v>
      </c>
      <c r="E254" s="1014" t="s">
        <v>403</v>
      </c>
      <c r="F254" s="35">
        <v>45776</v>
      </c>
      <c r="G254" s="716">
        <f t="shared" si="5"/>
        <v>45776</v>
      </c>
      <c r="H254" s="61" t="s">
        <v>950</v>
      </c>
      <c r="I254" s="61" t="s">
        <v>1412</v>
      </c>
      <c r="J254" s="62" t="s">
        <v>1409</v>
      </c>
      <c r="K254" s="611" t="s">
        <v>255</v>
      </c>
    </row>
    <row r="255" spans="1:11" ht="15.5">
      <c r="A255" s="608">
        <v>251</v>
      </c>
      <c r="B255" s="3">
        <v>74</v>
      </c>
      <c r="C255" s="719" t="s">
        <v>1256</v>
      </c>
      <c r="D255" s="614" t="str">
        <f>IFERROR(VLOOKUP(C255,Foundation!$C$5:$D$427,2,0),"")</f>
        <v>DD45+3</v>
      </c>
      <c r="E255" s="1014" t="s">
        <v>403</v>
      </c>
      <c r="F255" s="35">
        <v>45777</v>
      </c>
      <c r="G255" s="716">
        <f t="shared" si="5"/>
        <v>45777</v>
      </c>
      <c r="H255" s="61" t="s">
        <v>950</v>
      </c>
      <c r="I255" s="61" t="s">
        <v>1412</v>
      </c>
      <c r="J255" s="62" t="s">
        <v>1409</v>
      </c>
      <c r="K255" s="611" t="s">
        <v>255</v>
      </c>
    </row>
    <row r="256" spans="1:11" ht="15.5">
      <c r="A256" s="608">
        <v>252</v>
      </c>
      <c r="B256" s="3">
        <v>75</v>
      </c>
      <c r="C256" s="719" t="s">
        <v>1257</v>
      </c>
      <c r="D256" s="614" t="str">
        <f>IFERROR(VLOOKUP(C256,Foundation!$C$5:$D$427,2,0),"")</f>
        <v>DA+3</v>
      </c>
      <c r="E256" s="1014" t="s">
        <v>403</v>
      </c>
      <c r="F256" s="35">
        <v>45777</v>
      </c>
      <c r="G256" s="716">
        <f t="shared" si="5"/>
        <v>45777</v>
      </c>
      <c r="H256" s="61" t="s">
        <v>950</v>
      </c>
      <c r="I256" s="61" t="s">
        <v>1412</v>
      </c>
      <c r="J256" s="62" t="s">
        <v>1409</v>
      </c>
      <c r="K256" s="611" t="s">
        <v>255</v>
      </c>
    </row>
    <row r="257" spans="1:11" ht="15.5">
      <c r="A257" s="608">
        <v>253</v>
      </c>
      <c r="B257" s="3">
        <v>1</v>
      </c>
      <c r="C257" s="719" t="s">
        <v>1258</v>
      </c>
      <c r="D257" s="614" t="str">
        <f>IFERROR(VLOOKUP(C257,Foundation!$C$5:$D$427,2,0),"")</f>
        <v>DA+3</v>
      </c>
      <c r="E257" s="1014" t="s">
        <v>403</v>
      </c>
      <c r="F257" s="35">
        <v>45778</v>
      </c>
      <c r="G257" s="716">
        <f t="shared" si="5"/>
        <v>45778</v>
      </c>
      <c r="H257" s="61" t="s">
        <v>950</v>
      </c>
      <c r="I257" s="61" t="s">
        <v>1412</v>
      </c>
      <c r="J257" s="62" t="s">
        <v>1445</v>
      </c>
      <c r="K257" s="611" t="s">
        <v>255</v>
      </c>
    </row>
    <row r="258" spans="1:11" ht="15.5">
      <c r="A258" s="608">
        <v>254</v>
      </c>
      <c r="B258" s="3">
        <v>2</v>
      </c>
      <c r="C258" s="719" t="s">
        <v>1259</v>
      </c>
      <c r="D258" s="614" t="str">
        <f>IFERROR(VLOOKUP(C258,Foundation!$C$5:$D$427,2,0),"")</f>
        <v>DA+0</v>
      </c>
      <c r="E258" s="1014" t="s">
        <v>403</v>
      </c>
      <c r="F258" s="35">
        <v>45778</v>
      </c>
      <c r="G258" s="716">
        <f t="shared" si="5"/>
        <v>45778</v>
      </c>
      <c r="H258" s="61" t="s">
        <v>950</v>
      </c>
      <c r="I258" s="61" t="s">
        <v>1412</v>
      </c>
      <c r="J258" s="62" t="s">
        <v>1445</v>
      </c>
      <c r="K258" s="611" t="s">
        <v>255</v>
      </c>
    </row>
    <row r="259" spans="1:11" ht="15.5">
      <c r="A259" s="608">
        <v>255</v>
      </c>
      <c r="B259" s="3">
        <v>3</v>
      </c>
      <c r="C259" s="719" t="s">
        <v>1260</v>
      </c>
      <c r="D259" s="614" t="str">
        <f>IFERROR(VLOOKUP(C259,Foundation!$C$5:$D$427,2,0),"")</f>
        <v>DA+0</v>
      </c>
      <c r="E259" s="1014" t="s">
        <v>403</v>
      </c>
      <c r="F259" s="35">
        <v>45778</v>
      </c>
      <c r="G259" s="716">
        <f t="shared" si="5"/>
        <v>45778</v>
      </c>
      <c r="H259" s="61" t="s">
        <v>950</v>
      </c>
      <c r="I259" s="61" t="s">
        <v>1412</v>
      </c>
      <c r="J259" s="62" t="s">
        <v>1445</v>
      </c>
      <c r="K259" s="611" t="s">
        <v>255</v>
      </c>
    </row>
    <row r="260" spans="1:11" ht="15.5">
      <c r="A260" s="608">
        <v>256</v>
      </c>
      <c r="B260" s="3">
        <v>4</v>
      </c>
      <c r="C260" s="719" t="s">
        <v>1261</v>
      </c>
      <c r="D260" s="614" t="str">
        <f>IFERROR(VLOOKUP(C260,Foundation!$C$5:$D$427,2,0),"")</f>
        <v>DA+3</v>
      </c>
      <c r="E260" s="1014" t="s">
        <v>403</v>
      </c>
      <c r="F260" s="35">
        <v>45780</v>
      </c>
      <c r="G260" s="716">
        <f t="shared" si="5"/>
        <v>45780</v>
      </c>
      <c r="H260" s="61" t="s">
        <v>950</v>
      </c>
      <c r="I260" s="61" t="s">
        <v>1412</v>
      </c>
      <c r="J260" s="62" t="s">
        <v>1445</v>
      </c>
      <c r="K260" s="611" t="s">
        <v>255</v>
      </c>
    </row>
    <row r="261" spans="1:11" ht="15.5">
      <c r="A261" s="608">
        <v>257</v>
      </c>
      <c r="B261" s="3">
        <v>5</v>
      </c>
      <c r="C261" s="719" t="s">
        <v>1262</v>
      </c>
      <c r="D261" s="614" t="str">
        <f>IFERROR(VLOOKUP(C261,Foundation!$C$5:$D$427,2,0),"")</f>
        <v>DA+0</v>
      </c>
      <c r="E261" s="1014" t="s">
        <v>403</v>
      </c>
      <c r="F261" s="35">
        <v>45780</v>
      </c>
      <c r="G261" s="716">
        <f t="shared" si="5"/>
        <v>45780</v>
      </c>
      <c r="H261" s="61" t="s">
        <v>950</v>
      </c>
      <c r="I261" s="61" t="s">
        <v>1412</v>
      </c>
      <c r="J261" s="62" t="s">
        <v>1445</v>
      </c>
      <c r="K261" s="611" t="s">
        <v>255</v>
      </c>
    </row>
    <row r="262" spans="1:11" ht="15.5">
      <c r="A262" s="608">
        <v>258</v>
      </c>
      <c r="B262" s="3">
        <v>6</v>
      </c>
      <c r="C262" s="719" t="s">
        <v>1263</v>
      </c>
      <c r="D262" s="614" t="str">
        <f>IFERROR(VLOOKUP(C262,Foundation!$C$5:$D$427,2,0),"")</f>
        <v>DB1+9</v>
      </c>
      <c r="E262" s="1014" t="s">
        <v>403</v>
      </c>
      <c r="F262" s="35">
        <v>45780</v>
      </c>
      <c r="G262" s="716">
        <f t="shared" si="5"/>
        <v>45780</v>
      </c>
      <c r="H262" s="61" t="s">
        <v>950</v>
      </c>
      <c r="I262" s="61" t="s">
        <v>1412</v>
      </c>
      <c r="J262" s="62" t="s">
        <v>1445</v>
      </c>
      <c r="K262" s="611" t="s">
        <v>255</v>
      </c>
    </row>
    <row r="263" spans="1:11" ht="15.5">
      <c r="A263" s="608">
        <v>259</v>
      </c>
      <c r="B263" s="3">
        <v>7</v>
      </c>
      <c r="C263" s="719" t="s">
        <v>1264</v>
      </c>
      <c r="D263" s="614" t="str">
        <f>IFERROR(VLOOKUP(C263,Foundation!$C$5:$D$427,2,0),"")</f>
        <v>DA+3</v>
      </c>
      <c r="E263" s="1014" t="s">
        <v>403</v>
      </c>
      <c r="F263" s="35">
        <v>45780</v>
      </c>
      <c r="G263" s="716">
        <f t="shared" si="5"/>
        <v>45780</v>
      </c>
      <c r="H263" s="61" t="s">
        <v>950</v>
      </c>
      <c r="I263" s="61" t="s">
        <v>1412</v>
      </c>
      <c r="J263" s="62" t="s">
        <v>1445</v>
      </c>
      <c r="K263" s="611" t="s">
        <v>255</v>
      </c>
    </row>
    <row r="264" spans="1:11" ht="15.5">
      <c r="A264" s="608">
        <v>260</v>
      </c>
      <c r="B264" s="3">
        <v>8</v>
      </c>
      <c r="C264" s="719" t="s">
        <v>1265</v>
      </c>
      <c r="D264" s="614" t="str">
        <f>IFERROR(VLOOKUP(C264,Foundation!$C$5:$D$427,2,0),"")</f>
        <v>DA+9</v>
      </c>
      <c r="E264" s="1014" t="s">
        <v>403</v>
      </c>
      <c r="F264" s="35">
        <v>45780</v>
      </c>
      <c r="G264" s="716">
        <f t="shared" si="5"/>
        <v>45780</v>
      </c>
      <c r="H264" s="61" t="s">
        <v>950</v>
      </c>
      <c r="I264" s="61" t="s">
        <v>1412</v>
      </c>
      <c r="J264" s="62" t="s">
        <v>1445</v>
      </c>
      <c r="K264" s="611" t="s">
        <v>255</v>
      </c>
    </row>
    <row r="265" spans="1:11" ht="15.5">
      <c r="A265" s="608">
        <v>261</v>
      </c>
      <c r="B265" s="3">
        <v>9</v>
      </c>
      <c r="C265" s="719" t="s">
        <v>400</v>
      </c>
      <c r="D265" s="614" t="str">
        <f>IFERROR(VLOOKUP(C265,Foundation!$C$5:$D$427,2,0),"")</f>
        <v>DA+9</v>
      </c>
      <c r="E265" s="1014" t="s">
        <v>403</v>
      </c>
      <c r="F265" s="35">
        <v>45781</v>
      </c>
      <c r="G265" s="716">
        <f t="shared" si="5"/>
        <v>45781</v>
      </c>
      <c r="H265" s="61" t="s">
        <v>950</v>
      </c>
      <c r="I265" s="61" t="s">
        <v>1412</v>
      </c>
      <c r="J265" s="62" t="s">
        <v>1445</v>
      </c>
      <c r="K265" s="611" t="s">
        <v>255</v>
      </c>
    </row>
    <row r="266" spans="1:11" ht="15.5">
      <c r="A266" s="608">
        <v>262</v>
      </c>
      <c r="B266" s="3">
        <v>10</v>
      </c>
      <c r="C266" s="719" t="s">
        <v>482</v>
      </c>
      <c r="D266" s="614" t="str">
        <f>IFERROR(VLOOKUP(C266,Foundation!$C$5:$D$427,2,0),"")</f>
        <v>DB1+12</v>
      </c>
      <c r="E266" s="1014" t="s">
        <v>403</v>
      </c>
      <c r="F266" s="35">
        <v>45781</v>
      </c>
      <c r="G266" s="716">
        <f t="shared" si="5"/>
        <v>45781</v>
      </c>
      <c r="H266" s="61" t="s">
        <v>950</v>
      </c>
      <c r="I266" s="61" t="s">
        <v>1412</v>
      </c>
      <c r="J266" s="62" t="s">
        <v>1445</v>
      </c>
      <c r="K266" s="611" t="s">
        <v>255</v>
      </c>
    </row>
    <row r="267" spans="1:11" ht="15.5">
      <c r="A267" s="608">
        <v>263</v>
      </c>
      <c r="B267" s="3">
        <v>11</v>
      </c>
      <c r="C267" s="719" t="s">
        <v>412</v>
      </c>
      <c r="D267" s="614" t="str">
        <f>IFERROR(VLOOKUP(C267,Foundation!$C$5:$D$427,2,0),"")</f>
        <v>DA+3</v>
      </c>
      <c r="E267" s="1014" t="s">
        <v>403</v>
      </c>
      <c r="F267" s="35">
        <v>45782</v>
      </c>
      <c r="G267" s="716">
        <f t="shared" si="5"/>
        <v>45782</v>
      </c>
      <c r="H267" s="61" t="s">
        <v>950</v>
      </c>
      <c r="I267" s="61" t="s">
        <v>1412</v>
      </c>
      <c r="J267" s="62" t="s">
        <v>1445</v>
      </c>
      <c r="K267" s="611" t="s">
        <v>255</v>
      </c>
    </row>
    <row r="268" spans="1:11" ht="15.5">
      <c r="A268" s="608">
        <v>264</v>
      </c>
      <c r="B268" s="3">
        <v>12</v>
      </c>
      <c r="C268" s="719" t="s">
        <v>483</v>
      </c>
      <c r="D268" s="614" t="str">
        <f>IFERROR(VLOOKUP(C268,Foundation!$C$5:$D$427,2,0),"")</f>
        <v>DB1+9</v>
      </c>
      <c r="E268" s="1014" t="s">
        <v>403</v>
      </c>
      <c r="F268" s="35">
        <v>45782</v>
      </c>
      <c r="G268" s="716">
        <f t="shared" si="5"/>
        <v>45782</v>
      </c>
      <c r="H268" s="61" t="s">
        <v>950</v>
      </c>
      <c r="I268" s="61" t="s">
        <v>1412</v>
      </c>
      <c r="J268" s="62" t="s">
        <v>1445</v>
      </c>
      <c r="K268" s="611" t="s">
        <v>255</v>
      </c>
    </row>
    <row r="269" spans="1:11" ht="15.5">
      <c r="A269" s="608">
        <v>265</v>
      </c>
      <c r="B269" s="3">
        <v>13</v>
      </c>
      <c r="C269" s="719" t="s">
        <v>11</v>
      </c>
      <c r="D269" s="614" t="str">
        <f>IFERROR(VLOOKUP(C269,Foundation!$C$5:$D$427,2,0),"")</f>
        <v>DD60+18</v>
      </c>
      <c r="E269" s="1014" t="s">
        <v>403</v>
      </c>
      <c r="F269" s="35">
        <v>45782</v>
      </c>
      <c r="G269" s="716">
        <f t="shared" si="5"/>
        <v>45782</v>
      </c>
      <c r="H269" s="61" t="s">
        <v>950</v>
      </c>
      <c r="I269" s="61" t="s">
        <v>1412</v>
      </c>
      <c r="J269" s="62" t="s">
        <v>1445</v>
      </c>
      <c r="K269" s="611" t="s">
        <v>255</v>
      </c>
    </row>
    <row r="270" spans="1:11" ht="15.5">
      <c r="A270" s="608">
        <v>266</v>
      </c>
      <c r="B270" s="3">
        <v>14</v>
      </c>
      <c r="C270" s="719" t="s">
        <v>1266</v>
      </c>
      <c r="D270" s="614" t="str">
        <f>IFERROR(VLOOKUP(C270,Foundation!$C$5:$D$427,2,0),"")</f>
        <v>DA+6</v>
      </c>
      <c r="E270" s="1014" t="s">
        <v>403</v>
      </c>
      <c r="F270" s="35">
        <v>45783</v>
      </c>
      <c r="G270" s="716">
        <f t="shared" si="5"/>
        <v>45783</v>
      </c>
      <c r="H270" s="61" t="s">
        <v>950</v>
      </c>
      <c r="I270" s="61" t="s">
        <v>1412</v>
      </c>
      <c r="J270" s="62" t="s">
        <v>1445</v>
      </c>
      <c r="K270" s="611" t="s">
        <v>255</v>
      </c>
    </row>
    <row r="271" spans="1:11" ht="15.5">
      <c r="A271" s="608">
        <v>267</v>
      </c>
      <c r="B271" s="3">
        <v>15</v>
      </c>
      <c r="C271" s="719" t="s">
        <v>256</v>
      </c>
      <c r="D271" s="614" t="str">
        <f>IFERROR(VLOOKUP(C271,Foundation!$C$5:$D$427,2,0),"")</f>
        <v>DB2+9</v>
      </c>
      <c r="E271" s="1014" t="s">
        <v>403</v>
      </c>
      <c r="F271" s="35">
        <v>45783</v>
      </c>
      <c r="G271" s="716">
        <f t="shared" si="5"/>
        <v>45783</v>
      </c>
      <c r="H271" s="61" t="s">
        <v>950</v>
      </c>
      <c r="I271" s="61" t="s">
        <v>1412</v>
      </c>
      <c r="J271" s="62" t="s">
        <v>1445</v>
      </c>
      <c r="K271" s="611" t="s">
        <v>255</v>
      </c>
    </row>
    <row r="272" spans="1:11" ht="15.5">
      <c r="A272" s="608">
        <v>268</v>
      </c>
      <c r="B272" s="3">
        <v>16</v>
      </c>
      <c r="C272" s="719" t="s">
        <v>452</v>
      </c>
      <c r="D272" s="614" t="str">
        <f>IFERROR(VLOOKUP(C272,Foundation!$C$5:$D$427,2,0),"")</f>
        <v>DA+6</v>
      </c>
      <c r="E272" s="1014" t="s">
        <v>403</v>
      </c>
      <c r="F272" s="35">
        <v>45783</v>
      </c>
      <c r="G272" s="716">
        <f t="shared" si="5"/>
        <v>45783</v>
      </c>
      <c r="H272" s="61" t="s">
        <v>950</v>
      </c>
      <c r="I272" s="61" t="s">
        <v>1412</v>
      </c>
      <c r="J272" s="62" t="s">
        <v>1445</v>
      </c>
      <c r="K272" s="611" t="s">
        <v>255</v>
      </c>
    </row>
    <row r="273" spans="1:11" ht="15.5">
      <c r="A273" s="608">
        <v>269</v>
      </c>
      <c r="B273" s="3">
        <v>17</v>
      </c>
      <c r="C273" s="719" t="s">
        <v>892</v>
      </c>
      <c r="D273" s="614" t="str">
        <f>IFERROR(VLOOKUP(C273,Foundation!$C$5:$D$427,2,0),"")</f>
        <v>DA+6</v>
      </c>
      <c r="E273" s="1014" t="s">
        <v>403</v>
      </c>
      <c r="F273" s="35">
        <v>45783</v>
      </c>
      <c r="G273" s="716">
        <f t="shared" si="5"/>
        <v>45783</v>
      </c>
      <c r="H273" s="61" t="s">
        <v>950</v>
      </c>
      <c r="I273" s="61" t="s">
        <v>1412</v>
      </c>
      <c r="J273" s="62" t="s">
        <v>1445</v>
      </c>
      <c r="K273" s="611" t="s">
        <v>255</v>
      </c>
    </row>
    <row r="274" spans="1:11" ht="15.5">
      <c r="A274" s="608">
        <v>270</v>
      </c>
      <c r="B274" s="3">
        <v>18</v>
      </c>
      <c r="C274" s="719" t="s">
        <v>896</v>
      </c>
      <c r="D274" s="614" t="str">
        <f>IFERROR(VLOOKUP(C274,Foundation!$C$5:$D$427,2,0),"")</f>
        <v>DA+9</v>
      </c>
      <c r="E274" s="1014" t="s">
        <v>403</v>
      </c>
      <c r="F274" s="35">
        <v>45784</v>
      </c>
      <c r="G274" s="35">
        <v>45784</v>
      </c>
      <c r="H274" s="61" t="s">
        <v>950</v>
      </c>
      <c r="I274" s="61" t="s">
        <v>1412</v>
      </c>
      <c r="J274" s="62" t="s">
        <v>1445</v>
      </c>
      <c r="K274" s="611" t="s">
        <v>255</v>
      </c>
    </row>
    <row r="275" spans="1:11" ht="15.5">
      <c r="A275" s="608">
        <v>271</v>
      </c>
      <c r="B275" s="3">
        <v>19</v>
      </c>
      <c r="C275" s="719" t="s">
        <v>257</v>
      </c>
      <c r="D275" s="614" t="str">
        <f>IFERROR(VLOOKUP(C275,Foundation!$C$5:$D$427,2,0),"")</f>
        <v>DB1+6</v>
      </c>
      <c r="E275" s="1014" t="s">
        <v>403</v>
      </c>
      <c r="F275" s="35">
        <v>45784</v>
      </c>
      <c r="G275" s="35">
        <v>45784</v>
      </c>
      <c r="H275" s="61" t="s">
        <v>950</v>
      </c>
      <c r="I275" s="61" t="s">
        <v>1412</v>
      </c>
      <c r="J275" s="62" t="s">
        <v>1445</v>
      </c>
      <c r="K275" s="611" t="s">
        <v>255</v>
      </c>
    </row>
    <row r="276" spans="1:11" ht="15.5">
      <c r="A276" s="608">
        <v>272</v>
      </c>
      <c r="B276" s="3">
        <v>20</v>
      </c>
      <c r="C276" s="719" t="s">
        <v>457</v>
      </c>
      <c r="D276" s="614" t="str">
        <f>IFERROR(VLOOKUP(C276,Foundation!$C$5:$D$427,2,0),"")</f>
        <v>DA+6</v>
      </c>
      <c r="E276" s="1014" t="s">
        <v>403</v>
      </c>
      <c r="F276" s="35">
        <v>45784</v>
      </c>
      <c r="G276" s="35">
        <v>45784</v>
      </c>
      <c r="H276" s="61" t="s">
        <v>950</v>
      </c>
      <c r="I276" s="61" t="s">
        <v>1412</v>
      </c>
      <c r="J276" s="62" t="s">
        <v>1445</v>
      </c>
      <c r="K276" s="611" t="s">
        <v>255</v>
      </c>
    </row>
    <row r="277" spans="1:11" s="613" customFormat="1" ht="15.5">
      <c r="A277" s="608">
        <v>273</v>
      </c>
      <c r="B277" s="608">
        <v>21</v>
      </c>
      <c r="C277" s="719" t="s">
        <v>471</v>
      </c>
      <c r="D277" s="614" t="str">
        <f>IFERROR(VLOOKUP(C277,Foundation!$C$5:$D$427,2,0),"")</f>
        <v>DA+1.5</v>
      </c>
      <c r="E277" s="1014" t="s">
        <v>403</v>
      </c>
      <c r="F277" s="615">
        <v>45784</v>
      </c>
      <c r="G277" s="615">
        <v>45784</v>
      </c>
      <c r="H277" s="61" t="s">
        <v>950</v>
      </c>
      <c r="I277" s="61" t="s">
        <v>1412</v>
      </c>
      <c r="J277" s="62" t="s">
        <v>1445</v>
      </c>
      <c r="K277" s="611" t="s">
        <v>255</v>
      </c>
    </row>
    <row r="278" spans="1:11" ht="15.5">
      <c r="A278" s="608">
        <v>274</v>
      </c>
      <c r="B278" s="3">
        <v>22</v>
      </c>
      <c r="C278" s="719" t="s">
        <v>481</v>
      </c>
      <c r="D278" s="614" t="str">
        <f>IFERROR(VLOOKUP(C278,Foundation!$C$5:$D$427,2,0),"")</f>
        <v>DA-1.5</v>
      </c>
      <c r="E278" s="1014" t="s">
        <v>403</v>
      </c>
      <c r="F278" s="35">
        <v>45784</v>
      </c>
      <c r="G278" s="35">
        <v>45784</v>
      </c>
      <c r="H278" s="61" t="s">
        <v>950</v>
      </c>
      <c r="I278" s="61" t="s">
        <v>1412</v>
      </c>
      <c r="J278" s="62" t="s">
        <v>1445</v>
      </c>
      <c r="K278" s="611" t="s">
        <v>255</v>
      </c>
    </row>
    <row r="279" spans="1:11" ht="15.5">
      <c r="A279" s="608">
        <v>275</v>
      </c>
      <c r="B279" s="3">
        <v>23</v>
      </c>
      <c r="C279" s="719" t="s">
        <v>263</v>
      </c>
      <c r="D279" s="614" t="str">
        <f>IFERROR(VLOOKUP(C279,Foundation!$C$5:$D$427,2,0),"")</f>
        <v>DB1+12</v>
      </c>
      <c r="E279" s="1014" t="s">
        <v>403</v>
      </c>
      <c r="F279" s="35">
        <v>45785</v>
      </c>
      <c r="G279" s="35">
        <v>45785</v>
      </c>
      <c r="H279" s="61" t="s">
        <v>950</v>
      </c>
      <c r="I279" s="61" t="s">
        <v>1412</v>
      </c>
      <c r="J279" s="62" t="s">
        <v>1445</v>
      </c>
      <c r="K279" s="611" t="s">
        <v>255</v>
      </c>
    </row>
    <row r="280" spans="1:11" ht="15.5">
      <c r="A280" s="608">
        <v>276</v>
      </c>
      <c r="B280" s="3">
        <v>24</v>
      </c>
      <c r="C280" s="719" t="s">
        <v>180</v>
      </c>
      <c r="D280" s="614" t="str">
        <f>IFERROR(VLOOKUP(C280,Foundation!$C$5:$D$427,2,0),"")</f>
        <v>DA+6</v>
      </c>
      <c r="E280" s="1014" t="s">
        <v>403</v>
      </c>
      <c r="F280" s="35">
        <v>45785</v>
      </c>
      <c r="G280" s="35">
        <v>45785</v>
      </c>
      <c r="H280" s="61" t="s">
        <v>950</v>
      </c>
      <c r="I280" s="61" t="s">
        <v>1412</v>
      </c>
      <c r="J280" s="62" t="s">
        <v>1445</v>
      </c>
      <c r="K280" s="611" t="s">
        <v>255</v>
      </c>
    </row>
    <row r="281" spans="1:11" ht="15.5">
      <c r="A281" s="608">
        <v>277</v>
      </c>
      <c r="B281" s="3">
        <v>25</v>
      </c>
      <c r="C281" s="719" t="s">
        <v>181</v>
      </c>
      <c r="D281" s="614" t="str">
        <f>IFERROR(VLOOKUP(C281,Foundation!$C$5:$D$427,2,0),"")</f>
        <v>DA+6</v>
      </c>
      <c r="E281" s="1014" t="s">
        <v>403</v>
      </c>
      <c r="F281" s="35">
        <v>45785</v>
      </c>
      <c r="G281" s="35">
        <v>45785</v>
      </c>
      <c r="H281" s="61" t="s">
        <v>950</v>
      </c>
      <c r="I281" s="61" t="s">
        <v>1412</v>
      </c>
      <c r="J281" s="62" t="s">
        <v>1445</v>
      </c>
      <c r="K281" s="611" t="s">
        <v>255</v>
      </c>
    </row>
    <row r="282" spans="1:11" ht="15.5">
      <c r="A282" s="608">
        <v>278</v>
      </c>
      <c r="B282" s="10">
        <v>1</v>
      </c>
      <c r="C282" s="661" t="s">
        <v>265</v>
      </c>
      <c r="D282" s="614" t="str">
        <f>IFERROR(VLOOKUP(C282,Foundation!$C$5:$D$427,2,0),"")</f>
        <v>DD45+0</v>
      </c>
      <c r="E282" s="1014" t="s">
        <v>403</v>
      </c>
      <c r="F282" s="111">
        <v>45839</v>
      </c>
      <c r="G282" s="111">
        <v>45839</v>
      </c>
      <c r="H282" s="61" t="s">
        <v>950</v>
      </c>
      <c r="I282" s="61" t="s">
        <v>1412</v>
      </c>
      <c r="J282" s="10" t="s">
        <v>1472</v>
      </c>
      <c r="K282" s="61" t="s">
        <v>255</v>
      </c>
    </row>
    <row r="283" spans="1:11" ht="15.5">
      <c r="A283" s="608">
        <v>279</v>
      </c>
      <c r="B283" s="10">
        <v>2</v>
      </c>
      <c r="C283" s="661" t="s">
        <v>266</v>
      </c>
      <c r="D283" s="614" t="str">
        <f>IFERROR(VLOOKUP(C283,Foundation!$C$5:$D$427,2,0),"")</f>
        <v>DB1+9</v>
      </c>
      <c r="E283" s="1014" t="s">
        <v>403</v>
      </c>
      <c r="F283" s="111">
        <v>45839</v>
      </c>
      <c r="G283" s="111">
        <v>45839</v>
      </c>
      <c r="H283" s="61" t="s">
        <v>950</v>
      </c>
      <c r="I283" s="61" t="s">
        <v>1412</v>
      </c>
      <c r="J283" s="10" t="s">
        <v>1472</v>
      </c>
      <c r="K283" s="61" t="s">
        <v>255</v>
      </c>
    </row>
    <row r="284" spans="1:11" ht="15.5">
      <c r="A284" s="608">
        <v>280</v>
      </c>
      <c r="B284" s="3">
        <v>3</v>
      </c>
      <c r="C284" s="1016" t="s">
        <v>176</v>
      </c>
      <c r="D284" s="614" t="str">
        <f>IFERROR(VLOOKUP(C284,Foundation!$C$5:$D$427,2,0),"")</f>
        <v>DA+1.5</v>
      </c>
      <c r="E284" s="1014" t="s">
        <v>403</v>
      </c>
      <c r="F284" s="111">
        <v>45840</v>
      </c>
      <c r="G284" s="111">
        <v>45840</v>
      </c>
      <c r="H284" s="61" t="s">
        <v>950</v>
      </c>
      <c r="I284" s="61" t="s">
        <v>1412</v>
      </c>
      <c r="J284" s="10" t="s">
        <v>1472</v>
      </c>
      <c r="K284" s="61" t="s">
        <v>255</v>
      </c>
    </row>
    <row r="285" spans="1:11" ht="15.5">
      <c r="A285" s="608">
        <v>281</v>
      </c>
      <c r="B285" s="3">
        <v>4</v>
      </c>
      <c r="C285" s="661" t="s">
        <v>177</v>
      </c>
      <c r="D285" s="614" t="str">
        <f>IFERROR(VLOOKUP(C285,Foundation!$C$5:$D$427,2,0),"")</f>
        <v>DA+3</v>
      </c>
      <c r="E285" s="1014" t="s">
        <v>403</v>
      </c>
      <c r="F285" s="111">
        <v>45840</v>
      </c>
      <c r="G285" s="111">
        <v>45840</v>
      </c>
      <c r="H285" s="61" t="s">
        <v>950</v>
      </c>
      <c r="I285" s="61" t="s">
        <v>1412</v>
      </c>
      <c r="J285" s="10" t="s">
        <v>1472</v>
      </c>
      <c r="K285" s="61" t="s">
        <v>255</v>
      </c>
    </row>
    <row r="286" spans="1:11" ht="15.5">
      <c r="A286" s="608">
        <v>282</v>
      </c>
      <c r="B286" s="3">
        <v>5</v>
      </c>
      <c r="C286" s="661" t="s">
        <v>425</v>
      </c>
      <c r="D286" s="614" t="str">
        <f>IFERROR(VLOOKUP(C286,Foundation!$C$5:$D$427,2,0),"")</f>
        <v>DA+0</v>
      </c>
      <c r="E286" s="1014" t="s">
        <v>403</v>
      </c>
      <c r="F286" s="111">
        <v>45840</v>
      </c>
      <c r="G286" s="111">
        <v>45840</v>
      </c>
      <c r="H286" s="61" t="s">
        <v>950</v>
      </c>
      <c r="I286" s="61" t="s">
        <v>1412</v>
      </c>
      <c r="J286" s="10" t="s">
        <v>1472</v>
      </c>
      <c r="K286" s="61" t="s">
        <v>255</v>
      </c>
    </row>
    <row r="287" spans="1:11" ht="15.5">
      <c r="A287" s="608">
        <v>283</v>
      </c>
      <c r="B287" s="3">
        <v>6</v>
      </c>
      <c r="C287" s="661" t="s">
        <v>53</v>
      </c>
      <c r="D287" s="614" t="str">
        <f>IFERROR(VLOOKUP(C287,Foundation!$C$5:$D$427,2,0),"")</f>
        <v>DD60+3</v>
      </c>
      <c r="E287" s="1014" t="s">
        <v>403</v>
      </c>
      <c r="F287" s="35">
        <v>45842</v>
      </c>
      <c r="G287" s="35">
        <v>45842</v>
      </c>
      <c r="H287" s="61" t="s">
        <v>950</v>
      </c>
      <c r="I287" s="61" t="s">
        <v>1412</v>
      </c>
      <c r="J287" s="10" t="s">
        <v>1472</v>
      </c>
      <c r="K287" s="61" t="s">
        <v>255</v>
      </c>
    </row>
    <row r="288" spans="1:11" ht="15.5">
      <c r="A288" s="608">
        <v>284</v>
      </c>
      <c r="B288" s="3">
        <v>7</v>
      </c>
      <c r="C288" s="661" t="s">
        <v>426</v>
      </c>
      <c r="D288" s="614" t="str">
        <f>IFERROR(VLOOKUP(C288,Foundation!$C$5:$D$427,2,0),"")</f>
        <v>DA-3</v>
      </c>
      <c r="E288" s="1014" t="s">
        <v>403</v>
      </c>
      <c r="F288" s="35">
        <v>45842</v>
      </c>
      <c r="G288" s="35">
        <v>45842</v>
      </c>
      <c r="H288" s="61" t="s">
        <v>950</v>
      </c>
      <c r="I288" s="61" t="s">
        <v>1412</v>
      </c>
      <c r="J288" s="10" t="s">
        <v>1472</v>
      </c>
      <c r="K288" s="61" t="s">
        <v>255</v>
      </c>
    </row>
    <row r="289" spans="1:11" ht="15.5">
      <c r="A289" s="608">
        <v>285</v>
      </c>
      <c r="B289" s="3">
        <v>8</v>
      </c>
      <c r="C289" s="661" t="s">
        <v>54</v>
      </c>
      <c r="D289" s="614" t="str">
        <f>IFERROR(VLOOKUP(C289,Foundation!$C$5:$D$427,2,0),"")</f>
        <v>DB1+0</v>
      </c>
      <c r="E289" s="1014" t="s">
        <v>403</v>
      </c>
      <c r="F289" s="35">
        <v>45842</v>
      </c>
      <c r="G289" s="35">
        <v>45842</v>
      </c>
      <c r="H289" s="61" t="s">
        <v>950</v>
      </c>
      <c r="I289" s="61" t="s">
        <v>1412</v>
      </c>
      <c r="J289" s="10" t="s">
        <v>1472</v>
      </c>
      <c r="K289" s="61" t="s">
        <v>255</v>
      </c>
    </row>
    <row r="290" spans="1:11" ht="15.5">
      <c r="A290" s="608">
        <v>286</v>
      </c>
      <c r="B290" s="3">
        <v>9</v>
      </c>
      <c r="C290" s="661" t="s">
        <v>179</v>
      </c>
      <c r="D290" s="614" t="str">
        <f>IFERROR(VLOOKUP(C290,Foundation!$C$5:$D$427,2,0),"")</f>
        <v>DA+0</v>
      </c>
      <c r="E290" s="1014" t="s">
        <v>403</v>
      </c>
      <c r="F290" s="35">
        <v>45842</v>
      </c>
      <c r="G290" s="35">
        <v>45842</v>
      </c>
      <c r="H290" s="61" t="s">
        <v>950</v>
      </c>
      <c r="I290" s="61" t="s">
        <v>1412</v>
      </c>
      <c r="J290" s="10" t="s">
        <v>1472</v>
      </c>
      <c r="K290" s="61" t="s">
        <v>255</v>
      </c>
    </row>
    <row r="291" spans="1:11" ht="15.5">
      <c r="A291" s="608">
        <v>287</v>
      </c>
      <c r="B291" s="3">
        <v>10</v>
      </c>
      <c r="C291" s="661" t="s">
        <v>52</v>
      </c>
      <c r="D291" s="614" t="str">
        <f>IFERROR(VLOOKUP(C291,Foundation!$C$5:$D$427,2,0),"")</f>
        <v>DD60+3</v>
      </c>
      <c r="E291" s="1014" t="s">
        <v>403</v>
      </c>
      <c r="F291" s="35">
        <v>45843</v>
      </c>
      <c r="G291" s="35">
        <v>45843</v>
      </c>
      <c r="H291" s="61" t="s">
        <v>950</v>
      </c>
      <c r="I291" s="61" t="s">
        <v>1412</v>
      </c>
      <c r="J291" s="10" t="s">
        <v>1472</v>
      </c>
      <c r="K291" s="61" t="s">
        <v>255</v>
      </c>
    </row>
    <row r="292" spans="1:11" ht="15.5">
      <c r="A292" s="608">
        <v>288</v>
      </c>
      <c r="B292" s="3">
        <v>11</v>
      </c>
      <c r="C292" s="661" t="s">
        <v>168</v>
      </c>
      <c r="D292" s="614" t="str">
        <f>IFERROR(VLOOKUP(C292,Foundation!$C$5:$D$427,2,0),"")</f>
        <v>DB2+3</v>
      </c>
      <c r="E292" s="1014" t="s">
        <v>403</v>
      </c>
      <c r="F292" s="35">
        <v>45844</v>
      </c>
      <c r="G292" s="35">
        <v>45844</v>
      </c>
      <c r="H292" s="61" t="s">
        <v>950</v>
      </c>
      <c r="I292" s="61" t="s">
        <v>1412</v>
      </c>
      <c r="J292" s="10" t="s">
        <v>1472</v>
      </c>
      <c r="K292" s="61" t="s">
        <v>255</v>
      </c>
    </row>
    <row r="293" spans="1:11" ht="15.5">
      <c r="A293" s="608">
        <v>289</v>
      </c>
      <c r="B293" s="3">
        <v>12</v>
      </c>
      <c r="C293" s="661" t="s">
        <v>72</v>
      </c>
      <c r="D293" s="614" t="str">
        <f>IFERROR(VLOOKUP(C293,Foundation!$C$5:$D$427,2,0),"")</f>
        <v>DB1+3</v>
      </c>
      <c r="E293" s="1014" t="s">
        <v>403</v>
      </c>
      <c r="F293" s="35">
        <v>45844</v>
      </c>
      <c r="G293" s="35">
        <v>45844</v>
      </c>
      <c r="H293" s="61" t="s">
        <v>950</v>
      </c>
      <c r="I293" s="61" t="s">
        <v>1412</v>
      </c>
      <c r="J293" s="10" t="s">
        <v>1472</v>
      </c>
      <c r="K293" s="61" t="s">
        <v>255</v>
      </c>
    </row>
    <row r="294" spans="1:11" ht="15.5">
      <c r="A294" s="608">
        <v>290</v>
      </c>
      <c r="B294" s="3">
        <v>13</v>
      </c>
      <c r="C294" s="661" t="s">
        <v>268</v>
      </c>
      <c r="D294" s="614" t="str">
        <f>IFERROR(VLOOKUP(C294,Foundation!$C$5:$D$427,2,0),"")</f>
        <v>DD60+0</v>
      </c>
      <c r="E294" s="1014" t="s">
        <v>403</v>
      </c>
      <c r="F294" s="35">
        <v>45853</v>
      </c>
      <c r="G294" s="35">
        <v>45853</v>
      </c>
      <c r="H294" s="61" t="s">
        <v>950</v>
      </c>
      <c r="I294" s="69" t="s">
        <v>1477</v>
      </c>
      <c r="J294" s="10" t="s">
        <v>1472</v>
      </c>
      <c r="K294" s="61" t="s">
        <v>255</v>
      </c>
    </row>
    <row r="295" spans="1:11" ht="15.5">
      <c r="A295" s="608">
        <v>291</v>
      </c>
      <c r="B295" s="3">
        <v>14</v>
      </c>
      <c r="C295" s="661" t="s">
        <v>1248</v>
      </c>
      <c r="D295" s="614" t="str">
        <f>IFERROR(VLOOKUP(C295,Foundation!$C$5:$D$427,2,0),"")</f>
        <v>DD45+0</v>
      </c>
      <c r="E295" s="1014" t="s">
        <v>403</v>
      </c>
      <c r="F295" s="35">
        <v>45853</v>
      </c>
      <c r="G295" s="35">
        <v>45853</v>
      </c>
      <c r="H295" s="61" t="s">
        <v>950</v>
      </c>
      <c r="I295" s="69" t="s">
        <v>1477</v>
      </c>
      <c r="J295" s="10" t="s">
        <v>1472</v>
      </c>
      <c r="K295" s="61" t="s">
        <v>255</v>
      </c>
    </row>
    <row r="296" spans="1:11" ht="15.5">
      <c r="A296" s="608">
        <v>292</v>
      </c>
      <c r="B296" s="3">
        <v>15</v>
      </c>
      <c r="C296" s="661" t="s">
        <v>1250</v>
      </c>
      <c r="D296" s="614" t="str">
        <f>IFERROR(VLOOKUP(C296,Foundation!$C$5:$D$427,2,0),"")</f>
        <v>DA+0</v>
      </c>
      <c r="E296" s="1014" t="s">
        <v>403</v>
      </c>
      <c r="F296" s="35">
        <v>45853</v>
      </c>
      <c r="G296" s="35">
        <v>45853</v>
      </c>
      <c r="H296" s="61" t="s">
        <v>950</v>
      </c>
      <c r="I296" s="69" t="s">
        <v>1477</v>
      </c>
      <c r="J296" s="10" t="s">
        <v>1472</v>
      </c>
      <c r="K296" s="61" t="s">
        <v>255</v>
      </c>
    </row>
    <row r="297" spans="1:11" ht="15.5">
      <c r="A297" s="608">
        <v>293</v>
      </c>
      <c r="B297" s="3">
        <v>1</v>
      </c>
      <c r="C297" s="661" t="s">
        <v>206</v>
      </c>
      <c r="D297" s="614" t="str">
        <f>IFERROR(VLOOKUP(C297,Foundation!$C$5:$D$427,2,0),"")</f>
        <v>DA+9</v>
      </c>
      <c r="E297" s="1014" t="s">
        <v>403</v>
      </c>
      <c r="F297" s="35">
        <v>45967</v>
      </c>
      <c r="G297" s="35">
        <v>45967</v>
      </c>
      <c r="H297" s="61" t="s">
        <v>950</v>
      </c>
      <c r="I297" s="69" t="s">
        <v>1210</v>
      </c>
      <c r="J297" s="3" t="s">
        <v>1547</v>
      </c>
      <c r="K297" s="61" t="s">
        <v>255</v>
      </c>
    </row>
    <row r="298" spans="1:11" ht="15.5">
      <c r="A298" s="608">
        <v>294</v>
      </c>
      <c r="B298" s="3">
        <v>2</v>
      </c>
      <c r="C298" s="661" t="s">
        <v>76</v>
      </c>
      <c r="D298" s="614" t="str">
        <f>IFERROR(VLOOKUP(C298,Foundation!$C$5:$D$427,2,0),"")</f>
        <v>DA+9</v>
      </c>
      <c r="E298" s="1014" t="s">
        <v>403</v>
      </c>
      <c r="F298" s="35">
        <v>45967</v>
      </c>
      <c r="G298" s="35">
        <v>45967</v>
      </c>
      <c r="H298" s="61" t="s">
        <v>950</v>
      </c>
      <c r="I298" s="69" t="s">
        <v>1210</v>
      </c>
      <c r="J298" s="3" t="s">
        <v>1547</v>
      </c>
      <c r="K298" s="61" t="s">
        <v>255</v>
      </c>
    </row>
    <row r="299" spans="1:11" ht="15.5">
      <c r="A299" s="608">
        <v>295</v>
      </c>
      <c r="B299" s="3">
        <v>3</v>
      </c>
      <c r="C299" s="661" t="s">
        <v>1785</v>
      </c>
      <c r="D299" s="614" t="s">
        <v>1225</v>
      </c>
      <c r="E299" s="1014" t="s">
        <v>403</v>
      </c>
      <c r="F299" s="35">
        <v>45967</v>
      </c>
      <c r="G299" s="35">
        <v>45967</v>
      </c>
      <c r="H299" s="61" t="s">
        <v>950</v>
      </c>
      <c r="I299" s="69" t="s">
        <v>1210</v>
      </c>
      <c r="J299" s="3" t="s">
        <v>1547</v>
      </c>
      <c r="K299" s="61" t="s">
        <v>255</v>
      </c>
    </row>
    <row r="300" spans="1:11" ht="15.5">
      <c r="A300" s="608">
        <v>296</v>
      </c>
      <c r="B300" s="3">
        <v>4</v>
      </c>
      <c r="C300" s="661" t="s">
        <v>7</v>
      </c>
      <c r="D300" s="614" t="str">
        <f>IFERROR(VLOOKUP(C300,Foundation!$C$5:$D$427,2,0),"")</f>
        <v>DB1+6</v>
      </c>
      <c r="E300" s="1014" t="s">
        <v>403</v>
      </c>
      <c r="F300" s="35">
        <v>45968</v>
      </c>
      <c r="G300" s="35">
        <v>45968</v>
      </c>
      <c r="H300" s="61" t="s">
        <v>950</v>
      </c>
      <c r="I300" s="69" t="s">
        <v>1210</v>
      </c>
      <c r="J300" s="3" t="s">
        <v>1547</v>
      </c>
      <c r="K300" s="61" t="s">
        <v>255</v>
      </c>
    </row>
    <row r="301" spans="1:11" ht="15.5">
      <c r="A301" s="608">
        <v>297</v>
      </c>
      <c r="B301" s="3">
        <v>5</v>
      </c>
      <c r="C301" s="661" t="s">
        <v>1244</v>
      </c>
      <c r="D301" s="614" t="str">
        <f>IFERROR(VLOOKUP(C301,Foundation!$C$5:$D$427,2,0),"")</f>
        <v>DB1+9</v>
      </c>
      <c r="E301" s="1014" t="s">
        <v>403</v>
      </c>
      <c r="F301" s="35">
        <v>45968</v>
      </c>
      <c r="G301" s="35">
        <v>45968</v>
      </c>
      <c r="H301" s="61" t="s">
        <v>950</v>
      </c>
      <c r="I301" s="69" t="s">
        <v>1210</v>
      </c>
      <c r="J301" s="3" t="s">
        <v>1547</v>
      </c>
      <c r="K301" s="61" t="s">
        <v>255</v>
      </c>
    </row>
    <row r="302" spans="1:11" ht="15.5">
      <c r="A302" s="608">
        <v>298</v>
      </c>
      <c r="B302" s="3">
        <v>6</v>
      </c>
      <c r="C302" s="661" t="s">
        <v>1245</v>
      </c>
      <c r="D302" s="614" t="str">
        <f>IFERROR(VLOOKUP(C302,Foundation!$C$5:$D$427,2,0),"")</f>
        <v>DB1+12</v>
      </c>
      <c r="E302" s="1014" t="s">
        <v>403</v>
      </c>
      <c r="F302" s="35">
        <v>45968</v>
      </c>
      <c r="G302" s="35">
        <v>45968</v>
      </c>
      <c r="H302" s="61" t="s">
        <v>950</v>
      </c>
      <c r="I302" s="69" t="s">
        <v>1210</v>
      </c>
      <c r="J302" s="3" t="s">
        <v>1547</v>
      </c>
      <c r="K302" s="61" t="s">
        <v>255</v>
      </c>
    </row>
    <row r="303" spans="1:11" ht="15.5">
      <c r="A303" s="608">
        <v>299</v>
      </c>
      <c r="B303" s="3">
        <v>1</v>
      </c>
      <c r="C303" s="661" t="s">
        <v>78</v>
      </c>
      <c r="D303" s="614" t="str">
        <f>IFERROR(VLOOKUP(C303,Foundation!$C$5:$D$427,2,0),"")</f>
        <v>DB1+0</v>
      </c>
      <c r="E303" s="1014" t="s">
        <v>403</v>
      </c>
      <c r="F303" s="35">
        <v>46055</v>
      </c>
      <c r="G303" s="35">
        <v>46055</v>
      </c>
      <c r="H303" s="61" t="s">
        <v>950</v>
      </c>
      <c r="I303" s="69" t="s">
        <v>1477</v>
      </c>
      <c r="J303" s="3" t="s">
        <v>1610</v>
      </c>
      <c r="K303" s="61" t="s">
        <v>255</v>
      </c>
    </row>
    <row r="304" spans="1:11" ht="15.5">
      <c r="A304" s="608">
        <f t="shared" ref="A304:A313" si="6">A303+1</f>
        <v>300</v>
      </c>
      <c r="B304" s="3">
        <v>2</v>
      </c>
      <c r="C304" s="661" t="s">
        <v>642</v>
      </c>
      <c r="D304" s="614" t="str">
        <f>IFERROR(VLOOKUP(C304,Foundation!$C$5:$D$427,2,0),"")</f>
        <v>DA-1.5</v>
      </c>
      <c r="E304" s="1014" t="s">
        <v>403</v>
      </c>
      <c r="F304" s="35">
        <v>46055</v>
      </c>
      <c r="G304" s="35">
        <v>46055</v>
      </c>
      <c r="H304" s="61" t="s">
        <v>950</v>
      </c>
      <c r="I304" s="69" t="s">
        <v>1477</v>
      </c>
      <c r="J304" s="3" t="s">
        <v>1610</v>
      </c>
      <c r="K304" s="61" t="s">
        <v>255</v>
      </c>
    </row>
    <row r="305" spans="1:11" ht="15.5">
      <c r="A305" s="608">
        <f t="shared" si="6"/>
        <v>301</v>
      </c>
      <c r="B305" s="3">
        <v>3</v>
      </c>
      <c r="C305" s="1155" t="s">
        <v>1772</v>
      </c>
      <c r="D305" s="614" t="s">
        <v>215</v>
      </c>
      <c r="E305" s="1014" t="s">
        <v>403</v>
      </c>
      <c r="F305" s="35">
        <v>46055</v>
      </c>
      <c r="G305" s="35">
        <v>46055</v>
      </c>
      <c r="H305" s="61" t="s">
        <v>950</v>
      </c>
      <c r="I305" s="69" t="s">
        <v>1477</v>
      </c>
      <c r="J305" s="3" t="s">
        <v>1610</v>
      </c>
      <c r="K305" s="61" t="s">
        <v>255</v>
      </c>
    </row>
    <row r="306" spans="1:11" ht="15.5">
      <c r="A306" s="608">
        <f t="shared" si="6"/>
        <v>302</v>
      </c>
      <c r="B306" s="3">
        <v>4</v>
      </c>
      <c r="C306" s="661" t="s">
        <v>590</v>
      </c>
      <c r="D306" s="614" t="str">
        <f>IFERROR(VLOOKUP(C306,Foundation!$C$5:$D$427,2,0),"")</f>
        <v>DA-3</v>
      </c>
      <c r="E306" s="3" t="s">
        <v>403</v>
      </c>
      <c r="F306" s="35">
        <v>46056</v>
      </c>
      <c r="G306" s="35">
        <v>46056</v>
      </c>
      <c r="H306" s="61" t="s">
        <v>950</v>
      </c>
      <c r="I306" s="69" t="s">
        <v>1477</v>
      </c>
      <c r="J306" s="3" t="s">
        <v>1610</v>
      </c>
      <c r="K306" s="61" t="s">
        <v>255</v>
      </c>
    </row>
    <row r="307" spans="1:11" ht="15.5">
      <c r="A307" s="608">
        <f t="shared" si="6"/>
        <v>303</v>
      </c>
      <c r="B307" s="3">
        <v>5</v>
      </c>
      <c r="C307" s="661" t="s">
        <v>597</v>
      </c>
      <c r="D307" s="614" t="str">
        <f>IFERROR(VLOOKUP(C307,Foundation!$C$5:$D$427,2,0),"")</f>
        <v>DA+3</v>
      </c>
      <c r="E307" s="3" t="s">
        <v>403</v>
      </c>
      <c r="F307" s="35">
        <v>46056</v>
      </c>
      <c r="G307" s="35">
        <v>46056</v>
      </c>
      <c r="H307" s="61" t="s">
        <v>950</v>
      </c>
      <c r="I307" s="69" t="s">
        <v>1477</v>
      </c>
      <c r="J307" s="3" t="s">
        <v>1610</v>
      </c>
      <c r="K307" s="61" t="s">
        <v>255</v>
      </c>
    </row>
    <row r="308" spans="1:11" ht="15.5">
      <c r="A308" s="608">
        <f t="shared" si="6"/>
        <v>304</v>
      </c>
      <c r="B308" s="3">
        <v>6</v>
      </c>
      <c r="C308" s="661" t="s">
        <v>423</v>
      </c>
      <c r="D308" s="614" t="str">
        <f>IFERROR(VLOOKUP(C308,Foundation!$C$5:$D$427,2,0),"")</f>
        <v>DA+6</v>
      </c>
      <c r="E308" s="3" t="s">
        <v>403</v>
      </c>
      <c r="F308" s="35">
        <v>46056</v>
      </c>
      <c r="G308" s="35">
        <v>46056</v>
      </c>
      <c r="H308" s="61" t="s">
        <v>950</v>
      </c>
      <c r="I308" s="69" t="s">
        <v>1477</v>
      </c>
      <c r="J308" s="3" t="s">
        <v>1610</v>
      </c>
      <c r="K308" s="61" t="s">
        <v>255</v>
      </c>
    </row>
    <row r="309" spans="1:11" ht="15.5">
      <c r="A309" s="608">
        <f t="shared" si="6"/>
        <v>305</v>
      </c>
      <c r="B309" s="3">
        <v>1</v>
      </c>
      <c r="C309" s="1155" t="s">
        <v>1773</v>
      </c>
      <c r="D309" s="614" t="s">
        <v>428</v>
      </c>
      <c r="E309" s="3" t="s">
        <v>403</v>
      </c>
      <c r="F309" s="35">
        <v>46099</v>
      </c>
      <c r="G309" s="35">
        <v>46099</v>
      </c>
      <c r="H309" s="61" t="s">
        <v>950</v>
      </c>
      <c r="I309" s="69" t="s">
        <v>1489</v>
      </c>
      <c r="J309" s="3" t="s">
        <v>1657</v>
      </c>
      <c r="K309" s="61" t="s">
        <v>255</v>
      </c>
    </row>
    <row r="310" spans="1:11" ht="15.5">
      <c r="A310" s="608">
        <f t="shared" si="6"/>
        <v>306</v>
      </c>
      <c r="B310" s="3">
        <v>2</v>
      </c>
      <c r="C310" s="1155" t="s">
        <v>1774</v>
      </c>
      <c r="D310" s="614" t="s">
        <v>215</v>
      </c>
      <c r="E310" s="3" t="s">
        <v>403</v>
      </c>
      <c r="F310" s="35">
        <v>46100</v>
      </c>
      <c r="G310" s="35">
        <v>46100</v>
      </c>
      <c r="H310" s="61" t="s">
        <v>950</v>
      </c>
      <c r="I310" s="69" t="s">
        <v>1489</v>
      </c>
      <c r="J310" s="3" t="s">
        <v>1657</v>
      </c>
      <c r="K310" s="61" t="s">
        <v>255</v>
      </c>
    </row>
    <row r="311" spans="1:11" ht="15.5">
      <c r="A311" s="608">
        <f t="shared" si="6"/>
        <v>307</v>
      </c>
      <c r="B311" s="3">
        <v>3</v>
      </c>
      <c r="C311" s="661" t="s">
        <v>12</v>
      </c>
      <c r="D311" s="614" t="str">
        <f>IFERROR(VLOOKUP(C311,Foundation!$C$5:$D$427,2,0),"")</f>
        <v>DC2+0</v>
      </c>
      <c r="E311" s="3" t="s">
        <v>403</v>
      </c>
      <c r="F311" s="35">
        <v>46101</v>
      </c>
      <c r="G311" s="35">
        <v>46101</v>
      </c>
      <c r="H311" s="61" t="s">
        <v>950</v>
      </c>
      <c r="I311" s="69" t="s">
        <v>1489</v>
      </c>
      <c r="J311" s="3" t="s">
        <v>1657</v>
      </c>
      <c r="K311" s="61" t="s">
        <v>255</v>
      </c>
    </row>
    <row r="312" spans="1:11" ht="15.5">
      <c r="A312" s="608">
        <f t="shared" si="6"/>
        <v>308</v>
      </c>
      <c r="B312" s="3">
        <v>1</v>
      </c>
      <c r="C312" s="661" t="s">
        <v>589</v>
      </c>
      <c r="D312" s="614" t="str">
        <f>IFERROR(VLOOKUP(C312,Foundation!$C$5:$D$427,2,0),"")</f>
        <v>DA+6</v>
      </c>
      <c r="E312" s="3" t="s">
        <v>403</v>
      </c>
      <c r="F312" s="35">
        <v>46182</v>
      </c>
      <c r="G312" s="35">
        <v>46182</v>
      </c>
      <c r="H312" s="3" t="s">
        <v>950</v>
      </c>
      <c r="I312" s="69" t="s">
        <v>1148</v>
      </c>
      <c r="J312" s="3" t="s">
        <v>1794</v>
      </c>
      <c r="K312" s="3" t="s">
        <v>255</v>
      </c>
    </row>
    <row r="313" spans="1:11" ht="15.5">
      <c r="A313" s="625">
        <f t="shared" si="6"/>
        <v>309</v>
      </c>
      <c r="B313" s="174"/>
      <c r="C313" s="1238" t="s">
        <v>1069</v>
      </c>
      <c r="D313" s="1013" t="str">
        <f>IFERROR(VLOOKUP(C313,Foundation!$C$5:$D$427,2,0),"")</f>
        <v>DB1+9</v>
      </c>
      <c r="E313" s="174"/>
      <c r="F313" s="174"/>
      <c r="G313" s="174"/>
      <c r="H313" s="174"/>
      <c r="I313" s="174"/>
      <c r="J313" s="918"/>
      <c r="K313" s="174"/>
    </row>
  </sheetData>
  <autoFilter ref="A4:J296" xr:uid="{00000000-0009-0000-0000-000006000000}"/>
  <mergeCells count="4">
    <mergeCell ref="A3:I3"/>
    <mergeCell ref="A1:K1"/>
    <mergeCell ref="A2:K2"/>
    <mergeCell ref="J3:K3"/>
  </mergeCells>
  <phoneticPr fontId="6" type="noConversion"/>
  <conditionalFormatting sqref="C1:C1048576">
    <cfRule type="duplicateValues" dxfId="200" priority="1"/>
    <cfRule type="duplicateValues" dxfId="199" priority="2"/>
  </conditionalFormatting>
  <conditionalFormatting sqref="C3:C4 C35:C65307">
    <cfRule type="expression" dxfId="198" priority="1436" stopIfTrue="1">
      <formula>AND(COUNTIF(#REF!, C3)+COUNTIF(#REF!, C3)+COUNTIF($C$1:$C$4, C3)+COUNTIF(#REF!, C3)+COUNTIF($C$28:$C$65307, C3)+COUNTIF(#REF!, C3)&gt;1,NOT(ISBLANK(C3)))</formula>
    </cfRule>
  </conditionalFormatting>
  <conditionalFormatting sqref="C3:C1048576">
    <cfRule type="duplicateValues" dxfId="197" priority="29"/>
    <cfRule type="duplicateValues" dxfId="196" priority="30"/>
    <cfRule type="duplicateValues" dxfId="195" priority="31"/>
  </conditionalFormatting>
  <conditionalFormatting sqref="C5:C10">
    <cfRule type="duplicateValues" dxfId="194" priority="606"/>
  </conditionalFormatting>
  <conditionalFormatting sqref="C11:C34">
    <cfRule type="duplicateValues" dxfId="193" priority="859"/>
  </conditionalFormatting>
  <conditionalFormatting sqref="C35:C65307">
    <cfRule type="expression" dxfId="192" priority="1448" stopIfTrue="1">
      <formula>AND(COUNTIF(#REF!, C35)+COUNTIF(#REF!, C35)+COUNTIF(#REF!, C35)+COUNTIF($C$28:$C$65307, C35)+COUNTIF(#REF!, C35)&gt;1,NOT(ISBLANK(C35)))</formula>
    </cfRule>
  </conditionalFormatting>
  <pageMargins left="0.7" right="0.7" top="0.75" bottom="0.75" header="0.3" footer="0.3"/>
  <pageSetup paperSize="9" scale="57" orientation="portrait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2">
    <tabColor theme="2" tint="-0.499984740745262"/>
  </sheetPr>
  <dimension ref="B1:K278"/>
  <sheetViews>
    <sheetView topLeftCell="A261" zoomScaleNormal="100" workbookViewId="0">
      <selection activeCell="D91" sqref="D91:D278"/>
    </sheetView>
  </sheetViews>
  <sheetFormatPr defaultColWidth="9.1796875" defaultRowHeight="14.5"/>
  <cols>
    <col min="1" max="1" width="1.1796875" style="13" customWidth="1"/>
    <col min="2" max="2" width="9.26953125" style="13" customWidth="1"/>
    <col min="3" max="3" width="9.1796875" style="13"/>
    <col min="4" max="4" width="11.7265625" style="13" customWidth="1"/>
    <col min="5" max="5" width="13.453125" style="13" bestFit="1" customWidth="1"/>
    <col min="6" max="7" width="12.54296875" style="13" customWidth="1"/>
    <col min="8" max="8" width="14.453125" style="13" customWidth="1"/>
    <col min="9" max="9" width="19.6328125" style="984" hidden="1" customWidth="1"/>
    <col min="10" max="10" width="15.26953125" style="13" customWidth="1"/>
    <col min="11" max="11" width="17.26953125" style="13" hidden="1" customWidth="1"/>
    <col min="12" max="16384" width="9.1796875" style="13"/>
  </cols>
  <sheetData>
    <row r="1" spans="2:11">
      <c r="B1" s="1599" t="str">
        <f>OPGW!B2</f>
        <v>KEC International Limited</v>
      </c>
      <c r="C1" s="1599"/>
      <c r="D1" s="1599"/>
      <c r="E1" s="1599"/>
      <c r="F1" s="1599"/>
      <c r="G1" s="1599"/>
      <c r="H1" s="1599"/>
      <c r="I1" s="1599"/>
      <c r="J1" s="1599"/>
      <c r="K1" s="1599"/>
    </row>
    <row r="2" spans="2:11">
      <c r="B2" s="1599" t="str">
        <f>OPGW!B3</f>
        <v xml:space="preserve"> TA413 : 765 KV D/C Bikaner III - Neemrana II TL02</v>
      </c>
      <c r="C2" s="1599"/>
      <c r="D2" s="1599"/>
      <c r="E2" s="1599"/>
      <c r="F2" s="1599"/>
      <c r="G2" s="1599"/>
      <c r="H2" s="1599"/>
      <c r="I2" s="1599"/>
      <c r="J2" s="1599"/>
      <c r="K2" s="1599"/>
    </row>
    <row r="3" spans="2:11" ht="15.5">
      <c r="B3" s="1598" t="s">
        <v>93</v>
      </c>
      <c r="C3" s="1598"/>
      <c r="D3" s="1598"/>
      <c r="E3" s="1598"/>
      <c r="F3" s="1598"/>
      <c r="G3" s="1598"/>
      <c r="H3" s="1598"/>
      <c r="I3" s="1598"/>
      <c r="J3" s="1159" t="str">
        <f>TA413_PBNTL!M1</f>
        <v>17.07.2026</v>
      </c>
      <c r="K3" s="10"/>
    </row>
    <row r="4" spans="2:11" ht="27.75" customHeight="1">
      <c r="B4" s="70" t="s">
        <v>41</v>
      </c>
      <c r="C4" s="70" t="s">
        <v>42</v>
      </c>
      <c r="D4" s="450" t="s">
        <v>43</v>
      </c>
      <c r="E4" s="70" t="s">
        <v>44</v>
      </c>
      <c r="F4" s="1108" t="s">
        <v>46</v>
      </c>
      <c r="G4" s="1108" t="s">
        <v>47</v>
      </c>
      <c r="H4" s="1109" t="s">
        <v>87</v>
      </c>
      <c r="I4" s="1110" t="s">
        <v>48</v>
      </c>
      <c r="J4" s="70" t="s">
        <v>1</v>
      </c>
      <c r="K4" s="70" t="s">
        <v>1659</v>
      </c>
    </row>
    <row r="5" spans="2:11">
      <c r="B5" s="10">
        <v>1</v>
      </c>
      <c r="C5" s="10">
        <v>1</v>
      </c>
      <c r="D5" s="72" t="s">
        <v>578</v>
      </c>
      <c r="E5" s="62" t="str">
        <f>VLOOKUP(D5,Erection!$C$5:$D$51,2,0)</f>
        <v>DA+6</v>
      </c>
      <c r="F5" s="64">
        <v>45669</v>
      </c>
      <c r="G5" s="64">
        <v>45669</v>
      </c>
      <c r="H5" s="10" t="s">
        <v>1192</v>
      </c>
      <c r="I5" s="60" t="s">
        <v>1193</v>
      </c>
      <c r="J5" s="1107" t="s">
        <v>962</v>
      </c>
      <c r="K5" s="10"/>
    </row>
    <row r="6" spans="2:11">
      <c r="B6" s="10">
        <v>2</v>
      </c>
      <c r="C6" s="10">
        <v>2</v>
      </c>
      <c r="D6" s="72" t="s">
        <v>581</v>
      </c>
      <c r="E6" s="62" t="str">
        <f>VLOOKUP(D6,Erection!$C$5:$D$51,2,0)</f>
        <v>DA+0</v>
      </c>
      <c r="F6" s="64">
        <v>45670</v>
      </c>
      <c r="G6" s="64">
        <v>45670</v>
      </c>
      <c r="H6" s="10" t="s">
        <v>1192</v>
      </c>
      <c r="I6" s="60" t="s">
        <v>1193</v>
      </c>
      <c r="J6" s="1107" t="s">
        <v>962</v>
      </c>
      <c r="K6" s="10"/>
    </row>
    <row r="7" spans="2:11">
      <c r="B7" s="10">
        <v>3</v>
      </c>
      <c r="C7" s="10">
        <v>3</v>
      </c>
      <c r="D7" s="72" t="s">
        <v>584</v>
      </c>
      <c r="E7" s="62" t="str">
        <f>VLOOKUP(D7,Erection!$C$5:$D$51,2,0)</f>
        <v>DA-3</v>
      </c>
      <c r="F7" s="64">
        <v>45671</v>
      </c>
      <c r="G7" s="64">
        <v>45671</v>
      </c>
      <c r="H7" s="10" t="s">
        <v>1192</v>
      </c>
      <c r="I7" s="60" t="s">
        <v>1193</v>
      </c>
      <c r="J7" s="1107" t="s">
        <v>962</v>
      </c>
      <c r="K7" s="10"/>
    </row>
    <row r="8" spans="2:11" ht="16.5" customHeight="1">
      <c r="B8" s="10">
        <v>4</v>
      </c>
      <c r="C8" s="10">
        <v>4</v>
      </c>
      <c r="D8" s="661" t="s">
        <v>577</v>
      </c>
      <c r="E8" s="62" t="str">
        <f>VLOOKUP(D8,Erection!$C$5:$D$51,2,0)</f>
        <v>DA+1.5</v>
      </c>
      <c r="F8" s="64">
        <v>45672</v>
      </c>
      <c r="G8" s="64">
        <v>45672</v>
      </c>
      <c r="H8" s="10" t="s">
        <v>1192</v>
      </c>
      <c r="I8" s="60" t="s">
        <v>1193</v>
      </c>
      <c r="J8" s="1107" t="s">
        <v>962</v>
      </c>
      <c r="K8" s="10"/>
    </row>
    <row r="9" spans="2:11">
      <c r="B9" s="10">
        <v>5</v>
      </c>
      <c r="C9" s="10">
        <v>5</v>
      </c>
      <c r="D9" s="72" t="s">
        <v>580</v>
      </c>
      <c r="E9" s="62" t="str">
        <f>VLOOKUP(D9,Erection!$C$5:$D$51,2,0)</f>
        <v>DA+3</v>
      </c>
      <c r="F9" s="64">
        <v>45673</v>
      </c>
      <c r="G9" s="64">
        <v>45673</v>
      </c>
      <c r="H9" s="10" t="s">
        <v>1192</v>
      </c>
      <c r="I9" s="60" t="s">
        <v>1193</v>
      </c>
      <c r="J9" s="1107" t="s">
        <v>962</v>
      </c>
      <c r="K9" s="10"/>
    </row>
    <row r="10" spans="2:11">
      <c r="B10" s="10">
        <v>6</v>
      </c>
      <c r="C10" s="10">
        <v>6</v>
      </c>
      <c r="D10" s="72" t="s">
        <v>579</v>
      </c>
      <c r="E10" s="62" t="str">
        <f>VLOOKUP(D10,Erection!$C$5:$D$51,2,0)</f>
        <v>DA+9</v>
      </c>
      <c r="F10" s="64">
        <v>45676</v>
      </c>
      <c r="G10" s="64">
        <v>45676</v>
      </c>
      <c r="H10" s="10" t="s">
        <v>1192</v>
      </c>
      <c r="I10" s="60" t="s">
        <v>1193</v>
      </c>
      <c r="J10" s="1107" t="s">
        <v>962</v>
      </c>
      <c r="K10" s="10"/>
    </row>
    <row r="11" spans="2:11">
      <c r="B11" s="10">
        <v>7</v>
      </c>
      <c r="C11" s="10">
        <v>7</v>
      </c>
      <c r="D11" s="72" t="s">
        <v>583</v>
      </c>
      <c r="E11" s="62" t="str">
        <f>VLOOKUP(D11,Erection!$C$5:$D$51,2,0)</f>
        <v>DA+1.5</v>
      </c>
      <c r="F11" s="64">
        <v>45678</v>
      </c>
      <c r="G11" s="64">
        <v>45678</v>
      </c>
      <c r="H11" s="10" t="s">
        <v>1192</v>
      </c>
      <c r="I11" s="60" t="s">
        <v>1193</v>
      </c>
      <c r="J11" s="1107" t="s">
        <v>962</v>
      </c>
      <c r="K11" s="10"/>
    </row>
    <row r="12" spans="2:11">
      <c r="B12" s="10">
        <v>8</v>
      </c>
      <c r="C12" s="10">
        <v>8</v>
      </c>
      <c r="D12" s="72" t="s">
        <v>586</v>
      </c>
      <c r="E12" s="62" t="str">
        <f>VLOOKUP(D12,Erection!$C$5:$D$51,2,0)</f>
        <v>DA+3</v>
      </c>
      <c r="F12" s="64">
        <v>45679</v>
      </c>
      <c r="G12" s="64">
        <v>45679</v>
      </c>
      <c r="H12" s="10" t="s">
        <v>1192</v>
      </c>
      <c r="I12" s="60" t="s">
        <v>1193</v>
      </c>
      <c r="J12" s="1107" t="s">
        <v>962</v>
      </c>
      <c r="K12" s="10"/>
    </row>
    <row r="13" spans="2:11">
      <c r="B13" s="10">
        <v>9</v>
      </c>
      <c r="C13" s="10">
        <v>9</v>
      </c>
      <c r="D13" s="72" t="s">
        <v>576</v>
      </c>
      <c r="E13" s="62" t="str">
        <f>VLOOKUP(D13,Erection!$C$5:$D$51,2,0)</f>
        <v>DA+9</v>
      </c>
      <c r="F13" s="64">
        <v>45682</v>
      </c>
      <c r="G13" s="64">
        <v>45682</v>
      </c>
      <c r="H13" s="10" t="s">
        <v>1192</v>
      </c>
      <c r="I13" s="60" t="s">
        <v>1193</v>
      </c>
      <c r="J13" s="1107" t="s">
        <v>962</v>
      </c>
      <c r="K13" s="10"/>
    </row>
    <row r="14" spans="2:11">
      <c r="B14" s="10">
        <v>10</v>
      </c>
      <c r="C14" s="10">
        <v>10</v>
      </c>
      <c r="D14" s="72" t="s">
        <v>585</v>
      </c>
      <c r="E14" s="62" t="str">
        <f>VLOOKUP(D14,Erection!$C$5:$D$51,2,0)</f>
        <v>DA+1.5</v>
      </c>
      <c r="F14" s="64">
        <v>45684</v>
      </c>
      <c r="G14" s="64">
        <v>45684</v>
      </c>
      <c r="H14" s="10" t="s">
        <v>1192</v>
      </c>
      <c r="I14" s="60" t="s">
        <v>1193</v>
      </c>
      <c r="J14" s="1107" t="s">
        <v>962</v>
      </c>
      <c r="K14" s="10"/>
    </row>
    <row r="15" spans="2:11">
      <c r="B15" s="10">
        <v>11</v>
      </c>
      <c r="C15" s="10">
        <v>11</v>
      </c>
      <c r="D15" s="72" t="s">
        <v>588</v>
      </c>
      <c r="E15" s="62" t="str">
        <f>VLOOKUP(D15,Erection!$C$5:$D$51,2,0)</f>
        <v>DA+6</v>
      </c>
      <c r="F15" s="64">
        <v>45686</v>
      </c>
      <c r="G15" s="64">
        <v>45686</v>
      </c>
      <c r="H15" s="10" t="s">
        <v>1192</v>
      </c>
      <c r="I15" s="60" t="s">
        <v>1193</v>
      </c>
      <c r="J15" s="1107" t="s">
        <v>962</v>
      </c>
      <c r="K15" s="10"/>
    </row>
    <row r="16" spans="2:11">
      <c r="B16" s="10">
        <v>12</v>
      </c>
      <c r="C16" s="10">
        <v>12</v>
      </c>
      <c r="D16" s="72" t="s">
        <v>592</v>
      </c>
      <c r="E16" s="62" t="str">
        <f>VLOOKUP(D16,Erection!$C$5:$D$51,2,0)</f>
        <v>DA+9</v>
      </c>
      <c r="F16" s="64">
        <v>45687</v>
      </c>
      <c r="G16" s="64">
        <v>45687</v>
      </c>
      <c r="H16" s="10" t="s">
        <v>1192</v>
      </c>
      <c r="I16" s="60" t="s">
        <v>1193</v>
      </c>
      <c r="J16" s="1107" t="s">
        <v>962</v>
      </c>
      <c r="K16" s="10"/>
    </row>
    <row r="17" spans="2:11">
      <c r="B17" s="10">
        <v>13</v>
      </c>
      <c r="C17" s="10">
        <v>13</v>
      </c>
      <c r="D17" s="10" t="s">
        <v>594</v>
      </c>
      <c r="E17" s="62" t="str">
        <f>VLOOKUP(D17,Erection!$C$5:$D$51,2,0)</f>
        <v>DA+3</v>
      </c>
      <c r="F17" s="64">
        <v>45688</v>
      </c>
      <c r="G17" s="64">
        <v>45688</v>
      </c>
      <c r="H17" s="10" t="s">
        <v>1192</v>
      </c>
      <c r="I17" s="60" t="s">
        <v>1193</v>
      </c>
      <c r="J17" s="1107" t="s">
        <v>962</v>
      </c>
      <c r="K17" s="10"/>
    </row>
    <row r="18" spans="2:11">
      <c r="B18" s="10">
        <v>14</v>
      </c>
      <c r="C18" s="10">
        <v>1</v>
      </c>
      <c r="D18" s="72" t="s">
        <v>575</v>
      </c>
      <c r="E18" s="62" t="str">
        <f>VLOOKUP(D18,Erection!$C$5:$D$51,2,0)</f>
        <v>DA+9</v>
      </c>
      <c r="F18" s="64">
        <v>45690</v>
      </c>
      <c r="G18" s="64">
        <v>45690</v>
      </c>
      <c r="H18" s="10" t="s">
        <v>1192</v>
      </c>
      <c r="I18" s="60" t="s">
        <v>1193</v>
      </c>
      <c r="J18" s="1107" t="s">
        <v>962</v>
      </c>
      <c r="K18" s="10"/>
    </row>
    <row r="19" spans="2:11">
      <c r="B19" s="10">
        <v>15</v>
      </c>
      <c r="C19" s="10">
        <v>2</v>
      </c>
      <c r="D19" s="72" t="s">
        <v>595</v>
      </c>
      <c r="E19" s="62" t="str">
        <f>VLOOKUP(D19,Erection!$C$5:$D$51,2,0)</f>
        <v>DA+6</v>
      </c>
      <c r="F19" s="64">
        <v>45691</v>
      </c>
      <c r="G19" s="64">
        <v>45691</v>
      </c>
      <c r="H19" s="10" t="s">
        <v>1192</v>
      </c>
      <c r="I19" s="60" t="s">
        <v>1193</v>
      </c>
      <c r="J19" s="1107" t="s">
        <v>962</v>
      </c>
      <c r="K19" s="10"/>
    </row>
    <row r="20" spans="2:11">
      <c r="B20" s="10">
        <v>16</v>
      </c>
      <c r="C20" s="10">
        <v>3</v>
      </c>
      <c r="D20" s="72" t="s">
        <v>582</v>
      </c>
      <c r="E20" s="62" t="str">
        <f>VLOOKUP(D20,Erection!$C$5:$D$51,2,0)</f>
        <v>DA+0</v>
      </c>
      <c r="F20" s="64">
        <v>45692</v>
      </c>
      <c r="G20" s="64">
        <v>45692</v>
      </c>
      <c r="H20" s="10" t="s">
        <v>1192</v>
      </c>
      <c r="I20" s="60" t="s">
        <v>1193</v>
      </c>
      <c r="J20" s="1107" t="s">
        <v>962</v>
      </c>
      <c r="K20" s="10"/>
    </row>
    <row r="21" spans="2:11">
      <c r="B21" s="10">
        <v>17</v>
      </c>
      <c r="C21" s="10">
        <v>4</v>
      </c>
      <c r="D21" s="719" t="s">
        <v>432</v>
      </c>
      <c r="E21" s="62" t="str">
        <f>VLOOKUP(D21,Erection!$C$5:$D$51,2,0)</f>
        <v>DA+0</v>
      </c>
      <c r="F21" s="64">
        <v>45694</v>
      </c>
      <c r="G21" s="64">
        <v>45328</v>
      </c>
      <c r="H21" s="10" t="s">
        <v>1192</v>
      </c>
      <c r="I21" s="60" t="s">
        <v>1193</v>
      </c>
      <c r="J21" s="1107" t="s">
        <v>962</v>
      </c>
      <c r="K21" s="10"/>
    </row>
    <row r="22" spans="2:11">
      <c r="B22" s="10">
        <v>18</v>
      </c>
      <c r="C22" s="10">
        <v>5</v>
      </c>
      <c r="D22" s="72" t="s">
        <v>433</v>
      </c>
      <c r="E22" s="62" t="str">
        <f>VLOOKUP(D22,Erection!$C$5:$D$51,2,0)</f>
        <v>DA+3</v>
      </c>
      <c r="F22" s="64">
        <v>45695</v>
      </c>
      <c r="G22" s="64">
        <v>45695</v>
      </c>
      <c r="H22" s="10" t="s">
        <v>1192</v>
      </c>
      <c r="I22" s="60" t="s">
        <v>1193</v>
      </c>
      <c r="J22" s="1107" t="s">
        <v>962</v>
      </c>
      <c r="K22" s="10"/>
    </row>
    <row r="23" spans="2:11">
      <c r="B23" s="10">
        <v>19</v>
      </c>
      <c r="C23" s="10">
        <v>6</v>
      </c>
      <c r="D23" s="719" t="s">
        <v>434</v>
      </c>
      <c r="E23" s="62" t="str">
        <f>VLOOKUP(D23,Erection!$C$5:$D$51,2,0)</f>
        <v>DA+0</v>
      </c>
      <c r="F23" s="64">
        <v>45696</v>
      </c>
      <c r="G23" s="64">
        <v>45696</v>
      </c>
      <c r="H23" s="10" t="s">
        <v>1192</v>
      </c>
      <c r="I23" s="60" t="s">
        <v>1193</v>
      </c>
      <c r="J23" s="1107" t="s">
        <v>962</v>
      </c>
      <c r="K23" s="10"/>
    </row>
    <row r="24" spans="2:11">
      <c r="B24" s="10">
        <v>20</v>
      </c>
      <c r="C24" s="10">
        <v>7</v>
      </c>
      <c r="D24" s="72" t="s">
        <v>899</v>
      </c>
      <c r="E24" s="62" t="str">
        <f>VLOOKUP(D24,Erection!$C$5:$D$51,2,0)</f>
        <v>DA+6</v>
      </c>
      <c r="F24" s="64">
        <v>45697</v>
      </c>
      <c r="G24" s="64">
        <v>45697</v>
      </c>
      <c r="H24" s="10" t="s">
        <v>1192</v>
      </c>
      <c r="I24" s="60" t="s">
        <v>1193</v>
      </c>
      <c r="J24" s="1107" t="s">
        <v>962</v>
      </c>
      <c r="K24" s="10"/>
    </row>
    <row r="25" spans="2:11">
      <c r="B25" s="10">
        <v>21</v>
      </c>
      <c r="C25" s="10">
        <v>8</v>
      </c>
      <c r="D25" s="72" t="s">
        <v>900</v>
      </c>
      <c r="E25" s="62" t="str">
        <f>VLOOKUP(D25,Erection!$C$5:$D$51,2,0)</f>
        <v>DA+6</v>
      </c>
      <c r="F25" s="64">
        <v>45697</v>
      </c>
      <c r="G25" s="64">
        <v>45697</v>
      </c>
      <c r="H25" s="10" t="s">
        <v>1192</v>
      </c>
      <c r="I25" s="60" t="s">
        <v>1193</v>
      </c>
      <c r="J25" s="1107" t="s">
        <v>962</v>
      </c>
      <c r="K25" s="10"/>
    </row>
    <row r="26" spans="2:11">
      <c r="B26" s="10">
        <v>22</v>
      </c>
      <c r="C26" s="10">
        <v>9</v>
      </c>
      <c r="D26" s="72" t="s">
        <v>904</v>
      </c>
      <c r="E26" s="62" t="str">
        <f>VLOOKUP(D26,Erection!$C$5:$D$51,2,0)</f>
        <v>DA+9</v>
      </c>
      <c r="F26" s="64">
        <v>45698</v>
      </c>
      <c r="G26" s="64">
        <v>45698</v>
      </c>
      <c r="H26" s="10" t="s">
        <v>1192</v>
      </c>
      <c r="I26" s="60" t="s">
        <v>1193</v>
      </c>
      <c r="J26" s="1107" t="s">
        <v>962</v>
      </c>
      <c r="K26" s="10"/>
    </row>
    <row r="27" spans="2:11">
      <c r="B27" s="10">
        <v>23</v>
      </c>
      <c r="C27" s="10">
        <v>10</v>
      </c>
      <c r="D27" s="72" t="s">
        <v>26</v>
      </c>
      <c r="E27" s="62" t="str">
        <f>VLOOKUP(D27,Erection!$C$5:$D$51,2,0)</f>
        <v>DA+0</v>
      </c>
      <c r="F27" s="64">
        <v>45698</v>
      </c>
      <c r="G27" s="64">
        <v>45698</v>
      </c>
      <c r="H27" s="10" t="s">
        <v>1192</v>
      </c>
      <c r="I27" s="60" t="s">
        <v>1193</v>
      </c>
      <c r="J27" s="1107" t="s">
        <v>962</v>
      </c>
      <c r="K27" s="10"/>
    </row>
    <row r="28" spans="2:11">
      <c r="B28" s="10">
        <v>24</v>
      </c>
      <c r="C28" s="10">
        <v>11</v>
      </c>
      <c r="D28" s="72" t="s">
        <v>493</v>
      </c>
      <c r="E28" s="62" t="str">
        <f>VLOOKUP(D28,Erection!$C$5:$D$753,2,0)</f>
        <v>DA+3</v>
      </c>
      <c r="F28" s="728">
        <v>45697</v>
      </c>
      <c r="G28" s="728">
        <v>45697</v>
      </c>
      <c r="H28" s="62" t="s">
        <v>1192</v>
      </c>
      <c r="I28" s="61" t="s">
        <v>1224</v>
      </c>
      <c r="J28" s="1107" t="s">
        <v>962</v>
      </c>
      <c r="K28" s="10"/>
    </row>
    <row r="29" spans="2:11">
      <c r="B29" s="10">
        <v>25</v>
      </c>
      <c r="C29" s="10">
        <v>12</v>
      </c>
      <c r="D29" s="72" t="s">
        <v>494</v>
      </c>
      <c r="E29" s="62" t="str">
        <f>VLOOKUP(D29,Erection!$C$5:$D$753,2,0)</f>
        <v>DA+3</v>
      </c>
      <c r="F29" s="64">
        <v>45698</v>
      </c>
      <c r="G29" s="64">
        <v>45698</v>
      </c>
      <c r="H29" s="62" t="s">
        <v>1192</v>
      </c>
      <c r="I29" s="61" t="s">
        <v>1224</v>
      </c>
      <c r="J29" s="1107" t="s">
        <v>962</v>
      </c>
      <c r="K29" s="10"/>
    </row>
    <row r="30" spans="2:11">
      <c r="B30" s="10">
        <v>26</v>
      </c>
      <c r="C30" s="10">
        <v>13</v>
      </c>
      <c r="D30" s="72" t="s">
        <v>476</v>
      </c>
      <c r="E30" s="62" t="str">
        <f>VLOOKUP(D30,Erection!$C$5:$D$753,2,0)</f>
        <v>DA-3</v>
      </c>
      <c r="F30" s="64">
        <v>45698</v>
      </c>
      <c r="G30" s="64">
        <v>45698</v>
      </c>
      <c r="H30" s="62" t="s">
        <v>1192</v>
      </c>
      <c r="I30" s="61" t="s">
        <v>1224</v>
      </c>
      <c r="J30" s="1107" t="s">
        <v>962</v>
      </c>
      <c r="K30" s="10"/>
    </row>
    <row r="31" spans="2:11">
      <c r="B31" s="10">
        <v>27</v>
      </c>
      <c r="C31" s="10">
        <v>14</v>
      </c>
      <c r="D31" s="72" t="s">
        <v>495</v>
      </c>
      <c r="E31" s="62" t="str">
        <f>VLOOKUP(D31,Erection!$C$5:$D$753,2,0)</f>
        <v>DA+3</v>
      </c>
      <c r="F31" s="64">
        <v>45699</v>
      </c>
      <c r="G31" s="64">
        <v>45699</v>
      </c>
      <c r="H31" s="62" t="s">
        <v>1192</v>
      </c>
      <c r="I31" s="61" t="s">
        <v>1224</v>
      </c>
      <c r="J31" s="1107" t="s">
        <v>962</v>
      </c>
      <c r="K31" s="10"/>
    </row>
    <row r="32" spans="2:11">
      <c r="B32" s="10">
        <v>28</v>
      </c>
      <c r="C32" s="10">
        <v>15</v>
      </c>
      <c r="D32" s="975" t="s">
        <v>496</v>
      </c>
      <c r="E32" s="62" t="str">
        <f>VLOOKUP(D32,Erection!$C$5:$D$753,2,0)</f>
        <v>DA+3</v>
      </c>
      <c r="F32" s="64">
        <v>45699</v>
      </c>
      <c r="G32" s="64">
        <v>45699</v>
      </c>
      <c r="H32" s="62" t="s">
        <v>1192</v>
      </c>
      <c r="I32" s="61" t="s">
        <v>1224</v>
      </c>
      <c r="J32" s="1107" t="s">
        <v>962</v>
      </c>
      <c r="K32" s="10"/>
    </row>
    <row r="33" spans="2:11">
      <c r="B33" s="10">
        <v>29</v>
      </c>
      <c r="C33" s="10">
        <v>16</v>
      </c>
      <c r="D33" s="72" t="s">
        <v>390</v>
      </c>
      <c r="E33" s="62" t="str">
        <f>VLOOKUP(D33,Erection!$C$5:$D$753,2,0)</f>
        <v>DA-3</v>
      </c>
      <c r="F33" s="64">
        <v>45700</v>
      </c>
      <c r="G33" s="64">
        <v>45700</v>
      </c>
      <c r="H33" s="62" t="s">
        <v>1192</v>
      </c>
      <c r="I33" s="61" t="s">
        <v>1224</v>
      </c>
      <c r="J33" s="1107" t="s">
        <v>962</v>
      </c>
      <c r="K33" s="10"/>
    </row>
    <row r="34" spans="2:11">
      <c r="B34" s="10">
        <v>30</v>
      </c>
      <c r="C34" s="10">
        <v>17</v>
      </c>
      <c r="D34" s="72" t="s">
        <v>391</v>
      </c>
      <c r="E34" s="62" t="str">
        <f>VLOOKUP(D34,Erection!$C$5:$D$753,2,0)</f>
        <v>DA+6</v>
      </c>
      <c r="F34" s="64">
        <v>45701</v>
      </c>
      <c r="G34" s="64">
        <v>45701</v>
      </c>
      <c r="H34" s="62" t="s">
        <v>1192</v>
      </c>
      <c r="I34" s="61" t="s">
        <v>1224</v>
      </c>
      <c r="J34" s="1107" t="s">
        <v>962</v>
      </c>
      <c r="K34" s="10"/>
    </row>
    <row r="35" spans="2:11">
      <c r="B35" s="10">
        <v>31</v>
      </c>
      <c r="C35" s="10">
        <v>18</v>
      </c>
      <c r="D35" s="72" t="s">
        <v>394</v>
      </c>
      <c r="E35" s="62" t="str">
        <f>VLOOKUP(D35,Erection!$C$5:$D$753,2,0)</f>
        <v>DA+9</v>
      </c>
      <c r="F35" s="64">
        <v>45702</v>
      </c>
      <c r="G35" s="64">
        <v>45702</v>
      </c>
      <c r="H35" s="62" t="s">
        <v>1192</v>
      </c>
      <c r="I35" s="61" t="s">
        <v>1224</v>
      </c>
      <c r="J35" s="1107" t="s">
        <v>962</v>
      </c>
      <c r="K35" s="10"/>
    </row>
    <row r="36" spans="2:11">
      <c r="B36" s="10">
        <v>32</v>
      </c>
      <c r="C36" s="10">
        <v>19</v>
      </c>
      <c r="D36" s="72" t="s">
        <v>395</v>
      </c>
      <c r="E36" s="62" t="str">
        <f>VLOOKUP(D36,Erection!$C$5:$D$753,2,0)</f>
        <v>DA+3</v>
      </c>
      <c r="F36" s="64">
        <v>45703</v>
      </c>
      <c r="G36" s="64">
        <v>45703</v>
      </c>
      <c r="H36" s="62" t="s">
        <v>1192</v>
      </c>
      <c r="I36" s="61" t="s">
        <v>1224</v>
      </c>
      <c r="J36" s="1107" t="s">
        <v>962</v>
      </c>
      <c r="K36" s="10"/>
    </row>
    <row r="37" spans="2:11">
      <c r="B37" s="10">
        <v>33</v>
      </c>
      <c r="C37" s="10">
        <v>20</v>
      </c>
      <c r="D37" s="72" t="s">
        <v>396</v>
      </c>
      <c r="E37" s="62" t="str">
        <f>VLOOKUP(D37,Erection!$C$5:$D$753,2,0)</f>
        <v>DA+3</v>
      </c>
      <c r="F37" s="64">
        <v>45704</v>
      </c>
      <c r="G37" s="64">
        <v>45704</v>
      </c>
      <c r="H37" s="62" t="s">
        <v>1192</v>
      </c>
      <c r="I37" s="61" t="s">
        <v>1224</v>
      </c>
      <c r="J37" s="1107" t="s">
        <v>962</v>
      </c>
      <c r="K37" s="10"/>
    </row>
    <row r="38" spans="2:11">
      <c r="B38" s="10">
        <v>34</v>
      </c>
      <c r="C38" s="10">
        <v>21</v>
      </c>
      <c r="D38" s="72" t="s">
        <v>397</v>
      </c>
      <c r="E38" s="62" t="str">
        <f>VLOOKUP(D38,Erection!$C$5:$D$753,2,0)</f>
        <v>DA+9</v>
      </c>
      <c r="F38" s="64">
        <v>45705</v>
      </c>
      <c r="G38" s="64">
        <v>45705</v>
      </c>
      <c r="H38" s="62" t="s">
        <v>1192</v>
      </c>
      <c r="I38" s="61" t="s">
        <v>1224</v>
      </c>
      <c r="J38" s="1107" t="s">
        <v>962</v>
      </c>
      <c r="K38" s="10"/>
    </row>
    <row r="39" spans="2:11">
      <c r="B39" s="10">
        <v>35</v>
      </c>
      <c r="C39" s="10">
        <v>22</v>
      </c>
      <c r="D39" s="72" t="s">
        <v>398</v>
      </c>
      <c r="E39" s="62" t="str">
        <f>VLOOKUP(D39,Erection!$C$5:$D$753,2,0)</f>
        <v>DA+3</v>
      </c>
      <c r="F39" s="64">
        <v>45705</v>
      </c>
      <c r="G39" s="64">
        <v>45705</v>
      </c>
      <c r="H39" s="62" t="s">
        <v>1192</v>
      </c>
      <c r="I39" s="61" t="s">
        <v>1224</v>
      </c>
      <c r="J39" s="1107" t="s">
        <v>962</v>
      </c>
      <c r="K39" s="10"/>
    </row>
    <row r="40" spans="2:11">
      <c r="B40" s="10">
        <v>36</v>
      </c>
      <c r="C40" s="10">
        <v>23</v>
      </c>
      <c r="D40" s="72" t="s">
        <v>399</v>
      </c>
      <c r="E40" s="62" t="str">
        <f>VLOOKUP(D40,Erection!$C$5:$D$753,2,0)</f>
        <v>DA+0</v>
      </c>
      <c r="F40" s="64">
        <v>45705</v>
      </c>
      <c r="G40" s="64">
        <v>45705</v>
      </c>
      <c r="H40" s="62" t="s">
        <v>1192</v>
      </c>
      <c r="I40" s="61" t="s">
        <v>1224</v>
      </c>
      <c r="J40" s="1107" t="s">
        <v>962</v>
      </c>
      <c r="K40" s="10"/>
    </row>
    <row r="41" spans="2:11">
      <c r="B41" s="10">
        <v>37</v>
      </c>
      <c r="C41" s="10">
        <v>24</v>
      </c>
      <c r="D41" s="72" t="s">
        <v>262</v>
      </c>
      <c r="E41" s="62" t="str">
        <f>VLOOKUP(D41,Erection!$C$5:$D$753,2,0)</f>
        <v>DB1+0</v>
      </c>
      <c r="F41" s="64">
        <v>45706</v>
      </c>
      <c r="G41" s="64">
        <v>45706</v>
      </c>
      <c r="H41" s="62" t="s">
        <v>1192</v>
      </c>
      <c r="I41" s="61" t="s">
        <v>1224</v>
      </c>
      <c r="J41" s="1107" t="s">
        <v>962</v>
      </c>
      <c r="K41" s="10"/>
    </row>
    <row r="42" spans="2:11">
      <c r="B42" s="10">
        <v>38</v>
      </c>
      <c r="C42" s="10">
        <v>25</v>
      </c>
      <c r="D42" s="72" t="s">
        <v>491</v>
      </c>
      <c r="E42" s="62" t="str">
        <f>VLOOKUP(D42,Erection!$C$5:$D$753,2,0)</f>
        <v>DB1+6</v>
      </c>
      <c r="F42" s="64">
        <v>45709</v>
      </c>
      <c r="G42" s="64">
        <v>45709</v>
      </c>
      <c r="H42" s="62" t="s">
        <v>1192</v>
      </c>
      <c r="I42" s="61" t="s">
        <v>1224</v>
      </c>
      <c r="J42" s="1107" t="s">
        <v>962</v>
      </c>
      <c r="K42" s="10"/>
    </row>
    <row r="43" spans="2:11">
      <c r="B43" s="10">
        <v>39</v>
      </c>
      <c r="C43" s="10">
        <v>26</v>
      </c>
      <c r="D43" s="72" t="s">
        <v>166</v>
      </c>
      <c r="E43" s="62" t="str">
        <f>VLOOKUP(D43,Erection!$C$5:$D$753,2,0)</f>
        <v>DB1+6</v>
      </c>
      <c r="F43" s="64">
        <v>45711</v>
      </c>
      <c r="G43" s="64">
        <v>45711</v>
      </c>
      <c r="H43" s="62" t="s">
        <v>1192</v>
      </c>
      <c r="I43" s="61" t="s">
        <v>1224</v>
      </c>
      <c r="J43" s="1107" t="s">
        <v>962</v>
      </c>
      <c r="K43" s="10"/>
    </row>
    <row r="44" spans="2:11">
      <c r="B44" s="10">
        <v>40</v>
      </c>
      <c r="C44" s="10">
        <v>1</v>
      </c>
      <c r="D44" s="72" t="s">
        <v>392</v>
      </c>
      <c r="E44" s="62" t="str">
        <f>VLOOKUP(D44,Erection!$C$5:$D$753,2,0)</f>
        <v>DA+9</v>
      </c>
      <c r="F44" s="64">
        <v>45734</v>
      </c>
      <c r="G44" s="64">
        <v>45734</v>
      </c>
      <c r="H44" s="62" t="s">
        <v>1192</v>
      </c>
      <c r="I44" s="61" t="s">
        <v>1224</v>
      </c>
      <c r="J44" s="1107" t="s">
        <v>962</v>
      </c>
      <c r="K44" s="10"/>
    </row>
    <row r="45" spans="2:11">
      <c r="B45" s="10">
        <v>41</v>
      </c>
      <c r="C45" s="10">
        <v>2</v>
      </c>
      <c r="D45" s="72" t="s">
        <v>393</v>
      </c>
      <c r="E45" s="62" t="str">
        <f>VLOOKUP(D45,Erection!$C$5:$D$753,2,0)</f>
        <v>DA+6</v>
      </c>
      <c r="F45" s="64">
        <v>45734</v>
      </c>
      <c r="G45" s="64">
        <v>45734</v>
      </c>
      <c r="H45" s="62" t="s">
        <v>1192</v>
      </c>
      <c r="I45" s="61" t="s">
        <v>1224</v>
      </c>
      <c r="J45" s="1107" t="s">
        <v>962</v>
      </c>
      <c r="K45" s="10"/>
    </row>
    <row r="46" spans="2:11">
      <c r="B46" s="10">
        <v>42</v>
      </c>
      <c r="C46" s="10">
        <v>3</v>
      </c>
      <c r="D46" s="72" t="s">
        <v>71</v>
      </c>
      <c r="E46" s="62" t="str">
        <f>VLOOKUP(D46,Erection!$C$5:$D$753,2,0)</f>
        <v>DB2+0</v>
      </c>
      <c r="F46" s="64">
        <v>45736</v>
      </c>
      <c r="G46" s="64">
        <v>45736</v>
      </c>
      <c r="H46" s="62" t="s">
        <v>1192</v>
      </c>
      <c r="I46" s="61" t="s">
        <v>1459</v>
      </c>
      <c r="J46" s="1107" t="s">
        <v>962</v>
      </c>
      <c r="K46" s="10"/>
    </row>
    <row r="47" spans="2:11">
      <c r="B47" s="10">
        <v>43</v>
      </c>
      <c r="C47" s="10">
        <v>4</v>
      </c>
      <c r="D47" s="72" t="s">
        <v>775</v>
      </c>
      <c r="E47" s="62" t="str">
        <f>VLOOKUP(D47,Erection!$C$5:$D$753,2,0)</f>
        <v>DB1+0</v>
      </c>
      <c r="F47" s="64">
        <v>45738</v>
      </c>
      <c r="G47" s="64">
        <v>45738</v>
      </c>
      <c r="H47" s="10" t="s">
        <v>1192</v>
      </c>
      <c r="I47" s="61" t="s">
        <v>1459</v>
      </c>
      <c r="J47" s="1107" t="s">
        <v>962</v>
      </c>
      <c r="K47" s="10"/>
    </row>
    <row r="48" spans="2:11">
      <c r="B48" s="10">
        <v>44</v>
      </c>
      <c r="C48" s="10">
        <v>5</v>
      </c>
      <c r="D48" s="72" t="s">
        <v>781</v>
      </c>
      <c r="E48" s="62" t="str">
        <f>VLOOKUP(D48,Erection!$C$5:$D$753,2,0)</f>
        <v>DA+3</v>
      </c>
      <c r="F48" s="64">
        <v>45738</v>
      </c>
      <c r="G48" s="64">
        <v>45738</v>
      </c>
      <c r="H48" s="10" t="s">
        <v>1192</v>
      </c>
      <c r="I48" s="61" t="s">
        <v>1459</v>
      </c>
      <c r="J48" s="1107" t="s">
        <v>962</v>
      </c>
      <c r="K48" s="10"/>
    </row>
    <row r="49" spans="2:11">
      <c r="B49" s="10">
        <v>45</v>
      </c>
      <c r="C49" s="10">
        <v>6</v>
      </c>
      <c r="D49" s="72" t="s">
        <v>779</v>
      </c>
      <c r="E49" s="62" t="str">
        <f>VLOOKUP(D49,Erection!$C$5:$D$753,2,0)</f>
        <v>DA+9</v>
      </c>
      <c r="F49" s="64">
        <v>45739</v>
      </c>
      <c r="G49" s="64">
        <v>45739</v>
      </c>
      <c r="H49" s="10" t="s">
        <v>1192</v>
      </c>
      <c r="I49" s="61" t="s">
        <v>1459</v>
      </c>
      <c r="J49" s="1107" t="s">
        <v>962</v>
      </c>
      <c r="K49" s="10"/>
    </row>
    <row r="50" spans="2:11">
      <c r="B50" s="10">
        <v>46</v>
      </c>
      <c r="C50" s="10">
        <v>7</v>
      </c>
      <c r="D50" s="72" t="s">
        <v>776</v>
      </c>
      <c r="E50" s="62" t="str">
        <f>VLOOKUP(D50,Erection!$C$5:$D$753,2,0)</f>
        <v>DA+3</v>
      </c>
      <c r="F50" s="64">
        <v>45740</v>
      </c>
      <c r="G50" s="64">
        <v>45740</v>
      </c>
      <c r="H50" s="10" t="s">
        <v>1192</v>
      </c>
      <c r="I50" s="61" t="s">
        <v>1459</v>
      </c>
      <c r="J50" s="1107" t="s">
        <v>962</v>
      </c>
      <c r="K50" s="10"/>
    </row>
    <row r="51" spans="2:11">
      <c r="B51" s="10">
        <v>47</v>
      </c>
      <c r="C51" s="10">
        <v>8</v>
      </c>
      <c r="D51" s="72" t="s">
        <v>777</v>
      </c>
      <c r="E51" s="62" t="str">
        <f>VLOOKUP(D51,Erection!$C$5:$D$753,2,0)</f>
        <v>DA+1.5</v>
      </c>
      <c r="F51" s="64">
        <v>45740</v>
      </c>
      <c r="G51" s="64">
        <v>45740</v>
      </c>
      <c r="H51" s="10" t="s">
        <v>1192</v>
      </c>
      <c r="I51" s="61" t="s">
        <v>1459</v>
      </c>
      <c r="J51" s="1107" t="s">
        <v>962</v>
      </c>
      <c r="K51" s="10"/>
    </row>
    <row r="52" spans="2:11">
      <c r="B52" s="10">
        <v>48</v>
      </c>
      <c r="C52" s="10">
        <v>9</v>
      </c>
      <c r="D52" s="975" t="s">
        <v>778</v>
      </c>
      <c r="E52" s="62" t="str">
        <f>VLOOKUP(D52,Erection!$C$5:$D$753,2,0)</f>
        <v>DA+3</v>
      </c>
      <c r="F52" s="64">
        <v>45741</v>
      </c>
      <c r="G52" s="64">
        <v>45741</v>
      </c>
      <c r="H52" s="10" t="s">
        <v>1192</v>
      </c>
      <c r="I52" s="61" t="s">
        <v>1459</v>
      </c>
      <c r="J52" s="1107" t="s">
        <v>962</v>
      </c>
      <c r="K52" s="10"/>
    </row>
    <row r="53" spans="2:11">
      <c r="B53" s="10">
        <v>49</v>
      </c>
      <c r="C53" s="10">
        <v>10</v>
      </c>
      <c r="D53" s="72" t="s">
        <v>780</v>
      </c>
      <c r="E53" s="62" t="str">
        <f>VLOOKUP(D53,Erection!$C$5:$D$753,2,0)</f>
        <v>DA+3</v>
      </c>
      <c r="F53" s="64">
        <v>45741</v>
      </c>
      <c r="G53" s="64">
        <v>45741</v>
      </c>
      <c r="H53" s="10" t="s">
        <v>1192</v>
      </c>
      <c r="I53" s="61" t="s">
        <v>1459</v>
      </c>
      <c r="J53" s="1107" t="s">
        <v>962</v>
      </c>
      <c r="K53" s="10"/>
    </row>
    <row r="54" spans="2:11">
      <c r="B54" s="10">
        <v>50</v>
      </c>
      <c r="C54" s="10">
        <v>11</v>
      </c>
      <c r="D54" s="719" t="s">
        <v>368</v>
      </c>
      <c r="E54" s="62" t="str">
        <f>VLOOKUP(D54,Erection!$C$5:$D$753,2,0)</f>
        <v>DA+6</v>
      </c>
      <c r="F54" s="64">
        <v>45741</v>
      </c>
      <c r="G54" s="64">
        <v>45741</v>
      </c>
      <c r="H54" s="10" t="s">
        <v>1192</v>
      </c>
      <c r="I54" s="61" t="s">
        <v>1459</v>
      </c>
      <c r="J54" s="1107" t="s">
        <v>962</v>
      </c>
      <c r="K54" s="10"/>
    </row>
    <row r="55" spans="2:11">
      <c r="B55" s="10">
        <v>51</v>
      </c>
      <c r="C55" s="10">
        <v>12</v>
      </c>
      <c r="D55" s="72" t="s">
        <v>405</v>
      </c>
      <c r="E55" s="62" t="str">
        <f>VLOOKUP(D55,Erection!$C$5:$D$753,2,0)</f>
        <v>DA+0</v>
      </c>
      <c r="F55" s="64">
        <v>45741</v>
      </c>
      <c r="G55" s="64">
        <v>45741</v>
      </c>
      <c r="H55" s="10" t="s">
        <v>1192</v>
      </c>
      <c r="I55" s="61" t="s">
        <v>1459</v>
      </c>
      <c r="J55" s="1107" t="s">
        <v>962</v>
      </c>
      <c r="K55" s="10"/>
    </row>
    <row r="56" spans="2:11">
      <c r="B56" s="10">
        <v>52</v>
      </c>
      <c r="C56" s="10">
        <v>13</v>
      </c>
      <c r="D56" s="72" t="s">
        <v>404</v>
      </c>
      <c r="E56" s="62" t="str">
        <f>VLOOKUP(D56,Erection!$C$5:$D$753,2,0)</f>
        <v>DA+3</v>
      </c>
      <c r="F56" s="64">
        <v>45743</v>
      </c>
      <c r="G56" s="64">
        <v>45743</v>
      </c>
      <c r="H56" s="10" t="s">
        <v>1192</v>
      </c>
      <c r="I56" s="61" t="s">
        <v>1459</v>
      </c>
      <c r="J56" s="1107" t="s">
        <v>962</v>
      </c>
      <c r="K56" s="10"/>
    </row>
    <row r="57" spans="2:11">
      <c r="B57" s="10">
        <v>53</v>
      </c>
      <c r="C57" s="10">
        <v>14</v>
      </c>
      <c r="D57" s="719" t="s">
        <v>402</v>
      </c>
      <c r="E57" s="62" t="str">
        <f>VLOOKUP(D57,Erection!$C$5:$D$753,2,0)</f>
        <v>DA+3</v>
      </c>
      <c r="F57" s="64">
        <v>45743</v>
      </c>
      <c r="G57" s="64">
        <v>45743</v>
      </c>
      <c r="H57" s="10" t="s">
        <v>1192</v>
      </c>
      <c r="I57" s="61" t="s">
        <v>1459</v>
      </c>
      <c r="J57" s="1107" t="s">
        <v>962</v>
      </c>
      <c r="K57" s="10"/>
    </row>
    <row r="58" spans="2:11">
      <c r="B58" s="10">
        <v>54</v>
      </c>
      <c r="C58" s="10">
        <v>15</v>
      </c>
      <c r="D58" s="72" t="s">
        <v>607</v>
      </c>
      <c r="E58" s="62" t="str">
        <f>VLOOKUP(D58,Erection!$C$5:$D$753,2,0)</f>
        <v>DA+0</v>
      </c>
      <c r="F58" s="64">
        <v>45747</v>
      </c>
      <c r="G58" s="64">
        <v>45747</v>
      </c>
      <c r="H58" s="10" t="s">
        <v>1192</v>
      </c>
      <c r="I58" s="61" t="s">
        <v>1459</v>
      </c>
      <c r="J58" s="1107" t="s">
        <v>962</v>
      </c>
      <c r="K58" s="10"/>
    </row>
    <row r="59" spans="2:11">
      <c r="B59" s="10">
        <v>55</v>
      </c>
      <c r="C59" s="10">
        <v>1</v>
      </c>
      <c r="D59" s="72" t="s">
        <v>608</v>
      </c>
      <c r="E59" s="62" t="str">
        <f>VLOOKUP(D59,Erection!$C$5:$D$753,2,0)</f>
        <v>DA+0</v>
      </c>
      <c r="F59" s="64">
        <v>45752</v>
      </c>
      <c r="G59" s="64">
        <v>45752</v>
      </c>
      <c r="H59" s="10" t="s">
        <v>1192</v>
      </c>
      <c r="I59" s="61" t="s">
        <v>1459</v>
      </c>
      <c r="J59" s="1107" t="s">
        <v>962</v>
      </c>
      <c r="K59" s="10"/>
    </row>
    <row r="60" spans="2:11">
      <c r="B60" s="10">
        <v>56</v>
      </c>
      <c r="C60" s="10">
        <v>2</v>
      </c>
      <c r="D60" s="72" t="s">
        <v>609</v>
      </c>
      <c r="E60" s="62" t="str">
        <f>VLOOKUP(D60,Erection!$C$5:$D$753,2,0)</f>
        <v>DA+3</v>
      </c>
      <c r="F60" s="64">
        <v>45753</v>
      </c>
      <c r="G60" s="64">
        <v>45753</v>
      </c>
      <c r="H60" s="10" t="s">
        <v>1192</v>
      </c>
      <c r="I60" s="61" t="s">
        <v>1459</v>
      </c>
      <c r="J60" s="1107" t="s">
        <v>962</v>
      </c>
      <c r="K60" s="10"/>
    </row>
    <row r="61" spans="2:11">
      <c r="B61" s="10">
        <v>57</v>
      </c>
      <c r="C61" s="10">
        <v>3</v>
      </c>
      <c r="D61" s="72" t="s">
        <v>610</v>
      </c>
      <c r="E61" s="62" t="str">
        <f>VLOOKUP(D61,Erection!$C$5:$D$753,2,0)</f>
        <v>DA+1.5</v>
      </c>
      <c r="F61" s="64">
        <v>45753</v>
      </c>
      <c r="G61" s="64">
        <v>45753</v>
      </c>
      <c r="H61" s="10" t="s">
        <v>1192</v>
      </c>
      <c r="I61" s="61" t="s">
        <v>1459</v>
      </c>
      <c r="J61" s="1107" t="s">
        <v>962</v>
      </c>
      <c r="K61" s="10"/>
    </row>
    <row r="62" spans="2:11">
      <c r="B62" s="10">
        <v>58</v>
      </c>
      <c r="C62" s="10">
        <v>4</v>
      </c>
      <c r="D62" s="72" t="s">
        <v>611</v>
      </c>
      <c r="E62" s="62" t="str">
        <f>VLOOKUP(D62,Erection!$C$5:$D$753,2,0)</f>
        <v>DA+3</v>
      </c>
      <c r="F62" s="64">
        <v>45756</v>
      </c>
      <c r="G62" s="64">
        <v>45756</v>
      </c>
      <c r="H62" s="10" t="s">
        <v>1192</v>
      </c>
      <c r="I62" s="61" t="s">
        <v>1459</v>
      </c>
      <c r="J62" s="1107" t="s">
        <v>962</v>
      </c>
      <c r="K62" s="10"/>
    </row>
    <row r="63" spans="2:11">
      <c r="B63" s="10">
        <v>59</v>
      </c>
      <c r="C63" s="10">
        <v>5</v>
      </c>
      <c r="D63" s="72" t="s">
        <v>612</v>
      </c>
      <c r="E63" s="62" t="str">
        <f>VLOOKUP(D63,Erection!$C$5:$D$753,2,0)</f>
        <v>DA+6</v>
      </c>
      <c r="F63" s="64">
        <v>45756</v>
      </c>
      <c r="G63" s="64">
        <v>45756</v>
      </c>
      <c r="H63" s="10" t="s">
        <v>1192</v>
      </c>
      <c r="I63" s="61" t="s">
        <v>1459</v>
      </c>
      <c r="J63" s="1107" t="s">
        <v>962</v>
      </c>
      <c r="K63" s="10"/>
    </row>
    <row r="64" spans="2:11">
      <c r="B64" s="10">
        <v>60</v>
      </c>
      <c r="C64" s="10">
        <v>6</v>
      </c>
      <c r="D64" s="72" t="s">
        <v>614</v>
      </c>
      <c r="E64" s="62" t="str">
        <f>VLOOKUP(D64,Erection!$C$5:$D$753,2,0)</f>
        <v>DA+1.5</v>
      </c>
      <c r="F64" s="64">
        <v>45756</v>
      </c>
      <c r="G64" s="64">
        <v>45756</v>
      </c>
      <c r="H64" s="10" t="s">
        <v>1192</v>
      </c>
      <c r="I64" s="61" t="s">
        <v>1459</v>
      </c>
      <c r="J64" s="1107" t="s">
        <v>962</v>
      </c>
      <c r="K64" s="10"/>
    </row>
    <row r="65" spans="2:11">
      <c r="B65" s="10">
        <v>61</v>
      </c>
      <c r="C65" s="10">
        <v>7</v>
      </c>
      <c r="D65" s="72" t="s">
        <v>615</v>
      </c>
      <c r="E65" s="62" t="str">
        <f>VLOOKUP(D65,Erection!$C$5:$D$753,2,0)</f>
        <v>DA+0</v>
      </c>
      <c r="F65" s="64">
        <v>45756</v>
      </c>
      <c r="G65" s="64">
        <v>45756</v>
      </c>
      <c r="H65" s="10" t="s">
        <v>1192</v>
      </c>
      <c r="I65" s="61" t="s">
        <v>1459</v>
      </c>
      <c r="J65" s="1107" t="s">
        <v>962</v>
      </c>
      <c r="K65" s="10"/>
    </row>
    <row r="66" spans="2:11">
      <c r="B66" s="10">
        <v>62</v>
      </c>
      <c r="C66" s="10">
        <v>8</v>
      </c>
      <c r="D66" s="72" t="s">
        <v>616</v>
      </c>
      <c r="E66" s="62" t="str">
        <f>VLOOKUP(D66,Erection!$C$5:$D$753,2,0)</f>
        <v>DA+3</v>
      </c>
      <c r="F66" s="64">
        <v>45756</v>
      </c>
      <c r="G66" s="64">
        <v>45756</v>
      </c>
      <c r="H66" s="10" t="s">
        <v>1192</v>
      </c>
      <c r="I66" s="61" t="s">
        <v>1459</v>
      </c>
      <c r="J66" s="1107" t="s">
        <v>962</v>
      </c>
      <c r="K66" s="10"/>
    </row>
    <row r="67" spans="2:11">
      <c r="B67" s="10">
        <v>63</v>
      </c>
      <c r="C67" s="10">
        <v>9</v>
      </c>
      <c r="D67" s="72" t="s">
        <v>570</v>
      </c>
      <c r="E67" s="62" t="str">
        <f>VLOOKUP(D67,Erection!$C$5:$D$753,2,0)</f>
        <v>DA+6</v>
      </c>
      <c r="F67" s="64">
        <v>45775</v>
      </c>
      <c r="G67" s="64">
        <v>45775</v>
      </c>
      <c r="H67" s="10" t="s">
        <v>1192</v>
      </c>
      <c r="I67" s="60" t="s">
        <v>1193</v>
      </c>
      <c r="J67" s="1107" t="s">
        <v>962</v>
      </c>
      <c r="K67" s="10"/>
    </row>
    <row r="68" spans="2:11">
      <c r="B68" s="10">
        <v>64</v>
      </c>
      <c r="C68" s="10">
        <v>1</v>
      </c>
      <c r="D68" s="72" t="s">
        <v>477</v>
      </c>
      <c r="E68" s="62" t="str">
        <f>VLOOKUP(D68,Erection!$C$5:$D$753,2,0)</f>
        <v>DA+6</v>
      </c>
      <c r="F68" s="64">
        <v>45776</v>
      </c>
      <c r="G68" s="64">
        <v>45776</v>
      </c>
      <c r="H68" s="10" t="s">
        <v>1192</v>
      </c>
      <c r="I68" s="60" t="s">
        <v>1193</v>
      </c>
      <c r="J68" s="1107" t="s">
        <v>962</v>
      </c>
      <c r="K68" s="10"/>
    </row>
    <row r="69" spans="2:11">
      <c r="B69" s="10">
        <v>65</v>
      </c>
      <c r="C69" s="10">
        <v>2</v>
      </c>
      <c r="D69" s="72" t="s">
        <v>480</v>
      </c>
      <c r="E69" s="62" t="str">
        <f>VLOOKUP(D69,Erection!$C$5:$D$753,2,0)</f>
        <v>DA+6</v>
      </c>
      <c r="F69" s="64">
        <v>45776</v>
      </c>
      <c r="G69" s="64">
        <v>45776</v>
      </c>
      <c r="H69" s="10" t="s">
        <v>1192</v>
      </c>
      <c r="I69" s="60" t="s">
        <v>1193</v>
      </c>
      <c r="J69" s="1107" t="s">
        <v>962</v>
      </c>
      <c r="K69" s="10"/>
    </row>
    <row r="70" spans="2:11">
      <c r="B70" s="10">
        <v>66</v>
      </c>
      <c r="C70" s="10">
        <v>3</v>
      </c>
      <c r="D70" s="72" t="s">
        <v>481</v>
      </c>
      <c r="E70" s="62" t="str">
        <f>VLOOKUP(D70,Erection!$C$5:$D$753,2,0)</f>
        <v>DA-1.5</v>
      </c>
      <c r="F70" s="64">
        <v>45777</v>
      </c>
      <c r="G70" s="64">
        <v>45777</v>
      </c>
      <c r="H70" s="10" t="s">
        <v>1192</v>
      </c>
      <c r="I70" s="60" t="s">
        <v>1193</v>
      </c>
      <c r="J70" s="1107" t="s">
        <v>962</v>
      </c>
      <c r="K70" s="10"/>
    </row>
    <row r="71" spans="2:11">
      <c r="B71" s="10">
        <v>67</v>
      </c>
      <c r="C71" s="10">
        <v>4</v>
      </c>
      <c r="D71" s="72" t="s">
        <v>569</v>
      </c>
      <c r="E71" s="62" t="str">
        <f>VLOOKUP(D71,Erection!$C$5:$D$753,2,0)</f>
        <v>DA+0</v>
      </c>
      <c r="F71" s="64">
        <v>45777</v>
      </c>
      <c r="G71" s="64">
        <v>45777</v>
      </c>
      <c r="H71" s="10" t="s">
        <v>1192</v>
      </c>
      <c r="I71" s="60" t="s">
        <v>1193</v>
      </c>
      <c r="J71" s="1107" t="s">
        <v>962</v>
      </c>
      <c r="K71" s="10"/>
    </row>
    <row r="72" spans="2:11">
      <c r="B72" s="10">
        <v>68</v>
      </c>
      <c r="C72" s="10">
        <v>5</v>
      </c>
      <c r="D72" s="72" t="s">
        <v>572</v>
      </c>
      <c r="E72" s="62" t="str">
        <f>VLOOKUP(D72,Erection!$C$5:$D$753,2,0)</f>
        <v>DA+3</v>
      </c>
      <c r="F72" s="64">
        <v>45778</v>
      </c>
      <c r="G72" s="64">
        <v>45778</v>
      </c>
      <c r="H72" s="10" t="s">
        <v>1192</v>
      </c>
      <c r="I72" s="60" t="s">
        <v>1193</v>
      </c>
      <c r="J72" s="1107" t="s">
        <v>962</v>
      </c>
      <c r="K72" s="10"/>
    </row>
    <row r="73" spans="2:11">
      <c r="B73" s="10">
        <v>69</v>
      </c>
      <c r="C73" s="10">
        <v>6</v>
      </c>
      <c r="D73" s="72" t="s">
        <v>72</v>
      </c>
      <c r="E73" s="62" t="str">
        <f>VLOOKUP(D73,Erection!$C$5:$D$753,2,0)</f>
        <v>DB1+3</v>
      </c>
      <c r="F73" s="64">
        <v>45779</v>
      </c>
      <c r="G73" s="64">
        <v>45779</v>
      </c>
      <c r="H73" s="10" t="s">
        <v>1192</v>
      </c>
      <c r="I73" s="60" t="s">
        <v>1193</v>
      </c>
      <c r="J73" s="1107" t="s">
        <v>962</v>
      </c>
      <c r="K73" s="10"/>
    </row>
    <row r="74" spans="2:11">
      <c r="B74" s="10">
        <v>70</v>
      </c>
      <c r="C74" s="10">
        <v>7</v>
      </c>
      <c r="D74" s="72" t="s">
        <v>73</v>
      </c>
      <c r="E74" s="62" t="str">
        <f>VLOOKUP(D74,Erection!$C$5:$D$753,2,0)</f>
        <v>DB2+0</v>
      </c>
      <c r="F74" s="64">
        <v>45780</v>
      </c>
      <c r="G74" s="64">
        <v>45780</v>
      </c>
      <c r="H74" s="10" t="s">
        <v>1192</v>
      </c>
      <c r="I74" s="60" t="s">
        <v>1193</v>
      </c>
      <c r="J74" s="1107" t="s">
        <v>962</v>
      </c>
      <c r="K74" s="10"/>
    </row>
    <row r="75" spans="2:11">
      <c r="B75" s="10">
        <v>71</v>
      </c>
      <c r="C75" s="10">
        <v>8</v>
      </c>
      <c r="D75" s="72" t="s">
        <v>618</v>
      </c>
      <c r="E75" s="62" t="str">
        <f>VLOOKUP(D75,Erection!$C$5:$D$753,2,0)</f>
        <v>DA-1.5</v>
      </c>
      <c r="F75" s="64">
        <v>45780</v>
      </c>
      <c r="G75" s="64">
        <v>45780</v>
      </c>
      <c r="H75" s="10" t="s">
        <v>1192</v>
      </c>
      <c r="I75" s="60" t="s">
        <v>1193</v>
      </c>
      <c r="J75" s="1107" t="s">
        <v>962</v>
      </c>
      <c r="K75" s="10"/>
    </row>
    <row r="76" spans="2:11">
      <c r="B76" s="10">
        <v>72</v>
      </c>
      <c r="C76" s="10">
        <v>9</v>
      </c>
      <c r="D76" s="72" t="s">
        <v>619</v>
      </c>
      <c r="E76" s="62" t="str">
        <f>VLOOKUP(D76,Erection!$C$5:$D$753,2,0)</f>
        <v>DA+3</v>
      </c>
      <c r="F76" s="64">
        <v>45781</v>
      </c>
      <c r="G76" s="64">
        <v>45781</v>
      </c>
      <c r="H76" s="10" t="s">
        <v>1192</v>
      </c>
      <c r="I76" s="60" t="s">
        <v>1193</v>
      </c>
      <c r="J76" s="1107" t="s">
        <v>962</v>
      </c>
      <c r="K76" s="10"/>
    </row>
    <row r="77" spans="2:11">
      <c r="B77" s="10">
        <v>73</v>
      </c>
      <c r="C77" s="10">
        <v>10</v>
      </c>
      <c r="D77" s="72" t="s">
        <v>620</v>
      </c>
      <c r="E77" s="62" t="str">
        <f>VLOOKUP(D77,Erection!$C$5:$D$753,2,0)</f>
        <v>DA+1.5</v>
      </c>
      <c r="F77" s="64">
        <v>45782</v>
      </c>
      <c r="G77" s="64">
        <v>45782</v>
      </c>
      <c r="H77" s="10" t="s">
        <v>1192</v>
      </c>
      <c r="I77" s="60" t="s">
        <v>1193</v>
      </c>
      <c r="J77" s="1107" t="s">
        <v>962</v>
      </c>
      <c r="K77" s="10"/>
    </row>
    <row r="78" spans="2:11">
      <c r="B78" s="10">
        <v>74</v>
      </c>
      <c r="C78" s="10">
        <v>11</v>
      </c>
      <c r="D78" s="72" t="s">
        <v>621</v>
      </c>
      <c r="E78" s="62" t="str">
        <f>VLOOKUP(D78,Erection!$C$5:$D$753,2,0)</f>
        <v>DA+3</v>
      </c>
      <c r="F78" s="64">
        <v>45783</v>
      </c>
      <c r="G78" s="64">
        <v>45783</v>
      </c>
      <c r="H78" s="10" t="s">
        <v>1192</v>
      </c>
      <c r="I78" s="60" t="s">
        <v>1193</v>
      </c>
      <c r="J78" s="1107" t="s">
        <v>962</v>
      </c>
      <c r="K78" s="10"/>
    </row>
    <row r="79" spans="2:11">
      <c r="B79" s="10">
        <v>75</v>
      </c>
      <c r="C79" s="10">
        <v>12</v>
      </c>
      <c r="D79" s="72" t="s">
        <v>622</v>
      </c>
      <c r="E79" s="62" t="str">
        <f>VLOOKUP(D79,Erection!$C$5:$D$753,2,0)</f>
        <v>DA+1.5</v>
      </c>
      <c r="F79" s="64">
        <v>45783</v>
      </c>
      <c r="G79" s="64">
        <v>45783</v>
      </c>
      <c r="H79" s="10" t="s">
        <v>1192</v>
      </c>
      <c r="I79" s="60" t="s">
        <v>1193</v>
      </c>
      <c r="J79" s="1107" t="s">
        <v>962</v>
      </c>
      <c r="K79" s="10"/>
    </row>
    <row r="80" spans="2:11">
      <c r="B80" s="10">
        <v>76</v>
      </c>
      <c r="C80" s="10">
        <v>13</v>
      </c>
      <c r="D80" s="719" t="s">
        <v>623</v>
      </c>
      <c r="E80" s="62" t="str">
        <f>VLOOKUP(D80,Erection!$C$5:$D$753,2,0)</f>
        <v>DA+1.5</v>
      </c>
      <c r="F80" s="64">
        <v>45785</v>
      </c>
      <c r="G80" s="64">
        <v>45785</v>
      </c>
      <c r="H80" s="10" t="s">
        <v>1192</v>
      </c>
      <c r="I80" s="60" t="s">
        <v>1193</v>
      </c>
      <c r="J80" s="1107" t="s">
        <v>962</v>
      </c>
      <c r="K80" s="10"/>
    </row>
    <row r="81" spans="2:11">
      <c r="B81" s="10">
        <v>77</v>
      </c>
      <c r="C81" s="10">
        <v>14</v>
      </c>
      <c r="D81" s="719" t="s">
        <v>413</v>
      </c>
      <c r="E81" s="62" t="str">
        <f>VLOOKUP(D81,Erection!$C$5:$D$753,2,0)</f>
        <v>DA+3</v>
      </c>
      <c r="F81" s="64">
        <v>45789</v>
      </c>
      <c r="G81" s="64">
        <v>45789</v>
      </c>
      <c r="H81" s="10" t="s">
        <v>1192</v>
      </c>
      <c r="I81" s="60" t="s">
        <v>1452</v>
      </c>
      <c r="J81" s="10" t="s">
        <v>962</v>
      </c>
      <c r="K81" s="10"/>
    </row>
    <row r="82" spans="2:11">
      <c r="B82" s="10">
        <v>78</v>
      </c>
      <c r="C82" s="10">
        <v>15</v>
      </c>
      <c r="D82" s="72" t="s">
        <v>414</v>
      </c>
      <c r="E82" s="62" t="str">
        <f>VLOOKUP(D82,Erection!$C$5:$D$753,2,0)</f>
        <v>DA+3</v>
      </c>
      <c r="F82" s="64">
        <v>45789</v>
      </c>
      <c r="G82" s="64">
        <v>45789</v>
      </c>
      <c r="H82" s="10" t="s">
        <v>1192</v>
      </c>
      <c r="I82" s="60" t="s">
        <v>1452</v>
      </c>
      <c r="J82" s="10" t="s">
        <v>962</v>
      </c>
      <c r="K82" s="10"/>
    </row>
    <row r="83" spans="2:11">
      <c r="B83" s="10">
        <v>79</v>
      </c>
      <c r="C83" s="10">
        <v>16</v>
      </c>
      <c r="D83" s="72" t="s">
        <v>416</v>
      </c>
      <c r="E83" s="62" t="str">
        <f>VLOOKUP(D83,Erection!$C$5:$D$753,2,0)</f>
        <v>DA+3</v>
      </c>
      <c r="F83" s="64">
        <v>45790</v>
      </c>
      <c r="G83" s="64">
        <v>45790</v>
      </c>
      <c r="H83" s="10" t="s">
        <v>1192</v>
      </c>
      <c r="I83" s="60" t="s">
        <v>1452</v>
      </c>
      <c r="J83" s="10" t="s">
        <v>962</v>
      </c>
      <c r="K83" s="10"/>
    </row>
    <row r="84" spans="2:11">
      <c r="B84" s="10">
        <v>80</v>
      </c>
      <c r="C84" s="10">
        <v>17</v>
      </c>
      <c r="D84" s="72" t="s">
        <v>417</v>
      </c>
      <c r="E84" s="62" t="str">
        <f>VLOOKUP(D84,Erection!$C$5:$D$753,2,0)</f>
        <v>DA+9</v>
      </c>
      <c r="F84" s="64">
        <v>45792</v>
      </c>
      <c r="G84" s="64">
        <v>45792</v>
      </c>
      <c r="H84" s="10" t="s">
        <v>1192</v>
      </c>
      <c r="I84" s="60" t="s">
        <v>1452</v>
      </c>
      <c r="J84" s="10" t="s">
        <v>962</v>
      </c>
      <c r="K84" s="10"/>
    </row>
    <row r="85" spans="2:11">
      <c r="B85" s="10">
        <v>81</v>
      </c>
      <c r="C85" s="10">
        <v>18</v>
      </c>
      <c r="D85" s="72" t="s">
        <v>624</v>
      </c>
      <c r="E85" s="62" t="str">
        <f>VLOOKUP(D85,Erection!$C$5:$D$753,2,0)</f>
        <v>DA+3</v>
      </c>
      <c r="F85" s="64">
        <v>45798</v>
      </c>
      <c r="G85" s="64">
        <v>45798</v>
      </c>
      <c r="H85" s="10" t="s">
        <v>1192</v>
      </c>
      <c r="I85" s="60" t="s">
        <v>1452</v>
      </c>
      <c r="J85" s="10" t="s">
        <v>962</v>
      </c>
      <c r="K85" s="10"/>
    </row>
    <row r="86" spans="2:11">
      <c r="B86" s="10">
        <v>82</v>
      </c>
      <c r="C86" s="10">
        <v>19</v>
      </c>
      <c r="D86" s="72" t="s">
        <v>625</v>
      </c>
      <c r="E86" s="62" t="str">
        <f>VLOOKUP(D86,Erection!$C$5:$D$753,2,0)</f>
        <v>DA+1.5</v>
      </c>
      <c r="F86" s="64">
        <v>45798</v>
      </c>
      <c r="G86" s="64">
        <v>45798</v>
      </c>
      <c r="H86" s="10" t="s">
        <v>1192</v>
      </c>
      <c r="I86" s="60" t="s">
        <v>1452</v>
      </c>
      <c r="J86" s="10" t="s">
        <v>962</v>
      </c>
      <c r="K86" s="10"/>
    </row>
    <row r="87" spans="2:11">
      <c r="B87" s="10">
        <v>83</v>
      </c>
      <c r="C87" s="10">
        <v>20</v>
      </c>
      <c r="D87" s="72" t="s">
        <v>626</v>
      </c>
      <c r="E87" s="62" t="str">
        <f>VLOOKUP(D87,Erection!$C$5:$D$753,2,0)</f>
        <v>DA+6</v>
      </c>
      <c r="F87" s="64">
        <v>45799</v>
      </c>
      <c r="G87" s="64">
        <v>45799</v>
      </c>
      <c r="H87" s="10" t="s">
        <v>1192</v>
      </c>
      <c r="I87" s="60" t="s">
        <v>1193</v>
      </c>
      <c r="J87" s="10" t="s">
        <v>962</v>
      </c>
      <c r="K87" s="10"/>
    </row>
    <row r="88" spans="2:11">
      <c r="B88" s="10">
        <v>84</v>
      </c>
      <c r="C88" s="10">
        <v>21</v>
      </c>
      <c r="D88" s="72" t="s">
        <v>627</v>
      </c>
      <c r="E88" s="62" t="str">
        <f>VLOOKUP(D88,Erection!$C$5:$D$753,2,0)</f>
        <v>DA+3</v>
      </c>
      <c r="F88" s="64">
        <v>45800</v>
      </c>
      <c r="G88" s="64">
        <v>45800</v>
      </c>
      <c r="H88" s="10" t="s">
        <v>1192</v>
      </c>
      <c r="I88" s="60" t="s">
        <v>1193</v>
      </c>
      <c r="J88" s="10" t="s">
        <v>962</v>
      </c>
      <c r="K88" s="10"/>
    </row>
    <row r="89" spans="2:11">
      <c r="B89" s="10">
        <v>85</v>
      </c>
      <c r="C89" s="10">
        <v>22</v>
      </c>
      <c r="D89" s="72" t="s">
        <v>628</v>
      </c>
      <c r="E89" s="62" t="str">
        <f>VLOOKUP(D89,Erection!$C$5:$D$753,2,0)</f>
        <v>DA+6</v>
      </c>
      <c r="F89" s="64">
        <v>45801</v>
      </c>
      <c r="G89" s="64">
        <v>45801</v>
      </c>
      <c r="H89" s="10" t="s">
        <v>1192</v>
      </c>
      <c r="I89" s="60" t="s">
        <v>1193</v>
      </c>
      <c r="J89" s="10" t="s">
        <v>962</v>
      </c>
      <c r="K89" s="10"/>
    </row>
    <row r="90" spans="2:11">
      <c r="B90" s="10">
        <v>86</v>
      </c>
      <c r="C90" s="10">
        <v>23</v>
      </c>
      <c r="D90" s="72" t="s">
        <v>207</v>
      </c>
      <c r="E90" s="62" t="str">
        <f>VLOOKUP(D90,Erection!$C$5:$D$753,2,0)</f>
        <v>DA+6</v>
      </c>
      <c r="F90" s="64">
        <v>45802</v>
      </c>
      <c r="G90" s="64">
        <v>45802</v>
      </c>
      <c r="H90" s="10" t="s">
        <v>1192</v>
      </c>
      <c r="I90" s="60" t="s">
        <v>1193</v>
      </c>
      <c r="J90" s="10" t="s">
        <v>962</v>
      </c>
      <c r="K90" s="10"/>
    </row>
    <row r="91" spans="2:11">
      <c r="B91" s="10">
        <v>87</v>
      </c>
      <c r="C91" s="10">
        <v>24</v>
      </c>
      <c r="D91" s="72" t="s">
        <v>5</v>
      </c>
      <c r="E91" s="62" t="str">
        <f>VLOOKUP(D91,Erection!$C$5:$D$753,2,0)</f>
        <v>DA+3</v>
      </c>
      <c r="F91" s="64">
        <v>45804</v>
      </c>
      <c r="G91" s="64">
        <v>45804</v>
      </c>
      <c r="H91" s="10" t="s">
        <v>1192</v>
      </c>
      <c r="I91" s="60" t="s">
        <v>1193</v>
      </c>
      <c r="J91" s="10" t="s">
        <v>962</v>
      </c>
      <c r="K91" s="10"/>
    </row>
    <row r="92" spans="2:11">
      <c r="B92" s="10">
        <v>88</v>
      </c>
      <c r="C92" s="10">
        <v>25</v>
      </c>
      <c r="D92" s="72" t="s">
        <v>6</v>
      </c>
      <c r="E92" s="62" t="str">
        <f>VLOOKUP(D92,Erection!$C$5:$D$753,2,0)</f>
        <v>DA+6</v>
      </c>
      <c r="F92" s="64">
        <v>45805</v>
      </c>
      <c r="G92" s="64">
        <v>45805</v>
      </c>
      <c r="H92" s="10" t="s">
        <v>1192</v>
      </c>
      <c r="I92" s="60" t="s">
        <v>1193</v>
      </c>
      <c r="J92" s="10" t="s">
        <v>962</v>
      </c>
      <c r="K92" s="10"/>
    </row>
    <row r="93" spans="2:11">
      <c r="B93" s="10">
        <v>89</v>
      </c>
      <c r="C93" s="10">
        <v>26</v>
      </c>
      <c r="D93" s="72" t="s">
        <v>630</v>
      </c>
      <c r="E93" s="62" t="str">
        <f>VLOOKUP(D93,Erection!$C$5:$D$753,2,0)</f>
        <v>DA+9</v>
      </c>
      <c r="F93" s="64">
        <v>45806</v>
      </c>
      <c r="G93" s="64">
        <v>45806</v>
      </c>
      <c r="H93" s="10" t="s">
        <v>1192</v>
      </c>
      <c r="I93" s="60" t="s">
        <v>1193</v>
      </c>
      <c r="J93" s="10" t="s">
        <v>962</v>
      </c>
      <c r="K93" s="10"/>
    </row>
    <row r="94" spans="2:11">
      <c r="B94" s="10">
        <v>90</v>
      </c>
      <c r="C94" s="10">
        <v>27</v>
      </c>
      <c r="D94" s="72" t="s">
        <v>631</v>
      </c>
      <c r="E94" s="62" t="str">
        <f>VLOOKUP(D94,Erection!$C$5:$D$753,2,0)</f>
        <v>DA+9</v>
      </c>
      <c r="F94" s="64">
        <v>45807</v>
      </c>
      <c r="G94" s="64">
        <v>45807</v>
      </c>
      <c r="H94" s="10" t="s">
        <v>1192</v>
      </c>
      <c r="I94" s="60" t="s">
        <v>1193</v>
      </c>
      <c r="J94" s="10" t="s">
        <v>962</v>
      </c>
      <c r="K94" s="10"/>
    </row>
    <row r="95" spans="2:11">
      <c r="B95" s="10">
        <v>91</v>
      </c>
      <c r="C95" s="10">
        <v>1</v>
      </c>
      <c r="D95" s="72" t="s">
        <v>261</v>
      </c>
      <c r="E95" s="62" t="str">
        <f>VLOOKUP(D95,Erection!$C$5:$D$753,2,0)</f>
        <v>DB2+0</v>
      </c>
      <c r="F95" s="64">
        <v>45927</v>
      </c>
      <c r="G95" s="64">
        <v>45927</v>
      </c>
      <c r="H95" s="10" t="s">
        <v>1192</v>
      </c>
      <c r="I95" s="60" t="s">
        <v>451</v>
      </c>
      <c r="J95" s="10" t="s">
        <v>962</v>
      </c>
      <c r="K95" s="10"/>
    </row>
    <row r="96" spans="2:11">
      <c r="B96" s="10">
        <v>92</v>
      </c>
      <c r="C96" s="10">
        <v>2</v>
      </c>
      <c r="D96" s="1039" t="s">
        <v>478</v>
      </c>
      <c r="E96" s="62" t="str">
        <f>VLOOKUP(D96,Erection!$C$5:$D$753,2,0)</f>
        <v>DA+9</v>
      </c>
      <c r="F96" s="64">
        <v>45928</v>
      </c>
      <c r="G96" s="64">
        <v>45928</v>
      </c>
      <c r="H96" s="10" t="s">
        <v>1192</v>
      </c>
      <c r="I96" s="60" t="s">
        <v>451</v>
      </c>
      <c r="J96" s="10" t="s">
        <v>962</v>
      </c>
      <c r="K96" s="10"/>
    </row>
    <row r="97" spans="2:11">
      <c r="B97" s="10">
        <v>93</v>
      </c>
      <c r="C97" s="10">
        <v>1</v>
      </c>
      <c r="D97" s="1040" t="s">
        <v>492</v>
      </c>
      <c r="E97" s="62" t="str">
        <f>VLOOKUP(D97,Erection!$C$5:$D$753,2,0)</f>
        <v>DA+1.5</v>
      </c>
      <c r="F97" s="107">
        <v>45931</v>
      </c>
      <c r="G97" s="107">
        <v>45932</v>
      </c>
      <c r="H97" s="10" t="s">
        <v>1192</v>
      </c>
      <c r="I97" s="60" t="s">
        <v>451</v>
      </c>
      <c r="J97" s="10" t="s">
        <v>962</v>
      </c>
      <c r="K97" s="10"/>
    </row>
    <row r="98" spans="2:11">
      <c r="B98" s="10">
        <v>94</v>
      </c>
      <c r="C98" s="10">
        <v>2</v>
      </c>
      <c r="D98" s="1041" t="s">
        <v>400</v>
      </c>
      <c r="E98" s="62" t="str">
        <f>VLOOKUP(D98,Erection!$C$5:$D$753,2,0)</f>
        <v>DA+9</v>
      </c>
      <c r="F98" s="107">
        <v>45933</v>
      </c>
      <c r="G98" s="107">
        <v>45934</v>
      </c>
      <c r="H98" s="10" t="s">
        <v>1192</v>
      </c>
      <c r="I98" s="60" t="s">
        <v>451</v>
      </c>
      <c r="J98" s="10" t="s">
        <v>962</v>
      </c>
      <c r="K98" s="10"/>
    </row>
    <row r="99" spans="2:11">
      <c r="B99" s="10">
        <v>95</v>
      </c>
      <c r="C99" s="10">
        <v>3</v>
      </c>
      <c r="D99" s="1040" t="s">
        <v>482</v>
      </c>
      <c r="E99" s="62" t="str">
        <f>VLOOKUP(D99,Erection!$C$5:$D$753,2,0)</f>
        <v>DB1+12</v>
      </c>
      <c r="F99" s="107">
        <v>45935</v>
      </c>
      <c r="G99" s="107">
        <v>45936</v>
      </c>
      <c r="H99" s="10" t="s">
        <v>1192</v>
      </c>
      <c r="I99" s="60" t="s">
        <v>451</v>
      </c>
      <c r="J99" s="10" t="s">
        <v>962</v>
      </c>
      <c r="K99" s="10"/>
    </row>
    <row r="100" spans="2:11">
      <c r="B100" s="10">
        <v>96</v>
      </c>
      <c r="C100" s="10">
        <v>4</v>
      </c>
      <c r="D100" s="1041" t="s">
        <v>874</v>
      </c>
      <c r="E100" s="62" t="str">
        <f>VLOOKUP(D100,Erection!$C$5:$D$753,2,0)</f>
        <v>DA+9</v>
      </c>
      <c r="F100" s="107">
        <v>45943</v>
      </c>
      <c r="G100" s="107">
        <v>45943</v>
      </c>
      <c r="H100" s="10" t="s">
        <v>1192</v>
      </c>
      <c r="I100" s="60" t="s">
        <v>1356</v>
      </c>
      <c r="J100" s="10" t="s">
        <v>962</v>
      </c>
      <c r="K100" s="10"/>
    </row>
    <row r="101" spans="2:11">
      <c r="B101" s="10">
        <v>97</v>
      </c>
      <c r="C101" s="10">
        <v>5</v>
      </c>
      <c r="D101" s="1041" t="s">
        <v>10</v>
      </c>
      <c r="E101" s="62" t="str">
        <f>VLOOKUP(D101,Erection!$C$5:$D$753,2,0)</f>
        <v>DB2+0</v>
      </c>
      <c r="F101" s="107">
        <v>45944</v>
      </c>
      <c r="G101" s="107">
        <v>45944</v>
      </c>
      <c r="H101" s="10" t="s">
        <v>1192</v>
      </c>
      <c r="I101" s="60" t="s">
        <v>1356</v>
      </c>
      <c r="J101" s="10" t="s">
        <v>962</v>
      </c>
      <c r="K101" s="10"/>
    </row>
    <row r="102" spans="2:11">
      <c r="B102" s="10">
        <v>98</v>
      </c>
      <c r="C102" s="10">
        <v>6</v>
      </c>
      <c r="D102" s="1041" t="s">
        <v>877</v>
      </c>
      <c r="E102" s="62" t="str">
        <f>VLOOKUP(D102,Erection!$C$5:$D$753,2,0)</f>
        <v>DA+3</v>
      </c>
      <c r="F102" s="107">
        <v>45945</v>
      </c>
      <c r="G102" s="107">
        <v>45945</v>
      </c>
      <c r="H102" s="10" t="s">
        <v>1192</v>
      </c>
      <c r="I102" s="60" t="s">
        <v>1356</v>
      </c>
      <c r="J102" s="10" t="s">
        <v>962</v>
      </c>
      <c r="K102" s="10"/>
    </row>
    <row r="103" spans="2:11">
      <c r="B103" s="10">
        <v>99</v>
      </c>
      <c r="C103" s="10">
        <v>7</v>
      </c>
      <c r="D103" s="1041" t="s">
        <v>876</v>
      </c>
      <c r="E103" s="62" t="str">
        <f>VLOOKUP(D103,Erection!$C$5:$D$753,2,0)</f>
        <v>DA+9</v>
      </c>
      <c r="F103" s="107">
        <v>45944</v>
      </c>
      <c r="G103" s="107">
        <v>45944</v>
      </c>
      <c r="H103" s="10" t="s">
        <v>1192</v>
      </c>
      <c r="I103" s="60" t="s">
        <v>1356</v>
      </c>
      <c r="J103" s="10" t="s">
        <v>962</v>
      </c>
      <c r="K103" s="10"/>
    </row>
    <row r="104" spans="2:11">
      <c r="B104" s="10">
        <v>100</v>
      </c>
      <c r="C104" s="10">
        <v>8</v>
      </c>
      <c r="D104" s="661" t="s">
        <v>873</v>
      </c>
      <c r="E104" s="62" t="str">
        <f>VLOOKUP(D104,Erection!$C$5:$D$753,2,0)</f>
        <v>DA+6</v>
      </c>
      <c r="F104" s="107">
        <v>45944</v>
      </c>
      <c r="G104" s="107">
        <v>45944</v>
      </c>
      <c r="H104" s="10" t="s">
        <v>1192</v>
      </c>
      <c r="I104" s="60" t="s">
        <v>1356</v>
      </c>
      <c r="J104" s="10" t="s">
        <v>962</v>
      </c>
      <c r="K104" s="10"/>
    </row>
    <row r="105" spans="2:11">
      <c r="B105" s="10">
        <v>101</v>
      </c>
      <c r="C105" s="10">
        <v>9</v>
      </c>
      <c r="D105" s="661" t="s">
        <v>875</v>
      </c>
      <c r="E105" s="62" t="str">
        <f>VLOOKUP(D105,Erection!$C$5:$D$753,2,0)</f>
        <v>DA+9</v>
      </c>
      <c r="F105" s="107">
        <v>45946</v>
      </c>
      <c r="G105" s="107">
        <v>45946</v>
      </c>
      <c r="H105" s="10" t="s">
        <v>1192</v>
      </c>
      <c r="I105" s="60" t="s">
        <v>1356</v>
      </c>
      <c r="J105" s="10" t="s">
        <v>962</v>
      </c>
      <c r="K105" s="10"/>
    </row>
    <row r="106" spans="2:11">
      <c r="B106" s="10">
        <v>102</v>
      </c>
      <c r="C106" s="10">
        <v>10</v>
      </c>
      <c r="D106" s="10" t="s">
        <v>773</v>
      </c>
      <c r="E106" s="62" t="str">
        <f>VLOOKUP(D106,Erection!$C$5:$D$753,2,0)</f>
        <v>DB1+9</v>
      </c>
      <c r="F106" s="107">
        <v>45948</v>
      </c>
      <c r="G106" s="107">
        <v>45948</v>
      </c>
      <c r="H106" s="10" t="s">
        <v>1192</v>
      </c>
      <c r="I106" s="60" t="s">
        <v>1356</v>
      </c>
      <c r="J106" s="10" t="s">
        <v>962</v>
      </c>
      <c r="K106" s="10"/>
    </row>
    <row r="107" spans="2:11">
      <c r="B107" s="10">
        <v>103</v>
      </c>
      <c r="C107" s="10">
        <v>1</v>
      </c>
      <c r="D107" s="661" t="s">
        <v>258</v>
      </c>
      <c r="E107" s="62" t="str">
        <f>VLOOKUP(D107,Erection!$C$5:$D$753,2,0)</f>
        <v>DB1+9</v>
      </c>
      <c r="F107" s="107">
        <v>45971</v>
      </c>
      <c r="G107" s="107">
        <v>45972</v>
      </c>
      <c r="H107" s="10" t="s">
        <v>1192</v>
      </c>
      <c r="I107" s="60" t="s">
        <v>1555</v>
      </c>
      <c r="J107" s="10" t="s">
        <v>962</v>
      </c>
      <c r="K107" s="10"/>
    </row>
    <row r="108" spans="2:11">
      <c r="B108" s="10">
        <v>104</v>
      </c>
      <c r="C108" s="10">
        <v>2</v>
      </c>
      <c r="D108" s="661" t="s">
        <v>259</v>
      </c>
      <c r="E108" s="62" t="str">
        <f>VLOOKUP(D108,Erection!$C$5:$D$753,2,0)</f>
        <v>DA+9</v>
      </c>
      <c r="F108" s="107">
        <v>45972</v>
      </c>
      <c r="G108" s="107">
        <v>45972</v>
      </c>
      <c r="H108" s="10" t="s">
        <v>1192</v>
      </c>
      <c r="I108" s="60" t="s">
        <v>1555</v>
      </c>
      <c r="J108" s="10" t="s">
        <v>962</v>
      </c>
      <c r="K108" s="10"/>
    </row>
    <row r="109" spans="2:11">
      <c r="B109" s="10">
        <v>105</v>
      </c>
      <c r="C109" s="10">
        <v>3</v>
      </c>
      <c r="D109" s="661" t="s">
        <v>260</v>
      </c>
      <c r="E109" s="62" t="str">
        <f>VLOOKUP(D109,Erection!$C$5:$D$753,2,0)</f>
        <v>DA+6</v>
      </c>
      <c r="F109" s="107">
        <v>45973</v>
      </c>
      <c r="G109" s="107">
        <v>45973</v>
      </c>
      <c r="H109" s="10" t="s">
        <v>1192</v>
      </c>
      <c r="I109" s="60" t="s">
        <v>1555</v>
      </c>
      <c r="J109" s="10" t="s">
        <v>962</v>
      </c>
      <c r="K109" s="10"/>
    </row>
    <row r="110" spans="2:11">
      <c r="B110" s="10">
        <v>106</v>
      </c>
      <c r="C110" s="10">
        <v>4</v>
      </c>
      <c r="D110" s="661" t="s">
        <v>467</v>
      </c>
      <c r="E110" s="62" t="str">
        <f>VLOOKUP(D110,Erection!$C$5:$D$753,2,0)</f>
        <v>DA+3</v>
      </c>
      <c r="F110" s="107">
        <v>45974</v>
      </c>
      <c r="G110" s="107">
        <v>45975</v>
      </c>
      <c r="H110" s="10" t="s">
        <v>1192</v>
      </c>
      <c r="I110" s="60" t="s">
        <v>1555</v>
      </c>
      <c r="J110" s="10" t="s">
        <v>962</v>
      </c>
      <c r="K110" s="10"/>
    </row>
    <row r="111" spans="2:11">
      <c r="B111" s="10">
        <v>107</v>
      </c>
      <c r="C111" s="10">
        <v>5</v>
      </c>
      <c r="D111" s="661" t="s">
        <v>468</v>
      </c>
      <c r="E111" s="62" t="str">
        <f>VLOOKUP(D111,Erection!$C$5:$D$753,2,0)</f>
        <v>DA+9</v>
      </c>
      <c r="F111" s="107">
        <v>45976</v>
      </c>
      <c r="G111" s="107">
        <v>45976</v>
      </c>
      <c r="H111" s="10" t="s">
        <v>1192</v>
      </c>
      <c r="I111" s="60" t="s">
        <v>1555</v>
      </c>
      <c r="J111" s="10" t="s">
        <v>962</v>
      </c>
      <c r="K111" s="10"/>
    </row>
    <row r="112" spans="2:11">
      <c r="B112" s="10">
        <v>108</v>
      </c>
      <c r="C112" s="10">
        <v>6</v>
      </c>
      <c r="D112" s="661" t="s">
        <v>469</v>
      </c>
      <c r="E112" s="62" t="str">
        <f>VLOOKUP(D112,Erection!$C$5:$D$753,2,0)</f>
        <v>DA+9</v>
      </c>
      <c r="F112" s="107">
        <v>45977</v>
      </c>
      <c r="G112" s="107">
        <v>45978</v>
      </c>
      <c r="H112" s="10" t="s">
        <v>1192</v>
      </c>
      <c r="I112" s="60" t="s">
        <v>1555</v>
      </c>
      <c r="J112" s="10" t="s">
        <v>962</v>
      </c>
      <c r="K112" s="10"/>
    </row>
    <row r="113" spans="2:11">
      <c r="B113" s="10">
        <v>109</v>
      </c>
      <c r="C113" s="10">
        <v>7</v>
      </c>
      <c r="D113" s="661" t="s">
        <v>470</v>
      </c>
      <c r="E113" s="62" t="str">
        <f>VLOOKUP(D113,Erection!$C$5:$D$753,2,0)</f>
        <v>DA-3</v>
      </c>
      <c r="F113" s="107">
        <v>45979</v>
      </c>
      <c r="G113" s="107">
        <v>45979</v>
      </c>
      <c r="H113" s="10" t="s">
        <v>1192</v>
      </c>
      <c r="I113" s="60" t="s">
        <v>1555</v>
      </c>
      <c r="J113" s="10" t="s">
        <v>962</v>
      </c>
      <c r="K113" s="10"/>
    </row>
    <row r="114" spans="2:11">
      <c r="B114" s="10">
        <v>110</v>
      </c>
      <c r="C114" s="10">
        <v>8</v>
      </c>
      <c r="D114" s="661" t="s">
        <v>471</v>
      </c>
      <c r="E114" s="62" t="str">
        <f>VLOOKUP(D114,Erection!$C$5:$D$753,2,0)</f>
        <v>DA+1.5</v>
      </c>
      <c r="F114" s="107">
        <v>45980</v>
      </c>
      <c r="G114" s="107">
        <v>45980</v>
      </c>
      <c r="H114" s="10" t="s">
        <v>1192</v>
      </c>
      <c r="I114" s="60" t="s">
        <v>1555</v>
      </c>
      <c r="J114" s="10" t="s">
        <v>962</v>
      </c>
      <c r="K114" s="10"/>
    </row>
    <row r="115" spans="2:11">
      <c r="B115" s="10">
        <v>111</v>
      </c>
      <c r="C115" s="10">
        <v>9</v>
      </c>
      <c r="D115" s="661" t="s">
        <v>472</v>
      </c>
      <c r="E115" s="62" t="str">
        <f>VLOOKUP(D115,Erection!$C$5:$D$753,2,0)</f>
        <v>DA+3</v>
      </c>
      <c r="F115" s="107">
        <v>45981</v>
      </c>
      <c r="G115" s="107">
        <v>45981</v>
      </c>
      <c r="H115" s="10" t="s">
        <v>1192</v>
      </c>
      <c r="I115" s="60" t="s">
        <v>1555</v>
      </c>
      <c r="J115" s="10" t="s">
        <v>962</v>
      </c>
      <c r="K115" s="10"/>
    </row>
    <row r="116" spans="2:11">
      <c r="B116" s="10">
        <v>112</v>
      </c>
      <c r="C116" s="10">
        <v>10</v>
      </c>
      <c r="D116" s="661" t="s">
        <v>473</v>
      </c>
      <c r="E116" s="62" t="str">
        <f>VLOOKUP(D116,Erection!$C$5:$D$753,2,0)</f>
        <v>DA+6</v>
      </c>
      <c r="F116" s="107">
        <v>45982</v>
      </c>
      <c r="G116" s="107">
        <v>45982</v>
      </c>
      <c r="H116" s="10" t="s">
        <v>1192</v>
      </c>
      <c r="I116" s="60" t="s">
        <v>1555</v>
      </c>
      <c r="J116" s="10" t="s">
        <v>962</v>
      </c>
      <c r="K116" s="10"/>
    </row>
    <row r="117" spans="2:11">
      <c r="B117" s="10">
        <v>113</v>
      </c>
      <c r="C117" s="10">
        <v>11</v>
      </c>
      <c r="D117" s="661" t="s">
        <v>474</v>
      </c>
      <c r="E117" s="62" t="str">
        <f>VLOOKUP(D117,Erection!$C$5:$D$753,2,0)</f>
        <v>DA+1.5</v>
      </c>
      <c r="F117" s="107">
        <v>45983</v>
      </c>
      <c r="G117" s="107">
        <v>45983</v>
      </c>
      <c r="H117" s="10" t="s">
        <v>1192</v>
      </c>
      <c r="I117" s="60" t="s">
        <v>1555</v>
      </c>
      <c r="J117" s="10" t="s">
        <v>962</v>
      </c>
      <c r="K117" s="10"/>
    </row>
    <row r="118" spans="2:11">
      <c r="B118" s="10">
        <v>114</v>
      </c>
      <c r="C118" s="10">
        <v>12</v>
      </c>
      <c r="D118" s="661" t="s">
        <v>475</v>
      </c>
      <c r="E118" s="62" t="str">
        <f>VLOOKUP(D118,Erection!$C$5:$D$753,2,0)</f>
        <v>DA-1.5</v>
      </c>
      <c r="F118" s="107">
        <v>45984</v>
      </c>
      <c r="G118" s="107">
        <v>45984</v>
      </c>
      <c r="H118" s="10" t="s">
        <v>1192</v>
      </c>
      <c r="I118" s="60" t="s">
        <v>1555</v>
      </c>
      <c r="J118" s="10" t="s">
        <v>962</v>
      </c>
      <c r="K118" s="10"/>
    </row>
    <row r="119" spans="2:11">
      <c r="B119" s="10">
        <v>115</v>
      </c>
      <c r="C119" s="10">
        <v>13</v>
      </c>
      <c r="D119" s="661" t="s">
        <v>490</v>
      </c>
      <c r="E119" s="62" t="str">
        <f>VLOOKUP(D119,Erection!$C$5:$D$753,2,0)</f>
        <v>DA+1.5</v>
      </c>
      <c r="F119" s="107">
        <v>45984</v>
      </c>
      <c r="G119" s="107">
        <v>45984</v>
      </c>
      <c r="H119" s="10" t="s">
        <v>1192</v>
      </c>
      <c r="I119" s="60" t="s">
        <v>1555</v>
      </c>
      <c r="J119" s="10" t="s">
        <v>962</v>
      </c>
      <c r="K119" s="10"/>
    </row>
    <row r="120" spans="2:11">
      <c r="B120" s="10">
        <v>116</v>
      </c>
      <c r="C120" s="10">
        <v>14</v>
      </c>
      <c r="D120" s="661" t="s">
        <v>466</v>
      </c>
      <c r="E120" s="62" t="str">
        <f>VLOOKUP(D120,Erection!$C$5:$D$753,2,0)</f>
        <v>DA+9</v>
      </c>
      <c r="F120" s="111">
        <v>45987</v>
      </c>
      <c r="G120" s="111">
        <v>45988</v>
      </c>
      <c r="H120" s="10" t="s">
        <v>1192</v>
      </c>
      <c r="I120" s="60" t="s">
        <v>1555</v>
      </c>
      <c r="J120" s="10" t="s">
        <v>962</v>
      </c>
      <c r="K120" s="10"/>
    </row>
    <row r="121" spans="2:11">
      <c r="B121" s="10">
        <v>117</v>
      </c>
      <c r="C121" s="10">
        <v>1</v>
      </c>
      <c r="D121" s="661" t="s">
        <v>457</v>
      </c>
      <c r="E121" s="62" t="str">
        <f>VLOOKUP(D121,Erection!$C$5:$D$753,2,0)</f>
        <v>DA+6</v>
      </c>
      <c r="F121" s="111">
        <v>45992</v>
      </c>
      <c r="G121" s="111">
        <v>45993</v>
      </c>
      <c r="H121" s="10" t="s">
        <v>1192</v>
      </c>
      <c r="I121" s="60" t="s">
        <v>1590</v>
      </c>
      <c r="J121" s="10" t="s">
        <v>962</v>
      </c>
      <c r="K121" s="10"/>
    </row>
    <row r="122" spans="2:11">
      <c r="B122" s="10">
        <v>118</v>
      </c>
      <c r="C122" s="10">
        <v>2</v>
      </c>
      <c r="D122" s="661" t="s">
        <v>458</v>
      </c>
      <c r="E122" s="62" t="str">
        <f>VLOOKUP(D122,Erection!$C$5:$D$753,2,0)</f>
        <v>DA+9</v>
      </c>
      <c r="F122" s="111">
        <v>45994</v>
      </c>
      <c r="G122" s="111">
        <v>45995</v>
      </c>
      <c r="H122" s="10" t="s">
        <v>1192</v>
      </c>
      <c r="I122" s="60" t="s">
        <v>1590</v>
      </c>
      <c r="J122" s="10" t="s">
        <v>962</v>
      </c>
      <c r="K122" s="10"/>
    </row>
    <row r="123" spans="2:11">
      <c r="B123" s="10">
        <v>119</v>
      </c>
      <c r="C123" s="10">
        <v>3</v>
      </c>
      <c r="D123" s="661" t="s">
        <v>459</v>
      </c>
      <c r="E123" s="62" t="str">
        <f>VLOOKUP(D123,Erection!$C$5:$D$753,2,0)</f>
        <v>DA+9</v>
      </c>
      <c r="F123" s="111">
        <v>46012</v>
      </c>
      <c r="G123" s="111">
        <v>46012</v>
      </c>
      <c r="H123" s="10" t="s">
        <v>1192</v>
      </c>
      <c r="I123" s="60"/>
      <c r="J123" s="10" t="s">
        <v>962</v>
      </c>
      <c r="K123" s="10"/>
    </row>
    <row r="124" spans="2:11">
      <c r="B124" s="10">
        <v>120</v>
      </c>
      <c r="C124" s="10">
        <v>4</v>
      </c>
      <c r="D124" s="661" t="s">
        <v>460</v>
      </c>
      <c r="E124" s="62" t="str">
        <f>VLOOKUP(D124,Erection!$C$5:$D$753,2,0)</f>
        <v>DA-1.5</v>
      </c>
      <c r="F124" s="111">
        <v>46014</v>
      </c>
      <c r="G124" s="111">
        <v>46014</v>
      </c>
      <c r="H124" s="10" t="s">
        <v>1192</v>
      </c>
      <c r="I124" s="60"/>
      <c r="J124" s="10" t="s">
        <v>962</v>
      </c>
      <c r="K124" s="10"/>
    </row>
    <row r="125" spans="2:11">
      <c r="B125" s="10">
        <v>121</v>
      </c>
      <c r="C125" s="10">
        <v>5</v>
      </c>
      <c r="D125" s="661" t="s">
        <v>461</v>
      </c>
      <c r="E125" s="62" t="str">
        <f>VLOOKUP(D125,Erection!$C$5:$D$753,2,0)</f>
        <v>DA+6</v>
      </c>
      <c r="F125" s="111">
        <v>46016</v>
      </c>
      <c r="G125" s="111">
        <v>46016</v>
      </c>
      <c r="H125" s="10" t="s">
        <v>1192</v>
      </c>
      <c r="I125" s="60"/>
      <c r="J125" s="10" t="s">
        <v>962</v>
      </c>
      <c r="K125" s="10"/>
    </row>
    <row r="126" spans="2:11">
      <c r="B126" s="10">
        <v>122</v>
      </c>
      <c r="C126" s="10">
        <v>6</v>
      </c>
      <c r="D126" s="661" t="s">
        <v>893</v>
      </c>
      <c r="E126" s="62" t="str">
        <f>VLOOKUP(D126,Erection!$C$5:$D$753,2,0)</f>
        <v>DA+9</v>
      </c>
      <c r="F126" s="111">
        <v>46018</v>
      </c>
      <c r="G126" s="111">
        <v>46018</v>
      </c>
      <c r="H126" s="10" t="s">
        <v>1192</v>
      </c>
      <c r="I126" s="60"/>
      <c r="J126" s="10" t="s">
        <v>962</v>
      </c>
      <c r="K126" s="10"/>
    </row>
    <row r="127" spans="2:11">
      <c r="B127" s="10">
        <v>123</v>
      </c>
      <c r="C127" s="10">
        <v>7</v>
      </c>
      <c r="D127" s="661" t="s">
        <v>892</v>
      </c>
      <c r="E127" s="62" t="str">
        <f>VLOOKUP(D127,Erection!$C$5:$D$753,2,0)</f>
        <v>DA+6</v>
      </c>
      <c r="F127" s="111">
        <v>46019</v>
      </c>
      <c r="G127" s="111">
        <v>46019</v>
      </c>
      <c r="H127" s="10" t="s">
        <v>1192</v>
      </c>
      <c r="I127" s="60"/>
      <c r="J127" s="10" t="s">
        <v>962</v>
      </c>
      <c r="K127" s="10"/>
    </row>
    <row r="128" spans="2:11">
      <c r="B128" s="10">
        <v>124</v>
      </c>
      <c r="C128" s="10">
        <v>8</v>
      </c>
      <c r="D128" s="10" t="s">
        <v>891</v>
      </c>
      <c r="E128" s="62" t="str">
        <f>VLOOKUP(D128,Erection!$C$5:$D$753,2,0)</f>
        <v>DA+6</v>
      </c>
      <c r="F128" s="111">
        <v>46020</v>
      </c>
      <c r="G128" s="111">
        <v>46020</v>
      </c>
      <c r="H128" s="10" t="s">
        <v>1192</v>
      </c>
      <c r="I128" s="60"/>
      <c r="J128" s="10" t="s">
        <v>962</v>
      </c>
      <c r="K128" s="10"/>
    </row>
    <row r="129" spans="2:11">
      <c r="B129" s="10">
        <v>125</v>
      </c>
      <c r="C129" s="10">
        <v>9</v>
      </c>
      <c r="D129" s="10" t="s">
        <v>894</v>
      </c>
      <c r="E129" s="62" t="str">
        <f>VLOOKUP(D129,Erection!$C$5:$D$753,2,0)</f>
        <v>DA+6</v>
      </c>
      <c r="F129" s="111">
        <v>46021</v>
      </c>
      <c r="G129" s="111">
        <v>46021</v>
      </c>
      <c r="H129" s="10" t="s">
        <v>1192</v>
      </c>
      <c r="I129" s="60"/>
      <c r="J129" s="10" t="s">
        <v>962</v>
      </c>
      <c r="K129" s="10"/>
    </row>
    <row r="130" spans="2:11">
      <c r="B130" s="10">
        <v>126</v>
      </c>
      <c r="C130" s="10">
        <v>10</v>
      </c>
      <c r="D130" s="10" t="s">
        <v>895</v>
      </c>
      <c r="E130" s="62" t="str">
        <f>VLOOKUP(D130,Erection!$C$5:$D$753,2,0)</f>
        <v>DA+9</v>
      </c>
      <c r="F130" s="111">
        <v>46022</v>
      </c>
      <c r="G130" s="111">
        <v>46022</v>
      </c>
      <c r="H130" s="10" t="s">
        <v>1192</v>
      </c>
      <c r="I130" s="60"/>
      <c r="J130" s="10" t="s">
        <v>962</v>
      </c>
      <c r="K130" s="10"/>
    </row>
    <row r="131" spans="2:11">
      <c r="B131" s="10">
        <v>127</v>
      </c>
      <c r="C131" s="10">
        <v>1</v>
      </c>
      <c r="D131" s="10" t="s">
        <v>896</v>
      </c>
      <c r="E131" s="62" t="str">
        <f>VLOOKUP(D131,Erection!$C$5:$D$753,2,0)</f>
        <v>DA+9</v>
      </c>
      <c r="F131" s="111">
        <v>46023</v>
      </c>
      <c r="G131" s="111">
        <v>46023</v>
      </c>
      <c r="H131" s="10" t="s">
        <v>1192</v>
      </c>
      <c r="I131" s="60"/>
      <c r="J131" s="10" t="s">
        <v>962</v>
      </c>
      <c r="K131" s="10"/>
    </row>
    <row r="132" spans="2:11">
      <c r="B132" s="10">
        <v>128</v>
      </c>
      <c r="C132" s="10">
        <v>2</v>
      </c>
      <c r="D132" s="661" t="s">
        <v>447</v>
      </c>
      <c r="E132" s="62" t="str">
        <f>VLOOKUP(D132,Erection!$C$5:$D$753,2,0)</f>
        <v>DA+0</v>
      </c>
      <c r="F132" s="111">
        <v>46024</v>
      </c>
      <c r="G132" s="111">
        <v>46024</v>
      </c>
      <c r="H132" s="10" t="s">
        <v>1192</v>
      </c>
      <c r="I132" s="60"/>
      <c r="J132" s="10" t="s">
        <v>962</v>
      </c>
      <c r="K132" s="10"/>
    </row>
    <row r="133" spans="2:11">
      <c r="B133" s="10">
        <v>129</v>
      </c>
      <c r="C133" s="10">
        <v>3</v>
      </c>
      <c r="D133" s="661" t="s">
        <v>448</v>
      </c>
      <c r="E133" s="62" t="str">
        <f>VLOOKUP(D133,Erection!$C$5:$D$753,2,0)</f>
        <v>DA+0</v>
      </c>
      <c r="F133" s="111">
        <v>46025</v>
      </c>
      <c r="G133" s="111">
        <v>46025</v>
      </c>
      <c r="H133" s="10" t="s">
        <v>1192</v>
      </c>
      <c r="I133" s="60"/>
      <c r="J133" s="10" t="s">
        <v>962</v>
      </c>
      <c r="K133" s="10"/>
    </row>
    <row r="134" spans="2:11">
      <c r="B134" s="10">
        <v>130</v>
      </c>
      <c r="C134" s="10">
        <v>4</v>
      </c>
      <c r="D134" s="661" t="s">
        <v>450</v>
      </c>
      <c r="E134" s="62" t="str">
        <f>VLOOKUP(D134,Erection!$C$5:$D$753,2,0)</f>
        <v>DA+4.5</v>
      </c>
      <c r="F134" s="111">
        <v>46026</v>
      </c>
      <c r="G134" s="111">
        <v>46026</v>
      </c>
      <c r="H134" s="10" t="s">
        <v>1192</v>
      </c>
      <c r="I134" s="60"/>
      <c r="J134" s="10" t="s">
        <v>962</v>
      </c>
      <c r="K134" s="10"/>
    </row>
    <row r="135" spans="2:11">
      <c r="B135" s="10">
        <v>131</v>
      </c>
      <c r="C135" s="10">
        <v>5</v>
      </c>
      <c r="D135" s="661" t="s">
        <v>449</v>
      </c>
      <c r="E135" s="62" t="str">
        <f>VLOOKUP(D135,Erection!$C$5:$D$753,2,0)</f>
        <v>DA+1.5</v>
      </c>
      <c r="F135" s="111">
        <v>46027</v>
      </c>
      <c r="G135" s="111">
        <v>46027</v>
      </c>
      <c r="H135" s="10" t="s">
        <v>1192</v>
      </c>
      <c r="I135" s="60"/>
      <c r="J135" s="10" t="s">
        <v>962</v>
      </c>
      <c r="K135" s="10"/>
    </row>
    <row r="136" spans="2:11">
      <c r="B136" s="10">
        <v>132</v>
      </c>
      <c r="C136" s="10">
        <v>6</v>
      </c>
      <c r="D136" s="661" t="s">
        <v>446</v>
      </c>
      <c r="E136" s="62" t="str">
        <f>VLOOKUP(D136,Erection!$C$5:$D$753,2,0)</f>
        <v>DA+9</v>
      </c>
      <c r="F136" s="111">
        <v>46029</v>
      </c>
      <c r="G136" s="111">
        <v>46029</v>
      </c>
      <c r="H136" s="10" t="s">
        <v>1192</v>
      </c>
      <c r="I136" s="60"/>
      <c r="J136" s="10" t="s">
        <v>962</v>
      </c>
      <c r="K136" s="10"/>
    </row>
    <row r="137" spans="2:11">
      <c r="B137" s="10">
        <v>133</v>
      </c>
      <c r="C137" s="10">
        <v>7</v>
      </c>
      <c r="D137" s="661" t="s">
        <v>445</v>
      </c>
      <c r="E137" s="62" t="str">
        <f>VLOOKUP(D137,Erection!$C$5:$D$753,2,0)</f>
        <v>DA+6</v>
      </c>
      <c r="F137" s="111">
        <v>46030</v>
      </c>
      <c r="G137" s="111">
        <v>46030</v>
      </c>
      <c r="H137" s="10" t="s">
        <v>1192</v>
      </c>
      <c r="I137" s="60"/>
      <c r="J137" s="10" t="s">
        <v>962</v>
      </c>
      <c r="K137" s="10"/>
    </row>
    <row r="138" spans="2:11">
      <c r="B138" s="10">
        <v>134</v>
      </c>
      <c r="C138" s="10">
        <v>8</v>
      </c>
      <c r="D138" s="661" t="s">
        <v>444</v>
      </c>
      <c r="E138" s="62" t="str">
        <f>VLOOKUP(D138,Erection!$C$5:$D$753,2,0)</f>
        <v>DA-1.5</v>
      </c>
      <c r="F138" s="111">
        <v>46031</v>
      </c>
      <c r="G138" s="111">
        <v>46031</v>
      </c>
      <c r="H138" s="10" t="s">
        <v>1192</v>
      </c>
      <c r="I138" s="60"/>
      <c r="J138" s="10" t="s">
        <v>962</v>
      </c>
      <c r="K138" s="10"/>
    </row>
    <row r="139" spans="2:11">
      <c r="B139" s="10">
        <v>135</v>
      </c>
      <c r="C139" s="10">
        <v>9</v>
      </c>
      <c r="D139" s="661" t="s">
        <v>164</v>
      </c>
      <c r="E139" s="62" t="str">
        <f>VLOOKUP(D139,Erection!$C$5:$D$753,2,0)</f>
        <v>DA+3</v>
      </c>
      <c r="F139" s="111">
        <v>46032</v>
      </c>
      <c r="G139" s="111">
        <v>46032</v>
      </c>
      <c r="H139" s="10" t="s">
        <v>1192</v>
      </c>
      <c r="I139" s="60"/>
      <c r="J139" s="10" t="s">
        <v>962</v>
      </c>
      <c r="K139" s="10"/>
    </row>
    <row r="140" spans="2:11">
      <c r="B140" s="10">
        <v>136</v>
      </c>
      <c r="C140" s="10">
        <v>10</v>
      </c>
      <c r="D140" s="661" t="s">
        <v>163</v>
      </c>
      <c r="E140" s="62" t="str">
        <f>VLOOKUP(D140,Erection!$C$5:$D$753,2,0)</f>
        <v>DA+1.5</v>
      </c>
      <c r="F140" s="111">
        <v>46033</v>
      </c>
      <c r="G140" s="111">
        <v>46033</v>
      </c>
      <c r="H140" s="10" t="s">
        <v>1192</v>
      </c>
      <c r="I140" s="60"/>
      <c r="J140" s="10" t="s">
        <v>962</v>
      </c>
      <c r="K140" s="10"/>
    </row>
    <row r="141" spans="2:11">
      <c r="B141" s="10">
        <v>137</v>
      </c>
      <c r="C141" s="10">
        <v>11</v>
      </c>
      <c r="D141" s="661" t="s">
        <v>82</v>
      </c>
      <c r="E141" s="62" t="str">
        <f>VLOOKUP(D141,Erection!$C$5:$D$753,2,0)</f>
        <v>DA+3</v>
      </c>
      <c r="F141" s="111">
        <v>46034</v>
      </c>
      <c r="G141" s="111">
        <v>46034</v>
      </c>
      <c r="H141" s="10" t="s">
        <v>1192</v>
      </c>
      <c r="I141" s="60"/>
      <c r="J141" s="10" t="s">
        <v>962</v>
      </c>
      <c r="K141" s="10"/>
    </row>
    <row r="142" spans="2:11">
      <c r="B142" s="10">
        <v>138</v>
      </c>
      <c r="C142" s="10">
        <v>12</v>
      </c>
      <c r="D142" s="661" t="s">
        <v>9</v>
      </c>
      <c r="E142" s="62" t="str">
        <f>VLOOKUP(D142,Erection!$C$5:$D$753,2,0)</f>
        <v>DB1+0</v>
      </c>
      <c r="F142" s="111">
        <v>46035</v>
      </c>
      <c r="G142" s="111">
        <v>46036</v>
      </c>
      <c r="H142" s="10" t="s">
        <v>1192</v>
      </c>
      <c r="I142" s="60"/>
      <c r="J142" s="10" t="s">
        <v>962</v>
      </c>
      <c r="K142" s="10"/>
    </row>
    <row r="143" spans="2:11">
      <c r="B143" s="10">
        <v>139</v>
      </c>
      <c r="C143" s="10">
        <v>13</v>
      </c>
      <c r="D143" s="661" t="s">
        <v>70</v>
      </c>
      <c r="E143" s="62" t="str">
        <f>VLOOKUP(D143,Erection!$C$5:$D$753,2,0)</f>
        <v>DA+3</v>
      </c>
      <c r="F143" s="111">
        <v>46041</v>
      </c>
      <c r="G143" s="111">
        <v>46042</v>
      </c>
      <c r="H143" s="10" t="s">
        <v>1192</v>
      </c>
      <c r="I143" s="60"/>
      <c r="J143" s="10" t="s">
        <v>962</v>
      </c>
      <c r="K143" s="10"/>
    </row>
    <row r="144" spans="2:11">
      <c r="B144" s="10">
        <v>140</v>
      </c>
      <c r="C144" s="10">
        <v>14</v>
      </c>
      <c r="D144" s="661" t="s">
        <v>69</v>
      </c>
      <c r="E144" s="62" t="str">
        <f>VLOOKUP(D144,Erection!$C$5:$D$753,2,0)</f>
        <v>DA+9</v>
      </c>
      <c r="F144" s="111">
        <v>46042</v>
      </c>
      <c r="G144" s="111">
        <v>46043</v>
      </c>
      <c r="H144" s="10" t="s">
        <v>1192</v>
      </c>
      <c r="I144" s="60"/>
      <c r="J144" s="10" t="s">
        <v>962</v>
      </c>
      <c r="K144" s="10"/>
    </row>
    <row r="145" spans="2:11">
      <c r="B145" s="10">
        <v>141</v>
      </c>
      <c r="C145" s="10">
        <v>15</v>
      </c>
      <c r="D145" s="661" t="s">
        <v>571</v>
      </c>
      <c r="E145" s="62" t="str">
        <f>VLOOKUP(D145,Erection!$C$5:$D$753,2,0)</f>
        <v>DA+6</v>
      </c>
      <c r="F145" s="111">
        <v>46044</v>
      </c>
      <c r="G145" s="111">
        <v>46044</v>
      </c>
      <c r="H145" s="10" t="s">
        <v>1192</v>
      </c>
      <c r="I145" s="60"/>
      <c r="J145" s="10" t="s">
        <v>962</v>
      </c>
      <c r="K145" s="10"/>
    </row>
    <row r="146" spans="2:11">
      <c r="B146" s="10">
        <v>142</v>
      </c>
      <c r="C146" s="10">
        <v>1</v>
      </c>
      <c r="D146" s="10" t="s">
        <v>268</v>
      </c>
      <c r="E146" s="62" t="str">
        <f>VLOOKUP(D146,Erection!$C$5:$D$753,2,0)</f>
        <v>DD60+0</v>
      </c>
      <c r="F146" s="111">
        <v>46054</v>
      </c>
      <c r="G146" s="111">
        <v>46054</v>
      </c>
      <c r="H146" s="10" t="s">
        <v>1192</v>
      </c>
      <c r="I146" s="60"/>
      <c r="J146" s="10" t="s">
        <v>962</v>
      </c>
      <c r="K146" s="10" t="s">
        <v>1660</v>
      </c>
    </row>
    <row r="147" spans="2:11">
      <c r="B147" s="10">
        <v>143</v>
      </c>
      <c r="C147" s="10">
        <v>2</v>
      </c>
      <c r="D147" s="10" t="s">
        <v>1248</v>
      </c>
      <c r="E147" s="62" t="str">
        <f>VLOOKUP(D147,Erection!$C$5:$D$753,2,0)</f>
        <v>DD45+0</v>
      </c>
      <c r="F147" s="111">
        <v>46055</v>
      </c>
      <c r="G147" s="111">
        <v>46055</v>
      </c>
      <c r="H147" s="10" t="s">
        <v>1192</v>
      </c>
      <c r="I147" s="60"/>
      <c r="J147" s="10" t="s">
        <v>962</v>
      </c>
      <c r="K147" s="10" t="s">
        <v>1660</v>
      </c>
    </row>
    <row r="148" spans="2:11">
      <c r="B148" s="10">
        <v>144</v>
      </c>
      <c r="C148" s="10">
        <v>3</v>
      </c>
      <c r="D148" s="10" t="s">
        <v>1250</v>
      </c>
      <c r="E148" s="62" t="str">
        <f>VLOOKUP(D148,Erection!$C$5:$D$753,2,0)</f>
        <v>DA+0</v>
      </c>
      <c r="F148" s="111">
        <v>46056</v>
      </c>
      <c r="G148" s="111">
        <v>46056</v>
      </c>
      <c r="H148" s="10" t="s">
        <v>1192</v>
      </c>
      <c r="I148" s="60"/>
      <c r="J148" s="10" t="s">
        <v>962</v>
      </c>
      <c r="K148" s="10" t="s">
        <v>1660</v>
      </c>
    </row>
    <row r="149" spans="2:11">
      <c r="B149" s="10">
        <v>145</v>
      </c>
      <c r="C149" s="10">
        <v>4</v>
      </c>
      <c r="D149" s="10" t="s">
        <v>1251</v>
      </c>
      <c r="E149" s="62" t="str">
        <f>VLOOKUP(D149,Erection!$C$5:$D$753,2,0)</f>
        <v>DA+3</v>
      </c>
      <c r="F149" s="111">
        <v>46056</v>
      </c>
      <c r="G149" s="111">
        <v>46056</v>
      </c>
      <c r="H149" s="10" t="s">
        <v>1192</v>
      </c>
      <c r="I149" s="60"/>
      <c r="J149" s="10" t="s">
        <v>962</v>
      </c>
      <c r="K149" s="10" t="s">
        <v>1660</v>
      </c>
    </row>
    <row r="150" spans="2:11">
      <c r="B150" s="10">
        <v>146</v>
      </c>
      <c r="C150" s="10">
        <v>5</v>
      </c>
      <c r="D150" s="10" t="s">
        <v>1252</v>
      </c>
      <c r="E150" s="62" t="str">
        <f>VLOOKUP(D150,Erection!$C$5:$D$753,2,0)</f>
        <v>DA+3</v>
      </c>
      <c r="F150" s="111">
        <v>46057</v>
      </c>
      <c r="G150" s="111">
        <v>46057</v>
      </c>
      <c r="H150" s="10" t="s">
        <v>1192</v>
      </c>
      <c r="I150" s="60"/>
      <c r="J150" s="10" t="s">
        <v>962</v>
      </c>
      <c r="K150" s="10" t="s">
        <v>1660</v>
      </c>
    </row>
    <row r="151" spans="2:11">
      <c r="B151" s="10">
        <v>147</v>
      </c>
      <c r="C151" s="10">
        <v>6</v>
      </c>
      <c r="D151" s="10" t="s">
        <v>1253</v>
      </c>
      <c r="E151" s="62" t="str">
        <f>VLOOKUP(D151,Erection!$C$5:$D$753,2,0)</f>
        <v>DA+3</v>
      </c>
      <c r="F151" s="111">
        <v>46057</v>
      </c>
      <c r="G151" s="111">
        <v>46057</v>
      </c>
      <c r="H151" s="10" t="s">
        <v>1192</v>
      </c>
      <c r="I151" s="60"/>
      <c r="J151" s="10" t="s">
        <v>962</v>
      </c>
      <c r="K151" s="10" t="s">
        <v>1660</v>
      </c>
    </row>
    <row r="152" spans="2:11">
      <c r="B152" s="10">
        <v>148</v>
      </c>
      <c r="C152" s="10">
        <v>7</v>
      </c>
      <c r="D152" s="10" t="s">
        <v>1254</v>
      </c>
      <c r="E152" s="62" t="str">
        <f>VLOOKUP(D152,Erection!$C$5:$D$753,2,0)</f>
        <v>DA+3</v>
      </c>
      <c r="F152" s="111">
        <v>46058</v>
      </c>
      <c r="G152" s="111">
        <v>46058</v>
      </c>
      <c r="H152" s="10" t="s">
        <v>1192</v>
      </c>
      <c r="I152" s="60"/>
      <c r="J152" s="10" t="s">
        <v>962</v>
      </c>
      <c r="K152" s="10" t="s">
        <v>1660</v>
      </c>
    </row>
    <row r="153" spans="2:11">
      <c r="B153" s="10">
        <v>149</v>
      </c>
      <c r="C153" s="10">
        <v>8</v>
      </c>
      <c r="D153" s="10" t="s">
        <v>1255</v>
      </c>
      <c r="E153" s="62" t="str">
        <f>VLOOKUP(D153,Erection!$C$5:$D$753,2,0)</f>
        <v>DA+6</v>
      </c>
      <c r="F153" s="111">
        <v>46059</v>
      </c>
      <c r="G153" s="111">
        <v>46059</v>
      </c>
      <c r="H153" s="10" t="s">
        <v>1192</v>
      </c>
      <c r="I153" s="60"/>
      <c r="J153" s="10" t="s">
        <v>962</v>
      </c>
      <c r="K153" s="10" t="s">
        <v>1660</v>
      </c>
    </row>
    <row r="154" spans="2:11">
      <c r="B154" s="10">
        <v>150</v>
      </c>
      <c r="C154" s="10">
        <v>9</v>
      </c>
      <c r="D154" s="10" t="s">
        <v>1257</v>
      </c>
      <c r="E154" s="62" t="str">
        <f>VLOOKUP(D154,Erection!$C$5:$D$753,2,0)</f>
        <v>DA+3</v>
      </c>
      <c r="F154" s="111">
        <v>46060</v>
      </c>
      <c r="G154" s="111">
        <v>46060</v>
      </c>
      <c r="H154" s="10" t="s">
        <v>1192</v>
      </c>
      <c r="I154" s="60"/>
      <c r="J154" s="10" t="s">
        <v>962</v>
      </c>
      <c r="K154" s="10" t="s">
        <v>1660</v>
      </c>
    </row>
    <row r="155" spans="2:11">
      <c r="B155" s="10">
        <v>151</v>
      </c>
      <c r="C155" s="10">
        <v>10</v>
      </c>
      <c r="D155" s="661" t="s">
        <v>1258</v>
      </c>
      <c r="E155" s="62" t="str">
        <f>VLOOKUP(D155,Erection!$C$5:$D$753,2,0)</f>
        <v>DA+3</v>
      </c>
      <c r="F155" s="111">
        <v>46061</v>
      </c>
      <c r="G155" s="111">
        <v>46061</v>
      </c>
      <c r="H155" s="10" t="s">
        <v>1192</v>
      </c>
      <c r="I155" s="60"/>
      <c r="J155" s="10" t="s">
        <v>962</v>
      </c>
      <c r="K155" s="10" t="s">
        <v>1660</v>
      </c>
    </row>
    <row r="156" spans="2:11">
      <c r="B156" s="10">
        <v>152</v>
      </c>
      <c r="C156" s="10">
        <v>11</v>
      </c>
      <c r="D156" s="10" t="s">
        <v>1259</v>
      </c>
      <c r="E156" s="62" t="str">
        <f>VLOOKUP(D156,Erection!$C$5:$D$753,2,0)</f>
        <v>DA+0</v>
      </c>
      <c r="F156" s="111">
        <v>46062</v>
      </c>
      <c r="G156" s="111">
        <v>46062</v>
      </c>
      <c r="H156" s="10" t="s">
        <v>1192</v>
      </c>
      <c r="I156" s="60"/>
      <c r="J156" s="10" t="s">
        <v>962</v>
      </c>
      <c r="K156" s="10"/>
    </row>
    <row r="157" spans="2:11">
      <c r="B157" s="10">
        <v>153</v>
      </c>
      <c r="C157" s="10">
        <v>12</v>
      </c>
      <c r="D157" s="661" t="s">
        <v>1260</v>
      </c>
      <c r="E157" s="62" t="str">
        <f>VLOOKUP(D157,Erection!$C$5:$D$753,2,0)</f>
        <v>DA+0</v>
      </c>
      <c r="F157" s="111">
        <v>46063</v>
      </c>
      <c r="G157" s="111">
        <v>46063</v>
      </c>
      <c r="H157" s="10" t="s">
        <v>1192</v>
      </c>
      <c r="I157" s="60"/>
      <c r="J157" s="10" t="s">
        <v>962</v>
      </c>
      <c r="K157" s="10"/>
    </row>
    <row r="158" spans="2:11">
      <c r="B158" s="10">
        <v>154</v>
      </c>
      <c r="C158" s="10">
        <v>13</v>
      </c>
      <c r="D158" s="10" t="s">
        <v>1261</v>
      </c>
      <c r="E158" s="62" t="str">
        <f>VLOOKUP(D158,Erection!$C$5:$D$753,2,0)</f>
        <v>DA+3</v>
      </c>
      <c r="F158" s="111">
        <v>46064</v>
      </c>
      <c r="G158" s="111">
        <v>46064</v>
      </c>
      <c r="H158" s="10" t="s">
        <v>1192</v>
      </c>
      <c r="I158" s="60"/>
      <c r="J158" s="10" t="s">
        <v>962</v>
      </c>
      <c r="K158" s="10"/>
    </row>
    <row r="159" spans="2:11">
      <c r="B159" s="10">
        <v>155</v>
      </c>
      <c r="C159" s="10">
        <v>14</v>
      </c>
      <c r="D159" s="661" t="s">
        <v>1262</v>
      </c>
      <c r="E159" s="62" t="str">
        <f>VLOOKUP(D159,Erection!$C$5:$D$753,2,0)</f>
        <v>DA+0</v>
      </c>
      <c r="F159" s="111">
        <v>46065</v>
      </c>
      <c r="G159" s="111">
        <v>46065</v>
      </c>
      <c r="H159" s="10" t="s">
        <v>1192</v>
      </c>
      <c r="I159" s="60"/>
      <c r="J159" s="10" t="s">
        <v>962</v>
      </c>
      <c r="K159" s="10"/>
    </row>
    <row r="160" spans="2:11">
      <c r="B160" s="10">
        <v>156</v>
      </c>
      <c r="C160" s="10">
        <v>15</v>
      </c>
      <c r="D160" s="10" t="s">
        <v>1263</v>
      </c>
      <c r="E160" s="62" t="str">
        <f>VLOOKUP(D160,Erection!$C$5:$D$753,2,0)</f>
        <v>DB1+9</v>
      </c>
      <c r="F160" s="111">
        <v>46066</v>
      </c>
      <c r="G160" s="111">
        <v>46066</v>
      </c>
      <c r="H160" s="10" t="s">
        <v>1192</v>
      </c>
      <c r="I160" s="60"/>
      <c r="J160" s="10" t="s">
        <v>962</v>
      </c>
      <c r="K160" s="10" t="s">
        <v>1660</v>
      </c>
    </row>
    <row r="161" spans="2:11">
      <c r="B161" s="10">
        <v>157</v>
      </c>
      <c r="C161" s="10">
        <v>16</v>
      </c>
      <c r="D161" s="10" t="s">
        <v>1264</v>
      </c>
      <c r="E161" s="62" t="str">
        <f>VLOOKUP(D161,Erection!$C$5:$D$753,2,0)</f>
        <v>DA+3</v>
      </c>
      <c r="F161" s="111">
        <v>46067</v>
      </c>
      <c r="G161" s="111">
        <v>46067</v>
      </c>
      <c r="H161" s="10" t="s">
        <v>1192</v>
      </c>
      <c r="I161" s="60"/>
      <c r="J161" s="10" t="s">
        <v>962</v>
      </c>
      <c r="K161" s="10"/>
    </row>
    <row r="162" spans="2:11">
      <c r="B162" s="10">
        <v>158</v>
      </c>
      <c r="C162" s="10">
        <v>17</v>
      </c>
      <c r="D162" s="10" t="s">
        <v>1265</v>
      </c>
      <c r="E162" s="62" t="str">
        <f>VLOOKUP(D162,Erection!$C$5:$D$753,2,0)</f>
        <v>DA+9</v>
      </c>
      <c r="F162" s="111">
        <v>46068</v>
      </c>
      <c r="G162" s="111">
        <v>46068</v>
      </c>
      <c r="H162" s="10" t="s">
        <v>1192</v>
      </c>
      <c r="I162" s="60"/>
      <c r="J162" s="10" t="s">
        <v>962</v>
      </c>
      <c r="K162" s="10"/>
    </row>
    <row r="163" spans="2:11">
      <c r="B163" s="10">
        <v>159</v>
      </c>
      <c r="C163" s="10">
        <v>18</v>
      </c>
      <c r="D163" s="10" t="s">
        <v>1266</v>
      </c>
      <c r="E163" s="62" t="str">
        <f>VLOOKUP(D163,Erection!$C$5:$D$753,2,0)</f>
        <v>DA+6</v>
      </c>
      <c r="F163" s="111">
        <v>46069</v>
      </c>
      <c r="G163" s="111">
        <v>46069</v>
      </c>
      <c r="H163" s="10" t="s">
        <v>1192</v>
      </c>
      <c r="I163" s="60"/>
      <c r="J163" s="10" t="s">
        <v>962</v>
      </c>
      <c r="K163" s="10"/>
    </row>
    <row r="164" spans="2:11">
      <c r="B164" s="10">
        <v>160</v>
      </c>
      <c r="C164" s="10">
        <v>19</v>
      </c>
      <c r="D164" s="661" t="s">
        <v>256</v>
      </c>
      <c r="E164" s="62" t="str">
        <f>VLOOKUP(D164,Erection!$C$5:$D$753,2,0)</f>
        <v>DB2+9</v>
      </c>
      <c r="F164" s="111">
        <v>46070</v>
      </c>
      <c r="G164" s="111">
        <v>46070</v>
      </c>
      <c r="H164" s="10" t="s">
        <v>1192</v>
      </c>
      <c r="I164" s="60"/>
      <c r="J164" s="10" t="s">
        <v>962</v>
      </c>
      <c r="K164" s="10" t="s">
        <v>1660</v>
      </c>
    </row>
    <row r="165" spans="2:11">
      <c r="B165" s="10">
        <v>161</v>
      </c>
      <c r="C165" s="10">
        <v>20</v>
      </c>
      <c r="D165" s="661" t="s">
        <v>452</v>
      </c>
      <c r="E165" s="62" t="str">
        <f>VLOOKUP(D165,Erection!$C$5:$D$753,2,0)</f>
        <v>DA+6</v>
      </c>
      <c r="F165" s="111">
        <v>46071</v>
      </c>
      <c r="G165" s="111">
        <v>46071</v>
      </c>
      <c r="H165" s="10" t="s">
        <v>1192</v>
      </c>
      <c r="I165" s="60"/>
      <c r="J165" s="10" t="s">
        <v>962</v>
      </c>
      <c r="K165" s="10" t="s">
        <v>1660</v>
      </c>
    </row>
    <row r="166" spans="2:11">
      <c r="B166" s="10">
        <v>162</v>
      </c>
      <c r="C166" s="10">
        <v>21</v>
      </c>
      <c r="D166" s="10" t="s">
        <v>890</v>
      </c>
      <c r="E166" s="62" t="str">
        <f>VLOOKUP(D166,Erection!$C$5:$D$753,2,0)</f>
        <v>DB1+3</v>
      </c>
      <c r="F166" s="111">
        <v>46072</v>
      </c>
      <c r="G166" s="111">
        <v>46072</v>
      </c>
      <c r="H166" s="10" t="s">
        <v>1192</v>
      </c>
      <c r="I166" s="60"/>
      <c r="J166" s="10" t="s">
        <v>962</v>
      </c>
      <c r="K166" s="10" t="s">
        <v>1660</v>
      </c>
    </row>
    <row r="167" spans="2:11">
      <c r="B167" s="10">
        <v>163</v>
      </c>
      <c r="C167" s="10">
        <v>22</v>
      </c>
      <c r="D167" s="661" t="s">
        <v>257</v>
      </c>
      <c r="E167" s="62" t="str">
        <f>VLOOKUP(D167,Erection!$C$5:$D$753,2,0)</f>
        <v>DB1+6</v>
      </c>
      <c r="F167" s="111">
        <v>46073</v>
      </c>
      <c r="G167" s="111">
        <v>46073</v>
      </c>
      <c r="H167" s="10" t="s">
        <v>1192</v>
      </c>
      <c r="I167" s="60"/>
      <c r="J167" s="10" t="s">
        <v>962</v>
      </c>
      <c r="K167" s="10" t="s">
        <v>1660</v>
      </c>
    </row>
    <row r="168" spans="2:11">
      <c r="B168" s="10">
        <v>164</v>
      </c>
      <c r="C168" s="10">
        <v>23</v>
      </c>
      <c r="D168" s="661" t="s">
        <v>464</v>
      </c>
      <c r="E168" s="62" t="str">
        <f>VLOOKUP(D168,Erection!$C$5:$D$753,2,0)</f>
        <v>DA+6</v>
      </c>
      <c r="F168" s="111">
        <v>46074</v>
      </c>
      <c r="G168" s="111">
        <v>46074</v>
      </c>
      <c r="H168" s="10" t="s">
        <v>1192</v>
      </c>
      <c r="I168" s="60"/>
      <c r="J168" s="10" t="s">
        <v>962</v>
      </c>
      <c r="K168" s="10"/>
    </row>
    <row r="169" spans="2:11">
      <c r="B169" s="10">
        <v>165</v>
      </c>
      <c r="C169" s="10">
        <v>24</v>
      </c>
      <c r="D169" s="661" t="s">
        <v>465</v>
      </c>
      <c r="E169" s="62" t="str">
        <f>VLOOKUP(D169,Erection!$C$5:$D$753,2,0)</f>
        <v>DA+6</v>
      </c>
      <c r="F169" s="111">
        <v>46075</v>
      </c>
      <c r="G169" s="111">
        <v>46075</v>
      </c>
      <c r="H169" s="10" t="s">
        <v>1192</v>
      </c>
      <c r="I169" s="60"/>
      <c r="J169" s="10" t="s">
        <v>962</v>
      </c>
      <c r="K169" s="10"/>
    </row>
    <row r="170" spans="2:11">
      <c r="B170" s="10">
        <v>166</v>
      </c>
      <c r="C170" s="10">
        <v>25</v>
      </c>
      <c r="D170" s="10" t="s">
        <v>672</v>
      </c>
      <c r="E170" s="62" t="str">
        <f>VLOOKUP(D170,Erection!$C$5:$D$753,2,0)</f>
        <v>DB1+12</v>
      </c>
      <c r="F170" s="111">
        <v>46076</v>
      </c>
      <c r="G170" s="111">
        <v>46076</v>
      </c>
      <c r="H170" s="10" t="s">
        <v>1192</v>
      </c>
      <c r="I170" s="60"/>
      <c r="J170" s="10" t="s">
        <v>962</v>
      </c>
      <c r="K170" s="10"/>
    </row>
    <row r="171" spans="2:11">
      <c r="B171" s="10">
        <v>167</v>
      </c>
      <c r="C171" s="10">
        <v>26</v>
      </c>
      <c r="D171" s="661" t="s">
        <v>479</v>
      </c>
      <c r="E171" s="62" t="str">
        <f>VLOOKUP(D171,Erection!$C$5:$D$753,2,0)</f>
        <v>DA+6</v>
      </c>
      <c r="F171" s="111">
        <v>46077</v>
      </c>
      <c r="G171" s="111">
        <v>46077</v>
      </c>
      <c r="H171" s="10" t="s">
        <v>1192</v>
      </c>
      <c r="I171" s="60"/>
      <c r="J171" s="10" t="s">
        <v>962</v>
      </c>
      <c r="K171" s="10"/>
    </row>
    <row r="172" spans="2:11">
      <c r="B172" s="10">
        <v>168</v>
      </c>
      <c r="C172" s="10">
        <v>27</v>
      </c>
      <c r="D172" s="10" t="s">
        <v>263</v>
      </c>
      <c r="E172" s="62" t="str">
        <f>VLOOKUP(D172,Erection!$C$5:$D$753,2,0)</f>
        <v>DB1+12</v>
      </c>
      <c r="F172" s="111">
        <v>46078</v>
      </c>
      <c r="G172" s="111">
        <v>46078</v>
      </c>
      <c r="H172" s="10" t="s">
        <v>1192</v>
      </c>
      <c r="I172" s="60"/>
      <c r="J172" s="10" t="s">
        <v>962</v>
      </c>
      <c r="K172" s="10"/>
    </row>
    <row r="173" spans="2:11">
      <c r="B173" s="10">
        <v>169</v>
      </c>
      <c r="C173" s="10">
        <v>28</v>
      </c>
      <c r="D173" s="1016" t="s">
        <v>415</v>
      </c>
      <c r="E173" s="62" t="str">
        <f>VLOOKUP(D173,Erection!$C$5:$D$753,2,0)</f>
        <v>DA+6</v>
      </c>
      <c r="F173" s="111">
        <v>46079</v>
      </c>
      <c r="G173" s="111">
        <v>46079</v>
      </c>
      <c r="H173" s="10" t="s">
        <v>1192</v>
      </c>
      <c r="I173" s="60"/>
      <c r="J173" s="10" t="s">
        <v>962</v>
      </c>
      <c r="K173" s="10"/>
    </row>
    <row r="174" spans="2:11">
      <c r="B174" s="10">
        <v>170</v>
      </c>
      <c r="C174" s="10">
        <v>29</v>
      </c>
      <c r="D174" s="661" t="s">
        <v>60</v>
      </c>
      <c r="E174" s="62" t="str">
        <f>VLOOKUP(D174,Erection!$C$5:$D$753,2,0)</f>
        <v>DD60+35</v>
      </c>
      <c r="F174" s="111">
        <v>46080</v>
      </c>
      <c r="G174" s="111">
        <v>46080</v>
      </c>
      <c r="H174" s="10" t="s">
        <v>1192</v>
      </c>
      <c r="I174" s="60"/>
      <c r="J174" s="10" t="s">
        <v>962</v>
      </c>
      <c r="K174" s="10" t="s">
        <v>1660</v>
      </c>
    </row>
    <row r="175" spans="2:11">
      <c r="B175" s="10">
        <v>171</v>
      </c>
      <c r="C175" s="10">
        <v>30</v>
      </c>
      <c r="D175" s="661" t="s">
        <v>430</v>
      </c>
      <c r="E175" s="62" t="str">
        <f>VLOOKUP(D175,Erection!$C$5:$D$753,2,0)</f>
        <v>DA+6</v>
      </c>
      <c r="F175" s="111">
        <v>46081</v>
      </c>
      <c r="G175" s="111">
        <v>46081</v>
      </c>
      <c r="H175" s="10" t="s">
        <v>1192</v>
      </c>
      <c r="I175" s="60"/>
      <c r="J175" s="10" t="s">
        <v>962</v>
      </c>
      <c r="K175" s="10"/>
    </row>
    <row r="176" spans="2:11">
      <c r="B176" s="10">
        <v>172</v>
      </c>
      <c r="C176" s="10">
        <v>1</v>
      </c>
      <c r="D176" s="10" t="s">
        <v>65</v>
      </c>
      <c r="E176" s="62" t="str">
        <f>VLOOKUP(D176,Erection!$C$5:$D$753,2,0)</f>
        <v>DB1+0</v>
      </c>
      <c r="F176" s="111">
        <v>46082</v>
      </c>
      <c r="G176" s="111">
        <v>46082</v>
      </c>
      <c r="H176" s="10" t="s">
        <v>1192</v>
      </c>
      <c r="I176" s="60"/>
      <c r="J176" s="10" t="s">
        <v>962</v>
      </c>
      <c r="K176" s="10"/>
    </row>
    <row r="177" spans="2:11">
      <c r="B177" s="10">
        <v>173</v>
      </c>
      <c r="C177" s="10">
        <v>2</v>
      </c>
      <c r="D177" s="10" t="s">
        <v>435</v>
      </c>
      <c r="E177" s="62" t="str">
        <f>VLOOKUP(D177,Erection!$C$5:$D$753,2,0)</f>
        <v>DA+9</v>
      </c>
      <c r="F177" s="111">
        <v>46083</v>
      </c>
      <c r="G177" s="111">
        <v>46083</v>
      </c>
      <c r="H177" s="10" t="s">
        <v>1192</v>
      </c>
      <c r="I177" s="60"/>
      <c r="J177" s="10" t="s">
        <v>962</v>
      </c>
      <c r="K177" s="10" t="s">
        <v>1660</v>
      </c>
    </row>
    <row r="178" spans="2:11">
      <c r="B178" s="10">
        <v>174</v>
      </c>
      <c r="C178" s="10">
        <v>3</v>
      </c>
      <c r="D178" s="661" t="s">
        <v>436</v>
      </c>
      <c r="E178" s="62" t="str">
        <f>VLOOKUP(D178,Erection!$C$5:$D$753,2,0)</f>
        <v>DA+3</v>
      </c>
      <c r="F178" s="111">
        <v>46086</v>
      </c>
      <c r="G178" s="111">
        <v>46086</v>
      </c>
      <c r="H178" s="10" t="s">
        <v>1192</v>
      </c>
      <c r="I178" s="60"/>
      <c r="J178" s="10" t="s">
        <v>962</v>
      </c>
      <c r="K178" s="10"/>
    </row>
    <row r="179" spans="2:11">
      <c r="B179" s="10">
        <v>175</v>
      </c>
      <c r="C179" s="10">
        <v>4</v>
      </c>
      <c r="D179" s="10" t="s">
        <v>437</v>
      </c>
      <c r="E179" s="62" t="str">
        <f>VLOOKUP(D179,Erection!$C$5:$D$753,2,0)</f>
        <v>DA+9</v>
      </c>
      <c r="F179" s="111">
        <v>46086</v>
      </c>
      <c r="G179" s="111">
        <v>46086</v>
      </c>
      <c r="H179" s="10" t="s">
        <v>1192</v>
      </c>
      <c r="I179" s="60"/>
      <c r="J179" s="10" t="s">
        <v>962</v>
      </c>
      <c r="K179" s="10" t="s">
        <v>1660</v>
      </c>
    </row>
    <row r="180" spans="2:11">
      <c r="B180" s="10">
        <v>176</v>
      </c>
      <c r="C180" s="10">
        <v>5</v>
      </c>
      <c r="D180" s="661" t="s">
        <v>438</v>
      </c>
      <c r="E180" s="62" t="str">
        <f>VLOOKUP(D180,Erection!$C$5:$D$753,2,0)</f>
        <v>DA+0</v>
      </c>
      <c r="F180" s="111">
        <v>46086</v>
      </c>
      <c r="G180" s="111">
        <v>46086</v>
      </c>
      <c r="H180" s="10" t="s">
        <v>1192</v>
      </c>
      <c r="I180" s="60"/>
      <c r="J180" s="10" t="s">
        <v>962</v>
      </c>
      <c r="K180" s="10" t="s">
        <v>1660</v>
      </c>
    </row>
    <row r="181" spans="2:11">
      <c r="B181" s="10">
        <v>177</v>
      </c>
      <c r="C181" s="10">
        <v>6</v>
      </c>
      <c r="D181" s="10" t="s">
        <v>439</v>
      </c>
      <c r="E181" s="62" t="str">
        <f>VLOOKUP(D181,Erection!$C$5:$D$753,2,0)</f>
        <v>DA+6</v>
      </c>
      <c r="F181" s="111">
        <v>46087</v>
      </c>
      <c r="G181" s="111">
        <v>46087</v>
      </c>
      <c r="H181" s="10" t="s">
        <v>1192</v>
      </c>
      <c r="I181" s="60"/>
      <c r="J181" s="10" t="s">
        <v>962</v>
      </c>
      <c r="K181" s="10" t="s">
        <v>1660</v>
      </c>
    </row>
    <row r="182" spans="2:11">
      <c r="B182" s="10">
        <v>178</v>
      </c>
      <c r="C182" s="10">
        <v>7</v>
      </c>
      <c r="D182" s="661" t="s">
        <v>440</v>
      </c>
      <c r="E182" s="62" t="str">
        <f>VLOOKUP(D182,Erection!$C$5:$D$753,2,0)</f>
        <v>DA-3</v>
      </c>
      <c r="F182" s="111">
        <v>46087</v>
      </c>
      <c r="G182" s="111">
        <v>46087</v>
      </c>
      <c r="H182" s="10" t="s">
        <v>1192</v>
      </c>
      <c r="I182" s="60"/>
      <c r="J182" s="10" t="s">
        <v>962</v>
      </c>
      <c r="K182" s="10" t="s">
        <v>1660</v>
      </c>
    </row>
    <row r="183" spans="2:11">
      <c r="B183" s="10">
        <v>179</v>
      </c>
      <c r="C183" s="10">
        <v>8</v>
      </c>
      <c r="D183" s="10" t="s">
        <v>441</v>
      </c>
      <c r="E183" s="62" t="str">
        <f>VLOOKUP(D183,Erection!$C$5:$D$753,2,0)</f>
        <v>DA+3</v>
      </c>
      <c r="F183" s="111">
        <v>46088</v>
      </c>
      <c r="G183" s="111">
        <v>46088</v>
      </c>
      <c r="H183" s="10" t="s">
        <v>1192</v>
      </c>
      <c r="I183" s="60"/>
      <c r="J183" s="10" t="s">
        <v>962</v>
      </c>
      <c r="K183" s="10" t="s">
        <v>1660</v>
      </c>
    </row>
    <row r="184" spans="2:11">
      <c r="B184" s="10">
        <v>180</v>
      </c>
      <c r="C184" s="10">
        <v>9</v>
      </c>
      <c r="D184" s="10" t="s">
        <v>442</v>
      </c>
      <c r="E184" s="62" t="str">
        <f>VLOOKUP(D184,Erection!$C$5:$D$753,2,0)</f>
        <v>DA-3</v>
      </c>
      <c r="F184" s="111">
        <v>46088</v>
      </c>
      <c r="G184" s="111">
        <v>46088</v>
      </c>
      <c r="H184" s="10" t="s">
        <v>1192</v>
      </c>
      <c r="I184" s="60"/>
      <c r="J184" s="10" t="s">
        <v>962</v>
      </c>
      <c r="K184" s="10" t="s">
        <v>1660</v>
      </c>
    </row>
    <row r="185" spans="2:11">
      <c r="B185" s="10">
        <v>181</v>
      </c>
      <c r="C185" s="10">
        <v>10</v>
      </c>
      <c r="D185" s="661" t="s">
        <v>443</v>
      </c>
      <c r="E185" s="62" t="str">
        <f>VLOOKUP(D185,Erection!$C$5:$D$753,2,0)</f>
        <v>DA+3</v>
      </c>
      <c r="F185" s="111">
        <v>46089</v>
      </c>
      <c r="G185" s="111">
        <v>46089</v>
      </c>
      <c r="H185" s="10" t="s">
        <v>1192</v>
      </c>
      <c r="I185" s="60"/>
      <c r="J185" s="10" t="s">
        <v>962</v>
      </c>
      <c r="K185" s="10" t="s">
        <v>1660</v>
      </c>
    </row>
    <row r="186" spans="2:11">
      <c r="B186" s="10">
        <v>182</v>
      </c>
      <c r="C186" s="10">
        <v>11</v>
      </c>
      <c r="D186" s="661" t="s">
        <v>66</v>
      </c>
      <c r="E186" s="62" t="str">
        <f>VLOOKUP(D186,Erection!$C$5:$D$753,2,0)</f>
        <v>DA+6</v>
      </c>
      <c r="F186" s="111">
        <v>46089</v>
      </c>
      <c r="G186" s="111">
        <v>46089</v>
      </c>
      <c r="H186" s="10" t="s">
        <v>1192</v>
      </c>
      <c r="I186" s="60"/>
      <c r="J186" s="10" t="s">
        <v>962</v>
      </c>
      <c r="K186" s="10"/>
    </row>
    <row r="187" spans="2:11">
      <c r="B187" s="10">
        <v>183</v>
      </c>
      <c r="C187" s="10">
        <v>12</v>
      </c>
      <c r="D187" s="661" t="s">
        <v>165</v>
      </c>
      <c r="E187" s="62" t="str">
        <f>VLOOKUP(D187,Erection!$C$5:$D$753,2,0)</f>
        <v>DA+9</v>
      </c>
      <c r="F187" s="111">
        <v>46090</v>
      </c>
      <c r="G187" s="111">
        <v>46090</v>
      </c>
      <c r="H187" s="10" t="s">
        <v>1192</v>
      </c>
      <c r="I187" s="60"/>
      <c r="J187" s="10" t="s">
        <v>962</v>
      </c>
      <c r="K187" s="10"/>
    </row>
    <row r="188" spans="2:11">
      <c r="B188" s="10">
        <v>184</v>
      </c>
      <c r="C188" s="10">
        <v>13</v>
      </c>
      <c r="D188" s="10" t="s">
        <v>774</v>
      </c>
      <c r="E188" s="62" t="str">
        <f>VLOOKUP(D188,Erection!$C$5:$D$753,2,0)</f>
        <v>DA+6</v>
      </c>
      <c r="F188" s="111">
        <v>46090</v>
      </c>
      <c r="G188" s="111">
        <v>46090</v>
      </c>
      <c r="H188" s="10" t="s">
        <v>1192</v>
      </c>
      <c r="I188" s="60"/>
      <c r="J188" s="10" t="s">
        <v>962</v>
      </c>
      <c r="K188" s="10"/>
    </row>
    <row r="189" spans="2:11">
      <c r="B189" s="10">
        <v>185</v>
      </c>
      <c r="C189" s="10">
        <v>14</v>
      </c>
      <c r="D189" s="10" t="s">
        <v>67</v>
      </c>
      <c r="E189" s="62" t="str">
        <f>VLOOKUP(D189,Erection!$C$5:$D$753,2,0)</f>
        <v>DB1+9</v>
      </c>
      <c r="F189" s="111">
        <v>46091</v>
      </c>
      <c r="G189" s="111">
        <v>46091</v>
      </c>
      <c r="H189" s="10" t="s">
        <v>1192</v>
      </c>
      <c r="I189" s="60"/>
      <c r="J189" s="10" t="s">
        <v>962</v>
      </c>
      <c r="K189" s="10"/>
    </row>
    <row r="190" spans="2:11">
      <c r="B190" s="10">
        <v>186</v>
      </c>
      <c r="C190" s="10">
        <v>15</v>
      </c>
      <c r="D190" s="661" t="s">
        <v>68</v>
      </c>
      <c r="E190" s="62" t="str">
        <f>VLOOKUP(D190,Erection!$C$5:$D$753,2,0)</f>
        <v>DA+9</v>
      </c>
      <c r="F190" s="111">
        <v>46091</v>
      </c>
      <c r="G190" s="111">
        <v>46091</v>
      </c>
      <c r="H190" s="10" t="s">
        <v>1192</v>
      </c>
      <c r="I190" s="60"/>
      <c r="J190" s="10" t="s">
        <v>962</v>
      </c>
      <c r="K190" s="10"/>
    </row>
    <row r="191" spans="2:11">
      <c r="B191" s="10">
        <v>187</v>
      </c>
      <c r="C191" s="10">
        <v>16</v>
      </c>
      <c r="D191" s="10" t="s">
        <v>187</v>
      </c>
      <c r="E191" s="62" t="str">
        <f>VLOOKUP(D191,Erection!$C$5:$D$753,2,0)</f>
        <v>DA+3</v>
      </c>
      <c r="F191" s="111">
        <v>46092</v>
      </c>
      <c r="G191" s="111">
        <v>46092</v>
      </c>
      <c r="H191" s="10" t="s">
        <v>1192</v>
      </c>
      <c r="I191" s="60"/>
      <c r="J191" s="10" t="s">
        <v>962</v>
      </c>
      <c r="K191" s="10"/>
    </row>
    <row r="192" spans="2:11">
      <c r="B192" s="10">
        <v>188</v>
      </c>
      <c r="C192" s="10">
        <v>17</v>
      </c>
      <c r="D192" s="661" t="s">
        <v>573</v>
      </c>
      <c r="E192" s="62" t="str">
        <f>VLOOKUP(D192,Erection!$C$5:$D$753,2,0)</f>
        <v>DA+1.5</v>
      </c>
      <c r="F192" s="111">
        <v>46092</v>
      </c>
      <c r="G192" s="111">
        <v>46092</v>
      </c>
      <c r="H192" s="10" t="s">
        <v>1192</v>
      </c>
      <c r="I192" s="60"/>
      <c r="J192" s="10" t="s">
        <v>962</v>
      </c>
      <c r="K192" s="10"/>
    </row>
    <row r="193" spans="2:11">
      <c r="B193" s="10">
        <v>189</v>
      </c>
      <c r="C193" s="10">
        <v>18</v>
      </c>
      <c r="D193" s="661" t="s">
        <v>591</v>
      </c>
      <c r="E193" s="62" t="str">
        <f>VLOOKUP(D193,Erection!$C$5:$D$753,2,0)</f>
        <v>DA+9</v>
      </c>
      <c r="F193" s="111">
        <v>46093</v>
      </c>
      <c r="G193" s="111">
        <v>46093</v>
      </c>
      <c r="H193" s="10" t="s">
        <v>1192</v>
      </c>
      <c r="I193" s="60"/>
      <c r="J193" s="10" t="s">
        <v>962</v>
      </c>
      <c r="K193" s="10"/>
    </row>
    <row r="194" spans="2:11">
      <c r="B194" s="10">
        <v>190</v>
      </c>
      <c r="C194" s="10">
        <v>19</v>
      </c>
      <c r="D194" s="661" t="s">
        <v>593</v>
      </c>
      <c r="E194" s="62" t="str">
        <f>VLOOKUP(D194,Erection!$C$5:$D$753,2,0)</f>
        <v>DA+6</v>
      </c>
      <c r="F194" s="111">
        <v>46093</v>
      </c>
      <c r="G194" s="111">
        <v>46093</v>
      </c>
      <c r="H194" s="10" t="s">
        <v>1192</v>
      </c>
      <c r="I194" s="60"/>
      <c r="J194" s="10" t="s">
        <v>962</v>
      </c>
      <c r="K194" s="10"/>
    </row>
    <row r="195" spans="2:11">
      <c r="B195" s="10">
        <v>191</v>
      </c>
      <c r="C195" s="10">
        <v>20</v>
      </c>
      <c r="D195" s="661" t="s">
        <v>596</v>
      </c>
      <c r="E195" s="62" t="str">
        <f>VLOOKUP(D195,Erection!$C$5:$D$753,2,0)</f>
        <v>DA+1.5</v>
      </c>
      <c r="F195" s="111">
        <v>46094</v>
      </c>
      <c r="G195" s="111">
        <v>46094</v>
      </c>
      <c r="H195" s="10" t="s">
        <v>1192</v>
      </c>
      <c r="I195" s="60"/>
      <c r="J195" s="10" t="s">
        <v>962</v>
      </c>
      <c r="K195" s="10"/>
    </row>
    <row r="196" spans="2:11">
      <c r="B196" s="10">
        <v>192</v>
      </c>
      <c r="C196" s="10">
        <v>21</v>
      </c>
      <c r="D196" s="661" t="s">
        <v>1069</v>
      </c>
      <c r="E196" s="62" t="str">
        <f>VLOOKUP(D196,Erection!$C$5:$D$753,2,0)</f>
        <v>DB1+9</v>
      </c>
      <c r="F196" s="111">
        <v>46094</v>
      </c>
      <c r="G196" s="111">
        <v>46094</v>
      </c>
      <c r="H196" s="10" t="s">
        <v>1192</v>
      </c>
      <c r="I196" s="60"/>
      <c r="J196" s="10" t="s">
        <v>962</v>
      </c>
      <c r="K196" s="10"/>
    </row>
    <row r="197" spans="2:11">
      <c r="B197" s="10">
        <v>193</v>
      </c>
      <c r="C197" s="10">
        <v>22</v>
      </c>
      <c r="D197" s="10" t="s">
        <v>1070</v>
      </c>
      <c r="E197" s="62" t="str">
        <f>VLOOKUP(D197,Erection!$C$5:$D$753,2,0)</f>
        <v>DA+3</v>
      </c>
      <c r="F197" s="111">
        <v>46095</v>
      </c>
      <c r="G197" s="111">
        <v>46095</v>
      </c>
      <c r="H197" s="10" t="s">
        <v>1192</v>
      </c>
      <c r="I197" s="60"/>
      <c r="J197" s="10" t="s">
        <v>962</v>
      </c>
      <c r="K197" s="10"/>
    </row>
    <row r="198" spans="2:11">
      <c r="B198" s="10">
        <v>194</v>
      </c>
      <c r="C198" s="10">
        <v>23</v>
      </c>
      <c r="D198" s="661" t="s">
        <v>605</v>
      </c>
      <c r="E198" s="62" t="str">
        <f>VLOOKUP(D198,Erection!$C$5:$D$753,2,0)</f>
        <v>DA+3</v>
      </c>
      <c r="F198" s="111">
        <v>46095</v>
      </c>
      <c r="G198" s="111">
        <v>46095</v>
      </c>
      <c r="H198" s="10" t="s">
        <v>1192</v>
      </c>
      <c r="I198" s="60"/>
      <c r="J198" s="10" t="s">
        <v>962</v>
      </c>
      <c r="K198" s="10"/>
    </row>
    <row r="199" spans="2:11">
      <c r="B199" s="10">
        <v>195</v>
      </c>
      <c r="C199" s="10">
        <v>24</v>
      </c>
      <c r="D199" s="661" t="s">
        <v>74</v>
      </c>
      <c r="E199" s="62" t="str">
        <f>VLOOKUP(D199,Erection!$C$5:$D$753,2,0)</f>
        <v>DB1+6</v>
      </c>
      <c r="F199" s="111">
        <v>46096</v>
      </c>
      <c r="G199" s="111">
        <v>46096</v>
      </c>
      <c r="H199" s="10" t="s">
        <v>1192</v>
      </c>
      <c r="I199" s="60"/>
      <c r="J199" s="10" t="s">
        <v>962</v>
      </c>
      <c r="K199" s="10"/>
    </row>
    <row r="200" spans="2:11">
      <c r="B200" s="10">
        <v>196</v>
      </c>
      <c r="C200" s="10">
        <v>25</v>
      </c>
      <c r="D200" s="661" t="s">
        <v>1244</v>
      </c>
      <c r="E200" s="62" t="str">
        <f>VLOOKUP(D200,Erection!$C$5:$D$753,2,0)</f>
        <v>DB1+9</v>
      </c>
      <c r="F200" s="111">
        <f t="shared" ref="F200" si="0">F199</f>
        <v>46096</v>
      </c>
      <c r="G200" s="111">
        <f t="shared" ref="G200" si="1">F200</f>
        <v>46096</v>
      </c>
      <c r="H200" s="10" t="s">
        <v>1192</v>
      </c>
      <c r="I200" s="60"/>
      <c r="J200" s="10" t="s">
        <v>962</v>
      </c>
      <c r="K200" s="10"/>
    </row>
    <row r="201" spans="2:11">
      <c r="B201" s="10">
        <v>197</v>
      </c>
      <c r="C201" s="10">
        <v>26</v>
      </c>
      <c r="D201" s="1016" t="s">
        <v>369</v>
      </c>
      <c r="E201" s="62" t="str">
        <f>VLOOKUP(D201,Erection!$C$5:$D$753,2,0)</f>
        <v>DA+3</v>
      </c>
      <c r="F201" s="111">
        <v>46097</v>
      </c>
      <c r="G201" s="111">
        <v>46097</v>
      </c>
      <c r="H201" s="10" t="s">
        <v>1192</v>
      </c>
      <c r="I201" s="60"/>
      <c r="J201" s="10" t="s">
        <v>962</v>
      </c>
      <c r="K201" s="10" t="s">
        <v>1660</v>
      </c>
    </row>
    <row r="202" spans="2:11">
      <c r="B202" s="10">
        <v>198</v>
      </c>
      <c r="C202" s="10">
        <v>27</v>
      </c>
      <c r="D202" s="661" t="s">
        <v>370</v>
      </c>
      <c r="E202" s="62" t="str">
        <f>VLOOKUP(D202,Erection!$C$5:$D$753,2,0)</f>
        <v>DA+3</v>
      </c>
      <c r="F202" s="111">
        <v>46097</v>
      </c>
      <c r="G202" s="111">
        <v>46097</v>
      </c>
      <c r="H202" s="10" t="s">
        <v>1192</v>
      </c>
      <c r="I202" s="60"/>
      <c r="J202" s="10" t="s">
        <v>962</v>
      </c>
      <c r="K202" s="10" t="s">
        <v>1660</v>
      </c>
    </row>
    <row r="203" spans="2:11">
      <c r="B203" s="10">
        <v>199</v>
      </c>
      <c r="C203" s="10">
        <v>28</v>
      </c>
      <c r="D203" s="661" t="s">
        <v>406</v>
      </c>
      <c r="E203" s="62" t="str">
        <f>VLOOKUP(D203,Erection!$C$5:$D$753,2,0)</f>
        <v>DA+9</v>
      </c>
      <c r="F203" s="111">
        <v>46098</v>
      </c>
      <c r="G203" s="111">
        <v>46098</v>
      </c>
      <c r="H203" s="10" t="s">
        <v>1192</v>
      </c>
      <c r="I203" s="60"/>
      <c r="J203" s="10" t="s">
        <v>962</v>
      </c>
      <c r="K203" s="10" t="s">
        <v>1660</v>
      </c>
    </row>
    <row r="204" spans="2:11">
      <c r="B204" s="10">
        <v>200</v>
      </c>
      <c r="C204" s="10">
        <v>29</v>
      </c>
      <c r="D204" s="661" t="s">
        <v>264</v>
      </c>
      <c r="E204" s="62" t="str">
        <f>VLOOKUP(D204,Erection!$C$5:$D$753,2,0)</f>
        <v>DB1+6</v>
      </c>
      <c r="F204" s="111">
        <v>46098</v>
      </c>
      <c r="G204" s="111">
        <v>46098</v>
      </c>
      <c r="H204" s="10" t="s">
        <v>1192</v>
      </c>
      <c r="I204" s="60"/>
      <c r="J204" s="10" t="s">
        <v>962</v>
      </c>
      <c r="K204" s="10" t="s">
        <v>1660</v>
      </c>
    </row>
    <row r="205" spans="2:11">
      <c r="B205" s="10">
        <v>201</v>
      </c>
      <c r="C205" s="10">
        <v>30</v>
      </c>
      <c r="D205" s="661" t="s">
        <v>410</v>
      </c>
      <c r="E205" s="62" t="str">
        <f>VLOOKUP(D205,Erection!$C$5:$D$753,2,0)</f>
        <v>DA+3</v>
      </c>
      <c r="F205" s="111">
        <v>46099</v>
      </c>
      <c r="G205" s="111">
        <v>46099</v>
      </c>
      <c r="H205" s="10" t="s">
        <v>1192</v>
      </c>
      <c r="I205" s="60"/>
      <c r="J205" s="10" t="s">
        <v>962</v>
      </c>
      <c r="K205" s="10" t="s">
        <v>1660</v>
      </c>
    </row>
    <row r="206" spans="2:11">
      <c r="B206" s="10">
        <v>202</v>
      </c>
      <c r="C206" s="10">
        <v>31</v>
      </c>
      <c r="D206" s="661" t="s">
        <v>265</v>
      </c>
      <c r="E206" s="62" t="str">
        <f>VLOOKUP(D206,Erection!$C$5:$D$753,2,0)</f>
        <v>DD45+0</v>
      </c>
      <c r="F206" s="111">
        <v>46099</v>
      </c>
      <c r="G206" s="111">
        <v>46099</v>
      </c>
      <c r="H206" s="10" t="s">
        <v>1192</v>
      </c>
      <c r="I206" s="60"/>
      <c r="J206" s="10" t="s">
        <v>962</v>
      </c>
      <c r="K206" s="10" t="s">
        <v>1660</v>
      </c>
    </row>
    <row r="207" spans="2:11">
      <c r="B207" s="10">
        <v>203</v>
      </c>
      <c r="C207" s="10">
        <v>32</v>
      </c>
      <c r="D207" s="661" t="s">
        <v>266</v>
      </c>
      <c r="E207" s="62" t="str">
        <f>VLOOKUP(D207,Erection!$C$5:$D$753,2,0)</f>
        <v>DB1+9</v>
      </c>
      <c r="F207" s="111">
        <v>46100</v>
      </c>
      <c r="G207" s="111">
        <v>46100</v>
      </c>
      <c r="H207" s="10" t="s">
        <v>1192</v>
      </c>
      <c r="I207" s="60"/>
      <c r="J207" s="10" t="s">
        <v>962</v>
      </c>
      <c r="K207" s="10" t="s">
        <v>1660</v>
      </c>
    </row>
    <row r="208" spans="2:11">
      <c r="B208" s="10">
        <v>204</v>
      </c>
      <c r="C208" s="10">
        <v>33</v>
      </c>
      <c r="D208" s="10" t="s">
        <v>483</v>
      </c>
      <c r="E208" s="62" t="str">
        <f>VLOOKUP(D208,Erection!$C$5:$D$753,2,0)</f>
        <v>DB1+9</v>
      </c>
      <c r="F208" s="111">
        <v>46100</v>
      </c>
      <c r="G208" s="111">
        <v>46100</v>
      </c>
      <c r="H208" s="10" t="s">
        <v>1192</v>
      </c>
      <c r="I208" s="60"/>
      <c r="J208" s="10" t="s">
        <v>962</v>
      </c>
      <c r="K208" s="10" t="s">
        <v>1660</v>
      </c>
    </row>
    <row r="209" spans="2:11">
      <c r="B209" s="10">
        <v>205</v>
      </c>
      <c r="C209" s="10">
        <v>34</v>
      </c>
      <c r="D209" s="10" t="s">
        <v>11</v>
      </c>
      <c r="E209" s="62" t="str">
        <f>VLOOKUP(D209,Erection!$C$5:$D$753,2,0)</f>
        <v>DD60+18</v>
      </c>
      <c r="F209" s="111">
        <v>46101</v>
      </c>
      <c r="G209" s="111">
        <v>46101</v>
      </c>
      <c r="H209" s="10" t="s">
        <v>1192</v>
      </c>
      <c r="I209" s="60"/>
      <c r="J209" s="10" t="s">
        <v>962</v>
      </c>
      <c r="K209" s="10" t="s">
        <v>1660</v>
      </c>
    </row>
    <row r="210" spans="2:11">
      <c r="B210" s="10">
        <v>206</v>
      </c>
      <c r="C210" s="10">
        <v>35</v>
      </c>
      <c r="D210" s="661" t="s">
        <v>462</v>
      </c>
      <c r="E210" s="62" t="str">
        <f>VLOOKUP(D210,Erection!$C$5:$D$753,2,0)</f>
        <v>DA+3</v>
      </c>
      <c r="F210" s="111">
        <v>46101</v>
      </c>
      <c r="G210" s="111">
        <v>46101</v>
      </c>
      <c r="H210" s="10" t="s">
        <v>1192</v>
      </c>
      <c r="I210" s="60"/>
      <c r="J210" s="10" t="s">
        <v>962</v>
      </c>
      <c r="K210" s="10" t="s">
        <v>1660</v>
      </c>
    </row>
    <row r="211" spans="2:11">
      <c r="B211" s="10">
        <v>207</v>
      </c>
      <c r="C211" s="10">
        <v>36</v>
      </c>
      <c r="D211" s="10" t="s">
        <v>1256</v>
      </c>
      <c r="E211" s="62" t="str">
        <f>VLOOKUP(D211,Erection!$C$5:$D$753,2,0)</f>
        <v>DD45+3</v>
      </c>
      <c r="F211" s="111">
        <v>46102</v>
      </c>
      <c r="G211" s="111">
        <v>46102</v>
      </c>
      <c r="H211" s="10" t="s">
        <v>1192</v>
      </c>
      <c r="I211" s="60"/>
      <c r="J211" s="10" t="s">
        <v>962</v>
      </c>
      <c r="K211" s="10" t="s">
        <v>1660</v>
      </c>
    </row>
    <row r="212" spans="2:11">
      <c r="B212" s="10">
        <v>208</v>
      </c>
      <c r="C212" s="10">
        <v>37</v>
      </c>
      <c r="D212" s="661" t="s">
        <v>407</v>
      </c>
      <c r="E212" s="62" t="str">
        <f>VLOOKUP(D212,Erection!$C$5:$D$753,2,0)</f>
        <v>DA+0</v>
      </c>
      <c r="F212" s="1189" t="s">
        <v>1675</v>
      </c>
      <c r="G212" s="1189" t="s">
        <v>1675</v>
      </c>
      <c r="H212" s="10" t="s">
        <v>1192</v>
      </c>
      <c r="I212" s="60"/>
      <c r="J212" s="10" t="s">
        <v>962</v>
      </c>
      <c r="K212" s="10"/>
    </row>
    <row r="213" spans="2:11">
      <c r="B213" s="10">
        <v>209</v>
      </c>
      <c r="C213" s="10">
        <v>38</v>
      </c>
      <c r="D213" s="661" t="s">
        <v>408</v>
      </c>
      <c r="E213" s="62" t="str">
        <f>VLOOKUP(D213,Erection!$C$5:$D$753,2,0)</f>
        <v>DA+0</v>
      </c>
      <c r="F213" s="111">
        <v>46104</v>
      </c>
      <c r="G213" s="111">
        <v>46104</v>
      </c>
      <c r="H213" s="10" t="s">
        <v>1192</v>
      </c>
      <c r="I213" s="60"/>
      <c r="J213" s="10" t="s">
        <v>962</v>
      </c>
      <c r="K213" s="10"/>
    </row>
    <row r="214" spans="2:11">
      <c r="B214" s="10">
        <v>210</v>
      </c>
      <c r="C214" s="10">
        <v>39</v>
      </c>
      <c r="D214" s="661" t="s">
        <v>409</v>
      </c>
      <c r="E214" s="62" t="str">
        <f>VLOOKUP(D214,Erection!$C$5:$D$753,2,0)</f>
        <v>DA+3</v>
      </c>
      <c r="F214" s="111">
        <v>46105</v>
      </c>
      <c r="G214" s="111">
        <v>46105</v>
      </c>
      <c r="H214" s="10" t="s">
        <v>1192</v>
      </c>
      <c r="I214" s="60"/>
      <c r="J214" s="10" t="s">
        <v>962</v>
      </c>
      <c r="K214" s="10"/>
    </row>
    <row r="215" spans="2:11">
      <c r="B215" s="10">
        <v>211</v>
      </c>
      <c r="C215" s="10">
        <v>40</v>
      </c>
      <c r="D215" s="661" t="s">
        <v>463</v>
      </c>
      <c r="E215" s="62" t="str">
        <f>VLOOKUP(D215,Erection!$C$5:$D$753,2,0)</f>
        <v>DA+9</v>
      </c>
      <c r="F215" s="111">
        <v>46106</v>
      </c>
      <c r="G215" s="111">
        <v>46106</v>
      </c>
      <c r="H215" s="10" t="s">
        <v>1192</v>
      </c>
      <c r="I215" s="60"/>
      <c r="J215" s="10" t="s">
        <v>962</v>
      </c>
      <c r="K215" s="10"/>
    </row>
    <row r="216" spans="2:11" s="1160" customFormat="1">
      <c r="B216" s="10">
        <v>212</v>
      </c>
      <c r="C216" s="62">
        <v>1</v>
      </c>
      <c r="D216" s="62" t="s">
        <v>903</v>
      </c>
      <c r="E216" s="62" t="str">
        <f>VLOOKUP(D216,Erection!$C$5:$D$753,2,0)</f>
        <v>DA+6</v>
      </c>
      <c r="F216" s="716">
        <v>46112</v>
      </c>
      <c r="G216" s="716">
        <v>46113</v>
      </c>
      <c r="H216" s="62" t="s">
        <v>1192</v>
      </c>
      <c r="I216" s="61"/>
      <c r="J216" s="62" t="s">
        <v>962</v>
      </c>
      <c r="K216" s="1190"/>
    </row>
    <row r="217" spans="2:11">
      <c r="B217" s="10">
        <v>213</v>
      </c>
      <c r="C217" s="62">
        <v>2</v>
      </c>
      <c r="D217" s="72" t="s">
        <v>902</v>
      </c>
      <c r="E217" s="62" t="str">
        <f>VLOOKUP(D217,Erection!$C$5:$D$753,2,0)</f>
        <v>DA+3</v>
      </c>
      <c r="F217" s="716">
        <v>46114</v>
      </c>
      <c r="G217" s="716">
        <v>46115</v>
      </c>
      <c r="H217" s="62" t="s">
        <v>1192</v>
      </c>
      <c r="I217" s="61"/>
      <c r="J217" s="62" t="s">
        <v>962</v>
      </c>
    </row>
    <row r="218" spans="2:11">
      <c r="B218" s="10">
        <v>214</v>
      </c>
      <c r="C218" s="62">
        <v>3</v>
      </c>
      <c r="D218" s="62" t="s">
        <v>901</v>
      </c>
      <c r="E218" s="62" t="str">
        <f>VLOOKUP(D218,Erection!$C$5:$D$753,2,0)</f>
        <v>DA+6</v>
      </c>
      <c r="F218" s="716">
        <v>46116</v>
      </c>
      <c r="G218" s="716">
        <v>46117</v>
      </c>
      <c r="H218" s="62" t="s">
        <v>1192</v>
      </c>
      <c r="I218" s="61"/>
      <c r="J218" s="62" t="s">
        <v>962</v>
      </c>
    </row>
    <row r="219" spans="2:11">
      <c r="B219" s="10">
        <v>215</v>
      </c>
      <c r="C219" s="62">
        <v>4</v>
      </c>
      <c r="D219" s="62" t="s">
        <v>898</v>
      </c>
      <c r="E219" s="62" t="str">
        <f>VLOOKUP(D219,Erection!$C$5:$D$753,2,0)</f>
        <v>DB1+0</v>
      </c>
      <c r="F219" s="716">
        <v>46118</v>
      </c>
      <c r="G219" s="716">
        <v>46119</v>
      </c>
      <c r="H219" s="62" t="s">
        <v>1192</v>
      </c>
      <c r="I219" s="61"/>
      <c r="J219" s="62" t="s">
        <v>962</v>
      </c>
    </row>
    <row r="220" spans="2:11">
      <c r="B220" s="10">
        <v>216</v>
      </c>
      <c r="C220" s="62">
        <v>5</v>
      </c>
      <c r="D220" s="10" t="s">
        <v>56</v>
      </c>
      <c r="E220" s="62" t="str">
        <f>VLOOKUP(D220,Erection!$C$5:$D$753,2,0)</f>
        <v>DB2+9</v>
      </c>
      <c r="F220" s="111">
        <v>46120</v>
      </c>
      <c r="G220" s="111">
        <v>46121</v>
      </c>
      <c r="H220" s="62" t="s">
        <v>1192</v>
      </c>
      <c r="I220" s="60"/>
      <c r="J220" s="62" t="s">
        <v>962</v>
      </c>
    </row>
    <row r="221" spans="2:11">
      <c r="B221" s="10">
        <v>217</v>
      </c>
      <c r="C221" s="62">
        <v>6</v>
      </c>
      <c r="D221" s="10" t="s">
        <v>431</v>
      </c>
      <c r="E221" s="62" t="str">
        <f>VLOOKUP(D221,Erection!$C$5:$D$753,2,0)</f>
        <v>DA+0</v>
      </c>
      <c r="F221" s="111">
        <v>46122</v>
      </c>
      <c r="G221" s="111">
        <v>46122</v>
      </c>
      <c r="H221" s="62" t="s">
        <v>1192</v>
      </c>
      <c r="I221" s="60"/>
      <c r="J221" s="62" t="s">
        <v>962</v>
      </c>
    </row>
    <row r="222" spans="2:11">
      <c r="B222" s="10">
        <v>218</v>
      </c>
      <c r="C222" s="62">
        <v>7</v>
      </c>
      <c r="D222" s="10" t="s">
        <v>674</v>
      </c>
      <c r="E222" s="62" t="str">
        <f>VLOOKUP(D222,Erection!$C$5:$D$753,2,0)</f>
        <v>DB1+9</v>
      </c>
      <c r="F222" s="111">
        <v>46123</v>
      </c>
      <c r="G222" s="111">
        <v>46124</v>
      </c>
      <c r="H222" s="62" t="s">
        <v>1192</v>
      </c>
      <c r="I222" s="60"/>
      <c r="J222" s="62" t="s">
        <v>962</v>
      </c>
    </row>
    <row r="223" spans="2:11">
      <c r="B223" s="10">
        <v>219</v>
      </c>
      <c r="C223" s="62">
        <v>8</v>
      </c>
      <c r="D223" s="661" t="s">
        <v>411</v>
      </c>
      <c r="E223" s="62" t="str">
        <f>VLOOKUP(D223,Erection!$C$5:$D$753,2,0)</f>
        <v>DA+3</v>
      </c>
      <c r="F223" s="111">
        <v>46125</v>
      </c>
      <c r="G223" s="111">
        <v>46125</v>
      </c>
      <c r="H223" s="62" t="s">
        <v>1192</v>
      </c>
      <c r="I223" s="60"/>
      <c r="J223" s="62" t="s">
        <v>962</v>
      </c>
    </row>
    <row r="224" spans="2:11">
      <c r="B224" s="10">
        <v>220</v>
      </c>
      <c r="C224" s="62">
        <v>9</v>
      </c>
      <c r="D224" s="661" t="s">
        <v>412</v>
      </c>
      <c r="E224" s="62" t="str">
        <f>VLOOKUP(D224,Erection!$C$5:$D$753,2,0)</f>
        <v>DA+3</v>
      </c>
      <c r="F224" s="111">
        <v>46126</v>
      </c>
      <c r="G224" s="111">
        <v>46126</v>
      </c>
      <c r="H224" s="62" t="s">
        <v>1192</v>
      </c>
      <c r="I224" s="60"/>
      <c r="J224" s="62" t="s">
        <v>962</v>
      </c>
    </row>
    <row r="225" spans="2:10">
      <c r="B225" s="10">
        <v>221</v>
      </c>
      <c r="C225" s="62">
        <v>10</v>
      </c>
      <c r="D225" s="10" t="s">
        <v>64</v>
      </c>
      <c r="E225" s="62" t="str">
        <f>VLOOKUP(D225,Erection!$C$5:$D$753,2,0)</f>
        <v>DC1+0</v>
      </c>
      <c r="F225" s="111">
        <v>46126</v>
      </c>
      <c r="G225" s="111">
        <v>46126</v>
      </c>
      <c r="H225" s="62" t="s">
        <v>1192</v>
      </c>
      <c r="I225" s="60"/>
      <c r="J225" s="62" t="s">
        <v>962</v>
      </c>
    </row>
    <row r="226" spans="2:10">
      <c r="B226" s="10">
        <v>222</v>
      </c>
      <c r="C226" s="62">
        <v>11</v>
      </c>
      <c r="D226" s="1204" t="s">
        <v>418</v>
      </c>
      <c r="E226" s="62" t="str">
        <f>VLOOKUP(D226,Erection!$C$5:$D$753,2,0)</f>
        <v>DA+0</v>
      </c>
      <c r="F226" s="111">
        <v>46141</v>
      </c>
      <c r="G226" s="111">
        <v>46141</v>
      </c>
      <c r="H226" s="62" t="s">
        <v>1684</v>
      </c>
      <c r="I226" s="60"/>
      <c r="J226" s="62" t="s">
        <v>962</v>
      </c>
    </row>
    <row r="227" spans="2:10">
      <c r="B227" s="10">
        <v>223</v>
      </c>
      <c r="C227" s="62">
        <v>12</v>
      </c>
      <c r="D227" s="1204" t="s">
        <v>419</v>
      </c>
      <c r="E227" s="62" t="str">
        <f>VLOOKUP(D227,Erection!$C$5:$D$753,2,0)</f>
        <v>DA+1.5</v>
      </c>
      <c r="F227" s="111">
        <v>46142</v>
      </c>
      <c r="G227" s="111">
        <v>46142</v>
      </c>
      <c r="H227" s="62" t="s">
        <v>1684</v>
      </c>
      <c r="I227" s="60"/>
      <c r="J227" s="62" t="s">
        <v>962</v>
      </c>
    </row>
    <row r="228" spans="2:10">
      <c r="B228" s="10">
        <v>224</v>
      </c>
      <c r="C228" s="62">
        <v>13</v>
      </c>
      <c r="D228" s="1204" t="s">
        <v>420</v>
      </c>
      <c r="E228" s="62" t="str">
        <f>VLOOKUP(D228,Erection!$C$5:$D$753,2,0)</f>
        <v>DA+0</v>
      </c>
      <c r="F228" s="111">
        <v>46142</v>
      </c>
      <c r="G228" s="111">
        <v>46142</v>
      </c>
      <c r="H228" s="62" t="s">
        <v>1684</v>
      </c>
      <c r="I228" s="60"/>
      <c r="J228" s="62" t="s">
        <v>962</v>
      </c>
    </row>
    <row r="229" spans="2:10">
      <c r="B229" s="10">
        <v>225</v>
      </c>
      <c r="C229" s="10">
        <v>1</v>
      </c>
      <c r="D229" s="661" t="s">
        <v>421</v>
      </c>
      <c r="E229" s="62" t="str">
        <f>VLOOKUP(D229,Erection!$C$5:$D$753,2,0)</f>
        <v>DA-1.5</v>
      </c>
      <c r="F229" s="111">
        <v>46142</v>
      </c>
      <c r="G229" s="111">
        <v>46144</v>
      </c>
      <c r="H229" s="62" t="s">
        <v>1684</v>
      </c>
      <c r="I229" s="60"/>
      <c r="J229" s="10" t="s">
        <v>962</v>
      </c>
    </row>
    <row r="230" spans="2:10">
      <c r="B230" s="10">
        <v>226</v>
      </c>
      <c r="C230" s="10">
        <v>2</v>
      </c>
      <c r="D230" s="661" t="s">
        <v>423</v>
      </c>
      <c r="E230" s="62" t="str">
        <f>VLOOKUP(D230,Erection!$C$5:$D$753,2,0)</f>
        <v>DA+6</v>
      </c>
      <c r="F230" s="111">
        <v>46144</v>
      </c>
      <c r="G230" s="111">
        <v>46145</v>
      </c>
      <c r="H230" s="62" t="s">
        <v>1684</v>
      </c>
      <c r="I230" s="60"/>
      <c r="J230" s="10" t="s">
        <v>962</v>
      </c>
    </row>
    <row r="231" spans="2:10">
      <c r="B231" s="10">
        <v>227</v>
      </c>
      <c r="C231" s="10">
        <v>3</v>
      </c>
      <c r="D231" s="661" t="s">
        <v>13</v>
      </c>
      <c r="E231" s="62" t="str">
        <f>VLOOKUP(D231,Erection!$C$5:$D$753,2,0)</f>
        <v>DC1+3</v>
      </c>
      <c r="F231" s="111">
        <v>46146</v>
      </c>
      <c r="G231" s="111">
        <v>46146</v>
      </c>
      <c r="H231" s="62" t="s">
        <v>1684</v>
      </c>
      <c r="I231" s="60"/>
      <c r="J231" s="10" t="s">
        <v>962</v>
      </c>
    </row>
    <row r="232" spans="2:10">
      <c r="B232" s="10">
        <v>228</v>
      </c>
      <c r="C232" s="10">
        <v>4</v>
      </c>
      <c r="D232" s="661" t="s">
        <v>51</v>
      </c>
      <c r="E232" s="62" t="str">
        <f>VLOOKUP(D232,Erection!$C$5:$D$753,2,0)</f>
        <v>DB2+6</v>
      </c>
      <c r="F232" s="111">
        <v>46147</v>
      </c>
      <c r="G232" s="111">
        <v>46147</v>
      </c>
      <c r="H232" s="62" t="s">
        <v>1684</v>
      </c>
      <c r="I232" s="60"/>
      <c r="J232" s="10" t="s">
        <v>962</v>
      </c>
    </row>
    <row r="233" spans="2:10">
      <c r="B233" s="10">
        <v>229</v>
      </c>
      <c r="C233" s="10">
        <v>5</v>
      </c>
      <c r="D233" s="1016" t="s">
        <v>192</v>
      </c>
      <c r="E233" s="62" t="str">
        <f>VLOOKUP(D233,Erection!$C$5:$D$753,2,0)</f>
        <v>DA+3</v>
      </c>
      <c r="F233" s="111">
        <v>46148</v>
      </c>
      <c r="G233" s="111">
        <v>46148</v>
      </c>
      <c r="H233" s="62" t="s">
        <v>1684</v>
      </c>
      <c r="I233" s="60"/>
      <c r="J233" s="10" t="s">
        <v>962</v>
      </c>
    </row>
    <row r="234" spans="2:10">
      <c r="B234" s="10">
        <v>230</v>
      </c>
      <c r="C234" s="10">
        <v>6</v>
      </c>
      <c r="D234" s="661" t="s">
        <v>193</v>
      </c>
      <c r="E234" s="62" t="str">
        <f>VLOOKUP(D234,Erection!$C$5:$D$753,2,0)</f>
        <v>DA+1.5</v>
      </c>
      <c r="F234" s="111">
        <v>46148</v>
      </c>
      <c r="G234" s="111">
        <v>46148</v>
      </c>
      <c r="H234" s="62" t="s">
        <v>1684</v>
      </c>
      <c r="I234" s="60"/>
      <c r="J234" s="10" t="s">
        <v>962</v>
      </c>
    </row>
    <row r="235" spans="2:10">
      <c r="B235" s="10">
        <v>231</v>
      </c>
      <c r="C235" s="10">
        <v>7</v>
      </c>
      <c r="D235" s="661" t="s">
        <v>254</v>
      </c>
      <c r="E235" s="62" t="str">
        <f>VLOOKUP(D235,Erection!$C$5:$D$753,2,0)</f>
        <v>DA+6</v>
      </c>
      <c r="F235" s="111">
        <v>46149</v>
      </c>
      <c r="G235" s="111">
        <v>46149</v>
      </c>
      <c r="H235" s="62" t="s">
        <v>1684</v>
      </c>
      <c r="I235" s="60"/>
      <c r="J235" s="10" t="s">
        <v>962</v>
      </c>
    </row>
    <row r="236" spans="2:10">
      <c r="B236" s="10">
        <v>232</v>
      </c>
      <c r="C236" s="10">
        <v>8</v>
      </c>
      <c r="D236" s="661" t="s">
        <v>253</v>
      </c>
      <c r="E236" s="62" t="str">
        <f>VLOOKUP(D236,Erection!$C$5:$D$753,2,0)</f>
        <v>DA-3</v>
      </c>
      <c r="F236" s="111">
        <v>46149</v>
      </c>
      <c r="G236" s="111">
        <v>46149</v>
      </c>
      <c r="H236" s="62" t="s">
        <v>1684</v>
      </c>
      <c r="I236" s="60"/>
      <c r="J236" s="10" t="s">
        <v>962</v>
      </c>
    </row>
    <row r="237" spans="2:10">
      <c r="B237" s="10">
        <v>233</v>
      </c>
      <c r="C237" s="10">
        <v>9</v>
      </c>
      <c r="D237" s="661" t="s">
        <v>252</v>
      </c>
      <c r="E237" s="62" t="str">
        <f>VLOOKUP(D237,Erection!$C$5:$D$753,2,0)</f>
        <v>DA+0</v>
      </c>
      <c r="F237" s="111">
        <v>46150</v>
      </c>
      <c r="G237" s="111">
        <v>46150</v>
      </c>
      <c r="H237" s="62" t="s">
        <v>1684</v>
      </c>
      <c r="I237" s="60"/>
      <c r="J237" s="10" t="s">
        <v>962</v>
      </c>
    </row>
    <row r="238" spans="2:10">
      <c r="B238" s="10">
        <v>234</v>
      </c>
      <c r="C238" s="10">
        <v>10</v>
      </c>
      <c r="D238" s="661" t="s">
        <v>424</v>
      </c>
      <c r="E238" s="62" t="str">
        <f>VLOOKUP(D238,Erection!$C$5:$D$753,2,0)</f>
        <v>DA+1.5</v>
      </c>
      <c r="F238" s="111">
        <v>46151</v>
      </c>
      <c r="G238" s="111">
        <v>46151</v>
      </c>
      <c r="H238" s="62" t="s">
        <v>1684</v>
      </c>
      <c r="I238" s="60"/>
      <c r="J238" s="10" t="s">
        <v>962</v>
      </c>
    </row>
    <row r="239" spans="2:10">
      <c r="B239" s="10">
        <v>235</v>
      </c>
      <c r="C239" s="10">
        <v>11</v>
      </c>
      <c r="D239" s="661" t="s">
        <v>52</v>
      </c>
      <c r="E239" s="62" t="str">
        <f>VLOOKUP(D239,Erection!$C$5:$D$753,2,0)</f>
        <v>DD60+3</v>
      </c>
      <c r="F239" s="111">
        <v>46151</v>
      </c>
      <c r="G239" s="111">
        <v>46151</v>
      </c>
      <c r="H239" s="62" t="s">
        <v>1684</v>
      </c>
      <c r="I239" s="60"/>
      <c r="J239" s="10" t="s">
        <v>962</v>
      </c>
    </row>
    <row r="240" spans="2:10">
      <c r="B240" s="10">
        <v>236</v>
      </c>
      <c r="C240" s="10">
        <v>12</v>
      </c>
      <c r="D240" s="661" t="s">
        <v>162</v>
      </c>
      <c r="E240" s="62" t="str">
        <f>VLOOKUP(D240,Erection!$C$5:$D$753,2,0)</f>
        <v>DA-3</v>
      </c>
      <c r="F240" s="111">
        <v>46152</v>
      </c>
      <c r="G240" s="111">
        <v>46152</v>
      </c>
      <c r="H240" s="62" t="s">
        <v>1684</v>
      </c>
      <c r="I240" s="60"/>
      <c r="J240" s="10" t="s">
        <v>962</v>
      </c>
    </row>
    <row r="241" spans="2:10">
      <c r="B241" s="10">
        <v>237</v>
      </c>
      <c r="C241" s="10">
        <v>13</v>
      </c>
      <c r="D241" s="1016" t="s">
        <v>156</v>
      </c>
      <c r="E241" s="62" t="str">
        <f>VLOOKUP(D241,Erection!$C$5:$D$753,2,0)</f>
        <v>DA-1.5</v>
      </c>
      <c r="F241" s="111">
        <v>46152</v>
      </c>
      <c r="G241" s="111">
        <v>46152</v>
      </c>
      <c r="H241" s="62" t="s">
        <v>1684</v>
      </c>
      <c r="I241" s="60"/>
      <c r="J241" s="10" t="s">
        <v>962</v>
      </c>
    </row>
    <row r="242" spans="2:10">
      <c r="B242" s="10">
        <v>238</v>
      </c>
      <c r="C242" s="10">
        <v>14</v>
      </c>
      <c r="D242" s="1016" t="s">
        <v>153</v>
      </c>
      <c r="E242" s="62" t="str">
        <f>VLOOKUP(D242,Erection!$C$5:$D$753,2,0)</f>
        <v>DA+1.5</v>
      </c>
      <c r="F242" s="111">
        <v>46153</v>
      </c>
      <c r="G242" s="111">
        <v>46153</v>
      </c>
      <c r="H242" s="62" t="s">
        <v>1684</v>
      </c>
      <c r="I242" s="60"/>
      <c r="J242" s="10" t="s">
        <v>962</v>
      </c>
    </row>
    <row r="243" spans="2:10">
      <c r="B243" s="10">
        <v>239</v>
      </c>
      <c r="C243" s="10">
        <v>15</v>
      </c>
      <c r="D243" s="1016" t="s">
        <v>61</v>
      </c>
      <c r="E243" s="62" t="str">
        <f>VLOOKUP(D243,Erection!$C$5:$D$753,2,0)</f>
        <v>DA+9</v>
      </c>
      <c r="F243" s="111">
        <v>46154</v>
      </c>
      <c r="G243" s="111">
        <v>46154</v>
      </c>
      <c r="H243" s="62" t="s">
        <v>1684</v>
      </c>
      <c r="I243" s="60"/>
      <c r="J243" s="10" t="s">
        <v>962</v>
      </c>
    </row>
    <row r="244" spans="2:10">
      <c r="B244" s="10">
        <v>240</v>
      </c>
      <c r="C244" s="10">
        <v>16</v>
      </c>
      <c r="D244" s="1016" t="s">
        <v>62</v>
      </c>
      <c r="E244" s="62" t="str">
        <f>VLOOKUP(D244,Erection!$C$5:$D$753,2,0)</f>
        <v>DA-1.5</v>
      </c>
      <c r="F244" s="111">
        <v>46154</v>
      </c>
      <c r="G244" s="111">
        <v>46154</v>
      </c>
      <c r="H244" s="62" t="s">
        <v>1684</v>
      </c>
      <c r="I244" s="60"/>
      <c r="J244" s="10" t="s">
        <v>962</v>
      </c>
    </row>
    <row r="245" spans="2:10">
      <c r="B245" s="10">
        <v>241</v>
      </c>
      <c r="C245" s="10">
        <v>17</v>
      </c>
      <c r="D245" s="1016" t="s">
        <v>155</v>
      </c>
      <c r="E245" s="62" t="str">
        <f>VLOOKUP(D245,Erection!$C$5:$D$753,2,0)</f>
        <v>DA+1.5</v>
      </c>
      <c r="F245" s="111">
        <v>46155</v>
      </c>
      <c r="G245" s="111">
        <v>46156</v>
      </c>
      <c r="H245" s="62" t="s">
        <v>1684</v>
      </c>
      <c r="I245" s="60"/>
      <c r="J245" s="10" t="s">
        <v>962</v>
      </c>
    </row>
    <row r="246" spans="2:10">
      <c r="B246" s="10">
        <v>242</v>
      </c>
      <c r="C246" s="10">
        <v>18</v>
      </c>
      <c r="D246" s="10" t="s">
        <v>57</v>
      </c>
      <c r="E246" s="62" t="str">
        <f>VLOOKUP(D246,Erection!$C$5:$D$753,2,0)</f>
        <v>DD60+18</v>
      </c>
      <c r="F246" s="111">
        <v>46157</v>
      </c>
      <c r="G246" s="111">
        <v>46157</v>
      </c>
      <c r="H246" s="62" t="s">
        <v>1684</v>
      </c>
      <c r="I246" s="60"/>
      <c r="J246" s="10" t="s">
        <v>962</v>
      </c>
    </row>
    <row r="247" spans="2:10">
      <c r="B247" s="10">
        <v>243</v>
      </c>
      <c r="C247" s="10">
        <v>19</v>
      </c>
      <c r="D247" s="661" t="s">
        <v>53</v>
      </c>
      <c r="E247" s="62" t="str">
        <f>VLOOKUP(D247,Erection!$C$5:$D$753,2,0)</f>
        <v>DD60+3</v>
      </c>
      <c r="F247" s="111">
        <v>46158</v>
      </c>
      <c r="G247" s="111">
        <v>46158</v>
      </c>
      <c r="H247" s="10" t="s">
        <v>1684</v>
      </c>
      <c r="I247" s="60"/>
      <c r="J247" s="10" t="s">
        <v>962</v>
      </c>
    </row>
    <row r="248" spans="2:10">
      <c r="B248" s="10">
        <v>244</v>
      </c>
      <c r="C248" s="10">
        <v>20</v>
      </c>
      <c r="D248" s="661" t="s">
        <v>251</v>
      </c>
      <c r="E248" s="62" t="str">
        <f>VLOOKUP(D248,Erection!$C$5:$D$753,2,0)</f>
        <v>DA+9</v>
      </c>
      <c r="F248" s="111">
        <v>46159</v>
      </c>
      <c r="G248" s="111">
        <v>46159</v>
      </c>
      <c r="H248" s="10" t="s">
        <v>1684</v>
      </c>
      <c r="I248" s="60"/>
      <c r="J248" s="10" t="s">
        <v>962</v>
      </c>
    </row>
    <row r="249" spans="2:10">
      <c r="B249" s="10">
        <v>245</v>
      </c>
      <c r="C249" s="10">
        <v>21</v>
      </c>
      <c r="D249" s="661" t="s">
        <v>167</v>
      </c>
      <c r="E249" s="62" t="str">
        <f>VLOOKUP(D249,Erection!$C$5:$D$753,2,0)</f>
        <v>DD60+25</v>
      </c>
      <c r="F249" s="111">
        <v>46160</v>
      </c>
      <c r="G249" s="111">
        <v>46160</v>
      </c>
      <c r="H249" s="10" t="s">
        <v>1684</v>
      </c>
      <c r="I249" s="60"/>
      <c r="J249" s="10" t="s">
        <v>962</v>
      </c>
    </row>
    <row r="250" spans="2:10">
      <c r="B250" s="10">
        <v>246</v>
      </c>
      <c r="C250" s="10">
        <v>22</v>
      </c>
      <c r="D250" s="661" t="s">
        <v>308</v>
      </c>
      <c r="E250" s="62" t="str">
        <f>VLOOKUP(D250,Erection!$C$5:$D$753,2,0)</f>
        <v>DA+6</v>
      </c>
      <c r="F250" s="111">
        <v>46161</v>
      </c>
      <c r="G250" s="111">
        <v>46161</v>
      </c>
      <c r="H250" s="10" t="s">
        <v>1684</v>
      </c>
      <c r="I250" s="60"/>
      <c r="J250" s="10" t="s">
        <v>962</v>
      </c>
    </row>
    <row r="251" spans="2:10">
      <c r="B251" s="10">
        <v>247</v>
      </c>
      <c r="C251" s="10">
        <v>23</v>
      </c>
      <c r="D251" s="661" t="s">
        <v>174</v>
      </c>
      <c r="E251" s="62" t="str">
        <f>VLOOKUP(D251,Erection!$C$5:$D$753,2,0)</f>
        <v>DA-3</v>
      </c>
      <c r="F251" s="111">
        <v>46161</v>
      </c>
      <c r="G251" s="111">
        <v>46161</v>
      </c>
      <c r="H251" s="10" t="s">
        <v>1684</v>
      </c>
      <c r="I251" s="60"/>
      <c r="J251" s="10" t="s">
        <v>962</v>
      </c>
    </row>
    <row r="252" spans="2:10">
      <c r="B252" s="10">
        <v>248</v>
      </c>
      <c r="C252" s="10">
        <v>23</v>
      </c>
      <c r="D252" s="661" t="s">
        <v>175</v>
      </c>
      <c r="E252" s="62" t="str">
        <f>VLOOKUP(D252,Erection!$C$5:$D$753,2,0)</f>
        <v>DA-3</v>
      </c>
      <c r="F252" s="111">
        <v>46162</v>
      </c>
      <c r="G252" s="111">
        <v>46162</v>
      </c>
      <c r="H252" s="10" t="s">
        <v>1684</v>
      </c>
      <c r="I252" s="60"/>
      <c r="J252" s="10" t="s">
        <v>962</v>
      </c>
    </row>
    <row r="253" spans="2:10">
      <c r="B253" s="10">
        <v>249</v>
      </c>
      <c r="C253" s="10">
        <v>24</v>
      </c>
      <c r="D253" s="661" t="s">
        <v>176</v>
      </c>
      <c r="E253" s="62" t="str">
        <f>VLOOKUP(D253,Erection!$C$5:$D$753,2,0)</f>
        <v>DA+1.5</v>
      </c>
      <c r="F253" s="111">
        <v>46162</v>
      </c>
      <c r="G253" s="111">
        <v>46162</v>
      </c>
      <c r="H253" s="10" t="s">
        <v>1684</v>
      </c>
      <c r="I253" s="60"/>
      <c r="J253" s="10" t="s">
        <v>962</v>
      </c>
    </row>
    <row r="254" spans="2:10">
      <c r="B254" s="10">
        <v>250</v>
      </c>
      <c r="C254" s="10">
        <v>25</v>
      </c>
      <c r="D254" s="661" t="s">
        <v>613</v>
      </c>
      <c r="E254" s="62" t="str">
        <f>VLOOKUP(D254,Erection!$C$5:$D$753,2,0)</f>
        <v>DA+9</v>
      </c>
      <c r="F254" s="111">
        <v>46163</v>
      </c>
      <c r="G254" s="111">
        <v>46163</v>
      </c>
      <c r="H254" s="10" t="s">
        <v>1684</v>
      </c>
      <c r="I254" s="60"/>
      <c r="J254" s="10" t="s">
        <v>962</v>
      </c>
    </row>
    <row r="255" spans="2:10">
      <c r="B255" s="10">
        <v>251</v>
      </c>
      <c r="C255" s="10">
        <v>26</v>
      </c>
      <c r="D255" s="661" t="s">
        <v>422</v>
      </c>
      <c r="E255" s="62" t="str">
        <f>VLOOKUP(D255,Erection!$C$5:$D$753,2,0)</f>
        <v>DA+0</v>
      </c>
      <c r="F255" s="111">
        <v>46164</v>
      </c>
      <c r="G255" s="111">
        <v>46164</v>
      </c>
      <c r="H255" s="10" t="s">
        <v>1684</v>
      </c>
      <c r="I255" s="60"/>
      <c r="J255" s="10" t="s">
        <v>962</v>
      </c>
    </row>
    <row r="256" spans="2:10">
      <c r="B256" s="10">
        <v>252</v>
      </c>
      <c r="C256" s="10">
        <v>27</v>
      </c>
      <c r="D256" s="661" t="s">
        <v>179</v>
      </c>
      <c r="E256" s="62" t="str">
        <f>VLOOKUP(D256,Erection!$C$5:$D$753,2,0)</f>
        <v>DA+0</v>
      </c>
      <c r="F256" s="111">
        <v>46165</v>
      </c>
      <c r="G256" s="111">
        <v>46165</v>
      </c>
      <c r="H256" s="10" t="s">
        <v>1684</v>
      </c>
      <c r="I256" s="60"/>
      <c r="J256" s="10" t="s">
        <v>962</v>
      </c>
    </row>
    <row r="257" spans="2:10">
      <c r="B257" s="10">
        <v>253</v>
      </c>
      <c r="C257" s="10">
        <v>28</v>
      </c>
      <c r="D257" s="661" t="s">
        <v>180</v>
      </c>
      <c r="E257" s="62" t="str">
        <f>VLOOKUP(D257,Erection!$C$5:$D$753,2,0)</f>
        <v>DA+6</v>
      </c>
      <c r="F257" s="111">
        <v>46165</v>
      </c>
      <c r="G257" s="111">
        <v>46165</v>
      </c>
      <c r="H257" s="10" t="s">
        <v>1684</v>
      </c>
      <c r="I257" s="60"/>
      <c r="J257" s="10" t="s">
        <v>962</v>
      </c>
    </row>
    <row r="258" spans="2:10">
      <c r="B258" s="10">
        <v>254</v>
      </c>
      <c r="C258" s="10">
        <v>29</v>
      </c>
      <c r="D258" s="661" t="s">
        <v>181</v>
      </c>
      <c r="E258" s="62" t="str">
        <f>VLOOKUP(D258,Erection!$C$5:$D$753,2,0)</f>
        <v>DA+6</v>
      </c>
      <c r="F258" s="111">
        <v>46166</v>
      </c>
      <c r="G258" s="111">
        <v>46166</v>
      </c>
      <c r="H258" s="10" t="s">
        <v>1684</v>
      </c>
      <c r="I258" s="60"/>
      <c r="J258" s="10" t="s">
        <v>962</v>
      </c>
    </row>
    <row r="259" spans="2:10">
      <c r="B259" s="10">
        <v>255</v>
      </c>
      <c r="C259" s="10">
        <v>30</v>
      </c>
      <c r="D259" s="661" t="s">
        <v>182</v>
      </c>
      <c r="E259" s="62" t="str">
        <f>VLOOKUP(D259,Erection!$C$5:$D$753,2,0)</f>
        <v>DA+0</v>
      </c>
      <c r="F259" s="111">
        <v>46167</v>
      </c>
      <c r="G259" s="111">
        <v>46167</v>
      </c>
      <c r="H259" s="10" t="s">
        <v>1684</v>
      </c>
      <c r="I259" s="60"/>
      <c r="J259" s="10" t="s">
        <v>962</v>
      </c>
    </row>
    <row r="260" spans="2:10">
      <c r="B260" s="10">
        <v>256</v>
      </c>
      <c r="C260" s="10">
        <v>31</v>
      </c>
      <c r="D260" s="661" t="s">
        <v>427</v>
      </c>
      <c r="E260" s="62" t="str">
        <f>VLOOKUP(D260,Erection!$C$5:$D$753,2,0)</f>
        <v>DA+0</v>
      </c>
      <c r="F260" s="111">
        <v>46167</v>
      </c>
      <c r="G260" s="111">
        <v>46167</v>
      </c>
      <c r="H260" s="10" t="s">
        <v>1684</v>
      </c>
      <c r="I260" s="60"/>
      <c r="J260" s="10" t="s">
        <v>962</v>
      </c>
    </row>
    <row r="261" spans="2:10">
      <c r="B261" s="10">
        <v>257</v>
      </c>
      <c r="C261" s="10">
        <v>1</v>
      </c>
      <c r="D261" s="661" t="s">
        <v>63</v>
      </c>
      <c r="E261" s="62" t="str">
        <f>VLOOKUP(D261,Erection!$C$5:$D$753,2,0)</f>
        <v>DC2-3</v>
      </c>
      <c r="F261" s="111">
        <v>46175</v>
      </c>
      <c r="G261" s="111">
        <f>F261+1</f>
        <v>46176</v>
      </c>
      <c r="H261" s="10" t="s">
        <v>1684</v>
      </c>
      <c r="I261" s="60"/>
      <c r="J261" s="10" t="s">
        <v>962</v>
      </c>
    </row>
    <row r="262" spans="2:10">
      <c r="B262" s="10">
        <v>258</v>
      </c>
      <c r="C262" s="10">
        <v>2</v>
      </c>
      <c r="D262" s="661" t="s">
        <v>589</v>
      </c>
      <c r="E262" s="62" t="str">
        <f>VLOOKUP(D262,Erection!$C$5:$D$753,2,0)</f>
        <v>DA+6</v>
      </c>
      <c r="F262" s="111">
        <f>G261+1</f>
        <v>46177</v>
      </c>
      <c r="G262" s="111">
        <f>F262+1</f>
        <v>46178</v>
      </c>
      <c r="H262" s="10" t="s">
        <v>1684</v>
      </c>
      <c r="I262" s="60"/>
      <c r="J262" s="10" t="s">
        <v>962</v>
      </c>
    </row>
    <row r="263" spans="2:10">
      <c r="B263" s="10">
        <v>259</v>
      </c>
      <c r="C263" s="10">
        <v>3</v>
      </c>
      <c r="D263" s="661" t="s">
        <v>590</v>
      </c>
      <c r="E263" s="62" t="str">
        <f>VLOOKUP(D263,Erection!$C$5:$D$753,2,0)</f>
        <v>DA-3</v>
      </c>
      <c r="F263" s="111">
        <v>46179</v>
      </c>
      <c r="G263" s="111">
        <f>F263</f>
        <v>46179</v>
      </c>
      <c r="H263" s="10" t="s">
        <v>1684</v>
      </c>
      <c r="I263" s="60"/>
      <c r="J263" s="10" t="s">
        <v>962</v>
      </c>
    </row>
    <row r="264" spans="2:10">
      <c r="B264" s="10">
        <v>260</v>
      </c>
      <c r="C264" s="10">
        <v>4</v>
      </c>
      <c r="D264" s="661" t="s">
        <v>597</v>
      </c>
      <c r="E264" s="62" t="str">
        <f>VLOOKUP(D264,Erection!$C$5:$D$753,2,0)</f>
        <v>DA+3</v>
      </c>
      <c r="F264" s="111">
        <v>46180</v>
      </c>
      <c r="G264" s="111">
        <v>46180</v>
      </c>
      <c r="H264" s="10" t="s">
        <v>1684</v>
      </c>
      <c r="I264" s="60"/>
      <c r="J264" s="10" t="s">
        <v>962</v>
      </c>
    </row>
    <row r="265" spans="2:10">
      <c r="B265" s="10">
        <v>261</v>
      </c>
      <c r="C265" s="10">
        <v>5</v>
      </c>
      <c r="D265" s="661" t="s">
        <v>598</v>
      </c>
      <c r="E265" s="62" t="str">
        <f>VLOOKUP(D265,Erection!$C$5:$D$753,2,0)</f>
        <v>DA+3</v>
      </c>
      <c r="F265" s="111">
        <v>46181</v>
      </c>
      <c r="G265" s="111">
        <v>46181</v>
      </c>
      <c r="H265" s="10" t="s">
        <v>1684</v>
      </c>
      <c r="I265" s="60"/>
      <c r="J265" s="10" t="s">
        <v>962</v>
      </c>
    </row>
    <row r="266" spans="2:10">
      <c r="B266" s="10">
        <v>262</v>
      </c>
      <c r="C266" s="10">
        <v>6</v>
      </c>
      <c r="D266" s="661" t="s">
        <v>8</v>
      </c>
      <c r="E266" s="62" t="str">
        <f>VLOOKUP(D266,Erection!$C$5:$D$753,2,0)</f>
        <v>DB2+3</v>
      </c>
      <c r="F266" s="111">
        <v>46182</v>
      </c>
      <c r="G266" s="111">
        <v>46182</v>
      </c>
      <c r="H266" s="10" t="s">
        <v>1684</v>
      </c>
      <c r="I266" s="60"/>
      <c r="J266" s="10" t="s">
        <v>962</v>
      </c>
    </row>
    <row r="267" spans="2:10">
      <c r="B267" s="10">
        <v>263</v>
      </c>
      <c r="C267" s="10">
        <v>7</v>
      </c>
      <c r="D267" s="661" t="s">
        <v>603</v>
      </c>
      <c r="E267" s="62" t="str">
        <f>VLOOKUP(D267,Erection!$C$5:$D$753,2,0)</f>
        <v>DA-1.5</v>
      </c>
      <c r="F267" s="111">
        <v>46183</v>
      </c>
      <c r="G267" s="111">
        <v>46183</v>
      </c>
      <c r="H267" s="10" t="s">
        <v>1684</v>
      </c>
      <c r="I267" s="60"/>
      <c r="J267" s="10" t="s">
        <v>962</v>
      </c>
    </row>
    <row r="268" spans="2:10">
      <c r="B268" s="10">
        <v>264</v>
      </c>
      <c r="C268" s="10">
        <v>8</v>
      </c>
      <c r="D268" s="661" t="s">
        <v>604</v>
      </c>
      <c r="E268" s="62" t="str">
        <f>VLOOKUP(D268,Erection!$C$5:$D$753,2,0)</f>
        <v>DA+9</v>
      </c>
      <c r="F268" s="111">
        <v>46185</v>
      </c>
      <c r="G268" s="111">
        <v>46185</v>
      </c>
      <c r="H268" s="62" t="s">
        <v>1684</v>
      </c>
      <c r="I268" s="60"/>
      <c r="J268" s="10" t="s">
        <v>962</v>
      </c>
    </row>
    <row r="269" spans="2:10">
      <c r="B269" s="10">
        <v>265</v>
      </c>
      <c r="C269" s="10">
        <v>9</v>
      </c>
      <c r="D269" s="661" t="s">
        <v>1240</v>
      </c>
      <c r="E269" s="62" t="str">
        <f>VLOOKUP(D269,Erection!$C$5:$D$753,2,0)</f>
        <v>DA+3</v>
      </c>
      <c r="F269" s="111">
        <v>46186</v>
      </c>
      <c r="G269" s="111">
        <v>46186</v>
      </c>
      <c r="H269" s="62" t="s">
        <v>1684</v>
      </c>
      <c r="I269" s="60"/>
      <c r="J269" s="10" t="s">
        <v>962</v>
      </c>
    </row>
    <row r="270" spans="2:10">
      <c r="B270" s="10">
        <v>266</v>
      </c>
      <c r="C270" s="10">
        <v>10</v>
      </c>
      <c r="D270" s="661" t="s">
        <v>59</v>
      </c>
      <c r="E270" s="62" t="str">
        <f>VLOOKUP(D270,Erection!$C$5:$D$753,2,0)</f>
        <v>DD60+35</v>
      </c>
      <c r="F270" s="111">
        <v>46187</v>
      </c>
      <c r="G270" s="111">
        <v>46187</v>
      </c>
      <c r="H270" s="62" t="s">
        <v>1684</v>
      </c>
      <c r="I270" s="60"/>
      <c r="J270" s="10" t="s">
        <v>962</v>
      </c>
    </row>
    <row r="271" spans="2:10">
      <c r="B271" s="10">
        <v>267</v>
      </c>
      <c r="C271" s="10">
        <v>11</v>
      </c>
      <c r="D271" s="661" t="s">
        <v>55</v>
      </c>
      <c r="E271" s="62" t="str">
        <f>VLOOKUP(D271,Erection!$C$5:$D$753,2,0)</f>
        <v>DC2+15</v>
      </c>
      <c r="F271" s="111">
        <v>46188</v>
      </c>
      <c r="G271" s="111">
        <v>46188</v>
      </c>
      <c r="H271" s="62" t="s">
        <v>1192</v>
      </c>
      <c r="I271" s="60"/>
      <c r="J271" s="10" t="s">
        <v>962</v>
      </c>
    </row>
    <row r="272" spans="2:10">
      <c r="B272" s="10">
        <v>268</v>
      </c>
      <c r="C272" s="10">
        <v>12</v>
      </c>
      <c r="D272" s="661" t="s">
        <v>54</v>
      </c>
      <c r="E272" s="62" t="str">
        <f>VLOOKUP(D272,Erection!$C$5:$D$753,2,0)</f>
        <v>DB1+0</v>
      </c>
      <c r="F272" s="111">
        <v>46190</v>
      </c>
      <c r="G272" s="111">
        <v>46190</v>
      </c>
      <c r="H272" s="62" t="s">
        <v>1192</v>
      </c>
      <c r="I272" s="60"/>
      <c r="J272" s="10" t="s">
        <v>962</v>
      </c>
    </row>
    <row r="273" spans="2:10">
      <c r="B273" s="10">
        <v>269</v>
      </c>
      <c r="C273" s="10">
        <v>13</v>
      </c>
      <c r="D273" s="661" t="s">
        <v>58</v>
      </c>
      <c r="E273" s="62" t="str">
        <f>VLOOKUP(D273,Erection!$C$5:$D$753,2,0)</f>
        <v>DD60+18</v>
      </c>
      <c r="F273" s="111">
        <v>46191</v>
      </c>
      <c r="G273" s="111">
        <f>F273+2</f>
        <v>46193</v>
      </c>
      <c r="H273" s="62" t="s">
        <v>1684</v>
      </c>
      <c r="I273" s="60"/>
      <c r="J273" s="10" t="s">
        <v>962</v>
      </c>
    </row>
    <row r="274" spans="2:10">
      <c r="B274" s="10">
        <v>270</v>
      </c>
      <c r="C274" s="10">
        <v>14</v>
      </c>
      <c r="D274" s="661" t="s">
        <v>12</v>
      </c>
      <c r="E274" s="62" t="str">
        <f>VLOOKUP(D274,Erection!$C$5:$D$753,2,0)</f>
        <v>DC2+0</v>
      </c>
      <c r="F274" s="111">
        <v>46200</v>
      </c>
      <c r="G274" s="111">
        <v>46200</v>
      </c>
      <c r="H274" s="62" t="s">
        <v>1684</v>
      </c>
      <c r="I274" s="60"/>
      <c r="J274" s="10" t="s">
        <v>962</v>
      </c>
    </row>
    <row r="275" spans="2:10">
      <c r="B275" s="10">
        <f>B274+1</f>
        <v>271</v>
      </c>
      <c r="C275" s="10">
        <v>15</v>
      </c>
      <c r="D275" s="10" t="s">
        <v>206</v>
      </c>
      <c r="E275" s="62" t="str">
        <f>VLOOKUP(D275,Erection!$C$5:$D$753,2,0)</f>
        <v>DA+9</v>
      </c>
      <c r="F275" s="111">
        <v>46202</v>
      </c>
      <c r="G275" s="111">
        <v>46202</v>
      </c>
      <c r="H275" s="62" t="s">
        <v>1684</v>
      </c>
      <c r="I275" s="60"/>
      <c r="J275" s="10" t="s">
        <v>962</v>
      </c>
    </row>
    <row r="276" spans="2:10">
      <c r="B276" s="10">
        <f>B275+1</f>
        <v>272</v>
      </c>
      <c r="C276" s="10">
        <v>16</v>
      </c>
      <c r="D276" s="661" t="s">
        <v>632</v>
      </c>
      <c r="E276" s="62" t="str">
        <f>VLOOKUP(D276,Erection!$C$5:$D$753,2,0)</f>
        <v>DA+3</v>
      </c>
      <c r="F276" s="111">
        <v>46203</v>
      </c>
      <c r="G276" s="111">
        <v>46203</v>
      </c>
      <c r="H276" s="62" t="s">
        <v>1684</v>
      </c>
      <c r="I276" s="60"/>
      <c r="J276" s="10" t="s">
        <v>962</v>
      </c>
    </row>
    <row r="277" spans="2:10">
      <c r="B277" s="10">
        <f>B276+1</f>
        <v>273</v>
      </c>
      <c r="C277" s="10">
        <v>17</v>
      </c>
      <c r="D277" s="661" t="s">
        <v>634</v>
      </c>
      <c r="E277" s="62" t="str">
        <f>VLOOKUP(D277,Erection!$C$5:$D$753,2,0)</f>
        <v>DA+9</v>
      </c>
      <c r="F277" s="111">
        <v>46204</v>
      </c>
      <c r="G277" s="111">
        <v>46204</v>
      </c>
      <c r="H277" s="62" t="s">
        <v>1684</v>
      </c>
      <c r="I277" s="60"/>
      <c r="J277" s="10" t="s">
        <v>962</v>
      </c>
    </row>
    <row r="278" spans="2:10">
      <c r="B278" s="10">
        <f>B277+1</f>
        <v>274</v>
      </c>
      <c r="C278" s="10">
        <v>18</v>
      </c>
      <c r="D278" s="661" t="s">
        <v>635</v>
      </c>
      <c r="E278" s="62" t="str">
        <f>VLOOKUP(D278,Erection!$C$5:$D$753,2,0)</f>
        <v>DA+3</v>
      </c>
      <c r="F278" s="111">
        <v>46204</v>
      </c>
      <c r="G278" s="111">
        <v>46204</v>
      </c>
      <c r="H278" s="62" t="s">
        <v>1684</v>
      </c>
      <c r="I278" s="60"/>
      <c r="J278" s="10" t="s">
        <v>962</v>
      </c>
    </row>
  </sheetData>
  <autoFilter ref="B4:K255" xr:uid="{00000000-0001-0000-0800-000000000000}"/>
  <mergeCells count="3">
    <mergeCell ref="B3:I3"/>
    <mergeCell ref="B1:K1"/>
    <mergeCell ref="B2:K2"/>
  </mergeCells>
  <phoneticPr fontId="46" type="noConversion"/>
  <conditionalFormatting sqref="D1:D1048576">
    <cfRule type="duplicateValues" dxfId="191" priority="1"/>
    <cfRule type="duplicateValues" dxfId="190" priority="2"/>
    <cfRule type="duplicateValues" dxfId="189" priority="3"/>
  </conditionalFormatting>
  <conditionalFormatting sqref="D3:D4 D97:D199 D201:D233 D237:D259 D322:D64885">
    <cfRule type="expression" dxfId="188" priority="2132" stopIfTrue="1">
      <formula>AND(COUNTIF($D$74:$D$75, D3)+COUNTIF($D$1:$D$4, D3)+COUNTIF($D$76:$D$64885, D3)&gt;1,NOT(ISBLANK(D3)))</formula>
    </cfRule>
    <cfRule type="expression" dxfId="187" priority="2133" stopIfTrue="1">
      <formula>AND(COUNTIF($D$10:$D$10, D3)+COUNTIF($D$1:$D$4, D3)+COUNTIF($D$11:$D$75, D3)+COUNTIF($D$76:$D$64885, D3)&gt;1,NOT(ISBLANK(D3)))</formula>
    </cfRule>
  </conditionalFormatting>
  <conditionalFormatting sqref="D9:D16 D5:D7 D18:D39 D41:D96">
    <cfRule type="duplicateValues" dxfId="186" priority="1415"/>
  </conditionalFormatting>
  <conditionalFormatting sqref="D40">
    <cfRule type="duplicateValues" dxfId="185" priority="33"/>
  </conditionalFormatting>
  <conditionalFormatting sqref="D97:D199 D201:D233 D237:D259 D322:D64885">
    <cfRule type="expression" dxfId="184" priority="2142" stopIfTrue="1">
      <formula>AND(COUNTIF($D$74:$D$75, D97)+COUNTIF($D$76:$D$64885, D97)&gt;1,NOT(ISBLANK(D97)))</formula>
    </cfRule>
  </conditionalFormatting>
  <conditionalFormatting sqref="D200">
    <cfRule type="duplicateValues" dxfId="183" priority="4612"/>
    <cfRule type="duplicateValues" dxfId="182" priority="4613"/>
    <cfRule type="duplicateValues" dxfId="181" priority="4614"/>
    <cfRule type="duplicateValues" dxfId="180" priority="4615"/>
    <cfRule type="duplicateValues" dxfId="179" priority="4616"/>
    <cfRule type="duplicateValues" dxfId="178" priority="4617"/>
    <cfRule type="duplicateValues" dxfId="177" priority="4618"/>
    <cfRule type="expression" dxfId="176" priority="4619" stopIfTrue="1">
      <formula>AND(COUNTIF($D$74:$D$75, D200)+COUNTIF($D$1:$D$4, D200)+COUNTIF($D$76:$D$64888, D200)&gt;1,NOT(ISBLANK(D200)))</formula>
    </cfRule>
    <cfRule type="expression" dxfId="175" priority="4620" stopIfTrue="1">
      <formula>AND(COUNTIF($D$10:$D$10, D200)+COUNTIF($D$1:$D$4, D200)+COUNTIF($D$11:$D$75, D200)+COUNTIF($D$76:$D$64888, D200)&gt;1,NOT(ISBLANK(D200)))</formula>
    </cfRule>
    <cfRule type="expression" dxfId="174" priority="4621" stopIfTrue="1">
      <formula>AND(COUNTIF($D$74:$D$75, D200)+COUNTIF($D$76:$D$64888, D200)&gt;1,NOT(ISBLANK(D200)))</formula>
    </cfRule>
  </conditionalFormatting>
  <conditionalFormatting sqref="D322:D1048576 D1:D199 D201:D233 D237:D259">
    <cfRule type="duplicateValues" dxfId="173" priority="26"/>
  </conditionalFormatting>
  <conditionalFormatting sqref="D322:D1048576 D1:D199 D201:D259">
    <cfRule type="duplicateValues" dxfId="172" priority="24"/>
    <cfRule type="duplicateValues" dxfId="171" priority="25"/>
  </conditionalFormatting>
  <conditionalFormatting sqref="D322:D1048576 D1:D259">
    <cfRule type="duplicateValues" dxfId="170" priority="4"/>
  </conditionalFormatting>
  <conditionalFormatting sqref="D322:D1048576 D3:D199 D201:D233 D237:D259">
    <cfRule type="duplicateValues" dxfId="169" priority="27"/>
    <cfRule type="duplicateValues" dxfId="168" priority="28"/>
    <cfRule type="duplicateValues" dxfId="167" priority="1623"/>
    <cfRule type="duplicateValues" dxfId="166" priority="1624"/>
    <cfRule type="duplicateValues" dxfId="165" priority="1625"/>
    <cfRule type="duplicateValues" dxfId="164" priority="1626"/>
  </conditionalFormatting>
  <pageMargins left="0.7" right="0.7" top="0.75" bottom="0.75" header="0.3" footer="0.3"/>
  <pageSetup scale="74" orientation="portrait" verticalDpi="360"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E4E98-2AE9-432E-8629-1B5F49E8F3E7}">
  <sheetPr>
    <tabColor rgb="FFFF0000"/>
  </sheetPr>
  <dimension ref="A1:M312"/>
  <sheetViews>
    <sheetView zoomScale="104" zoomScaleNormal="104" workbookViewId="0">
      <pane xSplit="5" ySplit="6" topLeftCell="F282" activePane="bottomRight" state="frozen"/>
      <selection activeCell="C8" sqref="C8"/>
      <selection pane="topRight" activeCell="C8" sqref="C8"/>
      <selection pane="bottomLeft" activeCell="C8" sqref="C8"/>
      <selection pane="bottomRight" activeCell="I284" sqref="I284"/>
    </sheetView>
  </sheetViews>
  <sheetFormatPr defaultRowHeight="14.5"/>
  <cols>
    <col min="1" max="1" width="6.1796875" bestFit="1" customWidth="1"/>
    <col min="3" max="3" width="10.26953125" bestFit="1" customWidth="1"/>
    <col min="4" max="4" width="10.08984375" customWidth="1"/>
    <col min="5" max="5" width="8.7265625" bestFit="1" customWidth="1"/>
    <col min="6" max="6" width="10.26953125" customWidth="1"/>
    <col min="7" max="8" width="9.26953125" bestFit="1" customWidth="1"/>
    <col min="9" max="9" width="8.1796875" bestFit="1" customWidth="1"/>
    <col min="10" max="10" width="10.26953125" customWidth="1"/>
    <col min="11" max="11" width="8.81640625" bestFit="1" customWidth="1"/>
    <col min="12" max="12" width="9.90625" customWidth="1"/>
  </cols>
  <sheetData>
    <row r="1" spans="1:13" s="1217" customFormat="1" ht="15.5">
      <c r="A1" s="1600" t="s">
        <v>1766</v>
      </c>
      <c r="B1" s="1600"/>
      <c r="C1" s="1600"/>
      <c r="D1" s="1600"/>
      <c r="E1" s="1600"/>
      <c r="F1" s="1600"/>
      <c r="G1" s="1600"/>
      <c r="H1" s="1600"/>
      <c r="I1" s="1600"/>
      <c r="J1" s="1600"/>
      <c r="K1" s="1600"/>
      <c r="L1" s="1600"/>
    </row>
    <row r="2" spans="1:13" s="1217" customFormat="1" ht="15.5">
      <c r="A2" s="1600" t="s">
        <v>1749</v>
      </c>
      <c r="B2" s="1600"/>
      <c r="C2" s="1600"/>
      <c r="D2" s="1600"/>
      <c r="E2" s="1600"/>
      <c r="F2" s="1600"/>
      <c r="G2" s="1600"/>
      <c r="H2" s="1600"/>
      <c r="I2" s="1600"/>
      <c r="J2" s="1600"/>
      <c r="K2" s="1600"/>
      <c r="L2" s="1600"/>
      <c r="M2" s="1217">
        <f>I3-J3</f>
        <v>13</v>
      </c>
    </row>
    <row r="3" spans="1:13">
      <c r="D3" s="1381" t="s">
        <v>1756</v>
      </c>
      <c r="F3" s="129">
        <f t="shared" ref="F3:H3" si="0">306-F4</f>
        <v>0</v>
      </c>
      <c r="G3" s="129">
        <f t="shared" si="0"/>
        <v>2</v>
      </c>
      <c r="H3" s="129">
        <f t="shared" si="0"/>
        <v>3</v>
      </c>
      <c r="I3" s="129">
        <f>303-I4</f>
        <v>29</v>
      </c>
      <c r="J3" s="129">
        <f>303-J4</f>
        <v>16</v>
      </c>
      <c r="K3" s="129">
        <f>302-K4</f>
        <v>70</v>
      </c>
    </row>
    <row r="4" spans="1:13">
      <c r="A4" s="1601" t="s">
        <v>91</v>
      </c>
      <c r="B4" s="1218" t="s">
        <v>652</v>
      </c>
      <c r="C4" s="1218" t="s">
        <v>651</v>
      </c>
      <c r="D4" s="1218" t="s">
        <v>484</v>
      </c>
      <c r="E4" s="1602" t="s">
        <v>1750</v>
      </c>
      <c r="F4" s="1218">
        <f>COUNTIFS(F6:F312,F165)</f>
        <v>306</v>
      </c>
      <c r="G4" s="1218">
        <f t="shared" ref="G4:H4" si="1">COUNTIFS(G6:G312,G165)</f>
        <v>304</v>
      </c>
      <c r="H4" s="1218">
        <f t="shared" si="1"/>
        <v>303</v>
      </c>
      <c r="I4" s="1218">
        <f>COUNTIFS(I6:I312,"done")</f>
        <v>274</v>
      </c>
      <c r="J4" s="1218">
        <f>COUNTIFS(J6:J312,"done")</f>
        <v>287</v>
      </c>
      <c r="K4" s="1218">
        <f>COUNTIFS(K6:K312,"done")</f>
        <v>232</v>
      </c>
      <c r="L4" s="1218" t="s">
        <v>1</v>
      </c>
    </row>
    <row r="5" spans="1:13" ht="29">
      <c r="A5" s="1601"/>
      <c r="B5" s="1218" t="s">
        <v>520</v>
      </c>
      <c r="C5" s="1218" t="s">
        <v>521</v>
      </c>
      <c r="D5" s="1218" t="s">
        <v>485</v>
      </c>
      <c r="E5" s="1603"/>
      <c r="F5" s="1219" t="s">
        <v>99</v>
      </c>
      <c r="G5" s="1219" t="s">
        <v>34</v>
      </c>
      <c r="H5" s="1219" t="s">
        <v>1751</v>
      </c>
      <c r="I5" s="1219" t="s">
        <v>1752</v>
      </c>
      <c r="J5" s="1219" t="s">
        <v>1753</v>
      </c>
      <c r="K5" s="1219" t="s">
        <v>1344</v>
      </c>
      <c r="L5" s="1218"/>
    </row>
    <row r="6" spans="1:13">
      <c r="A6" s="1220"/>
      <c r="B6" s="1220"/>
      <c r="C6" s="1220" t="s">
        <v>1160</v>
      </c>
      <c r="D6" s="1221" t="s">
        <v>244</v>
      </c>
      <c r="E6" s="1222"/>
      <c r="F6" s="1220"/>
      <c r="G6" s="1220"/>
      <c r="H6" s="1220"/>
      <c r="I6" s="1220"/>
      <c r="J6" s="1220"/>
      <c r="K6" s="1220"/>
      <c r="L6" s="1220"/>
    </row>
    <row r="7" spans="1:13">
      <c r="A7" s="1222">
        <f>SUBTOTAL(103,$C7:C$7)</f>
        <v>1</v>
      </c>
      <c r="B7" s="1222" t="s">
        <v>523</v>
      </c>
      <c r="C7" s="1222" t="s">
        <v>268</v>
      </c>
      <c r="D7" s="1223" t="s">
        <v>188</v>
      </c>
      <c r="E7" s="1222" t="s">
        <v>50</v>
      </c>
      <c r="F7" s="1224" t="s">
        <v>255</v>
      </c>
      <c r="G7" s="1224" t="s">
        <v>255</v>
      </c>
      <c r="H7" s="1222" t="s">
        <v>255</v>
      </c>
      <c r="I7" s="1222" t="s">
        <v>1754</v>
      </c>
      <c r="J7" s="1222" t="s">
        <v>1754</v>
      </c>
      <c r="K7" s="1222" t="s">
        <v>1754</v>
      </c>
      <c r="L7" s="1222"/>
    </row>
    <row r="8" spans="1:13">
      <c r="A8" s="1222">
        <f>SUBTOTAL(103,$C$7:C8)</f>
        <v>2</v>
      </c>
      <c r="B8" s="1222" t="s">
        <v>1249</v>
      </c>
      <c r="C8" s="1222" t="s">
        <v>1248</v>
      </c>
      <c r="D8" s="1223" t="s">
        <v>178</v>
      </c>
      <c r="E8" s="1222" t="s">
        <v>50</v>
      </c>
      <c r="F8" s="1224" t="s">
        <v>255</v>
      </c>
      <c r="G8" s="1224" t="s">
        <v>255</v>
      </c>
      <c r="H8" s="1222" t="s">
        <v>255</v>
      </c>
      <c r="I8" s="1222" t="s">
        <v>1754</v>
      </c>
      <c r="J8" s="1222" t="s">
        <v>1754</v>
      </c>
      <c r="K8" s="1222" t="s">
        <v>1754</v>
      </c>
      <c r="L8" s="1222"/>
    </row>
    <row r="9" spans="1:13">
      <c r="A9" s="1222">
        <f>SUBTOTAL(103,$C$7:C9)</f>
        <v>3</v>
      </c>
      <c r="B9" s="1222" t="s">
        <v>525</v>
      </c>
      <c r="C9" s="1222" t="s">
        <v>1250</v>
      </c>
      <c r="D9" s="1253" t="s">
        <v>3</v>
      </c>
      <c r="E9" s="1222" t="s">
        <v>50</v>
      </c>
      <c r="F9" s="1224" t="s">
        <v>255</v>
      </c>
      <c r="G9" s="1224" t="s">
        <v>255</v>
      </c>
      <c r="H9" s="1222" t="s">
        <v>255</v>
      </c>
      <c r="I9" s="1222" t="s">
        <v>1754</v>
      </c>
      <c r="J9" s="1222" t="s">
        <v>1754</v>
      </c>
      <c r="K9" s="1222" t="s">
        <v>1754</v>
      </c>
      <c r="L9" s="1222"/>
    </row>
    <row r="10" spans="1:13">
      <c r="A10" s="1222">
        <f>SUBTOTAL(103,$C$7:C10)</f>
        <v>4</v>
      </c>
      <c r="B10" s="1222"/>
      <c r="C10" s="1222" t="s">
        <v>1251</v>
      </c>
      <c r="D10" s="1253" t="s">
        <v>2</v>
      </c>
      <c r="E10" s="1222" t="s">
        <v>50</v>
      </c>
      <c r="F10" s="1224" t="s">
        <v>255</v>
      </c>
      <c r="G10" s="1224" t="s">
        <v>255</v>
      </c>
      <c r="H10" s="1222" t="s">
        <v>255</v>
      </c>
      <c r="I10" s="1222" t="s">
        <v>1754</v>
      </c>
      <c r="J10" s="1222" t="s">
        <v>1754</v>
      </c>
      <c r="K10" s="1222" t="s">
        <v>1754</v>
      </c>
      <c r="L10" s="1222"/>
    </row>
    <row r="11" spans="1:13">
      <c r="A11" s="1222">
        <f>SUBTOTAL(103,$C$7:C11)</f>
        <v>5</v>
      </c>
      <c r="B11" s="1222"/>
      <c r="C11" s="1222" t="s">
        <v>1252</v>
      </c>
      <c r="D11" s="1253" t="s">
        <v>2</v>
      </c>
      <c r="E11" s="1222" t="s">
        <v>50</v>
      </c>
      <c r="F11" s="1224" t="s">
        <v>255</v>
      </c>
      <c r="G11" s="1224" t="s">
        <v>255</v>
      </c>
      <c r="H11" s="1222" t="s">
        <v>255</v>
      </c>
      <c r="I11" s="1222" t="s">
        <v>1754</v>
      </c>
      <c r="J11" s="1222" t="s">
        <v>1754</v>
      </c>
      <c r="K11" s="1222" t="s">
        <v>1754</v>
      </c>
      <c r="L11" s="1222"/>
    </row>
    <row r="12" spans="1:13">
      <c r="A12" s="1222">
        <f>SUBTOTAL(103,$C$7:C12)</f>
        <v>6</v>
      </c>
      <c r="B12" s="1222"/>
      <c r="C12" s="1222" t="s">
        <v>1253</v>
      </c>
      <c r="D12" s="1253" t="s">
        <v>2</v>
      </c>
      <c r="E12" s="1222" t="s">
        <v>50</v>
      </c>
      <c r="F12" s="1224" t="s">
        <v>255</v>
      </c>
      <c r="G12" s="1224" t="s">
        <v>255</v>
      </c>
      <c r="H12" s="1222" t="s">
        <v>255</v>
      </c>
      <c r="I12" s="1222" t="s">
        <v>1754</v>
      </c>
      <c r="J12" s="1222" t="s">
        <v>1754</v>
      </c>
      <c r="K12" s="1222" t="s">
        <v>1754</v>
      </c>
      <c r="L12" s="1222"/>
    </row>
    <row r="13" spans="1:13">
      <c r="A13" s="1222">
        <f>SUBTOTAL(103,$C$7:C13)</f>
        <v>7</v>
      </c>
      <c r="B13" s="1222"/>
      <c r="C13" s="1222" t="s">
        <v>1254</v>
      </c>
      <c r="D13" s="1253" t="s">
        <v>2</v>
      </c>
      <c r="E13" s="1222" t="s">
        <v>50</v>
      </c>
      <c r="F13" s="1224" t="s">
        <v>255</v>
      </c>
      <c r="G13" s="1224" t="s">
        <v>255</v>
      </c>
      <c r="H13" s="1222" t="s">
        <v>255</v>
      </c>
      <c r="I13" s="1222" t="s">
        <v>1754</v>
      </c>
      <c r="J13" s="1222" t="s">
        <v>1754</v>
      </c>
      <c r="K13" s="1222" t="s">
        <v>1754</v>
      </c>
      <c r="L13" s="1222"/>
    </row>
    <row r="14" spans="1:13">
      <c r="A14" s="1222">
        <f>SUBTOTAL(103,$C$7:C14)</f>
        <v>8</v>
      </c>
      <c r="B14" s="1222"/>
      <c r="C14" s="1222" t="s">
        <v>1255</v>
      </c>
      <c r="D14" s="1253" t="s">
        <v>79</v>
      </c>
      <c r="E14" s="1222" t="s">
        <v>50</v>
      </c>
      <c r="F14" s="1224" t="s">
        <v>255</v>
      </c>
      <c r="G14" s="1224" t="s">
        <v>255</v>
      </c>
      <c r="H14" s="1222" t="s">
        <v>255</v>
      </c>
      <c r="I14" s="1222" t="s">
        <v>1754</v>
      </c>
      <c r="J14" s="1222" t="s">
        <v>1754</v>
      </c>
      <c r="K14" s="1222" t="s">
        <v>1754</v>
      </c>
      <c r="L14" s="1222"/>
    </row>
    <row r="15" spans="1:13">
      <c r="A15" s="1222">
        <f>SUBTOTAL(103,$C$7:C15)</f>
        <v>9</v>
      </c>
      <c r="B15" s="1222"/>
      <c r="C15" s="1222" t="s">
        <v>1256</v>
      </c>
      <c r="D15" s="1253" t="s">
        <v>183</v>
      </c>
      <c r="E15" s="1222" t="s">
        <v>50</v>
      </c>
      <c r="F15" s="1224" t="s">
        <v>255</v>
      </c>
      <c r="G15" s="1224" t="s">
        <v>255</v>
      </c>
      <c r="H15" s="1222" t="s">
        <v>255</v>
      </c>
      <c r="I15" s="1222" t="s">
        <v>1754</v>
      </c>
      <c r="J15" s="1222" t="s">
        <v>1754</v>
      </c>
      <c r="K15" s="1222" t="s">
        <v>1754</v>
      </c>
      <c r="L15" s="1222"/>
    </row>
    <row r="16" spans="1:13">
      <c r="A16" s="1222">
        <f>SUBTOTAL(103,$C$7:C16)</f>
        <v>10</v>
      </c>
      <c r="B16" s="1222"/>
      <c r="C16" s="1222" t="s">
        <v>1257</v>
      </c>
      <c r="D16" s="1253" t="s">
        <v>2</v>
      </c>
      <c r="E16" s="1222" t="s">
        <v>50</v>
      </c>
      <c r="F16" s="1224" t="s">
        <v>255</v>
      </c>
      <c r="G16" s="1224" t="s">
        <v>255</v>
      </c>
      <c r="H16" s="1222" t="s">
        <v>255</v>
      </c>
      <c r="I16" s="1222" t="s">
        <v>1754</v>
      </c>
      <c r="J16" s="1222" t="s">
        <v>1754</v>
      </c>
      <c r="K16" s="1222" t="s">
        <v>1754</v>
      </c>
      <c r="L16" s="1222"/>
    </row>
    <row r="17" spans="1:12">
      <c r="A17" s="1222">
        <f>SUBTOTAL(103,$C$7:C17)</f>
        <v>11</v>
      </c>
      <c r="B17" s="1222"/>
      <c r="C17" s="1222" t="s">
        <v>1258</v>
      </c>
      <c r="D17" s="1253" t="s">
        <v>2</v>
      </c>
      <c r="E17" s="1222" t="s">
        <v>50</v>
      </c>
      <c r="F17" s="1224" t="s">
        <v>255</v>
      </c>
      <c r="G17" s="1224" t="s">
        <v>255</v>
      </c>
      <c r="H17" s="1222" t="s">
        <v>255</v>
      </c>
      <c r="I17" s="1222" t="s">
        <v>1754</v>
      </c>
      <c r="J17" s="1222" t="s">
        <v>1754</v>
      </c>
      <c r="K17" s="1222" t="s">
        <v>1754</v>
      </c>
      <c r="L17" s="1222"/>
    </row>
    <row r="18" spans="1:12">
      <c r="A18" s="1222">
        <f>SUBTOTAL(103,$C$7:C18)</f>
        <v>12</v>
      </c>
      <c r="B18" s="1222"/>
      <c r="C18" s="1222" t="s">
        <v>1259</v>
      </c>
      <c r="D18" s="1253" t="s">
        <v>3</v>
      </c>
      <c r="E18" s="1222" t="s">
        <v>50</v>
      </c>
      <c r="F18" s="1224" t="s">
        <v>255</v>
      </c>
      <c r="G18" s="1224" t="s">
        <v>255</v>
      </c>
      <c r="H18" s="1222" t="s">
        <v>255</v>
      </c>
      <c r="I18" s="1222" t="s">
        <v>1754</v>
      </c>
      <c r="J18" s="1222" t="s">
        <v>1754</v>
      </c>
      <c r="K18" s="1222" t="s">
        <v>1754</v>
      </c>
      <c r="L18" s="1222"/>
    </row>
    <row r="19" spans="1:12">
      <c r="A19" s="1222">
        <f>SUBTOTAL(103,$C$7:C19)</f>
        <v>13</v>
      </c>
      <c r="B19" s="1222"/>
      <c r="C19" s="1222" t="s">
        <v>1260</v>
      </c>
      <c r="D19" s="1253" t="s">
        <v>3</v>
      </c>
      <c r="E19" s="1222" t="s">
        <v>50</v>
      </c>
      <c r="F19" s="1224" t="s">
        <v>255</v>
      </c>
      <c r="G19" s="1224" t="s">
        <v>255</v>
      </c>
      <c r="H19" s="1222" t="s">
        <v>255</v>
      </c>
      <c r="I19" s="1222" t="s">
        <v>1754</v>
      </c>
      <c r="J19" s="1222" t="s">
        <v>1754</v>
      </c>
      <c r="K19" s="1222" t="s">
        <v>1754</v>
      </c>
      <c r="L19" s="1222"/>
    </row>
    <row r="20" spans="1:12">
      <c r="A20" s="1222">
        <f>SUBTOTAL(103,$C$7:C20)</f>
        <v>14</v>
      </c>
      <c r="B20" s="1222"/>
      <c r="C20" s="1222" t="s">
        <v>1261</v>
      </c>
      <c r="D20" s="1253" t="s">
        <v>2</v>
      </c>
      <c r="E20" s="1222" t="s">
        <v>50</v>
      </c>
      <c r="F20" s="1224" t="s">
        <v>255</v>
      </c>
      <c r="G20" s="1224" t="s">
        <v>255</v>
      </c>
      <c r="H20" s="1222" t="s">
        <v>255</v>
      </c>
      <c r="I20" s="1222" t="s">
        <v>1754</v>
      </c>
      <c r="J20" s="1222" t="s">
        <v>1754</v>
      </c>
      <c r="K20" s="1222" t="s">
        <v>1754</v>
      </c>
      <c r="L20" s="1222"/>
    </row>
    <row r="21" spans="1:12">
      <c r="A21" s="1222">
        <f>SUBTOTAL(103,$C$7:C21)</f>
        <v>15</v>
      </c>
      <c r="B21" s="1222" t="s">
        <v>537</v>
      </c>
      <c r="C21" s="1222" t="s">
        <v>1262</v>
      </c>
      <c r="D21" s="1253" t="s">
        <v>3</v>
      </c>
      <c r="E21" s="1222" t="s">
        <v>50</v>
      </c>
      <c r="F21" s="1224" t="s">
        <v>255</v>
      </c>
      <c r="G21" s="1224" t="s">
        <v>255</v>
      </c>
      <c r="H21" s="1222" t="s">
        <v>255</v>
      </c>
      <c r="I21" s="1222" t="s">
        <v>1754</v>
      </c>
      <c r="J21" s="1222" t="s">
        <v>1754</v>
      </c>
      <c r="K21" s="1222" t="s">
        <v>1754</v>
      </c>
      <c r="L21" s="1222"/>
    </row>
    <row r="22" spans="1:12">
      <c r="A22" s="1222">
        <f>SUBTOTAL(103,$C$7:C22)</f>
        <v>16</v>
      </c>
      <c r="B22" s="1222"/>
      <c r="C22" s="1222" t="s">
        <v>1263</v>
      </c>
      <c r="D22" s="1253" t="s">
        <v>211</v>
      </c>
      <c r="E22" s="1222" t="s">
        <v>50</v>
      </c>
      <c r="F22" s="1224" t="s">
        <v>255</v>
      </c>
      <c r="G22" s="1224" t="s">
        <v>255</v>
      </c>
      <c r="H22" s="1222" t="s">
        <v>255</v>
      </c>
      <c r="I22" s="1222" t="s">
        <v>1754</v>
      </c>
      <c r="J22" s="1222" t="s">
        <v>1754</v>
      </c>
      <c r="K22" s="1222" t="s">
        <v>1754</v>
      </c>
      <c r="L22" s="1222"/>
    </row>
    <row r="23" spans="1:12">
      <c r="A23" s="1222">
        <f>SUBTOTAL(103,$C$7:C23)</f>
        <v>17</v>
      </c>
      <c r="B23" s="1222"/>
      <c r="C23" s="1222" t="s">
        <v>1264</v>
      </c>
      <c r="D23" s="1253" t="s">
        <v>2</v>
      </c>
      <c r="E23" s="1222" t="s">
        <v>50</v>
      </c>
      <c r="F23" s="1224" t="s">
        <v>255</v>
      </c>
      <c r="G23" s="1224" t="s">
        <v>255</v>
      </c>
      <c r="H23" s="1222" t="s">
        <v>255</v>
      </c>
      <c r="I23" s="1222" t="s">
        <v>1754</v>
      </c>
      <c r="J23" s="1222" t="s">
        <v>1754</v>
      </c>
      <c r="K23" s="1222" t="s">
        <v>1754</v>
      </c>
      <c r="L23" s="1222"/>
    </row>
    <row r="24" spans="1:12">
      <c r="A24" s="1222">
        <f>SUBTOTAL(103,$C$7:C24)</f>
        <v>18</v>
      </c>
      <c r="B24" s="1222"/>
      <c r="C24" s="1222" t="s">
        <v>1265</v>
      </c>
      <c r="D24" s="1253" t="s">
        <v>49</v>
      </c>
      <c r="E24" s="1222" t="s">
        <v>50</v>
      </c>
      <c r="F24" s="1224" t="s">
        <v>255</v>
      </c>
      <c r="G24" s="1224" t="s">
        <v>255</v>
      </c>
      <c r="H24" s="1222" t="s">
        <v>255</v>
      </c>
      <c r="I24" s="1222" t="s">
        <v>1754</v>
      </c>
      <c r="J24" s="1222" t="s">
        <v>1754</v>
      </c>
      <c r="K24" s="1222" t="s">
        <v>1754</v>
      </c>
      <c r="L24" s="1222"/>
    </row>
    <row r="25" spans="1:12">
      <c r="A25" s="1222">
        <f>SUBTOTAL(103,$C$7:C25)</f>
        <v>19</v>
      </c>
      <c r="B25" s="1222"/>
      <c r="C25" s="1222" t="s">
        <v>1266</v>
      </c>
      <c r="D25" s="1253" t="s">
        <v>79</v>
      </c>
      <c r="E25" s="1222" t="s">
        <v>50</v>
      </c>
      <c r="F25" s="1224" t="s">
        <v>255</v>
      </c>
      <c r="G25" s="1224" t="s">
        <v>255</v>
      </c>
      <c r="H25" s="1222" t="s">
        <v>255</v>
      </c>
      <c r="I25" s="1222" t="s">
        <v>1754</v>
      </c>
      <c r="J25" s="1222" t="s">
        <v>1754</v>
      </c>
      <c r="K25" s="1222" t="s">
        <v>1754</v>
      </c>
      <c r="L25" s="1222"/>
    </row>
    <row r="26" spans="1:12">
      <c r="A26" s="1222">
        <f>SUBTOTAL(103,$C$7:C26)</f>
        <v>20</v>
      </c>
      <c r="B26" s="1222"/>
      <c r="C26" s="1222" t="s">
        <v>256</v>
      </c>
      <c r="D26" s="1254" t="s">
        <v>215</v>
      </c>
      <c r="E26" s="1222" t="s">
        <v>50</v>
      </c>
      <c r="F26" s="1224" t="s">
        <v>255</v>
      </c>
      <c r="G26" s="1224" t="s">
        <v>255</v>
      </c>
      <c r="H26" s="1222" t="s">
        <v>255</v>
      </c>
      <c r="I26" s="1222" t="s">
        <v>1754</v>
      </c>
      <c r="J26" s="1222" t="s">
        <v>1754</v>
      </c>
      <c r="K26" s="1222" t="s">
        <v>1754</v>
      </c>
      <c r="L26" s="1222"/>
    </row>
    <row r="27" spans="1:12">
      <c r="A27" s="1222">
        <f>SUBTOTAL(103,$C$7:C27)</f>
        <v>21</v>
      </c>
      <c r="B27" s="1222"/>
      <c r="C27" s="1222" t="s">
        <v>452</v>
      </c>
      <c r="D27" s="1253" t="s">
        <v>79</v>
      </c>
      <c r="E27" s="1222" t="s">
        <v>50</v>
      </c>
      <c r="F27" s="1224" t="s">
        <v>255</v>
      </c>
      <c r="G27" s="1224" t="s">
        <v>255</v>
      </c>
      <c r="H27" s="1222" t="s">
        <v>255</v>
      </c>
      <c r="I27" s="1222" t="s">
        <v>1754</v>
      </c>
      <c r="J27" s="1222" t="s">
        <v>1754</v>
      </c>
      <c r="K27" s="1222" t="s">
        <v>1754</v>
      </c>
      <c r="L27" s="1222"/>
    </row>
    <row r="28" spans="1:12">
      <c r="A28" s="1222">
        <f>SUBTOTAL(103,$C$7:C28)</f>
        <v>22</v>
      </c>
      <c r="B28" s="1222" t="s">
        <v>889</v>
      </c>
      <c r="C28" s="1222" t="s">
        <v>890</v>
      </c>
      <c r="D28" s="1253" t="s">
        <v>226</v>
      </c>
      <c r="E28" s="1222" t="s">
        <v>50</v>
      </c>
      <c r="F28" s="1224" t="s">
        <v>255</v>
      </c>
      <c r="G28" s="1224" t="s">
        <v>255</v>
      </c>
      <c r="H28" s="1222" t="s">
        <v>255</v>
      </c>
      <c r="I28" s="1222" t="s">
        <v>1754</v>
      </c>
      <c r="J28" s="1222" t="s">
        <v>1754</v>
      </c>
      <c r="K28" s="1222" t="s">
        <v>1754</v>
      </c>
      <c r="L28" s="1222"/>
    </row>
    <row r="29" spans="1:12">
      <c r="A29" s="1222">
        <f>SUBTOTAL(103,$C$7:C29)</f>
        <v>23</v>
      </c>
      <c r="B29" s="1222"/>
      <c r="C29" s="1222" t="s">
        <v>891</v>
      </c>
      <c r="D29" s="1253" t="s">
        <v>79</v>
      </c>
      <c r="E29" s="1222" t="s">
        <v>50</v>
      </c>
      <c r="F29" s="1224" t="s">
        <v>255</v>
      </c>
      <c r="G29" s="1224" t="s">
        <v>255</v>
      </c>
      <c r="H29" s="1222" t="s">
        <v>255</v>
      </c>
      <c r="I29" s="1222" t="s">
        <v>1754</v>
      </c>
      <c r="J29" s="1222" t="s">
        <v>1754</v>
      </c>
      <c r="K29" s="1222" t="s">
        <v>1754</v>
      </c>
      <c r="L29" s="1222"/>
    </row>
    <row r="30" spans="1:12">
      <c r="A30" s="1222">
        <f>SUBTOTAL(103,$C$7:C30)</f>
        <v>24</v>
      </c>
      <c r="B30" s="1222"/>
      <c r="C30" s="1222" t="s">
        <v>892</v>
      </c>
      <c r="D30" s="1253" t="s">
        <v>79</v>
      </c>
      <c r="E30" s="1222" t="s">
        <v>50</v>
      </c>
      <c r="F30" s="1224" t="s">
        <v>255</v>
      </c>
      <c r="G30" s="1224" t="s">
        <v>255</v>
      </c>
      <c r="H30" s="1222" t="s">
        <v>255</v>
      </c>
      <c r="I30" s="1222" t="s">
        <v>1754</v>
      </c>
      <c r="J30" s="1222" t="s">
        <v>1754</v>
      </c>
      <c r="K30" s="1222" t="s">
        <v>1754</v>
      </c>
      <c r="L30" s="1222"/>
    </row>
    <row r="31" spans="1:12">
      <c r="A31" s="1222">
        <f>SUBTOTAL(103,$C$7:C31)</f>
        <v>25</v>
      </c>
      <c r="B31" s="1222"/>
      <c r="C31" s="1222" t="s">
        <v>893</v>
      </c>
      <c r="D31" s="1253" t="s">
        <v>49</v>
      </c>
      <c r="E31" s="1222" t="s">
        <v>50</v>
      </c>
      <c r="F31" s="1224" t="s">
        <v>255</v>
      </c>
      <c r="G31" s="1224" t="s">
        <v>255</v>
      </c>
      <c r="H31" s="1222" t="s">
        <v>255</v>
      </c>
      <c r="I31" s="1222" t="s">
        <v>1754</v>
      </c>
      <c r="J31" s="1222" t="s">
        <v>1754</v>
      </c>
      <c r="K31" s="1222" t="s">
        <v>1754</v>
      </c>
      <c r="L31" s="1222"/>
    </row>
    <row r="32" spans="1:12">
      <c r="A32" s="1222">
        <f>SUBTOTAL(103,$C$7:C32)</f>
        <v>26</v>
      </c>
      <c r="B32" s="1222"/>
      <c r="C32" s="1222" t="s">
        <v>894</v>
      </c>
      <c r="D32" s="1253" t="s">
        <v>79</v>
      </c>
      <c r="E32" s="1222" t="s">
        <v>50</v>
      </c>
      <c r="F32" s="1224" t="s">
        <v>255</v>
      </c>
      <c r="G32" s="1224" t="s">
        <v>255</v>
      </c>
      <c r="H32" s="1222" t="s">
        <v>255</v>
      </c>
      <c r="I32" s="1222" t="s">
        <v>1754</v>
      </c>
      <c r="J32" s="1222" t="s">
        <v>1754</v>
      </c>
      <c r="K32" s="1222" t="s">
        <v>1754</v>
      </c>
      <c r="L32" s="1222"/>
    </row>
    <row r="33" spans="1:12">
      <c r="A33" s="1222">
        <f>SUBTOTAL(103,$C$7:C33)</f>
        <v>27</v>
      </c>
      <c r="B33" s="1222"/>
      <c r="C33" s="1222" t="s">
        <v>895</v>
      </c>
      <c r="D33" s="1253" t="s">
        <v>49</v>
      </c>
      <c r="E33" s="1222" t="s">
        <v>50</v>
      </c>
      <c r="F33" s="1224" t="s">
        <v>255</v>
      </c>
      <c r="G33" s="1224" t="s">
        <v>255</v>
      </c>
      <c r="H33" s="1222" t="s">
        <v>255</v>
      </c>
      <c r="I33" s="1222" t="s">
        <v>1754</v>
      </c>
      <c r="J33" s="1222" t="s">
        <v>1754</v>
      </c>
      <c r="K33" s="1222" t="s">
        <v>1754</v>
      </c>
      <c r="L33" s="1222"/>
    </row>
    <row r="34" spans="1:12">
      <c r="A34" s="1222">
        <f>SUBTOTAL(103,$C$7:C34)</f>
        <v>28</v>
      </c>
      <c r="B34" s="1222"/>
      <c r="C34" s="1222" t="s">
        <v>896</v>
      </c>
      <c r="D34" s="1253" t="s">
        <v>49</v>
      </c>
      <c r="E34" s="1222" t="s">
        <v>50</v>
      </c>
      <c r="F34" s="1224" t="s">
        <v>255</v>
      </c>
      <c r="G34" s="1224" t="s">
        <v>255</v>
      </c>
      <c r="H34" s="1222" t="s">
        <v>255</v>
      </c>
      <c r="I34" s="1222" t="s">
        <v>1754</v>
      </c>
      <c r="J34" s="1222" t="s">
        <v>1754</v>
      </c>
      <c r="K34" s="1222" t="s">
        <v>1754</v>
      </c>
      <c r="L34" s="1222"/>
    </row>
    <row r="35" spans="1:12">
      <c r="A35" s="1222">
        <f>SUBTOTAL(103,$C$7:C35)</f>
        <v>29</v>
      </c>
      <c r="B35" s="1222" t="s">
        <v>1137</v>
      </c>
      <c r="C35" s="1222" t="s">
        <v>257</v>
      </c>
      <c r="D35" s="1253" t="s">
        <v>227</v>
      </c>
      <c r="E35" s="1222" t="s">
        <v>50</v>
      </c>
      <c r="F35" s="1224" t="s">
        <v>255</v>
      </c>
      <c r="G35" s="1224" t="s">
        <v>255</v>
      </c>
      <c r="H35" s="1222" t="s">
        <v>255</v>
      </c>
      <c r="I35" s="1222" t="s">
        <v>1754</v>
      </c>
      <c r="J35" s="1222" t="s">
        <v>1754</v>
      </c>
      <c r="K35" s="1222" t="s">
        <v>1754</v>
      </c>
      <c r="L35" s="1222"/>
    </row>
    <row r="36" spans="1:12">
      <c r="A36" s="1222">
        <f>SUBTOTAL(103,$C$7:C36)</f>
        <v>30</v>
      </c>
      <c r="B36" s="1222"/>
      <c r="C36" s="1222" t="s">
        <v>457</v>
      </c>
      <c r="D36" s="1253" t="s">
        <v>79</v>
      </c>
      <c r="E36" s="1222" t="s">
        <v>50</v>
      </c>
      <c r="F36" s="1224" t="s">
        <v>255</v>
      </c>
      <c r="G36" s="1224" t="s">
        <v>255</v>
      </c>
      <c r="H36" s="1222" t="s">
        <v>255</v>
      </c>
      <c r="I36" s="1222" t="s">
        <v>1754</v>
      </c>
      <c r="J36" s="1222" t="s">
        <v>1754</v>
      </c>
      <c r="K36" s="1222" t="s">
        <v>1754</v>
      </c>
      <c r="L36" s="1222"/>
    </row>
    <row r="37" spans="1:12">
      <c r="A37" s="1222">
        <f>SUBTOTAL(103,$C$7:C37)</f>
        <v>31</v>
      </c>
      <c r="B37" s="1222"/>
      <c r="C37" s="1222" t="s">
        <v>458</v>
      </c>
      <c r="D37" s="1253" t="s">
        <v>49</v>
      </c>
      <c r="E37" s="1222" t="s">
        <v>50</v>
      </c>
      <c r="F37" s="1224" t="s">
        <v>255</v>
      </c>
      <c r="G37" s="1224" t="s">
        <v>255</v>
      </c>
      <c r="H37" s="1222" t="s">
        <v>255</v>
      </c>
      <c r="I37" s="1222" t="s">
        <v>1754</v>
      </c>
      <c r="J37" s="1222" t="s">
        <v>1754</v>
      </c>
      <c r="K37" s="1222" t="s">
        <v>1754</v>
      </c>
      <c r="L37" s="1222"/>
    </row>
    <row r="38" spans="1:12">
      <c r="A38" s="1222">
        <f>SUBTOTAL(103,$C$7:C38)</f>
        <v>32</v>
      </c>
      <c r="B38" s="1222"/>
      <c r="C38" s="1222" t="s">
        <v>459</v>
      </c>
      <c r="D38" s="1253" t="s">
        <v>49</v>
      </c>
      <c r="E38" s="1222" t="s">
        <v>50</v>
      </c>
      <c r="F38" s="1224" t="s">
        <v>255</v>
      </c>
      <c r="G38" s="1224" t="s">
        <v>255</v>
      </c>
      <c r="H38" s="1222" t="s">
        <v>255</v>
      </c>
      <c r="I38" s="1222" t="s">
        <v>1754</v>
      </c>
      <c r="J38" s="1222" t="s">
        <v>1754</v>
      </c>
      <c r="K38" s="1222" t="s">
        <v>1754</v>
      </c>
      <c r="L38" s="1222"/>
    </row>
    <row r="39" spans="1:12">
      <c r="A39" s="1222">
        <f>SUBTOTAL(103,$C$7:C39)</f>
        <v>33</v>
      </c>
      <c r="B39" s="1222"/>
      <c r="C39" s="1222" t="s">
        <v>460</v>
      </c>
      <c r="D39" s="1253" t="s">
        <v>154</v>
      </c>
      <c r="E39" s="1222" t="s">
        <v>50</v>
      </c>
      <c r="F39" s="1224" t="s">
        <v>255</v>
      </c>
      <c r="G39" s="1224" t="s">
        <v>255</v>
      </c>
      <c r="H39" s="1222" t="s">
        <v>255</v>
      </c>
      <c r="I39" s="1222" t="s">
        <v>1754</v>
      </c>
      <c r="J39" s="1222" t="s">
        <v>1754</v>
      </c>
      <c r="K39" s="1222" t="s">
        <v>1754</v>
      </c>
      <c r="L39" s="1222"/>
    </row>
    <row r="40" spans="1:12">
      <c r="A40" s="1222">
        <f>SUBTOTAL(103,$C$7:C40)</f>
        <v>34</v>
      </c>
      <c r="B40" s="1222"/>
      <c r="C40" s="1222" t="s">
        <v>461</v>
      </c>
      <c r="D40" s="1253" t="s">
        <v>79</v>
      </c>
      <c r="E40" s="1222" t="s">
        <v>50</v>
      </c>
      <c r="F40" s="1224" t="s">
        <v>255</v>
      </c>
      <c r="G40" s="1224" t="s">
        <v>255</v>
      </c>
      <c r="H40" s="1222" t="s">
        <v>255</v>
      </c>
      <c r="I40" s="1222" t="s">
        <v>1754</v>
      </c>
      <c r="J40" s="1222" t="s">
        <v>1754</v>
      </c>
      <c r="K40" s="1222" t="s">
        <v>1754</v>
      </c>
      <c r="L40" s="1222"/>
    </row>
    <row r="41" spans="1:12">
      <c r="A41" s="1222">
        <f>SUBTOTAL(103,$C$7:C41)</f>
        <v>35</v>
      </c>
      <c r="B41" s="1222"/>
      <c r="C41" s="1222" t="s">
        <v>462</v>
      </c>
      <c r="D41" s="1253" t="s">
        <v>2</v>
      </c>
      <c r="E41" s="1222" t="s">
        <v>50</v>
      </c>
      <c r="F41" s="1224" t="s">
        <v>255</v>
      </c>
      <c r="G41" s="1224" t="s">
        <v>255</v>
      </c>
      <c r="H41" s="1222" t="s">
        <v>255</v>
      </c>
      <c r="I41" s="1222" t="s">
        <v>1754</v>
      </c>
      <c r="J41" s="1222" t="s">
        <v>1754</v>
      </c>
      <c r="K41" s="1222" t="s">
        <v>1754</v>
      </c>
      <c r="L41" s="1222"/>
    </row>
    <row r="42" spans="1:12">
      <c r="A42" s="1222">
        <f>SUBTOTAL(103,$C$7:C42)</f>
        <v>36</v>
      </c>
      <c r="B42" s="1222"/>
      <c r="C42" s="1222" t="s">
        <v>463</v>
      </c>
      <c r="D42" s="1253" t="s">
        <v>49</v>
      </c>
      <c r="E42" s="1222" t="s">
        <v>50</v>
      </c>
      <c r="F42" s="1224" t="s">
        <v>255</v>
      </c>
      <c r="G42" s="1224" t="s">
        <v>255</v>
      </c>
      <c r="H42" s="1222" t="s">
        <v>255</v>
      </c>
      <c r="I42" s="1222" t="s">
        <v>1754</v>
      </c>
      <c r="J42" s="1222" t="s">
        <v>1754</v>
      </c>
      <c r="K42" s="1222" t="s">
        <v>1754</v>
      </c>
      <c r="L42" s="1222"/>
    </row>
    <row r="43" spans="1:12">
      <c r="A43" s="1222">
        <f>SUBTOTAL(103,$C$7:C43)</f>
        <v>37</v>
      </c>
      <c r="B43" s="1222"/>
      <c r="C43" s="1222" t="s">
        <v>464</v>
      </c>
      <c r="D43" s="1253" t="s">
        <v>79</v>
      </c>
      <c r="E43" s="1222" t="s">
        <v>50</v>
      </c>
      <c r="F43" s="1224" t="s">
        <v>255</v>
      </c>
      <c r="G43" s="1224" t="s">
        <v>255</v>
      </c>
      <c r="H43" s="1222" t="s">
        <v>255</v>
      </c>
      <c r="I43" s="1222" t="s">
        <v>1754</v>
      </c>
      <c r="J43" s="1222" t="s">
        <v>1754</v>
      </c>
      <c r="K43" s="1222" t="s">
        <v>1754</v>
      </c>
      <c r="L43" s="1222"/>
    </row>
    <row r="44" spans="1:12">
      <c r="A44" s="1222">
        <f>SUBTOTAL(103,$C$7:C44)</f>
        <v>38</v>
      </c>
      <c r="B44" s="1222"/>
      <c r="C44" s="1222" t="s">
        <v>465</v>
      </c>
      <c r="D44" s="1253" t="s">
        <v>79</v>
      </c>
      <c r="E44" s="1222" t="s">
        <v>50</v>
      </c>
      <c r="F44" s="1224" t="s">
        <v>255</v>
      </c>
      <c r="G44" s="1224" t="s">
        <v>255</v>
      </c>
      <c r="H44" s="1222" t="s">
        <v>255</v>
      </c>
      <c r="I44" s="1222" t="s">
        <v>1754</v>
      </c>
      <c r="J44" s="1222" t="s">
        <v>1754</v>
      </c>
      <c r="K44" s="1222" t="s">
        <v>1754</v>
      </c>
      <c r="L44" s="1222"/>
    </row>
    <row r="45" spans="1:12">
      <c r="A45" s="1222">
        <f>SUBTOTAL(103,$C$7:C45)</f>
        <v>39</v>
      </c>
      <c r="B45" s="1222"/>
      <c r="C45" s="1222" t="s">
        <v>466</v>
      </c>
      <c r="D45" s="1253" t="s">
        <v>49</v>
      </c>
      <c r="E45" s="1222" t="s">
        <v>50</v>
      </c>
      <c r="F45" s="1224" t="s">
        <v>255</v>
      </c>
      <c r="G45" s="1224" t="s">
        <v>255</v>
      </c>
      <c r="H45" s="1222" t="s">
        <v>255</v>
      </c>
      <c r="I45" s="1222" t="s">
        <v>1754</v>
      </c>
      <c r="J45" s="1222" t="s">
        <v>1754</v>
      </c>
      <c r="K45" s="1222" t="s">
        <v>1754</v>
      </c>
      <c r="L45" s="1222"/>
    </row>
    <row r="46" spans="1:12">
      <c r="A46" s="1222">
        <f>SUBTOTAL(103,$C$7:C46)</f>
        <v>40</v>
      </c>
      <c r="B46" s="1222" t="s">
        <v>671</v>
      </c>
      <c r="C46" s="1222" t="s">
        <v>672</v>
      </c>
      <c r="D46" s="1253" t="s">
        <v>401</v>
      </c>
      <c r="E46" s="1222" t="s">
        <v>50</v>
      </c>
      <c r="F46" s="1224" t="s">
        <v>255</v>
      </c>
      <c r="G46" s="1224" t="s">
        <v>255</v>
      </c>
      <c r="H46" s="1222" t="s">
        <v>255</v>
      </c>
      <c r="I46" s="1222" t="s">
        <v>1754</v>
      </c>
      <c r="J46" s="1222" t="s">
        <v>1754</v>
      </c>
      <c r="K46" s="1222" t="s">
        <v>1754</v>
      </c>
      <c r="L46" s="1222"/>
    </row>
    <row r="47" spans="1:12">
      <c r="A47" s="1222">
        <f>SUBTOTAL(103,$C$7:C47)</f>
        <v>41</v>
      </c>
      <c r="B47" s="1222" t="s">
        <v>539</v>
      </c>
      <c r="C47" s="1222" t="s">
        <v>258</v>
      </c>
      <c r="D47" s="1253" t="s">
        <v>211</v>
      </c>
      <c r="E47" s="1222" t="s">
        <v>50</v>
      </c>
      <c r="F47" s="1224" t="s">
        <v>255</v>
      </c>
      <c r="G47" s="1224" t="s">
        <v>255</v>
      </c>
      <c r="H47" s="1222" t="s">
        <v>255</v>
      </c>
      <c r="I47" s="1222" t="s">
        <v>1754</v>
      </c>
      <c r="J47" s="1222" t="s">
        <v>1754</v>
      </c>
      <c r="K47" s="1222" t="s">
        <v>1754</v>
      </c>
      <c r="L47" s="1222"/>
    </row>
    <row r="48" spans="1:12">
      <c r="A48" s="1222">
        <f>SUBTOTAL(103,$C$7:C48)</f>
        <v>42</v>
      </c>
      <c r="B48" s="1222"/>
      <c r="C48" s="1222" t="s">
        <v>259</v>
      </c>
      <c r="D48" s="1253" t="s">
        <v>49</v>
      </c>
      <c r="E48" s="1222" t="s">
        <v>50</v>
      </c>
      <c r="F48" s="1224" t="s">
        <v>255</v>
      </c>
      <c r="G48" s="1224" t="s">
        <v>255</v>
      </c>
      <c r="H48" s="1222" t="s">
        <v>255</v>
      </c>
      <c r="I48" s="1222" t="s">
        <v>1754</v>
      </c>
      <c r="J48" s="1222" t="s">
        <v>1754</v>
      </c>
      <c r="K48" s="1222" t="s">
        <v>1754</v>
      </c>
      <c r="L48" s="1222"/>
    </row>
    <row r="49" spans="1:12">
      <c r="A49" s="1222">
        <f>SUBTOTAL(103,$C$7:C49)</f>
        <v>43</v>
      </c>
      <c r="B49" s="1222"/>
      <c r="C49" s="1222" t="s">
        <v>260</v>
      </c>
      <c r="D49" s="1253" t="s">
        <v>79</v>
      </c>
      <c r="E49" s="1222" t="s">
        <v>50</v>
      </c>
      <c r="F49" s="1224" t="s">
        <v>255</v>
      </c>
      <c r="G49" s="1224" t="s">
        <v>255</v>
      </c>
      <c r="H49" s="1222" t="s">
        <v>255</v>
      </c>
      <c r="I49" s="1222" t="s">
        <v>1754</v>
      </c>
      <c r="J49" s="1222" t="s">
        <v>1754</v>
      </c>
      <c r="K49" s="1222" t="s">
        <v>1754</v>
      </c>
      <c r="L49" s="1222"/>
    </row>
    <row r="50" spans="1:12">
      <c r="A50" s="1222">
        <f>SUBTOTAL(103,$C$7:C50)</f>
        <v>44</v>
      </c>
      <c r="B50" s="1222"/>
      <c r="C50" s="1222" t="s">
        <v>467</v>
      </c>
      <c r="D50" s="1253" t="s">
        <v>2</v>
      </c>
      <c r="E50" s="1222" t="s">
        <v>50</v>
      </c>
      <c r="F50" s="1224" t="s">
        <v>255</v>
      </c>
      <c r="G50" s="1224" t="s">
        <v>255</v>
      </c>
      <c r="H50" s="1222" t="s">
        <v>255</v>
      </c>
      <c r="I50" s="1222" t="s">
        <v>1754</v>
      </c>
      <c r="J50" s="1222" t="s">
        <v>1754</v>
      </c>
      <c r="K50" s="1222" t="s">
        <v>1754</v>
      </c>
      <c r="L50" s="1222"/>
    </row>
    <row r="51" spans="1:12">
      <c r="A51" s="1222">
        <f>SUBTOTAL(103,$C$7:C51)</f>
        <v>45</v>
      </c>
      <c r="B51" s="1222"/>
      <c r="C51" s="1222" t="s">
        <v>468</v>
      </c>
      <c r="D51" s="1253" t="s">
        <v>49</v>
      </c>
      <c r="E51" s="1222" t="s">
        <v>50</v>
      </c>
      <c r="F51" s="1224" t="s">
        <v>255</v>
      </c>
      <c r="G51" s="1224" t="s">
        <v>255</v>
      </c>
      <c r="H51" s="1222" t="s">
        <v>255</v>
      </c>
      <c r="I51" s="1222" t="s">
        <v>1754</v>
      </c>
      <c r="J51" s="1222" t="s">
        <v>1754</v>
      </c>
      <c r="K51" s="1222" t="s">
        <v>1754</v>
      </c>
      <c r="L51" s="1222"/>
    </row>
    <row r="52" spans="1:12">
      <c r="A52" s="1222">
        <f>SUBTOTAL(103,$C$7:C52)</f>
        <v>46</v>
      </c>
      <c r="B52" s="1222"/>
      <c r="C52" s="1222" t="s">
        <v>469</v>
      </c>
      <c r="D52" s="1253" t="s">
        <v>49</v>
      </c>
      <c r="E52" s="1222" t="s">
        <v>50</v>
      </c>
      <c r="F52" s="1224" t="s">
        <v>255</v>
      </c>
      <c r="G52" s="1224" t="s">
        <v>255</v>
      </c>
      <c r="H52" s="1222" t="s">
        <v>255</v>
      </c>
      <c r="I52" s="1222" t="s">
        <v>1754</v>
      </c>
      <c r="J52" s="1222" t="s">
        <v>1754</v>
      </c>
      <c r="K52" s="1222" t="s">
        <v>1754</v>
      </c>
      <c r="L52" s="1222"/>
    </row>
    <row r="53" spans="1:12">
      <c r="A53" s="1222">
        <f>SUBTOTAL(103,$C$7:C53)</f>
        <v>47</v>
      </c>
      <c r="B53" s="1222"/>
      <c r="C53" s="1222" t="s">
        <v>470</v>
      </c>
      <c r="D53" s="1253" t="s">
        <v>4</v>
      </c>
      <c r="E53" s="1222" t="s">
        <v>50</v>
      </c>
      <c r="F53" s="1224" t="s">
        <v>255</v>
      </c>
      <c r="G53" s="1224" t="s">
        <v>255</v>
      </c>
      <c r="H53" s="1222" t="s">
        <v>255</v>
      </c>
      <c r="I53" s="1222" t="s">
        <v>1754</v>
      </c>
      <c r="J53" s="1222" t="s">
        <v>1754</v>
      </c>
      <c r="K53" s="1222" t="s">
        <v>1754</v>
      </c>
      <c r="L53" s="1222"/>
    </row>
    <row r="54" spans="1:12">
      <c r="A54" s="1222">
        <f>SUBTOTAL(103,$C$7:C54)</f>
        <v>48</v>
      </c>
      <c r="B54" s="1222"/>
      <c r="C54" s="1222" t="s">
        <v>471</v>
      </c>
      <c r="D54" s="1253" t="s">
        <v>170</v>
      </c>
      <c r="E54" s="1222" t="s">
        <v>50</v>
      </c>
      <c r="F54" s="1224" t="s">
        <v>255</v>
      </c>
      <c r="G54" s="1224" t="s">
        <v>255</v>
      </c>
      <c r="H54" s="1222" t="s">
        <v>255</v>
      </c>
      <c r="I54" s="1222" t="s">
        <v>1754</v>
      </c>
      <c r="J54" s="1222" t="s">
        <v>1754</v>
      </c>
      <c r="K54" s="1222" t="s">
        <v>1754</v>
      </c>
      <c r="L54" s="1222"/>
    </row>
    <row r="55" spans="1:12">
      <c r="A55" s="1222">
        <f>SUBTOTAL(103,$C$7:C55)</f>
        <v>49</v>
      </c>
      <c r="B55" s="1222"/>
      <c r="C55" s="1222" t="s">
        <v>472</v>
      </c>
      <c r="D55" s="1253" t="s">
        <v>2</v>
      </c>
      <c r="E55" s="1222" t="s">
        <v>50</v>
      </c>
      <c r="F55" s="1224" t="s">
        <v>255</v>
      </c>
      <c r="G55" s="1224" t="s">
        <v>255</v>
      </c>
      <c r="H55" s="1222" t="s">
        <v>255</v>
      </c>
      <c r="I55" s="1222" t="s">
        <v>1754</v>
      </c>
      <c r="J55" s="1222" t="s">
        <v>1754</v>
      </c>
      <c r="K55" s="1222" t="s">
        <v>1754</v>
      </c>
      <c r="L55" s="1222"/>
    </row>
    <row r="56" spans="1:12">
      <c r="A56" s="1222">
        <f>SUBTOTAL(103,$C$7:C56)</f>
        <v>50</v>
      </c>
      <c r="B56" s="1222"/>
      <c r="C56" s="1222" t="s">
        <v>473</v>
      </c>
      <c r="D56" s="1253" t="s">
        <v>79</v>
      </c>
      <c r="E56" s="1222" t="s">
        <v>50</v>
      </c>
      <c r="F56" s="1224" t="s">
        <v>255</v>
      </c>
      <c r="G56" s="1224" t="s">
        <v>255</v>
      </c>
      <c r="H56" s="1222" t="s">
        <v>255</v>
      </c>
      <c r="I56" s="1222" t="s">
        <v>1754</v>
      </c>
      <c r="J56" s="1222" t="s">
        <v>1754</v>
      </c>
      <c r="K56" s="1222" t="s">
        <v>1754</v>
      </c>
      <c r="L56" s="1222"/>
    </row>
    <row r="57" spans="1:12">
      <c r="A57" s="1222">
        <f>SUBTOTAL(103,$C$7:C57)</f>
        <v>51</v>
      </c>
      <c r="B57" s="1222"/>
      <c r="C57" s="1222" t="s">
        <v>474</v>
      </c>
      <c r="D57" s="1253" t="s">
        <v>170</v>
      </c>
      <c r="E57" s="1222" t="s">
        <v>50</v>
      </c>
      <c r="F57" s="1224" t="s">
        <v>255</v>
      </c>
      <c r="G57" s="1224" t="s">
        <v>255</v>
      </c>
      <c r="H57" s="1222" t="s">
        <v>255</v>
      </c>
      <c r="I57" s="1222" t="s">
        <v>1754</v>
      </c>
      <c r="J57" s="1222" t="s">
        <v>1754</v>
      </c>
      <c r="K57" s="1222" t="s">
        <v>1754</v>
      </c>
      <c r="L57" s="1222"/>
    </row>
    <row r="58" spans="1:12">
      <c r="A58" s="1222">
        <f>SUBTOTAL(103,$C$7:C58)</f>
        <v>52</v>
      </c>
      <c r="B58" s="1222"/>
      <c r="C58" s="1222" t="s">
        <v>475</v>
      </c>
      <c r="D58" s="1253" t="s">
        <v>154</v>
      </c>
      <c r="E58" s="1222" t="s">
        <v>50</v>
      </c>
      <c r="F58" s="1224" t="s">
        <v>255</v>
      </c>
      <c r="G58" s="1224" t="s">
        <v>255</v>
      </c>
      <c r="H58" s="1222" t="s">
        <v>255</v>
      </c>
      <c r="I58" s="1222" t="s">
        <v>1754</v>
      </c>
      <c r="J58" s="1222" t="s">
        <v>1754</v>
      </c>
      <c r="K58" s="1222" t="s">
        <v>1754</v>
      </c>
      <c r="L58" s="1222"/>
    </row>
    <row r="59" spans="1:12">
      <c r="A59" s="1222">
        <f>SUBTOTAL(103,$C$7:C59)</f>
        <v>53</v>
      </c>
      <c r="B59" s="1222"/>
      <c r="C59" s="1222" t="s">
        <v>490</v>
      </c>
      <c r="D59" s="1253" t="s">
        <v>170</v>
      </c>
      <c r="E59" s="1222" t="s">
        <v>50</v>
      </c>
      <c r="F59" s="1224" t="s">
        <v>255</v>
      </c>
      <c r="G59" s="1224" t="s">
        <v>255</v>
      </c>
      <c r="H59" s="1222" t="s">
        <v>255</v>
      </c>
      <c r="I59" s="1222" t="s">
        <v>1754</v>
      </c>
      <c r="J59" s="1222" t="s">
        <v>1754</v>
      </c>
      <c r="K59" s="1222" t="s">
        <v>1754</v>
      </c>
      <c r="L59" s="1222"/>
    </row>
    <row r="60" spans="1:12">
      <c r="A60" s="1222">
        <f>SUBTOTAL(103,$C$7:C60)</f>
        <v>54</v>
      </c>
      <c r="B60" s="1222" t="s">
        <v>540</v>
      </c>
      <c r="C60" s="1222" t="s">
        <v>261</v>
      </c>
      <c r="D60" s="1253" t="s">
        <v>184</v>
      </c>
      <c r="E60" s="1222" t="s">
        <v>50</v>
      </c>
      <c r="F60" s="1224" t="s">
        <v>255</v>
      </c>
      <c r="G60" s="1224" t="s">
        <v>255</v>
      </c>
      <c r="H60" s="1222" t="s">
        <v>255</v>
      </c>
      <c r="I60" s="1222" t="s">
        <v>1754</v>
      </c>
      <c r="J60" s="1222" t="s">
        <v>1754</v>
      </c>
      <c r="K60" s="1222" t="s">
        <v>1754</v>
      </c>
      <c r="L60" s="1222"/>
    </row>
    <row r="61" spans="1:12">
      <c r="A61" s="1222">
        <f>SUBTOTAL(103,$C$7:C61)</f>
        <v>55</v>
      </c>
      <c r="B61" s="1222"/>
      <c r="C61" s="1222" t="s">
        <v>476</v>
      </c>
      <c r="D61" s="1253" t="s">
        <v>4</v>
      </c>
      <c r="E61" s="1222" t="s">
        <v>50</v>
      </c>
      <c r="F61" s="1224" t="s">
        <v>255</v>
      </c>
      <c r="G61" s="1224" t="s">
        <v>255</v>
      </c>
      <c r="H61" s="1222" t="s">
        <v>255</v>
      </c>
      <c r="I61" s="1222" t="s">
        <v>1754</v>
      </c>
      <c r="J61" s="1222" t="s">
        <v>1754</v>
      </c>
      <c r="K61" s="1222" t="s">
        <v>1754</v>
      </c>
      <c r="L61" s="1222"/>
    </row>
    <row r="62" spans="1:12">
      <c r="A62" s="1222">
        <f>SUBTOTAL(103,$C$7:C62)</f>
        <v>56</v>
      </c>
      <c r="B62" s="1222"/>
      <c r="C62" s="1222" t="s">
        <v>477</v>
      </c>
      <c r="D62" s="1253" t="s">
        <v>79</v>
      </c>
      <c r="E62" s="1222" t="s">
        <v>50</v>
      </c>
      <c r="F62" s="1224" t="s">
        <v>255</v>
      </c>
      <c r="G62" s="1224" t="s">
        <v>255</v>
      </c>
      <c r="H62" s="1222" t="s">
        <v>255</v>
      </c>
      <c r="I62" s="1222" t="s">
        <v>1754</v>
      </c>
      <c r="J62" s="1222" t="s">
        <v>1754</v>
      </c>
      <c r="K62" s="1222" t="s">
        <v>1754</v>
      </c>
      <c r="L62" s="1222"/>
    </row>
    <row r="63" spans="1:12">
      <c r="A63" s="1222">
        <f>SUBTOTAL(103,$C$7:C63)</f>
        <v>57</v>
      </c>
      <c r="B63" s="1222"/>
      <c r="C63" s="1222" t="s">
        <v>478</v>
      </c>
      <c r="D63" s="1253" t="s">
        <v>49</v>
      </c>
      <c r="E63" s="1222" t="s">
        <v>50</v>
      </c>
      <c r="F63" s="1224" t="s">
        <v>255</v>
      </c>
      <c r="G63" s="1224" t="s">
        <v>255</v>
      </c>
      <c r="H63" s="1222" t="s">
        <v>255</v>
      </c>
      <c r="I63" s="1222" t="s">
        <v>1754</v>
      </c>
      <c r="J63" s="1222" t="s">
        <v>1754</v>
      </c>
      <c r="K63" s="1222" t="s">
        <v>1754</v>
      </c>
      <c r="L63" s="1222"/>
    </row>
    <row r="64" spans="1:12">
      <c r="A64" s="1222">
        <f>SUBTOTAL(103,$C$7:C64)</f>
        <v>58</v>
      </c>
      <c r="B64" s="1222"/>
      <c r="C64" s="1222" t="s">
        <v>479</v>
      </c>
      <c r="D64" s="1253" t="s">
        <v>79</v>
      </c>
      <c r="E64" s="1222" t="s">
        <v>50</v>
      </c>
      <c r="F64" s="1224" t="s">
        <v>255</v>
      </c>
      <c r="G64" s="1224" t="s">
        <v>255</v>
      </c>
      <c r="H64" s="1222" t="s">
        <v>255</v>
      </c>
      <c r="I64" s="1222" t="s">
        <v>1754</v>
      </c>
      <c r="J64" s="1222" t="s">
        <v>1754</v>
      </c>
      <c r="K64" s="1222" t="s">
        <v>1754</v>
      </c>
      <c r="L64" s="1222"/>
    </row>
    <row r="65" spans="1:12">
      <c r="A65" s="1222">
        <f>SUBTOTAL(103,$C$7:C65)</f>
        <v>59</v>
      </c>
      <c r="B65" s="1222"/>
      <c r="C65" s="1222" t="s">
        <v>480</v>
      </c>
      <c r="D65" s="1253" t="s">
        <v>79</v>
      </c>
      <c r="E65" s="1222" t="s">
        <v>50</v>
      </c>
      <c r="F65" s="1224" t="s">
        <v>255</v>
      </c>
      <c r="G65" s="1224" t="s">
        <v>255</v>
      </c>
      <c r="H65" s="1222" t="s">
        <v>255</v>
      </c>
      <c r="I65" s="1222" t="s">
        <v>1754</v>
      </c>
      <c r="J65" s="1222" t="s">
        <v>1754</v>
      </c>
      <c r="K65" s="1222" t="s">
        <v>1754</v>
      </c>
      <c r="L65" s="1222"/>
    </row>
    <row r="66" spans="1:12">
      <c r="A66" s="1222">
        <f>SUBTOTAL(103,$C$7:C66)</f>
        <v>60</v>
      </c>
      <c r="B66" s="1222"/>
      <c r="C66" s="1222" t="s">
        <v>481</v>
      </c>
      <c r="D66" s="1253" t="s">
        <v>154</v>
      </c>
      <c r="E66" s="1222" t="s">
        <v>50</v>
      </c>
      <c r="F66" s="1224" t="s">
        <v>255</v>
      </c>
      <c r="G66" s="1224" t="s">
        <v>255</v>
      </c>
      <c r="H66" s="1222" t="s">
        <v>255</v>
      </c>
      <c r="I66" s="1222" t="s">
        <v>1754</v>
      </c>
      <c r="J66" s="1222" t="s">
        <v>1754</v>
      </c>
      <c r="K66" s="1222" t="s">
        <v>1754</v>
      </c>
      <c r="L66" s="1222"/>
    </row>
    <row r="67" spans="1:12">
      <c r="A67" s="1222">
        <f>SUBTOTAL(103,$C$7:C67)</f>
        <v>61</v>
      </c>
      <c r="B67" s="1222" t="s">
        <v>541</v>
      </c>
      <c r="C67" s="1222" t="s">
        <v>491</v>
      </c>
      <c r="D67" s="1253" t="s">
        <v>227</v>
      </c>
      <c r="E67" s="1222" t="s">
        <v>50</v>
      </c>
      <c r="F67" s="1224" t="s">
        <v>255</v>
      </c>
      <c r="G67" s="1224" t="s">
        <v>255</v>
      </c>
      <c r="H67" s="1222" t="s">
        <v>255</v>
      </c>
      <c r="I67" s="1222" t="s">
        <v>1754</v>
      </c>
      <c r="J67" s="1222" t="s">
        <v>1754</v>
      </c>
      <c r="K67" s="1222" t="s">
        <v>1754</v>
      </c>
      <c r="L67" s="1222"/>
    </row>
    <row r="68" spans="1:12">
      <c r="A68" s="1222">
        <f>SUBTOTAL(103,$C$7:C68)</f>
        <v>62</v>
      </c>
      <c r="B68" s="1222"/>
      <c r="C68" s="1222" t="s">
        <v>492</v>
      </c>
      <c r="D68" s="1253" t="s">
        <v>170</v>
      </c>
      <c r="E68" s="1222" t="s">
        <v>50</v>
      </c>
      <c r="F68" s="1224" t="s">
        <v>255</v>
      </c>
      <c r="G68" s="1224" t="s">
        <v>255</v>
      </c>
      <c r="H68" s="1222" t="s">
        <v>255</v>
      </c>
      <c r="I68" s="1222" t="s">
        <v>1754</v>
      </c>
      <c r="J68" s="1222" t="s">
        <v>1754</v>
      </c>
      <c r="K68" s="1222" t="s">
        <v>1754</v>
      </c>
      <c r="L68" s="1222"/>
    </row>
    <row r="69" spans="1:12">
      <c r="A69" s="1222">
        <f>SUBTOTAL(103,$C$7:C69)</f>
        <v>63</v>
      </c>
      <c r="B69" s="1222"/>
      <c r="C69" s="1222" t="s">
        <v>493</v>
      </c>
      <c r="D69" s="1253" t="s">
        <v>2</v>
      </c>
      <c r="E69" s="1222" t="s">
        <v>50</v>
      </c>
      <c r="F69" s="1224" t="s">
        <v>255</v>
      </c>
      <c r="G69" s="1224" t="s">
        <v>255</v>
      </c>
      <c r="H69" s="1222" t="s">
        <v>255</v>
      </c>
      <c r="I69" s="1222" t="s">
        <v>1754</v>
      </c>
      <c r="J69" s="1222" t="s">
        <v>1754</v>
      </c>
      <c r="K69" s="1222" t="s">
        <v>1754</v>
      </c>
      <c r="L69" s="1222"/>
    </row>
    <row r="70" spans="1:12">
      <c r="A70" s="1222">
        <f>SUBTOTAL(103,$C$7:C70)</f>
        <v>64</v>
      </c>
      <c r="B70" s="1222"/>
      <c r="C70" s="1222" t="s">
        <v>494</v>
      </c>
      <c r="D70" s="1253" t="s">
        <v>2</v>
      </c>
      <c r="E70" s="1222" t="s">
        <v>50</v>
      </c>
      <c r="F70" s="1224" t="s">
        <v>255</v>
      </c>
      <c r="G70" s="1224" t="s">
        <v>255</v>
      </c>
      <c r="H70" s="1222" t="s">
        <v>255</v>
      </c>
      <c r="I70" s="1222" t="s">
        <v>1754</v>
      </c>
      <c r="J70" s="1222" t="s">
        <v>1754</v>
      </c>
      <c r="K70" s="1222" t="s">
        <v>1754</v>
      </c>
      <c r="L70" s="1222"/>
    </row>
    <row r="71" spans="1:12">
      <c r="A71" s="1222">
        <f>SUBTOTAL(103,$C$7:C71)</f>
        <v>65</v>
      </c>
      <c r="B71" s="1222"/>
      <c r="C71" s="1222" t="s">
        <v>495</v>
      </c>
      <c r="D71" s="1253" t="s">
        <v>2</v>
      </c>
      <c r="E71" s="1222" t="s">
        <v>50</v>
      </c>
      <c r="F71" s="1224" t="s">
        <v>255</v>
      </c>
      <c r="G71" s="1224" t="s">
        <v>255</v>
      </c>
      <c r="H71" s="1222" t="s">
        <v>255</v>
      </c>
      <c r="I71" s="1222" t="s">
        <v>1754</v>
      </c>
      <c r="J71" s="1222" t="s">
        <v>1754</v>
      </c>
      <c r="K71" s="1222" t="s">
        <v>1754</v>
      </c>
      <c r="L71" s="1222"/>
    </row>
    <row r="72" spans="1:12">
      <c r="A72" s="1222">
        <f>SUBTOTAL(103,$C$7:C72)</f>
        <v>66</v>
      </c>
      <c r="B72" s="1222"/>
      <c r="C72" s="1222" t="s">
        <v>496</v>
      </c>
      <c r="D72" s="1253" t="s">
        <v>2</v>
      </c>
      <c r="E72" s="1222" t="s">
        <v>50</v>
      </c>
      <c r="F72" s="1224" t="s">
        <v>255</v>
      </c>
      <c r="G72" s="1224" t="s">
        <v>255</v>
      </c>
      <c r="H72" s="1222" t="s">
        <v>255</v>
      </c>
      <c r="I72" s="1222" t="s">
        <v>1754</v>
      </c>
      <c r="J72" s="1222" t="s">
        <v>1754</v>
      </c>
      <c r="K72" s="1222" t="s">
        <v>1754</v>
      </c>
      <c r="L72" s="1222"/>
    </row>
    <row r="73" spans="1:12">
      <c r="A73" s="1222">
        <f>SUBTOTAL(103,$C$7:C73)</f>
        <v>67</v>
      </c>
      <c r="B73" s="1222" t="s">
        <v>542</v>
      </c>
      <c r="C73" s="1222" t="s">
        <v>262</v>
      </c>
      <c r="D73" s="1253" t="s">
        <v>197</v>
      </c>
      <c r="E73" s="1222" t="s">
        <v>50</v>
      </c>
      <c r="F73" s="1224" t="s">
        <v>255</v>
      </c>
      <c r="G73" s="1224" t="s">
        <v>255</v>
      </c>
      <c r="H73" s="1222" t="s">
        <v>255</v>
      </c>
      <c r="I73" s="1222" t="s">
        <v>1754</v>
      </c>
      <c r="J73" s="1222" t="s">
        <v>1754</v>
      </c>
      <c r="K73" s="1222" t="s">
        <v>1754</v>
      </c>
      <c r="L73" s="1222"/>
    </row>
    <row r="74" spans="1:12">
      <c r="A74" s="1222">
        <f>SUBTOTAL(103,$C$7:C74)</f>
        <v>68</v>
      </c>
      <c r="B74" s="1222"/>
      <c r="C74" s="1222" t="s">
        <v>390</v>
      </c>
      <c r="D74" s="1253" t="s">
        <v>4</v>
      </c>
      <c r="E74" s="1222" t="s">
        <v>50</v>
      </c>
      <c r="F74" s="1224" t="s">
        <v>255</v>
      </c>
      <c r="G74" s="1224" t="s">
        <v>255</v>
      </c>
      <c r="H74" s="1222" t="s">
        <v>255</v>
      </c>
      <c r="I74" s="1222" t="s">
        <v>1754</v>
      </c>
      <c r="J74" s="1222" t="s">
        <v>1754</v>
      </c>
      <c r="K74" s="1222" t="s">
        <v>1754</v>
      </c>
      <c r="L74" s="1222"/>
    </row>
    <row r="75" spans="1:12">
      <c r="A75" s="1222">
        <f>SUBTOTAL(103,$C$7:C75)</f>
        <v>69</v>
      </c>
      <c r="B75" s="1222"/>
      <c r="C75" s="1222" t="s">
        <v>391</v>
      </c>
      <c r="D75" s="1253" t="s">
        <v>79</v>
      </c>
      <c r="E75" s="1222" t="s">
        <v>50</v>
      </c>
      <c r="F75" s="1224" t="s">
        <v>255</v>
      </c>
      <c r="G75" s="1224" t="s">
        <v>255</v>
      </c>
      <c r="H75" s="1222" t="s">
        <v>255</v>
      </c>
      <c r="I75" s="1222" t="s">
        <v>1754</v>
      </c>
      <c r="J75" s="1222" t="s">
        <v>1754</v>
      </c>
      <c r="K75" s="1222" t="s">
        <v>1754</v>
      </c>
      <c r="L75" s="1222"/>
    </row>
    <row r="76" spans="1:12">
      <c r="A76" s="1222">
        <f>SUBTOTAL(103,$C$7:C76)</f>
        <v>70</v>
      </c>
      <c r="B76" s="1222"/>
      <c r="C76" s="1222" t="s">
        <v>392</v>
      </c>
      <c r="D76" s="1253" t="s">
        <v>49</v>
      </c>
      <c r="E76" s="1222" t="s">
        <v>50</v>
      </c>
      <c r="F76" s="1224" t="s">
        <v>255</v>
      </c>
      <c r="G76" s="1224" t="s">
        <v>255</v>
      </c>
      <c r="H76" s="1222" t="s">
        <v>255</v>
      </c>
      <c r="I76" s="1222" t="s">
        <v>1754</v>
      </c>
      <c r="J76" s="1222" t="s">
        <v>1754</v>
      </c>
      <c r="K76" s="1222" t="s">
        <v>1754</v>
      </c>
      <c r="L76" s="1222"/>
    </row>
    <row r="77" spans="1:12">
      <c r="A77" s="1222">
        <f>SUBTOTAL(103,$C$7:C77)</f>
        <v>71</v>
      </c>
      <c r="B77" s="1222"/>
      <c r="C77" s="1222" t="s">
        <v>393</v>
      </c>
      <c r="D77" s="1253" t="s">
        <v>79</v>
      </c>
      <c r="E77" s="1222" t="s">
        <v>50</v>
      </c>
      <c r="F77" s="1224" t="s">
        <v>255</v>
      </c>
      <c r="G77" s="1224" t="s">
        <v>255</v>
      </c>
      <c r="H77" s="1222" t="s">
        <v>255</v>
      </c>
      <c r="I77" s="1222" t="s">
        <v>1754</v>
      </c>
      <c r="J77" s="1222" t="s">
        <v>1754</v>
      </c>
      <c r="K77" s="1222" t="s">
        <v>1754</v>
      </c>
      <c r="L77" s="1222"/>
    </row>
    <row r="78" spans="1:12">
      <c r="A78" s="1222">
        <f>SUBTOTAL(103,$C$7:C78)</f>
        <v>72</v>
      </c>
      <c r="B78" s="1222"/>
      <c r="C78" s="1222" t="s">
        <v>394</v>
      </c>
      <c r="D78" s="1253" t="s">
        <v>49</v>
      </c>
      <c r="E78" s="1222" t="s">
        <v>50</v>
      </c>
      <c r="F78" s="1224" t="s">
        <v>255</v>
      </c>
      <c r="G78" s="1224" t="s">
        <v>255</v>
      </c>
      <c r="H78" s="1222" t="s">
        <v>255</v>
      </c>
      <c r="I78" s="1222" t="s">
        <v>1754</v>
      </c>
      <c r="J78" s="1222" t="s">
        <v>1754</v>
      </c>
      <c r="K78" s="1222" t="s">
        <v>1754</v>
      </c>
      <c r="L78" s="1222"/>
    </row>
    <row r="79" spans="1:12">
      <c r="A79" s="1222">
        <f>SUBTOTAL(103,$C$7:C79)</f>
        <v>73</v>
      </c>
      <c r="B79" s="1222"/>
      <c r="C79" s="1222" t="s">
        <v>395</v>
      </c>
      <c r="D79" s="1253" t="s">
        <v>2</v>
      </c>
      <c r="E79" s="1222" t="s">
        <v>50</v>
      </c>
      <c r="F79" s="1224" t="s">
        <v>255</v>
      </c>
      <c r="G79" s="1224" t="s">
        <v>255</v>
      </c>
      <c r="H79" s="1222" t="s">
        <v>255</v>
      </c>
      <c r="I79" s="1222" t="s">
        <v>1754</v>
      </c>
      <c r="J79" s="1222" t="s">
        <v>1754</v>
      </c>
      <c r="K79" s="1222" t="s">
        <v>1754</v>
      </c>
      <c r="L79" s="1222"/>
    </row>
    <row r="80" spans="1:12">
      <c r="A80" s="1222">
        <f>SUBTOTAL(103,$C$7:C80)</f>
        <v>74</v>
      </c>
      <c r="B80" s="1222"/>
      <c r="C80" s="1222" t="s">
        <v>396</v>
      </c>
      <c r="D80" s="1253" t="s">
        <v>2</v>
      </c>
      <c r="E80" s="1222" t="s">
        <v>50</v>
      </c>
      <c r="F80" s="1224" t="s">
        <v>255</v>
      </c>
      <c r="G80" s="1224" t="s">
        <v>255</v>
      </c>
      <c r="H80" s="1222" t="s">
        <v>255</v>
      </c>
      <c r="I80" s="1222" t="s">
        <v>1754</v>
      </c>
      <c r="J80" s="1222" t="s">
        <v>1754</v>
      </c>
      <c r="K80" s="1222" t="s">
        <v>1754</v>
      </c>
      <c r="L80" s="1222"/>
    </row>
    <row r="81" spans="1:12">
      <c r="A81" s="1222">
        <f>SUBTOTAL(103,$C$7:C81)</f>
        <v>75</v>
      </c>
      <c r="B81" s="1222"/>
      <c r="C81" s="1222" t="s">
        <v>397</v>
      </c>
      <c r="D81" s="1253" t="s">
        <v>49</v>
      </c>
      <c r="E81" s="1222" t="s">
        <v>50</v>
      </c>
      <c r="F81" s="1224" t="s">
        <v>255</v>
      </c>
      <c r="G81" s="1224" t="s">
        <v>255</v>
      </c>
      <c r="H81" s="1222" t="s">
        <v>255</v>
      </c>
      <c r="I81" s="1222" t="s">
        <v>1754</v>
      </c>
      <c r="J81" s="1222" t="s">
        <v>1754</v>
      </c>
      <c r="K81" s="1222" t="s">
        <v>1754</v>
      </c>
      <c r="L81" s="1222"/>
    </row>
    <row r="82" spans="1:12">
      <c r="A82" s="1222">
        <f>SUBTOTAL(103,$C$7:C82)</f>
        <v>76</v>
      </c>
      <c r="B82" s="1222"/>
      <c r="C82" s="1222" t="s">
        <v>398</v>
      </c>
      <c r="D82" s="1253" t="s">
        <v>2</v>
      </c>
      <c r="E82" s="1222" t="s">
        <v>50</v>
      </c>
      <c r="F82" s="1224" t="s">
        <v>255</v>
      </c>
      <c r="G82" s="1224" t="s">
        <v>255</v>
      </c>
      <c r="H82" s="1222" t="s">
        <v>255</v>
      </c>
      <c r="I82" s="1222" t="s">
        <v>1754</v>
      </c>
      <c r="J82" s="1222" t="s">
        <v>1754</v>
      </c>
      <c r="K82" s="1222" t="s">
        <v>1754</v>
      </c>
      <c r="L82" s="1222"/>
    </row>
    <row r="83" spans="1:12">
      <c r="A83" s="1222">
        <f>SUBTOTAL(103,$C$7:C83)</f>
        <v>77</v>
      </c>
      <c r="B83" s="1222"/>
      <c r="C83" s="1222" t="s">
        <v>399</v>
      </c>
      <c r="D83" s="1253" t="s">
        <v>3</v>
      </c>
      <c r="E83" s="1222" t="s">
        <v>50</v>
      </c>
      <c r="F83" s="1224" t="s">
        <v>255</v>
      </c>
      <c r="G83" s="1224" t="s">
        <v>255</v>
      </c>
      <c r="H83" s="1222" t="s">
        <v>255</v>
      </c>
      <c r="I83" s="1222" t="s">
        <v>1754</v>
      </c>
      <c r="J83" s="1222" t="s">
        <v>1754</v>
      </c>
      <c r="K83" s="1222" t="s">
        <v>1754</v>
      </c>
      <c r="L83" s="1222"/>
    </row>
    <row r="84" spans="1:12">
      <c r="A84" s="1222">
        <f>SUBTOTAL(103,$C$7:C84)</f>
        <v>78</v>
      </c>
      <c r="B84" s="1222"/>
      <c r="C84" s="1222" t="s">
        <v>400</v>
      </c>
      <c r="D84" s="1253" t="s">
        <v>49</v>
      </c>
      <c r="E84" s="1222" t="s">
        <v>50</v>
      </c>
      <c r="F84" s="1224" t="s">
        <v>255</v>
      </c>
      <c r="G84" s="1224" t="s">
        <v>255</v>
      </c>
      <c r="H84" s="1222" t="s">
        <v>255</v>
      </c>
      <c r="I84" s="1222" t="s">
        <v>1754</v>
      </c>
      <c r="J84" s="1222" t="s">
        <v>1754</v>
      </c>
      <c r="K84" s="1222" t="s">
        <v>1754</v>
      </c>
      <c r="L84" s="1222"/>
    </row>
    <row r="85" spans="1:12">
      <c r="A85" s="1222">
        <f>SUBTOTAL(103,$C$7:C85)</f>
        <v>79</v>
      </c>
      <c r="B85" s="1222" t="s">
        <v>543</v>
      </c>
      <c r="C85" s="1222" t="s">
        <v>482</v>
      </c>
      <c r="D85" s="1253" t="s">
        <v>401</v>
      </c>
      <c r="E85" s="1222" t="s">
        <v>50</v>
      </c>
      <c r="F85" s="1224" t="s">
        <v>255</v>
      </c>
      <c r="G85" s="1224" t="s">
        <v>255</v>
      </c>
      <c r="H85" s="1222" t="s">
        <v>255</v>
      </c>
      <c r="I85" s="1222" t="s">
        <v>1754</v>
      </c>
      <c r="J85" s="1222" t="s">
        <v>1754</v>
      </c>
      <c r="K85" s="1222" t="s">
        <v>1754</v>
      </c>
      <c r="L85" s="1222"/>
    </row>
    <row r="86" spans="1:12">
      <c r="A86" s="1222">
        <f>SUBTOTAL(103,$C$7:C86)</f>
        <v>80</v>
      </c>
      <c r="B86" s="1222" t="s">
        <v>544</v>
      </c>
      <c r="C86" s="1222" t="s">
        <v>263</v>
      </c>
      <c r="D86" s="1253" t="s">
        <v>401</v>
      </c>
      <c r="E86" s="1222" t="s">
        <v>50</v>
      </c>
      <c r="F86" s="1224" t="s">
        <v>255</v>
      </c>
      <c r="G86" s="1224" t="s">
        <v>255</v>
      </c>
      <c r="H86" s="1222" t="s">
        <v>255</v>
      </c>
      <c r="I86" s="1222" t="s">
        <v>1754</v>
      </c>
      <c r="J86" s="1222" t="s">
        <v>1754</v>
      </c>
      <c r="K86" s="1222" t="s">
        <v>1754</v>
      </c>
      <c r="L86" s="1222"/>
    </row>
    <row r="87" spans="1:12">
      <c r="A87" s="1222">
        <f>SUBTOTAL(103,$C$7:C87)</f>
        <v>81</v>
      </c>
      <c r="B87" s="1222"/>
      <c r="C87" s="1222" t="s">
        <v>402</v>
      </c>
      <c r="D87" s="1253" t="s">
        <v>2</v>
      </c>
      <c r="E87" s="1222" t="s">
        <v>50</v>
      </c>
      <c r="F87" s="1224" t="s">
        <v>255</v>
      </c>
      <c r="G87" s="1224" t="s">
        <v>255</v>
      </c>
      <c r="H87" s="1222" t="s">
        <v>255</v>
      </c>
      <c r="I87" s="1222" t="s">
        <v>1754</v>
      </c>
      <c r="J87" s="1222" t="s">
        <v>1754</v>
      </c>
      <c r="K87" s="1222" t="s">
        <v>1754</v>
      </c>
      <c r="L87" s="1222"/>
    </row>
    <row r="88" spans="1:12">
      <c r="A88" s="1222">
        <f>SUBTOTAL(103,$C$7:C88)</f>
        <v>82</v>
      </c>
      <c r="B88" s="1222"/>
      <c r="C88" s="1222" t="s">
        <v>404</v>
      </c>
      <c r="D88" s="1253" t="s">
        <v>2</v>
      </c>
      <c r="E88" s="1222" t="s">
        <v>50</v>
      </c>
      <c r="F88" s="1224" t="s">
        <v>255</v>
      </c>
      <c r="G88" s="1224" t="s">
        <v>255</v>
      </c>
      <c r="H88" s="1222" t="s">
        <v>255</v>
      </c>
      <c r="I88" s="1222" t="s">
        <v>1754</v>
      </c>
      <c r="J88" s="1222" t="s">
        <v>1754</v>
      </c>
      <c r="K88" s="1222" t="s">
        <v>1754</v>
      </c>
      <c r="L88" s="1222"/>
    </row>
    <row r="89" spans="1:12">
      <c r="A89" s="1222">
        <f>SUBTOTAL(103,$C$7:C89)</f>
        <v>83</v>
      </c>
      <c r="B89" s="1222"/>
      <c r="C89" s="1222" t="s">
        <v>405</v>
      </c>
      <c r="D89" s="1253" t="s">
        <v>3</v>
      </c>
      <c r="E89" s="1222" t="s">
        <v>50</v>
      </c>
      <c r="F89" s="1224" t="s">
        <v>255</v>
      </c>
      <c r="G89" s="1224" t="s">
        <v>255</v>
      </c>
      <c r="H89" s="1222" t="s">
        <v>255</v>
      </c>
      <c r="I89" s="1222" t="s">
        <v>1754</v>
      </c>
      <c r="J89" s="1222" t="s">
        <v>1754</v>
      </c>
      <c r="K89" s="1222" t="s">
        <v>1754</v>
      </c>
      <c r="L89" s="1222"/>
    </row>
    <row r="90" spans="1:12">
      <c r="A90" s="1222">
        <f>SUBTOTAL(103,$C$7:C90)</f>
        <v>84</v>
      </c>
      <c r="B90" s="1222"/>
      <c r="C90" s="1222" t="s">
        <v>368</v>
      </c>
      <c r="D90" s="1253" t="s">
        <v>79</v>
      </c>
      <c r="E90" s="1222" t="s">
        <v>50</v>
      </c>
      <c r="F90" s="1224" t="s">
        <v>255</v>
      </c>
      <c r="G90" s="1224" t="s">
        <v>255</v>
      </c>
      <c r="H90" s="1222" t="s">
        <v>255</v>
      </c>
      <c r="I90" s="1222" t="s">
        <v>1754</v>
      </c>
      <c r="J90" s="1222" t="s">
        <v>1754</v>
      </c>
      <c r="K90" s="1222" t="s">
        <v>1754</v>
      </c>
      <c r="L90" s="1222"/>
    </row>
    <row r="91" spans="1:12">
      <c r="A91" s="1222">
        <f>SUBTOTAL(103,$C$7:C91)</f>
        <v>85</v>
      </c>
      <c r="B91" s="1222"/>
      <c r="C91" s="1222" t="s">
        <v>369</v>
      </c>
      <c r="D91" s="1253" t="s">
        <v>2</v>
      </c>
      <c r="E91" s="1222" t="s">
        <v>50</v>
      </c>
      <c r="F91" s="1224" t="s">
        <v>255</v>
      </c>
      <c r="G91" s="1224" t="s">
        <v>255</v>
      </c>
      <c r="H91" s="1222" t="s">
        <v>255</v>
      </c>
      <c r="I91" s="1222" t="s">
        <v>1754</v>
      </c>
      <c r="J91" s="1222" t="s">
        <v>1754</v>
      </c>
      <c r="K91" s="1222" t="s">
        <v>1754</v>
      </c>
      <c r="L91" s="1222"/>
    </row>
    <row r="92" spans="1:12">
      <c r="A92" s="1222">
        <f>SUBTOTAL(103,$C$7:C92)</f>
        <v>86</v>
      </c>
      <c r="B92" s="1222"/>
      <c r="C92" s="1222" t="s">
        <v>370</v>
      </c>
      <c r="D92" s="1253" t="s">
        <v>2</v>
      </c>
      <c r="E92" s="1222" t="s">
        <v>50</v>
      </c>
      <c r="F92" s="1224" t="s">
        <v>255</v>
      </c>
      <c r="G92" s="1224" t="s">
        <v>255</v>
      </c>
      <c r="H92" s="1222" t="s">
        <v>255</v>
      </c>
      <c r="I92" s="1222" t="s">
        <v>1754</v>
      </c>
      <c r="J92" s="1222" t="s">
        <v>1754</v>
      </c>
      <c r="K92" s="1222" t="s">
        <v>1754</v>
      </c>
      <c r="L92" s="1222"/>
    </row>
    <row r="93" spans="1:12">
      <c r="A93" s="1222">
        <f>SUBTOTAL(103,$C$7:C93)</f>
        <v>87</v>
      </c>
      <c r="B93" s="1222"/>
      <c r="C93" s="1222" t="s">
        <v>406</v>
      </c>
      <c r="D93" s="1253" t="s">
        <v>49</v>
      </c>
      <c r="E93" s="1222" t="s">
        <v>50</v>
      </c>
      <c r="F93" s="1224" t="s">
        <v>255</v>
      </c>
      <c r="G93" s="1224" t="s">
        <v>255</v>
      </c>
      <c r="H93" s="1222" t="s">
        <v>255</v>
      </c>
      <c r="I93" s="1222" t="s">
        <v>1754</v>
      </c>
      <c r="J93" s="1222" t="s">
        <v>1754</v>
      </c>
      <c r="K93" s="1222" t="s">
        <v>1754</v>
      </c>
      <c r="L93" s="1222"/>
    </row>
    <row r="94" spans="1:12">
      <c r="A94" s="1222">
        <f>SUBTOTAL(103,$C$7:C94)</f>
        <v>88</v>
      </c>
      <c r="B94" s="1222"/>
      <c r="C94" s="1222" t="s">
        <v>407</v>
      </c>
      <c r="D94" s="1253" t="s">
        <v>3</v>
      </c>
      <c r="E94" s="1222" t="s">
        <v>50</v>
      </c>
      <c r="F94" s="1224" t="s">
        <v>255</v>
      </c>
      <c r="G94" s="1224" t="s">
        <v>255</v>
      </c>
      <c r="H94" s="1222" t="s">
        <v>255</v>
      </c>
      <c r="I94" s="1222" t="s">
        <v>1754</v>
      </c>
      <c r="J94" s="1222" t="s">
        <v>1754</v>
      </c>
      <c r="K94" s="1222" t="s">
        <v>1754</v>
      </c>
      <c r="L94" s="1222"/>
    </row>
    <row r="95" spans="1:12">
      <c r="A95" s="1222">
        <f>SUBTOTAL(103,$C$7:C95)</f>
        <v>89</v>
      </c>
      <c r="B95" s="1222"/>
      <c r="C95" s="1222" t="s">
        <v>408</v>
      </c>
      <c r="D95" s="1253" t="s">
        <v>3</v>
      </c>
      <c r="E95" s="1222" t="s">
        <v>50</v>
      </c>
      <c r="F95" s="1224" t="s">
        <v>255</v>
      </c>
      <c r="G95" s="1224" t="s">
        <v>255</v>
      </c>
      <c r="H95" s="1222" t="s">
        <v>255</v>
      </c>
      <c r="I95" s="1222" t="s">
        <v>1754</v>
      </c>
      <c r="J95" s="1222" t="s">
        <v>1754</v>
      </c>
      <c r="K95" s="1222" t="s">
        <v>1754</v>
      </c>
      <c r="L95" s="1222"/>
    </row>
    <row r="96" spans="1:12">
      <c r="A96" s="1222">
        <f>SUBTOTAL(103,$C$7:C96)</f>
        <v>90</v>
      </c>
      <c r="B96" s="1222"/>
      <c r="C96" s="1222" t="s">
        <v>409</v>
      </c>
      <c r="D96" s="1253" t="s">
        <v>2</v>
      </c>
      <c r="E96" s="1222" t="s">
        <v>50</v>
      </c>
      <c r="F96" s="1224" t="s">
        <v>255</v>
      </c>
      <c r="G96" s="1224" t="s">
        <v>255</v>
      </c>
      <c r="H96" s="1222" t="s">
        <v>255</v>
      </c>
      <c r="I96" s="1222" t="s">
        <v>1754</v>
      </c>
      <c r="J96" s="1222" t="s">
        <v>1754</v>
      </c>
      <c r="K96" s="1222" t="s">
        <v>1754</v>
      </c>
      <c r="L96" s="1222"/>
    </row>
    <row r="97" spans="1:12">
      <c r="A97" s="1222">
        <f>SUBTOTAL(103,$C$7:C97)</f>
        <v>91</v>
      </c>
      <c r="B97" s="1222"/>
      <c r="C97" s="1222" t="s">
        <v>410</v>
      </c>
      <c r="D97" s="1253" t="s">
        <v>2</v>
      </c>
      <c r="E97" s="1222" t="s">
        <v>50</v>
      </c>
      <c r="F97" s="1224" t="s">
        <v>255</v>
      </c>
      <c r="G97" s="1224" t="s">
        <v>255</v>
      </c>
      <c r="H97" s="1222" t="s">
        <v>255</v>
      </c>
      <c r="I97" s="1222" t="s">
        <v>1754</v>
      </c>
      <c r="J97" s="1222" t="s">
        <v>1754</v>
      </c>
      <c r="K97" s="1222" t="s">
        <v>1754</v>
      </c>
      <c r="L97" s="1222"/>
    </row>
    <row r="98" spans="1:12">
      <c r="A98" s="1222">
        <f>SUBTOTAL(103,$C$7:C98)</f>
        <v>92</v>
      </c>
      <c r="B98" s="1222" t="s">
        <v>545</v>
      </c>
      <c r="C98" s="1222" t="s">
        <v>264</v>
      </c>
      <c r="D98" s="1253" t="s">
        <v>227</v>
      </c>
      <c r="E98" s="1222" t="s">
        <v>50</v>
      </c>
      <c r="F98" s="1224" t="s">
        <v>255</v>
      </c>
      <c r="G98" s="1224" t="s">
        <v>255</v>
      </c>
      <c r="H98" s="1222" t="s">
        <v>255</v>
      </c>
      <c r="I98" s="1222" t="s">
        <v>1754</v>
      </c>
      <c r="J98" s="1222" t="s">
        <v>1754</v>
      </c>
      <c r="K98" s="1222" t="s">
        <v>1754</v>
      </c>
      <c r="L98" s="1222"/>
    </row>
    <row r="99" spans="1:12">
      <c r="A99" s="1222">
        <f>SUBTOTAL(103,$C$7:C99)</f>
        <v>93</v>
      </c>
      <c r="B99" s="1222"/>
      <c r="C99" s="1222" t="s">
        <v>411</v>
      </c>
      <c r="D99" s="1253" t="s">
        <v>2</v>
      </c>
      <c r="E99" s="1222" t="s">
        <v>50</v>
      </c>
      <c r="F99" s="1224" t="s">
        <v>255</v>
      </c>
      <c r="G99" s="1224" t="s">
        <v>255</v>
      </c>
      <c r="H99" s="1222" t="s">
        <v>255</v>
      </c>
      <c r="I99" s="1222" t="s">
        <v>1754</v>
      </c>
      <c r="J99" s="1222" t="s">
        <v>1754</v>
      </c>
      <c r="K99" s="1222" t="s">
        <v>1754</v>
      </c>
      <c r="L99" s="1222"/>
    </row>
    <row r="100" spans="1:12">
      <c r="A100" s="1222">
        <f>SUBTOTAL(103,$C$7:C100)</f>
        <v>94</v>
      </c>
      <c r="B100" s="1222"/>
      <c r="C100" s="1222" t="s">
        <v>412</v>
      </c>
      <c r="D100" s="1253" t="s">
        <v>2</v>
      </c>
      <c r="E100" s="1222" t="s">
        <v>50</v>
      </c>
      <c r="F100" s="1224" t="s">
        <v>255</v>
      </c>
      <c r="G100" s="1224" t="s">
        <v>255</v>
      </c>
      <c r="H100" s="1222" t="s">
        <v>255</v>
      </c>
      <c r="I100" s="1222" t="s">
        <v>1754</v>
      </c>
      <c r="J100" s="1222" t="s">
        <v>1754</v>
      </c>
      <c r="K100" s="1222" t="s">
        <v>1754</v>
      </c>
      <c r="L100" s="1222"/>
    </row>
    <row r="101" spans="1:12">
      <c r="A101" s="1222">
        <f>SUBTOTAL(103,$C$7:C101)</f>
        <v>95</v>
      </c>
      <c r="B101" s="1222" t="s">
        <v>546</v>
      </c>
      <c r="C101" s="1222" t="s">
        <v>265</v>
      </c>
      <c r="D101" s="1253" t="s">
        <v>178</v>
      </c>
      <c r="E101" s="1222" t="s">
        <v>50</v>
      </c>
      <c r="F101" s="1224" t="s">
        <v>255</v>
      </c>
      <c r="G101" s="1224" t="s">
        <v>255</v>
      </c>
      <c r="H101" s="1222" t="s">
        <v>255</v>
      </c>
      <c r="I101" s="1222" t="s">
        <v>1754</v>
      </c>
      <c r="J101" s="1222" t="s">
        <v>1754</v>
      </c>
      <c r="K101" s="1222" t="s">
        <v>1754</v>
      </c>
      <c r="L101" s="1222"/>
    </row>
    <row r="102" spans="1:12">
      <c r="A102" s="1222">
        <f>SUBTOTAL(103,$C$7:C102)</f>
        <v>96</v>
      </c>
      <c r="B102" s="1222" t="s">
        <v>547</v>
      </c>
      <c r="C102" s="1222" t="s">
        <v>266</v>
      </c>
      <c r="D102" s="1253" t="s">
        <v>211</v>
      </c>
      <c r="E102" s="1222" t="s">
        <v>50</v>
      </c>
      <c r="F102" s="1224" t="s">
        <v>255</v>
      </c>
      <c r="G102" s="1224" t="s">
        <v>255</v>
      </c>
      <c r="H102" s="1222" t="s">
        <v>255</v>
      </c>
      <c r="I102" s="1222" t="s">
        <v>1754</v>
      </c>
      <c r="J102" s="1222" t="s">
        <v>1754</v>
      </c>
      <c r="K102" s="1222" t="s">
        <v>1754</v>
      </c>
      <c r="L102" s="1222"/>
    </row>
    <row r="103" spans="1:12">
      <c r="A103" s="1222">
        <f>SUBTOTAL(103,$C$7:C103)</f>
        <v>97</v>
      </c>
      <c r="B103" s="1222" t="s">
        <v>548</v>
      </c>
      <c r="C103" s="1222" t="s">
        <v>267</v>
      </c>
      <c r="D103" s="1253" t="s">
        <v>209</v>
      </c>
      <c r="E103" s="1222" t="s">
        <v>50</v>
      </c>
      <c r="F103" s="1224" t="s">
        <v>255</v>
      </c>
      <c r="G103" s="1224" t="s">
        <v>255</v>
      </c>
      <c r="H103" s="1222" t="s">
        <v>255</v>
      </c>
      <c r="I103" s="1222"/>
      <c r="J103" s="1222" t="s">
        <v>1754</v>
      </c>
      <c r="K103" s="1222" t="s">
        <v>1754</v>
      </c>
      <c r="L103" s="1222"/>
    </row>
    <row r="104" spans="1:12">
      <c r="A104" s="1222">
        <f>SUBTOTAL(103,$C$7:C104)</f>
        <v>98</v>
      </c>
      <c r="B104" s="1222" t="s">
        <v>654</v>
      </c>
      <c r="C104" s="1222" t="s">
        <v>483</v>
      </c>
      <c r="D104" s="1253" t="s">
        <v>211</v>
      </c>
      <c r="E104" s="1222" t="s">
        <v>50</v>
      </c>
      <c r="F104" s="1224" t="s">
        <v>255</v>
      </c>
      <c r="G104" s="1224" t="s">
        <v>255</v>
      </c>
      <c r="H104" s="1222" t="s">
        <v>255</v>
      </c>
      <c r="I104" s="1222" t="s">
        <v>1754</v>
      </c>
      <c r="J104" s="1222" t="s">
        <v>1754</v>
      </c>
      <c r="K104" s="1222" t="s">
        <v>1754</v>
      </c>
      <c r="L104" s="1222"/>
    </row>
    <row r="105" spans="1:12">
      <c r="A105" s="1222">
        <f>SUBTOTAL(103,$C$7:C105)</f>
        <v>99</v>
      </c>
      <c r="B105" s="1222" t="s">
        <v>549</v>
      </c>
      <c r="C105" s="1222" t="s">
        <v>11</v>
      </c>
      <c r="D105" s="1253" t="s">
        <v>186</v>
      </c>
      <c r="E105" s="1222" t="s">
        <v>50</v>
      </c>
      <c r="F105" s="1224" t="s">
        <v>255</v>
      </c>
      <c r="G105" s="1224" t="s">
        <v>255</v>
      </c>
      <c r="H105" s="1222" t="s">
        <v>255</v>
      </c>
      <c r="I105" s="1222" t="s">
        <v>1754</v>
      </c>
      <c r="J105" s="1222" t="s">
        <v>1754</v>
      </c>
      <c r="K105" s="1222" t="s">
        <v>1754</v>
      </c>
      <c r="L105" s="1222"/>
    </row>
    <row r="106" spans="1:12">
      <c r="A106" s="1222">
        <f>SUBTOTAL(103,$C$7:C106)</f>
        <v>100</v>
      </c>
      <c r="B106" s="1222" t="s">
        <v>550</v>
      </c>
      <c r="C106" s="1222" t="s">
        <v>167</v>
      </c>
      <c r="D106" s="1253" t="s">
        <v>218</v>
      </c>
      <c r="E106" s="1222" t="s">
        <v>50</v>
      </c>
      <c r="F106" s="1224" t="s">
        <v>255</v>
      </c>
      <c r="G106" s="1224" t="s">
        <v>255</v>
      </c>
      <c r="H106" s="1222" t="s">
        <v>255</v>
      </c>
      <c r="I106" s="1222" t="s">
        <v>1754</v>
      </c>
      <c r="J106" s="1222" t="s">
        <v>1754</v>
      </c>
      <c r="K106" s="1222" t="s">
        <v>311</v>
      </c>
      <c r="L106" s="1222"/>
    </row>
    <row r="107" spans="1:12">
      <c r="A107" s="1222">
        <f>SUBTOTAL(103,$C$7:C107)</f>
        <v>101</v>
      </c>
      <c r="B107" s="1222"/>
      <c r="C107" s="1222" t="s">
        <v>308</v>
      </c>
      <c r="D107" s="1253" t="s">
        <v>79</v>
      </c>
      <c r="E107" s="1222" t="s">
        <v>50</v>
      </c>
      <c r="F107" s="1224" t="s">
        <v>255</v>
      </c>
      <c r="G107" s="1224" t="s">
        <v>255</v>
      </c>
      <c r="H107" s="1222" t="s">
        <v>255</v>
      </c>
      <c r="I107" s="1222" t="s">
        <v>1754</v>
      </c>
      <c r="J107" s="1222" t="s">
        <v>1754</v>
      </c>
      <c r="K107" s="1222" t="s">
        <v>311</v>
      </c>
      <c r="L107" s="1222"/>
    </row>
    <row r="108" spans="1:12">
      <c r="A108" s="1222">
        <f>SUBTOTAL(103,$C$7:C108)</f>
        <v>102</v>
      </c>
      <c r="B108" s="1222"/>
      <c r="C108" s="1222" t="s">
        <v>413</v>
      </c>
      <c r="D108" s="1253" t="s">
        <v>2</v>
      </c>
      <c r="E108" s="1222" t="s">
        <v>50</v>
      </c>
      <c r="F108" s="1224" t="s">
        <v>255</v>
      </c>
      <c r="G108" s="1224" t="s">
        <v>255</v>
      </c>
      <c r="H108" s="1222" t="s">
        <v>255</v>
      </c>
      <c r="I108" s="1222" t="s">
        <v>1754</v>
      </c>
      <c r="J108" s="1227" t="s">
        <v>1754</v>
      </c>
      <c r="K108" s="1222"/>
      <c r="L108" s="1222"/>
    </row>
    <row r="109" spans="1:12">
      <c r="A109" s="1222">
        <f>SUBTOTAL(103,$C$7:C109)</f>
        <v>103</v>
      </c>
      <c r="B109" s="1222"/>
      <c r="C109" s="1222" t="s">
        <v>414</v>
      </c>
      <c r="D109" s="1253" t="s">
        <v>2</v>
      </c>
      <c r="E109" s="1222" t="s">
        <v>50</v>
      </c>
      <c r="F109" s="1224" t="s">
        <v>255</v>
      </c>
      <c r="G109" s="1224" t="s">
        <v>255</v>
      </c>
      <c r="H109" s="1222" t="s">
        <v>255</v>
      </c>
      <c r="I109" s="1222" t="s">
        <v>1754</v>
      </c>
      <c r="J109" s="1222" t="s">
        <v>1754</v>
      </c>
      <c r="K109" s="1222" t="s">
        <v>311</v>
      </c>
      <c r="L109" s="1222"/>
    </row>
    <row r="110" spans="1:12">
      <c r="A110" s="1222">
        <f>SUBTOTAL(103,$C$7:C110)</f>
        <v>104</v>
      </c>
      <c r="B110" s="1222"/>
      <c r="C110" s="1222" t="s">
        <v>415</v>
      </c>
      <c r="D110" s="1253" t="s">
        <v>79</v>
      </c>
      <c r="E110" s="1222" t="s">
        <v>50</v>
      </c>
      <c r="F110" s="1224" t="s">
        <v>255</v>
      </c>
      <c r="G110" s="1224" t="s">
        <v>255</v>
      </c>
      <c r="H110" s="1222" t="s">
        <v>255</v>
      </c>
      <c r="I110" s="1222" t="s">
        <v>1754</v>
      </c>
      <c r="J110" s="1222" t="s">
        <v>1754</v>
      </c>
      <c r="K110" s="1222" t="s">
        <v>311</v>
      </c>
      <c r="L110" s="1222"/>
    </row>
    <row r="111" spans="1:12">
      <c r="A111" s="1222">
        <f>SUBTOTAL(103,$C$7:C111)</f>
        <v>105</v>
      </c>
      <c r="B111" s="1222"/>
      <c r="C111" s="1222" t="s">
        <v>416</v>
      </c>
      <c r="D111" s="1253" t="s">
        <v>2</v>
      </c>
      <c r="E111" s="1222" t="s">
        <v>50</v>
      </c>
      <c r="F111" s="1224" t="s">
        <v>255</v>
      </c>
      <c r="G111" s="1224" t="s">
        <v>255</v>
      </c>
      <c r="H111" s="1222" t="s">
        <v>255</v>
      </c>
      <c r="I111" s="1222" t="s">
        <v>1754</v>
      </c>
      <c r="J111" s="1222" t="s">
        <v>1754</v>
      </c>
      <c r="K111" s="1222" t="s">
        <v>311</v>
      </c>
      <c r="L111" s="1222"/>
    </row>
    <row r="112" spans="1:12">
      <c r="A112" s="1222">
        <f>SUBTOTAL(103,$C$7:C112)</f>
        <v>106</v>
      </c>
      <c r="B112" s="1222"/>
      <c r="C112" s="1222" t="s">
        <v>417</v>
      </c>
      <c r="D112" s="1253" t="s">
        <v>49</v>
      </c>
      <c r="E112" s="1222" t="s">
        <v>50</v>
      </c>
      <c r="F112" s="1224" t="s">
        <v>255</v>
      </c>
      <c r="G112" s="1224" t="s">
        <v>255</v>
      </c>
      <c r="H112" s="1222" t="s">
        <v>255</v>
      </c>
      <c r="I112" s="1222" t="s">
        <v>1754</v>
      </c>
      <c r="J112" s="1222" t="s">
        <v>1754</v>
      </c>
      <c r="K112" s="1222" t="s">
        <v>311</v>
      </c>
      <c r="L112" s="1222"/>
    </row>
    <row r="113" spans="1:12">
      <c r="A113" s="1222">
        <f>SUBTOTAL(103,$C$7:C113)</f>
        <v>107</v>
      </c>
      <c r="B113" s="1222"/>
      <c r="C113" s="1222" t="s">
        <v>418</v>
      </c>
      <c r="D113" s="1253" t="s">
        <v>3</v>
      </c>
      <c r="E113" s="1222" t="s">
        <v>50</v>
      </c>
      <c r="F113" s="1224" t="s">
        <v>255</v>
      </c>
      <c r="G113" s="1224" t="s">
        <v>255</v>
      </c>
      <c r="H113" s="1222" t="s">
        <v>255</v>
      </c>
      <c r="I113" s="1222" t="s">
        <v>1754</v>
      </c>
      <c r="J113" s="1222" t="s">
        <v>1754</v>
      </c>
      <c r="K113" s="1222" t="s">
        <v>311</v>
      </c>
      <c r="L113" s="1222"/>
    </row>
    <row r="114" spans="1:12">
      <c r="A114" s="1222">
        <f>SUBTOTAL(103,$C$7:C114)</f>
        <v>108</v>
      </c>
      <c r="B114" s="1222"/>
      <c r="C114" s="1222" t="s">
        <v>419</v>
      </c>
      <c r="D114" s="1253" t="s">
        <v>170</v>
      </c>
      <c r="E114" s="1222" t="s">
        <v>50</v>
      </c>
      <c r="F114" s="1224" t="s">
        <v>255</v>
      </c>
      <c r="G114" s="1224" t="s">
        <v>255</v>
      </c>
      <c r="H114" s="1222" t="s">
        <v>255</v>
      </c>
      <c r="I114" s="1222" t="s">
        <v>1754</v>
      </c>
      <c r="J114" s="1222" t="s">
        <v>1754</v>
      </c>
      <c r="K114" s="1222" t="s">
        <v>311</v>
      </c>
      <c r="L114" s="1222"/>
    </row>
    <row r="115" spans="1:12">
      <c r="A115" s="1222">
        <f>SUBTOTAL(103,$C$7:C115)</f>
        <v>109</v>
      </c>
      <c r="B115" s="1222"/>
      <c r="C115" s="1222" t="s">
        <v>420</v>
      </c>
      <c r="D115" s="1253" t="s">
        <v>3</v>
      </c>
      <c r="E115" s="1222" t="s">
        <v>50</v>
      </c>
      <c r="F115" s="1224" t="s">
        <v>255</v>
      </c>
      <c r="G115" s="1224" t="s">
        <v>255</v>
      </c>
      <c r="H115" s="1222" t="s">
        <v>255</v>
      </c>
      <c r="I115" s="1222" t="s">
        <v>1754</v>
      </c>
      <c r="J115" s="1222" t="s">
        <v>1754</v>
      </c>
      <c r="K115" s="1222" t="s">
        <v>311</v>
      </c>
      <c r="L115" s="1222"/>
    </row>
    <row r="116" spans="1:12">
      <c r="A116" s="1222">
        <f>SUBTOTAL(103,$C$7:C116)</f>
        <v>110</v>
      </c>
      <c r="B116" s="1222"/>
      <c r="C116" s="1222" t="s">
        <v>421</v>
      </c>
      <c r="D116" s="1253" t="s">
        <v>154</v>
      </c>
      <c r="E116" s="1222" t="s">
        <v>50</v>
      </c>
      <c r="F116" s="1224" t="s">
        <v>255</v>
      </c>
      <c r="G116" s="1224" t="s">
        <v>255</v>
      </c>
      <c r="H116" s="1222" t="s">
        <v>255</v>
      </c>
      <c r="I116" s="1222" t="s">
        <v>1754</v>
      </c>
      <c r="J116" s="1222" t="s">
        <v>1754</v>
      </c>
      <c r="K116" s="1222" t="s">
        <v>311</v>
      </c>
      <c r="L116" s="1222"/>
    </row>
    <row r="117" spans="1:12">
      <c r="A117" s="1222">
        <f>SUBTOTAL(103,$C$7:C117)</f>
        <v>111</v>
      </c>
      <c r="B117" s="1222"/>
      <c r="C117" s="1222" t="s">
        <v>422</v>
      </c>
      <c r="D117" s="1253" t="s">
        <v>3</v>
      </c>
      <c r="E117" s="1222" t="s">
        <v>50</v>
      </c>
      <c r="F117" s="1224" t="s">
        <v>255</v>
      </c>
      <c r="G117" s="1224" t="s">
        <v>255</v>
      </c>
      <c r="H117" s="1222" t="s">
        <v>255</v>
      </c>
      <c r="I117" s="1222" t="s">
        <v>1754</v>
      </c>
      <c r="J117" s="1227" t="s">
        <v>1754</v>
      </c>
      <c r="K117" s="1222" t="s">
        <v>311</v>
      </c>
      <c r="L117" s="1222"/>
    </row>
    <row r="118" spans="1:12">
      <c r="A118" s="1222">
        <f>SUBTOTAL(103,$C$7:C118)</f>
        <v>112</v>
      </c>
      <c r="B118" s="1222"/>
      <c r="C118" s="1222" t="s">
        <v>423</v>
      </c>
      <c r="D118" s="1253" t="s">
        <v>79</v>
      </c>
      <c r="E118" s="1222" t="s">
        <v>50</v>
      </c>
      <c r="F118" s="1224" t="s">
        <v>255</v>
      </c>
      <c r="G118" s="1224" t="s">
        <v>255</v>
      </c>
      <c r="H118" s="1222" t="s">
        <v>255</v>
      </c>
      <c r="I118" s="1222" t="s">
        <v>1754</v>
      </c>
      <c r="J118" s="1222" t="s">
        <v>1754</v>
      </c>
      <c r="K118" s="1222" t="s">
        <v>311</v>
      </c>
      <c r="L118" s="1222"/>
    </row>
    <row r="119" spans="1:12">
      <c r="A119" s="1222">
        <f>SUBTOTAL(103,$C$7:C119)</f>
        <v>113</v>
      </c>
      <c r="B119" s="1222" t="s">
        <v>551</v>
      </c>
      <c r="C119" s="1222" t="s">
        <v>12</v>
      </c>
      <c r="D119" s="1253" t="s">
        <v>173</v>
      </c>
      <c r="E119" s="1222" t="s">
        <v>50</v>
      </c>
      <c r="F119" s="1224" t="s">
        <v>255</v>
      </c>
      <c r="G119" s="1224" t="s">
        <v>255</v>
      </c>
      <c r="H119" s="1222" t="s">
        <v>255</v>
      </c>
      <c r="I119" s="1222" t="s">
        <v>1754</v>
      </c>
      <c r="J119" s="1222" t="s">
        <v>1754</v>
      </c>
      <c r="K119" s="1222"/>
      <c r="L119" s="1222"/>
    </row>
    <row r="120" spans="1:12">
      <c r="A120" s="1222">
        <f>SUBTOTAL(103,$C$7:C120)</f>
        <v>114</v>
      </c>
      <c r="B120" s="1222" t="s">
        <v>552</v>
      </c>
      <c r="C120" s="1222" t="s">
        <v>13</v>
      </c>
      <c r="D120" s="1253" t="s">
        <v>217</v>
      </c>
      <c r="E120" s="1222" t="s">
        <v>50</v>
      </c>
      <c r="F120" s="1224" t="s">
        <v>255</v>
      </c>
      <c r="G120" s="1224" t="s">
        <v>255</v>
      </c>
      <c r="H120" s="1222" t="s">
        <v>255</v>
      </c>
      <c r="I120" s="1222" t="s">
        <v>1754</v>
      </c>
      <c r="J120" s="1227" t="s">
        <v>1754</v>
      </c>
      <c r="K120" s="1222"/>
      <c r="L120" s="1222"/>
    </row>
    <row r="121" spans="1:12">
      <c r="A121" s="1222">
        <f>SUBTOTAL(103,$C$7:C121)</f>
        <v>115</v>
      </c>
      <c r="B121" s="1222" t="s">
        <v>553</v>
      </c>
      <c r="C121" s="1222" t="s">
        <v>51</v>
      </c>
      <c r="D121" s="1253" t="s">
        <v>229</v>
      </c>
      <c r="E121" s="1222" t="s">
        <v>50</v>
      </c>
      <c r="F121" s="1224" t="s">
        <v>255</v>
      </c>
      <c r="G121" s="1224" t="s">
        <v>255</v>
      </c>
      <c r="H121" s="1222" t="s">
        <v>255</v>
      </c>
      <c r="I121" s="1222" t="s">
        <v>1754</v>
      </c>
      <c r="J121" s="1222" t="s">
        <v>1754</v>
      </c>
      <c r="K121" s="1222" t="s">
        <v>1754</v>
      </c>
      <c r="L121" s="1222"/>
    </row>
    <row r="122" spans="1:12">
      <c r="A122" s="1222">
        <f>SUBTOTAL(103,$C$7:C122)</f>
        <v>116</v>
      </c>
      <c r="B122" s="1222"/>
      <c r="C122" s="1222" t="s">
        <v>192</v>
      </c>
      <c r="D122" s="1253" t="s">
        <v>2</v>
      </c>
      <c r="E122" s="1222" t="s">
        <v>50</v>
      </c>
      <c r="F122" s="1224" t="s">
        <v>255</v>
      </c>
      <c r="G122" s="1224" t="s">
        <v>255</v>
      </c>
      <c r="H122" s="1222" t="s">
        <v>255</v>
      </c>
      <c r="I122" s="1222" t="s">
        <v>1754</v>
      </c>
      <c r="J122" s="1222" t="s">
        <v>1754</v>
      </c>
      <c r="K122" s="1222" t="s">
        <v>1754</v>
      </c>
      <c r="L122" s="1222"/>
    </row>
    <row r="123" spans="1:12">
      <c r="A123" s="1222">
        <f>SUBTOTAL(103,$C$7:C123)</f>
        <v>117</v>
      </c>
      <c r="B123" s="1222"/>
      <c r="C123" s="1222" t="s">
        <v>193</v>
      </c>
      <c r="D123" s="1253" t="s">
        <v>170</v>
      </c>
      <c r="E123" s="1222" t="s">
        <v>50</v>
      </c>
      <c r="F123" s="1224" t="s">
        <v>255</v>
      </c>
      <c r="G123" s="1224" t="s">
        <v>255</v>
      </c>
      <c r="H123" s="1222" t="s">
        <v>255</v>
      </c>
      <c r="I123" s="1222" t="s">
        <v>1754</v>
      </c>
      <c r="J123" s="1222" t="s">
        <v>1754</v>
      </c>
      <c r="K123" s="1222" t="s">
        <v>1754</v>
      </c>
      <c r="L123" s="1222"/>
    </row>
    <row r="124" spans="1:12">
      <c r="A124" s="1222">
        <f>SUBTOTAL(103,$C$7:C124)</f>
        <v>118</v>
      </c>
      <c r="B124" s="1222"/>
      <c r="C124" s="1222" t="s">
        <v>254</v>
      </c>
      <c r="D124" s="1253" t="s">
        <v>79</v>
      </c>
      <c r="E124" s="1222" t="s">
        <v>50</v>
      </c>
      <c r="F124" s="1224" t="s">
        <v>255</v>
      </c>
      <c r="G124" s="1224" t="s">
        <v>255</v>
      </c>
      <c r="H124" s="1222" t="s">
        <v>255</v>
      </c>
      <c r="I124" s="1222" t="s">
        <v>1754</v>
      </c>
      <c r="J124" s="1222" t="s">
        <v>1754</v>
      </c>
      <c r="K124" s="1222" t="s">
        <v>1754</v>
      </c>
      <c r="L124" s="1222"/>
    </row>
    <row r="125" spans="1:12">
      <c r="A125" s="1222">
        <f>SUBTOTAL(103,$C$7:C125)</f>
        <v>119</v>
      </c>
      <c r="B125" s="1222"/>
      <c r="C125" s="1222" t="s">
        <v>253</v>
      </c>
      <c r="D125" s="1253" t="s">
        <v>4</v>
      </c>
      <c r="E125" s="1222" t="s">
        <v>50</v>
      </c>
      <c r="F125" s="1224" t="s">
        <v>255</v>
      </c>
      <c r="G125" s="1224" t="s">
        <v>255</v>
      </c>
      <c r="H125" s="1222" t="s">
        <v>255</v>
      </c>
      <c r="I125" s="1222" t="s">
        <v>1754</v>
      </c>
      <c r="J125" s="1222" t="s">
        <v>1754</v>
      </c>
      <c r="K125" s="1222" t="s">
        <v>1754</v>
      </c>
      <c r="L125" s="1222"/>
    </row>
    <row r="126" spans="1:12">
      <c r="A126" s="1222">
        <f>SUBTOTAL(103,$C$7:C126)</f>
        <v>120</v>
      </c>
      <c r="B126" s="1222"/>
      <c r="C126" s="1222" t="s">
        <v>252</v>
      </c>
      <c r="D126" s="1253" t="s">
        <v>3</v>
      </c>
      <c r="E126" s="1222" t="s">
        <v>50</v>
      </c>
      <c r="F126" s="1224" t="s">
        <v>255</v>
      </c>
      <c r="G126" s="1224" t="s">
        <v>255</v>
      </c>
      <c r="H126" s="1222" t="s">
        <v>255</v>
      </c>
      <c r="I126" s="1222" t="s">
        <v>1754</v>
      </c>
      <c r="J126" s="1222" t="s">
        <v>1754</v>
      </c>
      <c r="K126" s="1222" t="s">
        <v>1754</v>
      </c>
      <c r="L126" s="1222"/>
    </row>
    <row r="127" spans="1:12">
      <c r="A127" s="1222">
        <f>SUBTOTAL(103,$C$7:C127)</f>
        <v>121</v>
      </c>
      <c r="B127" s="1222"/>
      <c r="C127" s="1222" t="s">
        <v>251</v>
      </c>
      <c r="D127" s="1253" t="s">
        <v>49</v>
      </c>
      <c r="E127" s="1222" t="s">
        <v>50</v>
      </c>
      <c r="F127" s="1224" t="s">
        <v>255</v>
      </c>
      <c r="G127" s="1224" t="s">
        <v>255</v>
      </c>
      <c r="H127" s="1222" t="s">
        <v>255</v>
      </c>
      <c r="I127" s="1222" t="s">
        <v>1754</v>
      </c>
      <c r="J127" s="1222" t="s">
        <v>1754</v>
      </c>
      <c r="K127" s="1222" t="s">
        <v>1754</v>
      </c>
      <c r="L127" s="1222"/>
    </row>
    <row r="128" spans="1:12">
      <c r="A128" s="1222">
        <f>SUBTOTAL(103,$C$7:C128)</f>
        <v>122</v>
      </c>
      <c r="B128" s="1222"/>
      <c r="C128" s="1222" t="s">
        <v>424</v>
      </c>
      <c r="D128" s="1253" t="s">
        <v>170</v>
      </c>
      <c r="E128" s="1222" t="s">
        <v>50</v>
      </c>
      <c r="F128" s="1224" t="s">
        <v>255</v>
      </c>
      <c r="G128" s="1224" t="s">
        <v>255</v>
      </c>
      <c r="H128" s="1222" t="s">
        <v>255</v>
      </c>
      <c r="I128" s="1222" t="s">
        <v>1754</v>
      </c>
      <c r="J128" s="1222" t="s">
        <v>1754</v>
      </c>
      <c r="K128" s="1222" t="s">
        <v>1754</v>
      </c>
      <c r="L128" s="1222"/>
    </row>
    <row r="129" spans="1:12">
      <c r="A129" s="1222">
        <f>SUBTOTAL(103,$C$7:C129)</f>
        <v>123</v>
      </c>
      <c r="B129" s="1222" t="s">
        <v>554</v>
      </c>
      <c r="C129" s="1222" t="s">
        <v>52</v>
      </c>
      <c r="D129" s="1253" t="s">
        <v>213</v>
      </c>
      <c r="E129" s="1222" t="s">
        <v>50</v>
      </c>
      <c r="F129" s="1224" t="s">
        <v>255</v>
      </c>
      <c r="G129" s="1224" t="s">
        <v>255</v>
      </c>
      <c r="H129" s="1222" t="s">
        <v>255</v>
      </c>
      <c r="I129" s="1222" t="s">
        <v>1754</v>
      </c>
      <c r="J129" s="1222" t="s">
        <v>1754</v>
      </c>
      <c r="K129" s="1222" t="s">
        <v>1754</v>
      </c>
      <c r="L129" s="1222"/>
    </row>
    <row r="130" spans="1:12">
      <c r="A130" s="1222">
        <f>SUBTOTAL(103,$C$7:C130)</f>
        <v>124</v>
      </c>
      <c r="B130" s="1222" t="s">
        <v>555</v>
      </c>
      <c r="C130" s="1222" t="s">
        <v>53</v>
      </c>
      <c r="D130" s="1253" t="s">
        <v>213</v>
      </c>
      <c r="E130" s="1222" t="s">
        <v>50</v>
      </c>
      <c r="F130" s="1224" t="s">
        <v>255</v>
      </c>
      <c r="G130" s="1224" t="s">
        <v>255</v>
      </c>
      <c r="H130" s="1222" t="s">
        <v>255</v>
      </c>
      <c r="I130" s="1222" t="s">
        <v>1754</v>
      </c>
      <c r="J130" s="1227" t="s">
        <v>1754</v>
      </c>
      <c r="K130" s="1222"/>
      <c r="L130" s="1222"/>
    </row>
    <row r="131" spans="1:12">
      <c r="A131" s="1222">
        <f>SUBTOTAL(103,$C$7:C131)</f>
        <v>125</v>
      </c>
      <c r="B131" s="1222"/>
      <c r="C131" s="1222" t="s">
        <v>174</v>
      </c>
      <c r="D131" s="1253" t="s">
        <v>4</v>
      </c>
      <c r="E131" s="1222" t="s">
        <v>50</v>
      </c>
      <c r="F131" s="1224" t="s">
        <v>255</v>
      </c>
      <c r="G131" s="1224" t="s">
        <v>255</v>
      </c>
      <c r="H131" s="1222" t="s">
        <v>255</v>
      </c>
      <c r="I131" s="1222" t="s">
        <v>1754</v>
      </c>
      <c r="J131" s="1227" t="s">
        <v>1754</v>
      </c>
      <c r="K131" s="1222"/>
      <c r="L131" s="1222"/>
    </row>
    <row r="132" spans="1:12">
      <c r="A132" s="1222">
        <f>SUBTOTAL(103,$C$7:C132)</f>
        <v>126</v>
      </c>
      <c r="B132" s="1222"/>
      <c r="C132" s="1222" t="s">
        <v>175</v>
      </c>
      <c r="D132" s="1253" t="s">
        <v>4</v>
      </c>
      <c r="E132" s="1222" t="s">
        <v>50</v>
      </c>
      <c r="F132" s="1224" t="s">
        <v>255</v>
      </c>
      <c r="G132" s="1224" t="s">
        <v>255</v>
      </c>
      <c r="H132" s="1222" t="s">
        <v>255</v>
      </c>
      <c r="I132" s="1222" t="s">
        <v>1754</v>
      </c>
      <c r="J132" s="1227" t="s">
        <v>1754</v>
      </c>
      <c r="K132" s="1222"/>
      <c r="L132" s="1222"/>
    </row>
    <row r="133" spans="1:12">
      <c r="A133" s="1222">
        <f>SUBTOTAL(103,$C$7:C133)</f>
        <v>127</v>
      </c>
      <c r="B133" s="1222"/>
      <c r="C133" s="1222" t="s">
        <v>176</v>
      </c>
      <c r="D133" s="1253" t="s">
        <v>170</v>
      </c>
      <c r="E133" s="1222" t="s">
        <v>50</v>
      </c>
      <c r="F133" s="1224" t="s">
        <v>255</v>
      </c>
      <c r="G133" s="1224" t="s">
        <v>255</v>
      </c>
      <c r="H133" s="1222" t="s">
        <v>255</v>
      </c>
      <c r="I133" s="1222" t="s">
        <v>1754</v>
      </c>
      <c r="J133" s="1227" t="s">
        <v>1754</v>
      </c>
      <c r="K133" s="1222"/>
      <c r="L133" s="1222"/>
    </row>
    <row r="134" spans="1:12">
      <c r="A134" s="1222">
        <f>SUBTOTAL(103,$C$7:C134)</f>
        <v>128</v>
      </c>
      <c r="B134" s="1222"/>
      <c r="C134" s="1222" t="s">
        <v>177</v>
      </c>
      <c r="D134" s="1253" t="s">
        <v>2</v>
      </c>
      <c r="E134" s="1222" t="s">
        <v>50</v>
      </c>
      <c r="F134" s="1224" t="s">
        <v>255</v>
      </c>
      <c r="G134" s="1224" t="s">
        <v>255</v>
      </c>
      <c r="H134" s="1222" t="s">
        <v>255</v>
      </c>
      <c r="I134" s="1222"/>
      <c r="J134" s="1227" t="s">
        <v>1754</v>
      </c>
      <c r="K134" s="1222"/>
      <c r="L134" s="1222"/>
    </row>
    <row r="135" spans="1:12">
      <c r="A135" s="1222">
        <f>SUBTOTAL(103,$C$7:C135)</f>
        <v>129</v>
      </c>
      <c r="B135" s="1222"/>
      <c r="C135" s="1222" t="s">
        <v>425</v>
      </c>
      <c r="D135" s="1253" t="s">
        <v>3</v>
      </c>
      <c r="E135" s="1222" t="s">
        <v>50</v>
      </c>
      <c r="F135" s="1224" t="s">
        <v>255</v>
      </c>
      <c r="G135" s="1224" t="s">
        <v>255</v>
      </c>
      <c r="H135" s="1222" t="s">
        <v>255</v>
      </c>
      <c r="I135" s="1222"/>
      <c r="J135" s="1227" t="s">
        <v>1754</v>
      </c>
      <c r="K135" s="1222"/>
      <c r="L135" s="1222"/>
    </row>
    <row r="136" spans="1:12">
      <c r="A136" s="1222">
        <f>SUBTOTAL(103,$C$7:C136)</f>
        <v>130</v>
      </c>
      <c r="B136" s="1222"/>
      <c r="C136" s="1222" t="s">
        <v>426</v>
      </c>
      <c r="D136" s="1253" t="s">
        <v>4</v>
      </c>
      <c r="E136" s="1222" t="s">
        <v>50</v>
      </c>
      <c r="F136" s="1224" t="s">
        <v>255</v>
      </c>
      <c r="G136" s="1224" t="s">
        <v>255</v>
      </c>
      <c r="H136" s="1222" t="s">
        <v>255</v>
      </c>
      <c r="I136" s="1222"/>
      <c r="J136" s="1227" t="s">
        <v>1754</v>
      </c>
      <c r="K136" s="1222"/>
      <c r="L136" s="1222"/>
    </row>
    <row r="137" spans="1:12">
      <c r="A137" s="1222">
        <f>SUBTOTAL(103,$C$7:C137)</f>
        <v>131</v>
      </c>
      <c r="B137" s="1222" t="s">
        <v>556</v>
      </c>
      <c r="C137" s="1222" t="s">
        <v>54</v>
      </c>
      <c r="D137" s="1253" t="s">
        <v>197</v>
      </c>
      <c r="E137" s="1222" t="s">
        <v>50</v>
      </c>
      <c r="F137" s="1224" t="s">
        <v>255</v>
      </c>
      <c r="G137" s="1224" t="s">
        <v>255</v>
      </c>
      <c r="H137" s="1222" t="s">
        <v>255</v>
      </c>
      <c r="I137" s="1222" t="s">
        <v>1754</v>
      </c>
      <c r="J137" s="1227" t="s">
        <v>1754</v>
      </c>
      <c r="K137" s="1222"/>
      <c r="L137" s="1222"/>
    </row>
    <row r="138" spans="1:12">
      <c r="A138" s="1222">
        <f>SUBTOTAL(103,$C$7:C138)</f>
        <v>132</v>
      </c>
      <c r="B138" s="1222"/>
      <c r="C138" s="1222" t="s">
        <v>179</v>
      </c>
      <c r="D138" s="1253" t="s">
        <v>3</v>
      </c>
      <c r="E138" s="1222" t="s">
        <v>50</v>
      </c>
      <c r="F138" s="1224" t="s">
        <v>255</v>
      </c>
      <c r="G138" s="1224" t="s">
        <v>255</v>
      </c>
      <c r="H138" s="1222" t="s">
        <v>255</v>
      </c>
      <c r="I138" s="1222" t="s">
        <v>1754</v>
      </c>
      <c r="J138" s="1227" t="s">
        <v>1754</v>
      </c>
      <c r="K138" s="1222"/>
      <c r="L138" s="1222"/>
    </row>
    <row r="139" spans="1:12">
      <c r="A139" s="1222">
        <f>SUBTOTAL(103,$C$7:C139)</f>
        <v>133</v>
      </c>
      <c r="B139" s="1222"/>
      <c r="C139" s="1222" t="s">
        <v>180</v>
      </c>
      <c r="D139" s="1253" t="s">
        <v>79</v>
      </c>
      <c r="E139" s="1222" t="s">
        <v>50</v>
      </c>
      <c r="F139" s="1224" t="s">
        <v>255</v>
      </c>
      <c r="G139" s="1224" t="s">
        <v>255</v>
      </c>
      <c r="H139" s="1222" t="s">
        <v>255</v>
      </c>
      <c r="I139" s="1222" t="s">
        <v>1754</v>
      </c>
      <c r="J139" s="1227" t="s">
        <v>1754</v>
      </c>
      <c r="K139" s="1222"/>
      <c r="L139" s="1222"/>
    </row>
    <row r="140" spans="1:12">
      <c r="A140" s="1222">
        <f>SUBTOTAL(103,$C$7:C140)</f>
        <v>134</v>
      </c>
      <c r="B140" s="1222"/>
      <c r="C140" s="1222" t="s">
        <v>181</v>
      </c>
      <c r="D140" s="1253" t="s">
        <v>79</v>
      </c>
      <c r="E140" s="1222" t="s">
        <v>50</v>
      </c>
      <c r="F140" s="1224" t="s">
        <v>255</v>
      </c>
      <c r="G140" s="1224" t="s">
        <v>255</v>
      </c>
      <c r="H140" s="1222" t="s">
        <v>255</v>
      </c>
      <c r="I140" s="1222" t="s">
        <v>1754</v>
      </c>
      <c r="J140" s="1227" t="s">
        <v>1754</v>
      </c>
      <c r="K140" s="1222"/>
      <c r="L140" s="1222"/>
    </row>
    <row r="141" spans="1:12">
      <c r="A141" s="1222">
        <f>SUBTOTAL(103,$C$7:C141)</f>
        <v>135</v>
      </c>
      <c r="B141" s="1222"/>
      <c r="C141" s="1222" t="s">
        <v>182</v>
      </c>
      <c r="D141" s="1253" t="s">
        <v>3</v>
      </c>
      <c r="E141" s="1222" t="s">
        <v>50</v>
      </c>
      <c r="F141" s="1224" t="s">
        <v>255</v>
      </c>
      <c r="G141" s="1224" t="s">
        <v>255</v>
      </c>
      <c r="H141" s="1222" t="s">
        <v>255</v>
      </c>
      <c r="I141" s="1222" t="s">
        <v>1754</v>
      </c>
      <c r="J141" s="1227" t="s">
        <v>1754</v>
      </c>
      <c r="K141" s="1222"/>
      <c r="L141" s="1222"/>
    </row>
    <row r="142" spans="1:12">
      <c r="A142" s="1222">
        <f>SUBTOTAL(103,$C$7:C142)</f>
        <v>136</v>
      </c>
      <c r="B142" s="1222"/>
      <c r="C142" s="1222" t="s">
        <v>427</v>
      </c>
      <c r="D142" s="1253" t="s">
        <v>3</v>
      </c>
      <c r="E142" s="1222" t="s">
        <v>50</v>
      </c>
      <c r="F142" s="1224" t="s">
        <v>255</v>
      </c>
      <c r="G142" s="1224" t="s">
        <v>255</v>
      </c>
      <c r="H142" s="1222" t="s">
        <v>255</v>
      </c>
      <c r="I142" s="1222" t="s">
        <v>1754</v>
      </c>
      <c r="J142" s="1227" t="s">
        <v>1754</v>
      </c>
      <c r="K142" s="1222"/>
      <c r="L142" s="1222"/>
    </row>
    <row r="143" spans="1:12">
      <c r="A143" s="1222">
        <f>SUBTOTAL(103,$C$7:C143)</f>
        <v>137</v>
      </c>
      <c r="B143" s="1222" t="s">
        <v>557</v>
      </c>
      <c r="C143" s="1222" t="s">
        <v>55</v>
      </c>
      <c r="D143" s="1253" t="s">
        <v>428</v>
      </c>
      <c r="E143" s="1222" t="s">
        <v>50</v>
      </c>
      <c r="F143" s="1224" t="s">
        <v>255</v>
      </c>
      <c r="G143" s="1224" t="s">
        <v>255</v>
      </c>
      <c r="H143" s="1222" t="s">
        <v>255</v>
      </c>
      <c r="I143" s="1222" t="s">
        <v>1754</v>
      </c>
      <c r="J143" s="1222" t="s">
        <v>1754</v>
      </c>
      <c r="K143" s="1222"/>
      <c r="L143" s="1222"/>
    </row>
    <row r="144" spans="1:12">
      <c r="A144" s="1222">
        <f>SUBTOTAL(103,$C$7:C144)</f>
        <v>138</v>
      </c>
      <c r="B144" s="1222" t="s">
        <v>558</v>
      </c>
      <c r="C144" s="1222" t="s">
        <v>56</v>
      </c>
      <c r="D144" s="1253" t="s">
        <v>215</v>
      </c>
      <c r="E144" s="1222" t="s">
        <v>50</v>
      </c>
      <c r="F144" s="1224" t="s">
        <v>255</v>
      </c>
      <c r="G144" s="1224" t="s">
        <v>255</v>
      </c>
      <c r="H144" s="1222" t="s">
        <v>255</v>
      </c>
      <c r="I144" s="1222" t="s">
        <v>1754</v>
      </c>
      <c r="J144" s="1222" t="s">
        <v>1754</v>
      </c>
      <c r="K144" s="1222" t="s">
        <v>311</v>
      </c>
      <c r="L144" s="1222"/>
    </row>
    <row r="145" spans="1:12">
      <c r="A145" s="1222">
        <f>SUBTOTAL(103,$C$7:C145)</f>
        <v>139</v>
      </c>
      <c r="B145" s="1222" t="s">
        <v>673</v>
      </c>
      <c r="C145" s="1222" t="s">
        <v>674</v>
      </c>
      <c r="D145" s="1253" t="s">
        <v>211</v>
      </c>
      <c r="E145" s="1222" t="s">
        <v>50</v>
      </c>
      <c r="F145" s="1224" t="s">
        <v>255</v>
      </c>
      <c r="G145" s="1224" t="s">
        <v>255</v>
      </c>
      <c r="H145" s="1222" t="s">
        <v>255</v>
      </c>
      <c r="I145" s="1222" t="s">
        <v>1754</v>
      </c>
      <c r="J145" s="1222" t="s">
        <v>1754</v>
      </c>
      <c r="K145" s="1222" t="s">
        <v>1754</v>
      </c>
      <c r="L145" s="1222"/>
    </row>
    <row r="146" spans="1:12">
      <c r="A146" s="1222">
        <f>SUBTOTAL(103,$C$7:C146)</f>
        <v>140</v>
      </c>
      <c r="B146" s="1222" t="s">
        <v>559</v>
      </c>
      <c r="C146" s="1222" t="s">
        <v>57</v>
      </c>
      <c r="D146" s="1253" t="s">
        <v>186</v>
      </c>
      <c r="E146" s="1222" t="s">
        <v>50</v>
      </c>
      <c r="F146" s="1224" t="s">
        <v>255</v>
      </c>
      <c r="G146" s="1224" t="s">
        <v>255</v>
      </c>
      <c r="H146" s="1222" t="s">
        <v>255</v>
      </c>
      <c r="I146" s="1222" t="s">
        <v>1754</v>
      </c>
      <c r="J146" s="1227" t="s">
        <v>1754</v>
      </c>
      <c r="K146" s="1222" t="s">
        <v>1754</v>
      </c>
      <c r="L146" s="1222"/>
    </row>
    <row r="147" spans="1:12">
      <c r="A147" s="1222">
        <f>SUBTOTAL(103,$C$7:C147)</f>
        <v>141</v>
      </c>
      <c r="B147" s="1222" t="s">
        <v>560</v>
      </c>
      <c r="C147" s="1222" t="s">
        <v>58</v>
      </c>
      <c r="D147" s="1253" t="s">
        <v>186</v>
      </c>
      <c r="E147" s="1222" t="s">
        <v>50</v>
      </c>
      <c r="F147" s="1224" t="s">
        <v>255</v>
      </c>
      <c r="G147" s="1224" t="s">
        <v>255</v>
      </c>
      <c r="H147" s="1222" t="s">
        <v>255</v>
      </c>
      <c r="I147" s="1222" t="s">
        <v>1754</v>
      </c>
      <c r="J147" s="1227" t="s">
        <v>1754</v>
      </c>
      <c r="K147" s="1222" t="s">
        <v>1754</v>
      </c>
      <c r="L147" s="1222"/>
    </row>
    <row r="148" spans="1:12">
      <c r="A148" s="1222">
        <f>SUBTOTAL(103,$C$7:C148)</f>
        <v>142</v>
      </c>
      <c r="B148" s="1222" t="s">
        <v>561</v>
      </c>
      <c r="C148" s="1222" t="s">
        <v>59</v>
      </c>
      <c r="D148" s="1253" t="s">
        <v>429</v>
      </c>
      <c r="E148" s="1222" t="s">
        <v>50</v>
      </c>
      <c r="F148" s="1224" t="s">
        <v>255</v>
      </c>
      <c r="G148" s="1224" t="s">
        <v>255</v>
      </c>
      <c r="H148" s="1222" t="s">
        <v>255</v>
      </c>
      <c r="I148" s="1222" t="s">
        <v>1754</v>
      </c>
      <c r="J148" s="1222" t="s">
        <v>1754</v>
      </c>
      <c r="K148" s="1222" t="s">
        <v>1754</v>
      </c>
      <c r="L148" s="1222"/>
    </row>
    <row r="149" spans="1:12">
      <c r="A149" s="1222">
        <f>SUBTOTAL(103,$C$7:C149)</f>
        <v>143</v>
      </c>
      <c r="B149" s="1222" t="s">
        <v>562</v>
      </c>
      <c r="C149" s="1222" t="s">
        <v>60</v>
      </c>
      <c r="D149" s="1253" t="s">
        <v>429</v>
      </c>
      <c r="E149" s="1222" t="s">
        <v>50</v>
      </c>
      <c r="F149" s="1224" t="s">
        <v>255</v>
      </c>
      <c r="G149" s="1224" t="s">
        <v>255</v>
      </c>
      <c r="H149" s="1222" t="s">
        <v>255</v>
      </c>
      <c r="I149" s="1222" t="s">
        <v>1754</v>
      </c>
      <c r="J149" s="1227" t="s">
        <v>1754</v>
      </c>
      <c r="K149" s="1222" t="s">
        <v>1754</v>
      </c>
      <c r="L149" s="1222"/>
    </row>
    <row r="150" spans="1:12">
      <c r="A150" s="1222">
        <f>SUBTOTAL(103,$C$7:C150)</f>
        <v>144</v>
      </c>
      <c r="B150" s="1222"/>
      <c r="C150" s="1222" t="s">
        <v>61</v>
      </c>
      <c r="D150" s="1253" t="s">
        <v>49</v>
      </c>
      <c r="E150" s="1222" t="s">
        <v>50</v>
      </c>
      <c r="F150" s="1224" t="s">
        <v>255</v>
      </c>
      <c r="G150" s="1224" t="s">
        <v>255</v>
      </c>
      <c r="H150" s="1222" t="s">
        <v>255</v>
      </c>
      <c r="I150" s="1222" t="s">
        <v>1754</v>
      </c>
      <c r="J150" s="1227" t="s">
        <v>1754</v>
      </c>
      <c r="K150" s="1222" t="s">
        <v>1754</v>
      </c>
      <c r="L150" s="1222"/>
    </row>
    <row r="151" spans="1:12">
      <c r="A151" s="1222">
        <f>SUBTOTAL(103,$C$7:C151)</f>
        <v>145</v>
      </c>
      <c r="B151" s="1226"/>
      <c r="C151" s="1222" t="s">
        <v>62</v>
      </c>
      <c r="D151" s="1253" t="s">
        <v>154</v>
      </c>
      <c r="E151" s="1222" t="s">
        <v>50</v>
      </c>
      <c r="F151" s="1224" t="s">
        <v>255</v>
      </c>
      <c r="G151" s="1224" t="s">
        <v>255</v>
      </c>
      <c r="H151" s="1222" t="s">
        <v>255</v>
      </c>
      <c r="I151" s="1222" t="s">
        <v>1754</v>
      </c>
      <c r="J151" s="1227" t="s">
        <v>1754</v>
      </c>
      <c r="K151" s="1222" t="s">
        <v>1754</v>
      </c>
      <c r="L151" s="1222"/>
    </row>
    <row r="152" spans="1:12">
      <c r="A152" s="1222">
        <f>SUBTOTAL(103,$C$7:C152)</f>
        <v>146</v>
      </c>
      <c r="B152" s="1222"/>
      <c r="C152" s="1222" t="s">
        <v>153</v>
      </c>
      <c r="D152" s="1253" t="s">
        <v>170</v>
      </c>
      <c r="E152" s="1222" t="s">
        <v>50</v>
      </c>
      <c r="F152" s="1224" t="s">
        <v>255</v>
      </c>
      <c r="G152" s="1224" t="s">
        <v>255</v>
      </c>
      <c r="H152" s="1222" t="s">
        <v>255</v>
      </c>
      <c r="I152" s="1222" t="s">
        <v>1754</v>
      </c>
      <c r="J152" s="1227" t="s">
        <v>1754</v>
      </c>
      <c r="K152" s="1222" t="s">
        <v>1754</v>
      </c>
      <c r="L152" s="1222"/>
    </row>
    <row r="153" spans="1:12">
      <c r="A153" s="1222">
        <f>SUBTOTAL(103,$C$7:C153)</f>
        <v>147</v>
      </c>
      <c r="B153" s="1222"/>
      <c r="C153" s="1222" t="s">
        <v>155</v>
      </c>
      <c r="D153" s="1253" t="s">
        <v>170</v>
      </c>
      <c r="E153" s="1222" t="s">
        <v>50</v>
      </c>
      <c r="F153" s="1224" t="s">
        <v>255</v>
      </c>
      <c r="G153" s="1224" t="s">
        <v>255</v>
      </c>
      <c r="H153" s="1222" t="s">
        <v>255</v>
      </c>
      <c r="I153" s="1222" t="s">
        <v>1754</v>
      </c>
      <c r="J153" s="1227" t="s">
        <v>1754</v>
      </c>
      <c r="K153" s="1222" t="s">
        <v>1754</v>
      </c>
      <c r="L153" s="1222"/>
    </row>
    <row r="154" spans="1:12">
      <c r="A154" s="1222">
        <f>SUBTOTAL(103,$C$7:C154)</f>
        <v>148</v>
      </c>
      <c r="B154" s="1222"/>
      <c r="C154" s="1222" t="s">
        <v>156</v>
      </c>
      <c r="D154" s="1253" t="s">
        <v>154</v>
      </c>
      <c r="E154" s="1222" t="s">
        <v>50</v>
      </c>
      <c r="F154" s="1224" t="s">
        <v>255</v>
      </c>
      <c r="G154" s="1224" t="s">
        <v>255</v>
      </c>
      <c r="H154" s="1222" t="s">
        <v>255</v>
      </c>
      <c r="I154" s="1222" t="s">
        <v>1754</v>
      </c>
      <c r="J154" s="1227" t="s">
        <v>1754</v>
      </c>
      <c r="K154" s="1222" t="s">
        <v>1754</v>
      </c>
      <c r="L154" s="1222"/>
    </row>
    <row r="155" spans="1:12">
      <c r="A155" s="1222">
        <f>SUBTOTAL(103,$C$7:C155)</f>
        <v>149</v>
      </c>
      <c r="B155" s="1222"/>
      <c r="C155" s="1222" t="s">
        <v>162</v>
      </c>
      <c r="D155" s="1253" t="s">
        <v>4</v>
      </c>
      <c r="E155" s="1222" t="s">
        <v>50</v>
      </c>
      <c r="F155" s="1224" t="s">
        <v>255</v>
      </c>
      <c r="G155" s="1224" t="s">
        <v>255</v>
      </c>
      <c r="H155" s="1222" t="s">
        <v>255</v>
      </c>
      <c r="I155" s="1222" t="s">
        <v>1754</v>
      </c>
      <c r="J155" s="1227" t="s">
        <v>1754</v>
      </c>
      <c r="K155" s="1222" t="s">
        <v>1754</v>
      </c>
      <c r="L155" s="1222"/>
    </row>
    <row r="156" spans="1:12">
      <c r="A156" s="1222">
        <f>SUBTOTAL(103,$C$7:C156)</f>
        <v>150</v>
      </c>
      <c r="B156" s="1222" t="s">
        <v>563</v>
      </c>
      <c r="C156" s="1222" t="s">
        <v>63</v>
      </c>
      <c r="D156" s="1253" t="s">
        <v>250</v>
      </c>
      <c r="E156" s="1222" t="s">
        <v>50</v>
      </c>
      <c r="F156" s="1224" t="s">
        <v>255</v>
      </c>
      <c r="G156" s="1224" t="s">
        <v>255</v>
      </c>
      <c r="H156" s="1222" t="s">
        <v>255</v>
      </c>
      <c r="I156" s="1222" t="s">
        <v>1754</v>
      </c>
      <c r="J156" s="1222" t="s">
        <v>1754</v>
      </c>
      <c r="K156" s="1222" t="s">
        <v>1754</v>
      </c>
      <c r="L156" s="1222"/>
    </row>
    <row r="157" spans="1:12">
      <c r="A157" s="1222">
        <f>SUBTOTAL(103,$C$7:C157)</f>
        <v>151</v>
      </c>
      <c r="B157" s="1222" t="s">
        <v>564</v>
      </c>
      <c r="C157" s="1222" t="s">
        <v>64</v>
      </c>
      <c r="D157" s="1253" t="s">
        <v>185</v>
      </c>
      <c r="E157" s="1222" t="s">
        <v>50</v>
      </c>
      <c r="F157" s="1224" t="s">
        <v>255</v>
      </c>
      <c r="G157" s="1224" t="s">
        <v>255</v>
      </c>
      <c r="H157" s="1222" t="s">
        <v>255</v>
      </c>
      <c r="I157" s="1222" t="s">
        <v>1754</v>
      </c>
      <c r="J157" s="1222" t="s">
        <v>1754</v>
      </c>
      <c r="K157" s="1222" t="s">
        <v>1754</v>
      </c>
      <c r="L157" s="1222"/>
    </row>
    <row r="158" spans="1:12">
      <c r="A158" s="1222">
        <f>SUBTOTAL(103,$C$7:C158)</f>
        <v>152</v>
      </c>
      <c r="B158" s="1222"/>
      <c r="C158" s="1222" t="s">
        <v>430</v>
      </c>
      <c r="D158" s="1253" t="s">
        <v>79</v>
      </c>
      <c r="E158" s="1222" t="s">
        <v>50</v>
      </c>
      <c r="F158" s="1224" t="s">
        <v>255</v>
      </c>
      <c r="G158" s="1224" t="s">
        <v>255</v>
      </c>
      <c r="H158" s="1222" t="s">
        <v>255</v>
      </c>
      <c r="I158" s="1222" t="s">
        <v>1754</v>
      </c>
      <c r="J158" s="1222" t="s">
        <v>1754</v>
      </c>
      <c r="K158" s="1222" t="s">
        <v>1754</v>
      </c>
      <c r="L158" s="1222"/>
    </row>
    <row r="159" spans="1:12">
      <c r="A159" s="1222">
        <f>SUBTOTAL(103,$C$7:C159)</f>
        <v>153</v>
      </c>
      <c r="B159" s="1222"/>
      <c r="C159" s="1222" t="s">
        <v>431</v>
      </c>
      <c r="D159" s="1253" t="s">
        <v>3</v>
      </c>
      <c r="E159" s="1222" t="s">
        <v>50</v>
      </c>
      <c r="F159" s="1224" t="s">
        <v>255</v>
      </c>
      <c r="G159" s="1224" t="s">
        <v>255</v>
      </c>
      <c r="H159" s="1222" t="s">
        <v>255</v>
      </c>
      <c r="I159" s="1222" t="s">
        <v>1754</v>
      </c>
      <c r="J159" s="1222" t="s">
        <v>1754</v>
      </c>
      <c r="K159" s="1222" t="s">
        <v>1754</v>
      </c>
      <c r="L159" s="1222"/>
    </row>
    <row r="160" spans="1:12">
      <c r="A160" s="1222">
        <f>SUBTOTAL(103,$C$7:C160)</f>
        <v>154</v>
      </c>
      <c r="B160" s="1222"/>
      <c r="C160" s="1222" t="s">
        <v>432</v>
      </c>
      <c r="D160" s="1253" t="s">
        <v>3</v>
      </c>
      <c r="E160" s="1222" t="s">
        <v>50</v>
      </c>
      <c r="F160" s="1224" t="s">
        <v>255</v>
      </c>
      <c r="G160" s="1224" t="s">
        <v>255</v>
      </c>
      <c r="H160" s="1222" t="s">
        <v>255</v>
      </c>
      <c r="I160" s="1222" t="s">
        <v>1754</v>
      </c>
      <c r="J160" s="1222" t="s">
        <v>1754</v>
      </c>
      <c r="K160" s="1222" t="s">
        <v>1754</v>
      </c>
      <c r="L160" s="1222"/>
    </row>
    <row r="161" spans="1:12">
      <c r="A161" s="1222">
        <f>SUBTOTAL(103,$C$7:C161)</f>
        <v>155</v>
      </c>
      <c r="B161" s="1222"/>
      <c r="C161" s="1222" t="s">
        <v>433</v>
      </c>
      <c r="D161" s="1253" t="s">
        <v>2</v>
      </c>
      <c r="E161" s="1222" t="s">
        <v>50</v>
      </c>
      <c r="F161" s="1224" t="s">
        <v>255</v>
      </c>
      <c r="G161" s="1224" t="s">
        <v>255</v>
      </c>
      <c r="H161" s="1222" t="s">
        <v>255</v>
      </c>
      <c r="I161" s="1222" t="s">
        <v>1754</v>
      </c>
      <c r="J161" s="1222" t="s">
        <v>1754</v>
      </c>
      <c r="K161" s="1222" t="s">
        <v>1754</v>
      </c>
      <c r="L161" s="1222"/>
    </row>
    <row r="162" spans="1:12">
      <c r="A162" s="1222">
        <f>SUBTOTAL(103,$C$7:C162)</f>
        <v>156</v>
      </c>
      <c r="B162" s="1222"/>
      <c r="C162" s="1222" t="s">
        <v>434</v>
      </c>
      <c r="D162" s="1253" t="s">
        <v>3</v>
      </c>
      <c r="E162" s="1222" t="s">
        <v>50</v>
      </c>
      <c r="F162" s="1224" t="s">
        <v>255</v>
      </c>
      <c r="G162" s="1224" t="s">
        <v>255</v>
      </c>
      <c r="H162" s="1222" t="s">
        <v>255</v>
      </c>
      <c r="I162" s="1222" t="s">
        <v>1754</v>
      </c>
      <c r="J162" s="1222" t="s">
        <v>1754</v>
      </c>
      <c r="K162" s="1222" t="s">
        <v>1754</v>
      </c>
      <c r="L162" s="1222"/>
    </row>
    <row r="163" spans="1:12">
      <c r="A163" s="1222">
        <f>SUBTOTAL(103,$C$7:C163)</f>
        <v>157</v>
      </c>
      <c r="B163" s="1222" t="s">
        <v>897</v>
      </c>
      <c r="C163" s="1222" t="s">
        <v>898</v>
      </c>
      <c r="D163" s="1253" t="s">
        <v>197</v>
      </c>
      <c r="E163" s="1222" t="s">
        <v>50</v>
      </c>
      <c r="F163" s="1224" t="s">
        <v>255</v>
      </c>
      <c r="G163" s="1224" t="s">
        <v>255</v>
      </c>
      <c r="H163" s="1222" t="s">
        <v>255</v>
      </c>
      <c r="I163" s="1222" t="s">
        <v>1754</v>
      </c>
      <c r="J163" s="1222" t="s">
        <v>1754</v>
      </c>
      <c r="K163" s="1222" t="s">
        <v>1754</v>
      </c>
      <c r="L163" s="1222"/>
    </row>
    <row r="164" spans="1:12">
      <c r="A164" s="1222">
        <f>SUBTOTAL(103,$C$7:C164)</f>
        <v>158</v>
      </c>
      <c r="B164" s="1222"/>
      <c r="C164" s="1222" t="s">
        <v>899</v>
      </c>
      <c r="D164" s="1253" t="s">
        <v>79</v>
      </c>
      <c r="E164" s="1222" t="s">
        <v>50</v>
      </c>
      <c r="F164" s="1224" t="s">
        <v>255</v>
      </c>
      <c r="G164" s="1224" t="s">
        <v>255</v>
      </c>
      <c r="H164" s="1222" t="s">
        <v>255</v>
      </c>
      <c r="I164" s="1222" t="s">
        <v>1754</v>
      </c>
      <c r="J164" s="1222" t="s">
        <v>1754</v>
      </c>
      <c r="K164" s="1222" t="s">
        <v>1754</v>
      </c>
      <c r="L164" s="1222"/>
    </row>
    <row r="165" spans="1:12">
      <c r="A165" s="1222">
        <f>SUBTOTAL(103,$C$7:C165)</f>
        <v>159</v>
      </c>
      <c r="B165" s="1222"/>
      <c r="C165" s="1222" t="s">
        <v>900</v>
      </c>
      <c r="D165" s="1253" t="s">
        <v>79</v>
      </c>
      <c r="E165" s="1222" t="s">
        <v>50</v>
      </c>
      <c r="F165" s="1224" t="s">
        <v>255</v>
      </c>
      <c r="G165" s="1224" t="s">
        <v>255</v>
      </c>
      <c r="H165" s="1222" t="s">
        <v>255</v>
      </c>
      <c r="I165" s="1222" t="s">
        <v>1754</v>
      </c>
      <c r="J165" s="1222" t="s">
        <v>1754</v>
      </c>
      <c r="K165" s="1222" t="s">
        <v>1754</v>
      </c>
      <c r="L165" s="1222"/>
    </row>
    <row r="166" spans="1:12">
      <c r="A166" s="1222">
        <f>SUBTOTAL(103,$C$7:C166)</f>
        <v>160</v>
      </c>
      <c r="B166" s="1222"/>
      <c r="C166" s="1222" t="s">
        <v>901</v>
      </c>
      <c r="D166" s="1253" t="s">
        <v>79</v>
      </c>
      <c r="E166" s="1222" t="s">
        <v>50</v>
      </c>
      <c r="F166" s="1224" t="s">
        <v>255</v>
      </c>
      <c r="G166" s="1224" t="s">
        <v>255</v>
      </c>
      <c r="H166" s="1222" t="s">
        <v>255</v>
      </c>
      <c r="I166" s="1222" t="s">
        <v>1754</v>
      </c>
      <c r="J166" s="1222" t="s">
        <v>1754</v>
      </c>
      <c r="K166" s="1222" t="s">
        <v>1754</v>
      </c>
      <c r="L166" s="1222"/>
    </row>
    <row r="167" spans="1:12">
      <c r="A167" s="1222">
        <f>SUBTOTAL(103,$C$7:C167)</f>
        <v>161</v>
      </c>
      <c r="B167" s="1222"/>
      <c r="C167" s="1222" t="s">
        <v>902</v>
      </c>
      <c r="D167" s="1253" t="s">
        <v>2</v>
      </c>
      <c r="E167" s="1222" t="s">
        <v>50</v>
      </c>
      <c r="F167" s="1224" t="s">
        <v>255</v>
      </c>
      <c r="G167" s="1224" t="s">
        <v>255</v>
      </c>
      <c r="H167" s="1222" t="s">
        <v>255</v>
      </c>
      <c r="I167" s="1222" t="s">
        <v>1754</v>
      </c>
      <c r="J167" s="1222" t="s">
        <v>1754</v>
      </c>
      <c r="K167" s="1222" t="s">
        <v>1754</v>
      </c>
      <c r="L167" s="1222"/>
    </row>
    <row r="168" spans="1:12">
      <c r="A168" s="1222">
        <f>SUBTOTAL(103,$C$7:C168)</f>
        <v>162</v>
      </c>
      <c r="B168" s="1222"/>
      <c r="C168" s="1222" t="s">
        <v>903</v>
      </c>
      <c r="D168" s="1253" t="s">
        <v>79</v>
      </c>
      <c r="E168" s="1222" t="s">
        <v>50</v>
      </c>
      <c r="F168" s="1224" t="s">
        <v>255</v>
      </c>
      <c r="G168" s="1224" t="s">
        <v>255</v>
      </c>
      <c r="H168" s="1222" t="s">
        <v>255</v>
      </c>
      <c r="I168" s="1222" t="s">
        <v>1754</v>
      </c>
      <c r="J168" s="1222" t="s">
        <v>1754</v>
      </c>
      <c r="K168" s="1222" t="s">
        <v>1754</v>
      </c>
      <c r="L168" s="1222"/>
    </row>
    <row r="169" spans="1:12">
      <c r="A169" s="1222">
        <f>SUBTOTAL(103,$C$7:C169)</f>
        <v>163</v>
      </c>
      <c r="B169" s="1222"/>
      <c r="C169" s="1222" t="s">
        <v>904</v>
      </c>
      <c r="D169" s="1253" t="s">
        <v>49</v>
      </c>
      <c r="E169" s="1222" t="s">
        <v>50</v>
      </c>
      <c r="F169" s="1224" t="s">
        <v>255</v>
      </c>
      <c r="G169" s="1224" t="s">
        <v>255</v>
      </c>
      <c r="H169" s="1222" t="s">
        <v>255</v>
      </c>
      <c r="I169" s="1222" t="s">
        <v>1754</v>
      </c>
      <c r="J169" s="1222" t="s">
        <v>1754</v>
      </c>
      <c r="K169" s="1222" t="s">
        <v>1754</v>
      </c>
      <c r="L169" s="1222"/>
    </row>
    <row r="170" spans="1:12">
      <c r="A170" s="1222">
        <f>SUBTOTAL(103,$C$7:C170)</f>
        <v>164</v>
      </c>
      <c r="B170" s="1222" t="s">
        <v>565</v>
      </c>
      <c r="C170" s="1222" t="s">
        <v>65</v>
      </c>
      <c r="D170" s="1253" t="s">
        <v>197</v>
      </c>
      <c r="E170" s="1222" t="s">
        <v>50</v>
      </c>
      <c r="F170" s="1224" t="s">
        <v>255</v>
      </c>
      <c r="G170" s="1224" t="s">
        <v>255</v>
      </c>
      <c r="H170" s="1222" t="s">
        <v>255</v>
      </c>
      <c r="I170" s="1222" t="s">
        <v>1754</v>
      </c>
      <c r="J170" s="1222" t="s">
        <v>1754</v>
      </c>
      <c r="K170" s="1222" t="s">
        <v>1754</v>
      </c>
      <c r="L170" s="1222"/>
    </row>
    <row r="171" spans="1:12">
      <c r="A171" s="1222">
        <f>SUBTOTAL(103,$C$7:C171)</f>
        <v>165</v>
      </c>
      <c r="B171" s="1222"/>
      <c r="C171" s="1222" t="s">
        <v>26</v>
      </c>
      <c r="D171" s="1253" t="s">
        <v>3</v>
      </c>
      <c r="E171" s="1222" t="s">
        <v>50</v>
      </c>
      <c r="F171" s="1224" t="s">
        <v>255</v>
      </c>
      <c r="G171" s="1224" t="s">
        <v>255</v>
      </c>
      <c r="H171" s="1222" t="s">
        <v>255</v>
      </c>
      <c r="I171" s="1222" t="s">
        <v>1754</v>
      </c>
      <c r="J171" s="1222" t="s">
        <v>1754</v>
      </c>
      <c r="K171" s="1222" t="s">
        <v>1754</v>
      </c>
      <c r="L171" s="1222"/>
    </row>
    <row r="172" spans="1:12">
      <c r="A172" s="1222">
        <f>SUBTOTAL(103,$C$7:C172)</f>
        <v>166</v>
      </c>
      <c r="B172" s="1222"/>
      <c r="C172" s="1222" t="s">
        <v>435</v>
      </c>
      <c r="D172" s="1253" t="s">
        <v>49</v>
      </c>
      <c r="E172" s="1222" t="s">
        <v>50</v>
      </c>
      <c r="F172" s="1224" t="s">
        <v>255</v>
      </c>
      <c r="G172" s="1224" t="s">
        <v>255</v>
      </c>
      <c r="H172" s="1222" t="s">
        <v>255</v>
      </c>
      <c r="I172" s="1222" t="s">
        <v>1754</v>
      </c>
      <c r="J172" s="1222" t="s">
        <v>1754</v>
      </c>
      <c r="K172" s="1222" t="s">
        <v>1754</v>
      </c>
      <c r="L172" s="1222"/>
    </row>
    <row r="173" spans="1:12">
      <c r="A173" s="1222">
        <f>SUBTOTAL(103,$C$7:C173)</f>
        <v>167</v>
      </c>
      <c r="B173" s="1222"/>
      <c r="C173" s="1222" t="s">
        <v>436</v>
      </c>
      <c r="D173" s="1253" t="s">
        <v>2</v>
      </c>
      <c r="E173" s="1222" t="s">
        <v>50</v>
      </c>
      <c r="F173" s="1224" t="s">
        <v>255</v>
      </c>
      <c r="G173" s="1224" t="s">
        <v>255</v>
      </c>
      <c r="H173" s="1222" t="s">
        <v>255</v>
      </c>
      <c r="I173" s="1222" t="s">
        <v>1754</v>
      </c>
      <c r="J173" s="1222" t="s">
        <v>1754</v>
      </c>
      <c r="K173" s="1222" t="s">
        <v>1754</v>
      </c>
      <c r="L173" s="1222"/>
    </row>
    <row r="174" spans="1:12">
      <c r="A174" s="1222">
        <f>SUBTOTAL(103,$C$7:C174)</f>
        <v>168</v>
      </c>
      <c r="B174" s="1222"/>
      <c r="C174" s="1222" t="s">
        <v>437</v>
      </c>
      <c r="D174" s="1253" t="s">
        <v>49</v>
      </c>
      <c r="E174" s="1222" t="s">
        <v>50</v>
      </c>
      <c r="F174" s="1224" t="s">
        <v>255</v>
      </c>
      <c r="G174" s="1224" t="s">
        <v>255</v>
      </c>
      <c r="H174" s="1222" t="s">
        <v>255</v>
      </c>
      <c r="I174" s="1222" t="s">
        <v>1754</v>
      </c>
      <c r="J174" s="1222" t="s">
        <v>1754</v>
      </c>
      <c r="K174" s="1222" t="s">
        <v>1754</v>
      </c>
      <c r="L174" s="1222"/>
    </row>
    <row r="175" spans="1:12">
      <c r="A175" s="1222">
        <f>SUBTOTAL(103,$C$7:C175)</f>
        <v>169</v>
      </c>
      <c r="B175" s="1222"/>
      <c r="C175" s="1222" t="s">
        <v>438</v>
      </c>
      <c r="D175" s="1253" t="s">
        <v>3</v>
      </c>
      <c r="E175" s="1222" t="s">
        <v>50</v>
      </c>
      <c r="F175" s="1224" t="s">
        <v>255</v>
      </c>
      <c r="G175" s="1224" t="s">
        <v>255</v>
      </c>
      <c r="H175" s="1222" t="s">
        <v>255</v>
      </c>
      <c r="I175" s="1222" t="s">
        <v>1754</v>
      </c>
      <c r="J175" s="1222" t="s">
        <v>1754</v>
      </c>
      <c r="K175" s="1222" t="s">
        <v>1754</v>
      </c>
      <c r="L175" s="1222"/>
    </row>
    <row r="176" spans="1:12">
      <c r="A176" s="1222">
        <f>SUBTOTAL(103,$C$7:C176)</f>
        <v>170</v>
      </c>
      <c r="B176" s="1222"/>
      <c r="C176" s="1222" t="s">
        <v>439</v>
      </c>
      <c r="D176" s="1253" t="s">
        <v>79</v>
      </c>
      <c r="E176" s="1222" t="s">
        <v>50</v>
      </c>
      <c r="F176" s="1224" t="s">
        <v>255</v>
      </c>
      <c r="G176" s="1224" t="s">
        <v>255</v>
      </c>
      <c r="H176" s="1222" t="s">
        <v>255</v>
      </c>
      <c r="I176" s="1222" t="s">
        <v>1754</v>
      </c>
      <c r="J176" s="1222" t="s">
        <v>1754</v>
      </c>
      <c r="K176" s="1222" t="s">
        <v>1754</v>
      </c>
      <c r="L176" s="1222"/>
    </row>
    <row r="177" spans="1:12">
      <c r="A177" s="1222">
        <f>SUBTOTAL(103,$C$7:C177)</f>
        <v>171</v>
      </c>
      <c r="B177" s="1222"/>
      <c r="C177" s="1222" t="s">
        <v>440</v>
      </c>
      <c r="D177" s="1253" t="s">
        <v>4</v>
      </c>
      <c r="E177" s="1222" t="s">
        <v>50</v>
      </c>
      <c r="F177" s="1224" t="s">
        <v>255</v>
      </c>
      <c r="G177" s="1224" t="s">
        <v>255</v>
      </c>
      <c r="H177" s="1222" t="s">
        <v>255</v>
      </c>
      <c r="I177" s="1222" t="s">
        <v>1754</v>
      </c>
      <c r="J177" s="1222" t="s">
        <v>1754</v>
      </c>
      <c r="K177" s="1222" t="s">
        <v>1754</v>
      </c>
      <c r="L177" s="1222"/>
    </row>
    <row r="178" spans="1:12">
      <c r="A178" s="1222">
        <f>SUBTOTAL(103,$C$7:C178)</f>
        <v>172</v>
      </c>
      <c r="B178" s="1222"/>
      <c r="C178" s="1222" t="s">
        <v>441</v>
      </c>
      <c r="D178" s="1253" t="s">
        <v>2</v>
      </c>
      <c r="E178" s="1222" t="s">
        <v>50</v>
      </c>
      <c r="F178" s="1224" t="s">
        <v>255</v>
      </c>
      <c r="G178" s="1224" t="s">
        <v>255</v>
      </c>
      <c r="H178" s="1222" t="s">
        <v>255</v>
      </c>
      <c r="I178" s="1222" t="s">
        <v>1754</v>
      </c>
      <c r="J178" s="1222" t="s">
        <v>1754</v>
      </c>
      <c r="K178" s="1222" t="s">
        <v>1754</v>
      </c>
      <c r="L178" s="1222"/>
    </row>
    <row r="179" spans="1:12">
      <c r="A179" s="1222">
        <f>SUBTOTAL(103,$C$7:C179)</f>
        <v>173</v>
      </c>
      <c r="B179" s="1222"/>
      <c r="C179" s="1222" t="s">
        <v>442</v>
      </c>
      <c r="D179" s="1253" t="s">
        <v>4</v>
      </c>
      <c r="E179" s="1222" t="s">
        <v>50</v>
      </c>
      <c r="F179" s="1224" t="s">
        <v>255</v>
      </c>
      <c r="G179" s="1224" t="s">
        <v>255</v>
      </c>
      <c r="H179" s="1222" t="s">
        <v>255</v>
      </c>
      <c r="I179" s="1222" t="s">
        <v>1754</v>
      </c>
      <c r="J179" s="1222" t="s">
        <v>1754</v>
      </c>
      <c r="K179" s="1222" t="s">
        <v>1754</v>
      </c>
      <c r="L179" s="1222"/>
    </row>
    <row r="180" spans="1:12">
      <c r="A180" s="1222">
        <f>SUBTOTAL(103,$C$7:C180)</f>
        <v>174</v>
      </c>
      <c r="B180" s="1222"/>
      <c r="C180" s="1222" t="s">
        <v>443</v>
      </c>
      <c r="D180" s="1253" t="s">
        <v>2</v>
      </c>
      <c r="E180" s="1222" t="s">
        <v>50</v>
      </c>
      <c r="F180" s="1224" t="s">
        <v>255</v>
      </c>
      <c r="G180" s="1224" t="s">
        <v>255</v>
      </c>
      <c r="H180" s="1222" t="s">
        <v>255</v>
      </c>
      <c r="I180" s="1222" t="s">
        <v>1754</v>
      </c>
      <c r="J180" s="1222" t="s">
        <v>1754</v>
      </c>
      <c r="K180" s="1222" t="s">
        <v>1754</v>
      </c>
      <c r="L180" s="1222"/>
    </row>
    <row r="181" spans="1:12">
      <c r="A181" s="1222">
        <f>SUBTOTAL(103,$C$7:C181)</f>
        <v>175</v>
      </c>
      <c r="B181" s="1222" t="s">
        <v>566</v>
      </c>
      <c r="C181" s="1222" t="s">
        <v>9</v>
      </c>
      <c r="D181" s="1253" t="s">
        <v>197</v>
      </c>
      <c r="E181" s="1222" t="s">
        <v>50</v>
      </c>
      <c r="F181" s="1224" t="s">
        <v>255</v>
      </c>
      <c r="G181" s="1224" t="s">
        <v>255</v>
      </c>
      <c r="H181" s="1222" t="s">
        <v>255</v>
      </c>
      <c r="I181" s="1222" t="s">
        <v>1754</v>
      </c>
      <c r="J181" s="1222" t="s">
        <v>1754</v>
      </c>
      <c r="K181" s="1222" t="s">
        <v>1754</v>
      </c>
      <c r="L181" s="1222"/>
    </row>
    <row r="182" spans="1:12">
      <c r="A182" s="1222">
        <f>SUBTOTAL(103,$C$7:C182)</f>
        <v>176</v>
      </c>
      <c r="B182" s="1222"/>
      <c r="C182" s="1222" t="s">
        <v>82</v>
      </c>
      <c r="D182" s="1253" t="s">
        <v>2</v>
      </c>
      <c r="E182" s="1222" t="s">
        <v>50</v>
      </c>
      <c r="F182" s="1224" t="s">
        <v>255</v>
      </c>
      <c r="G182" s="1224" t="s">
        <v>255</v>
      </c>
      <c r="H182" s="1222" t="s">
        <v>255</v>
      </c>
      <c r="I182" s="1222" t="s">
        <v>1754</v>
      </c>
      <c r="J182" s="1222" t="s">
        <v>1754</v>
      </c>
      <c r="K182" s="1222" t="s">
        <v>1754</v>
      </c>
      <c r="L182" s="1222"/>
    </row>
    <row r="183" spans="1:12">
      <c r="A183" s="1222">
        <f>SUBTOTAL(103,$C$7:C183)</f>
        <v>177</v>
      </c>
      <c r="B183" s="1222"/>
      <c r="C183" s="1222" t="s">
        <v>163</v>
      </c>
      <c r="D183" s="1253" t="s">
        <v>170</v>
      </c>
      <c r="E183" s="1222" t="s">
        <v>50</v>
      </c>
      <c r="F183" s="1224" t="s">
        <v>255</v>
      </c>
      <c r="G183" s="1224" t="s">
        <v>255</v>
      </c>
      <c r="H183" s="1222" t="s">
        <v>255</v>
      </c>
      <c r="I183" s="1222" t="s">
        <v>1754</v>
      </c>
      <c r="J183" s="1222" t="s">
        <v>1754</v>
      </c>
      <c r="K183" s="1222" t="s">
        <v>1754</v>
      </c>
      <c r="L183" s="1222"/>
    </row>
    <row r="184" spans="1:12">
      <c r="A184" s="1222">
        <f>SUBTOTAL(103,$C$7:C184)</f>
        <v>178</v>
      </c>
      <c r="B184" s="1222"/>
      <c r="C184" s="1222" t="s">
        <v>164</v>
      </c>
      <c r="D184" s="1253" t="s">
        <v>2</v>
      </c>
      <c r="E184" s="1222" t="s">
        <v>50</v>
      </c>
      <c r="F184" s="1224" t="s">
        <v>255</v>
      </c>
      <c r="G184" s="1224" t="s">
        <v>255</v>
      </c>
      <c r="H184" s="1222" t="s">
        <v>255</v>
      </c>
      <c r="I184" s="1222" t="s">
        <v>1754</v>
      </c>
      <c r="J184" s="1222" t="s">
        <v>1754</v>
      </c>
      <c r="K184" s="1222" t="s">
        <v>1754</v>
      </c>
      <c r="L184" s="1222"/>
    </row>
    <row r="185" spans="1:12">
      <c r="A185" s="1222">
        <f>SUBTOTAL(103,$C$7:C185)</f>
        <v>179</v>
      </c>
      <c r="B185" s="1222"/>
      <c r="C185" s="1222" t="s">
        <v>444</v>
      </c>
      <c r="D185" s="1253" t="s">
        <v>154</v>
      </c>
      <c r="E185" s="1222" t="s">
        <v>50</v>
      </c>
      <c r="F185" s="1224" t="s">
        <v>255</v>
      </c>
      <c r="G185" s="1224" t="s">
        <v>255</v>
      </c>
      <c r="H185" s="1222" t="s">
        <v>255</v>
      </c>
      <c r="I185" s="1222" t="s">
        <v>1754</v>
      </c>
      <c r="J185" s="1222" t="s">
        <v>1754</v>
      </c>
      <c r="K185" s="1222" t="s">
        <v>1754</v>
      </c>
      <c r="L185" s="1222"/>
    </row>
    <row r="186" spans="1:12">
      <c r="A186" s="1222">
        <f>SUBTOTAL(103,$C$7:C186)</f>
        <v>180</v>
      </c>
      <c r="B186" s="1222"/>
      <c r="C186" s="1222" t="s">
        <v>445</v>
      </c>
      <c r="D186" s="1253" t="s">
        <v>79</v>
      </c>
      <c r="E186" s="1222" t="s">
        <v>50</v>
      </c>
      <c r="F186" s="1224" t="s">
        <v>255</v>
      </c>
      <c r="G186" s="1224" t="s">
        <v>255</v>
      </c>
      <c r="H186" s="1222" t="s">
        <v>255</v>
      </c>
      <c r="I186" s="1222" t="s">
        <v>1754</v>
      </c>
      <c r="J186" s="1222" t="s">
        <v>1754</v>
      </c>
      <c r="K186" s="1222" t="s">
        <v>1754</v>
      </c>
      <c r="L186" s="1222"/>
    </row>
    <row r="187" spans="1:12">
      <c r="A187" s="1222">
        <f>SUBTOTAL(103,$C$7:C187)</f>
        <v>181</v>
      </c>
      <c r="B187" s="1222"/>
      <c r="C187" s="1222" t="s">
        <v>446</v>
      </c>
      <c r="D187" s="1253" t="s">
        <v>49</v>
      </c>
      <c r="E187" s="1222" t="s">
        <v>50</v>
      </c>
      <c r="F187" s="1224" t="s">
        <v>255</v>
      </c>
      <c r="G187" s="1224" t="s">
        <v>255</v>
      </c>
      <c r="H187" s="1222" t="s">
        <v>255</v>
      </c>
      <c r="I187" s="1222" t="s">
        <v>1754</v>
      </c>
      <c r="J187" s="1222" t="s">
        <v>1754</v>
      </c>
      <c r="K187" s="1222" t="s">
        <v>1754</v>
      </c>
      <c r="L187" s="1222"/>
    </row>
    <row r="188" spans="1:12">
      <c r="A188" s="1222">
        <f>SUBTOTAL(103,$C$7:C188)</f>
        <v>182</v>
      </c>
      <c r="B188" s="1222"/>
      <c r="C188" s="1222" t="s">
        <v>447</v>
      </c>
      <c r="D188" s="1253" t="s">
        <v>3</v>
      </c>
      <c r="E188" s="1222" t="s">
        <v>50</v>
      </c>
      <c r="F188" s="1224" t="s">
        <v>255</v>
      </c>
      <c r="G188" s="1224" t="s">
        <v>255</v>
      </c>
      <c r="H188" s="1222" t="s">
        <v>255</v>
      </c>
      <c r="I188" s="1222" t="s">
        <v>1754</v>
      </c>
      <c r="J188" s="1222" t="s">
        <v>1754</v>
      </c>
      <c r="K188" s="1222" t="s">
        <v>1754</v>
      </c>
      <c r="L188" s="1222"/>
    </row>
    <row r="189" spans="1:12">
      <c r="A189" s="1222">
        <f>SUBTOTAL(103,$C$7:C189)</f>
        <v>183</v>
      </c>
      <c r="B189" s="1222"/>
      <c r="C189" s="1222" t="s">
        <v>448</v>
      </c>
      <c r="D189" s="1253" t="s">
        <v>3</v>
      </c>
      <c r="E189" s="1222" t="s">
        <v>50</v>
      </c>
      <c r="F189" s="1224" t="s">
        <v>255</v>
      </c>
      <c r="G189" s="1224" t="s">
        <v>255</v>
      </c>
      <c r="H189" s="1222" t="s">
        <v>255</v>
      </c>
      <c r="I189" s="1222" t="s">
        <v>1754</v>
      </c>
      <c r="J189" s="1222" t="s">
        <v>1754</v>
      </c>
      <c r="K189" s="1222" t="s">
        <v>1754</v>
      </c>
      <c r="L189" s="1222"/>
    </row>
    <row r="190" spans="1:12">
      <c r="A190" s="1222">
        <f>SUBTOTAL(103,$C$7:C190)</f>
        <v>184</v>
      </c>
      <c r="B190" s="1222"/>
      <c r="C190" s="1222" t="s">
        <v>449</v>
      </c>
      <c r="D190" s="1253" t="s">
        <v>170</v>
      </c>
      <c r="E190" s="1222" t="s">
        <v>50</v>
      </c>
      <c r="F190" s="1224" t="s">
        <v>255</v>
      </c>
      <c r="G190" s="1224" t="s">
        <v>255</v>
      </c>
      <c r="H190" s="1222" t="s">
        <v>255</v>
      </c>
      <c r="I190" s="1222" t="s">
        <v>1754</v>
      </c>
      <c r="J190" s="1222" t="s">
        <v>1754</v>
      </c>
      <c r="K190" s="1222" t="s">
        <v>1754</v>
      </c>
      <c r="L190" s="1222"/>
    </row>
    <row r="191" spans="1:12">
      <c r="A191" s="1222">
        <f>SUBTOTAL(103,$C$7:C191)</f>
        <v>185</v>
      </c>
      <c r="B191" s="1222"/>
      <c r="C191" s="1222" t="s">
        <v>450</v>
      </c>
      <c r="D191" s="1253" t="s">
        <v>987</v>
      </c>
      <c r="E191" s="1222" t="s">
        <v>50</v>
      </c>
      <c r="F191" s="1224" t="s">
        <v>255</v>
      </c>
      <c r="G191" s="1224" t="s">
        <v>255</v>
      </c>
      <c r="H191" s="1222" t="s">
        <v>255</v>
      </c>
      <c r="I191" s="1222" t="s">
        <v>1754</v>
      </c>
      <c r="J191" s="1222" t="s">
        <v>1754</v>
      </c>
      <c r="K191" s="1222" t="s">
        <v>1754</v>
      </c>
      <c r="L191" s="1222"/>
    </row>
    <row r="192" spans="1:12">
      <c r="A192" s="1222">
        <f>SUBTOTAL(103,$C$7:C192)</f>
        <v>186</v>
      </c>
      <c r="B192" s="1222" t="s">
        <v>567</v>
      </c>
      <c r="C192" s="1222" t="s">
        <v>10</v>
      </c>
      <c r="D192" s="1253" t="s">
        <v>184</v>
      </c>
      <c r="E192" s="1222" t="s">
        <v>50</v>
      </c>
      <c r="F192" s="1224" t="s">
        <v>255</v>
      </c>
      <c r="G192" s="1224" t="s">
        <v>255</v>
      </c>
      <c r="H192" s="1222" t="s">
        <v>255</v>
      </c>
      <c r="I192" s="1222" t="s">
        <v>1754</v>
      </c>
      <c r="J192" s="1222" t="s">
        <v>1754</v>
      </c>
      <c r="K192" s="1222" t="s">
        <v>1754</v>
      </c>
      <c r="L192" s="1222"/>
    </row>
    <row r="193" spans="1:12">
      <c r="A193" s="1222">
        <f>SUBTOTAL(103,$C$7:C193)</f>
        <v>187</v>
      </c>
      <c r="B193" s="1222"/>
      <c r="C193" s="1222" t="s">
        <v>66</v>
      </c>
      <c r="D193" s="1253" t="s">
        <v>79</v>
      </c>
      <c r="E193" s="1222" t="s">
        <v>50</v>
      </c>
      <c r="F193" s="1224" t="s">
        <v>255</v>
      </c>
      <c r="G193" s="1224" t="s">
        <v>255</v>
      </c>
      <c r="H193" s="1222" t="s">
        <v>255</v>
      </c>
      <c r="I193" s="1222" t="s">
        <v>1754</v>
      </c>
      <c r="J193" s="1222" t="s">
        <v>1754</v>
      </c>
      <c r="K193" s="1222" t="s">
        <v>1754</v>
      </c>
      <c r="L193" s="1222"/>
    </row>
    <row r="194" spans="1:12">
      <c r="A194" s="1222">
        <f>SUBTOTAL(103,$C$7:C194)</f>
        <v>188</v>
      </c>
      <c r="B194" s="1222"/>
      <c r="C194" s="1222" t="s">
        <v>165</v>
      </c>
      <c r="D194" s="1253" t="s">
        <v>49</v>
      </c>
      <c r="E194" s="1222" t="s">
        <v>50</v>
      </c>
      <c r="F194" s="1224" t="s">
        <v>255</v>
      </c>
      <c r="G194" s="1224" t="s">
        <v>255</v>
      </c>
      <c r="H194" s="1222" t="s">
        <v>255</v>
      </c>
      <c r="I194" s="1222" t="s">
        <v>1754</v>
      </c>
      <c r="J194" s="1222" t="s">
        <v>1754</v>
      </c>
      <c r="K194" s="1222" t="s">
        <v>1754</v>
      </c>
      <c r="L194" s="1222"/>
    </row>
    <row r="195" spans="1:12">
      <c r="A195" s="1222">
        <f>SUBTOTAL(103,$C$7:C195)</f>
        <v>189</v>
      </c>
      <c r="B195" s="1222"/>
      <c r="C195" s="1222" t="s">
        <v>873</v>
      </c>
      <c r="D195" s="1253" t="s">
        <v>79</v>
      </c>
      <c r="E195" s="1222" t="s">
        <v>50</v>
      </c>
      <c r="F195" s="1224" t="s">
        <v>255</v>
      </c>
      <c r="G195" s="1224" t="s">
        <v>255</v>
      </c>
      <c r="H195" s="1222" t="s">
        <v>255</v>
      </c>
      <c r="I195" s="1222" t="s">
        <v>1754</v>
      </c>
      <c r="J195" s="1222" t="s">
        <v>1754</v>
      </c>
      <c r="K195" s="1222" t="s">
        <v>1754</v>
      </c>
      <c r="L195" s="1222"/>
    </row>
    <row r="196" spans="1:12">
      <c r="A196" s="1222">
        <f>SUBTOTAL(103,$C$7:C196)</f>
        <v>190</v>
      </c>
      <c r="B196" s="1222"/>
      <c r="C196" s="1222" t="s">
        <v>874</v>
      </c>
      <c r="D196" s="1253" t="s">
        <v>49</v>
      </c>
      <c r="E196" s="1222" t="s">
        <v>50</v>
      </c>
      <c r="F196" s="1224" t="s">
        <v>255</v>
      </c>
      <c r="G196" s="1224" t="s">
        <v>255</v>
      </c>
      <c r="H196" s="1222" t="s">
        <v>255</v>
      </c>
      <c r="I196" s="1222" t="s">
        <v>1754</v>
      </c>
      <c r="J196" s="1222" t="s">
        <v>1754</v>
      </c>
      <c r="K196" s="1222" t="s">
        <v>1754</v>
      </c>
      <c r="L196" s="1222"/>
    </row>
    <row r="197" spans="1:12">
      <c r="A197" s="1222">
        <f>SUBTOTAL(103,$C$7:C197)</f>
        <v>191</v>
      </c>
      <c r="B197" s="1222"/>
      <c r="C197" s="1222" t="s">
        <v>875</v>
      </c>
      <c r="D197" s="1253" t="s">
        <v>49</v>
      </c>
      <c r="E197" s="1222" t="s">
        <v>50</v>
      </c>
      <c r="F197" s="1224" t="s">
        <v>255</v>
      </c>
      <c r="G197" s="1224" t="s">
        <v>255</v>
      </c>
      <c r="H197" s="1222" t="s">
        <v>255</v>
      </c>
      <c r="I197" s="1222" t="s">
        <v>1754</v>
      </c>
      <c r="J197" s="1222" t="s">
        <v>1754</v>
      </c>
      <c r="K197" s="1222" t="s">
        <v>1754</v>
      </c>
      <c r="L197" s="1222"/>
    </row>
    <row r="198" spans="1:12">
      <c r="A198" s="1222">
        <f>SUBTOTAL(103,$C$7:C198)</f>
        <v>192</v>
      </c>
      <c r="B198" s="1222"/>
      <c r="C198" s="1222" t="s">
        <v>876</v>
      </c>
      <c r="D198" s="1253" t="s">
        <v>49</v>
      </c>
      <c r="E198" s="1222" t="s">
        <v>50</v>
      </c>
      <c r="F198" s="1224" t="s">
        <v>255</v>
      </c>
      <c r="G198" s="1224" t="s">
        <v>255</v>
      </c>
      <c r="H198" s="1222" t="s">
        <v>255</v>
      </c>
      <c r="I198" s="1222" t="s">
        <v>1754</v>
      </c>
      <c r="J198" s="1222" t="s">
        <v>1754</v>
      </c>
      <c r="K198" s="1222" t="s">
        <v>1754</v>
      </c>
      <c r="L198" s="1222"/>
    </row>
    <row r="199" spans="1:12">
      <c r="A199" s="1222">
        <f>SUBTOTAL(103,$C$7:C199)</f>
        <v>193</v>
      </c>
      <c r="B199" s="1222"/>
      <c r="C199" s="1222" t="s">
        <v>877</v>
      </c>
      <c r="D199" s="1253" t="s">
        <v>2</v>
      </c>
      <c r="E199" s="1222" t="s">
        <v>50</v>
      </c>
      <c r="F199" s="1224" t="s">
        <v>255</v>
      </c>
      <c r="G199" s="1224" t="s">
        <v>255</v>
      </c>
      <c r="H199" s="1222" t="s">
        <v>255</v>
      </c>
      <c r="I199" s="1222" t="s">
        <v>1754</v>
      </c>
      <c r="J199" s="1222" t="s">
        <v>1754</v>
      </c>
      <c r="K199" s="1222" t="s">
        <v>1754</v>
      </c>
      <c r="L199" s="1222"/>
    </row>
    <row r="200" spans="1:12">
      <c r="A200" s="1222">
        <f>SUBTOTAL(103,$C$7:C200)</f>
        <v>194</v>
      </c>
      <c r="B200" s="1222" t="s">
        <v>905</v>
      </c>
      <c r="C200" s="1222" t="s">
        <v>773</v>
      </c>
      <c r="D200" s="1253" t="s">
        <v>211</v>
      </c>
      <c r="E200" s="1222" t="s">
        <v>50</v>
      </c>
      <c r="F200" s="1224" t="s">
        <v>255</v>
      </c>
      <c r="G200" s="1224" t="s">
        <v>255</v>
      </c>
      <c r="H200" s="1222" t="s">
        <v>255</v>
      </c>
      <c r="I200" s="1222" t="s">
        <v>1754</v>
      </c>
      <c r="J200" s="1222" t="s">
        <v>1754</v>
      </c>
      <c r="K200" s="1222" t="s">
        <v>1754</v>
      </c>
      <c r="L200" s="1222"/>
    </row>
    <row r="201" spans="1:12">
      <c r="A201" s="1222">
        <f>SUBTOTAL(103,$C$7:C201)</f>
        <v>195</v>
      </c>
      <c r="B201" s="1222"/>
      <c r="C201" s="1222" t="s">
        <v>774</v>
      </c>
      <c r="D201" s="1253" t="s">
        <v>79</v>
      </c>
      <c r="E201" s="1222" t="s">
        <v>50</v>
      </c>
      <c r="F201" s="1224" t="s">
        <v>255</v>
      </c>
      <c r="G201" s="1224" t="s">
        <v>255</v>
      </c>
      <c r="H201" s="1222" t="s">
        <v>255</v>
      </c>
      <c r="I201" s="1222" t="s">
        <v>1754</v>
      </c>
      <c r="J201" s="1222" t="s">
        <v>1754</v>
      </c>
      <c r="K201" s="1222" t="s">
        <v>1754</v>
      </c>
      <c r="L201" s="1222"/>
    </row>
    <row r="202" spans="1:12">
      <c r="A202" s="1222">
        <f>SUBTOTAL(103,$C$7:C202)</f>
        <v>196</v>
      </c>
      <c r="B202" s="1222" t="s">
        <v>568</v>
      </c>
      <c r="C202" s="1222" t="s">
        <v>67</v>
      </c>
      <c r="D202" s="1253" t="s">
        <v>211</v>
      </c>
      <c r="E202" s="1222" t="s">
        <v>50</v>
      </c>
      <c r="F202" s="1224" t="s">
        <v>255</v>
      </c>
      <c r="G202" s="1224" t="s">
        <v>255</v>
      </c>
      <c r="H202" s="1222" t="s">
        <v>255</v>
      </c>
      <c r="I202" s="1222" t="s">
        <v>1754</v>
      </c>
      <c r="J202" s="1222" t="s">
        <v>1754</v>
      </c>
      <c r="K202" s="1222" t="s">
        <v>1754</v>
      </c>
      <c r="L202" s="1222"/>
    </row>
    <row r="203" spans="1:12">
      <c r="A203" s="1222">
        <f>SUBTOTAL(103,$C$7:C203)</f>
        <v>197</v>
      </c>
      <c r="B203" s="1222"/>
      <c r="C203" s="1222" t="s">
        <v>68</v>
      </c>
      <c r="D203" s="1253" t="s">
        <v>49</v>
      </c>
      <c r="E203" s="1222" t="s">
        <v>50</v>
      </c>
      <c r="F203" s="1224" t="s">
        <v>255</v>
      </c>
      <c r="G203" s="1224" t="s">
        <v>255</v>
      </c>
      <c r="H203" s="1222" t="s">
        <v>255</v>
      </c>
      <c r="I203" s="1222" t="s">
        <v>1754</v>
      </c>
      <c r="J203" s="1222" t="s">
        <v>1754</v>
      </c>
      <c r="K203" s="1222" t="s">
        <v>1754</v>
      </c>
      <c r="L203" s="1222"/>
    </row>
    <row r="204" spans="1:12">
      <c r="A204" s="1222">
        <f>SUBTOTAL(103,$C$7:C204)</f>
        <v>198</v>
      </c>
      <c r="B204" s="1222"/>
      <c r="C204" s="1222" t="s">
        <v>69</v>
      </c>
      <c r="D204" s="1253" t="s">
        <v>49</v>
      </c>
      <c r="E204" s="1222" t="s">
        <v>50</v>
      </c>
      <c r="F204" s="1224" t="s">
        <v>255</v>
      </c>
      <c r="G204" s="1224" t="s">
        <v>255</v>
      </c>
      <c r="H204" s="1222" t="s">
        <v>255</v>
      </c>
      <c r="I204" s="1222" t="s">
        <v>1754</v>
      </c>
      <c r="J204" s="1222" t="s">
        <v>1754</v>
      </c>
      <c r="K204" s="1222" t="s">
        <v>1754</v>
      </c>
      <c r="L204" s="1222"/>
    </row>
    <row r="205" spans="1:12">
      <c r="A205" s="1222">
        <f>SUBTOTAL(103,$C$7:C205)</f>
        <v>199</v>
      </c>
      <c r="B205" s="1222"/>
      <c r="C205" s="1222" t="s">
        <v>70</v>
      </c>
      <c r="D205" s="1253" t="s">
        <v>2</v>
      </c>
      <c r="E205" s="1222" t="s">
        <v>50</v>
      </c>
      <c r="F205" s="1224" t="s">
        <v>255</v>
      </c>
      <c r="G205" s="1224" t="s">
        <v>255</v>
      </c>
      <c r="H205" s="1222" t="s">
        <v>255</v>
      </c>
      <c r="I205" s="1222" t="s">
        <v>1754</v>
      </c>
      <c r="J205" s="1222" t="s">
        <v>1754</v>
      </c>
      <c r="K205" s="1222" t="s">
        <v>1754</v>
      </c>
      <c r="L205" s="1222"/>
    </row>
    <row r="206" spans="1:12">
      <c r="A206" s="1222">
        <f>SUBTOTAL(103,$C$7:C206)</f>
        <v>200</v>
      </c>
      <c r="B206" s="1222"/>
      <c r="C206" s="1222" t="s">
        <v>187</v>
      </c>
      <c r="D206" s="1253" t="s">
        <v>2</v>
      </c>
      <c r="E206" s="1222" t="s">
        <v>50</v>
      </c>
      <c r="F206" s="1224" t="s">
        <v>255</v>
      </c>
      <c r="G206" s="1224" t="s">
        <v>255</v>
      </c>
      <c r="H206" s="1222" t="s">
        <v>255</v>
      </c>
      <c r="I206" s="1222" t="s">
        <v>1754</v>
      </c>
      <c r="J206" s="1222" t="s">
        <v>1754</v>
      </c>
      <c r="K206" s="1222" t="s">
        <v>1754</v>
      </c>
      <c r="L206" s="1222"/>
    </row>
    <row r="207" spans="1:12">
      <c r="A207" s="1222">
        <f>SUBTOTAL(103,$C$7:C207)</f>
        <v>201</v>
      </c>
      <c r="B207" s="1222"/>
      <c r="C207" s="1222" t="s">
        <v>569</v>
      </c>
      <c r="D207" s="1253" t="s">
        <v>3</v>
      </c>
      <c r="E207" s="1222" t="s">
        <v>50</v>
      </c>
      <c r="F207" s="1224" t="s">
        <v>255</v>
      </c>
      <c r="G207" s="1224" t="s">
        <v>255</v>
      </c>
      <c r="H207" s="1222" t="s">
        <v>255</v>
      </c>
      <c r="I207" s="1222" t="s">
        <v>1754</v>
      </c>
      <c r="J207" s="1222" t="s">
        <v>1754</v>
      </c>
      <c r="K207" s="1222" t="s">
        <v>1754</v>
      </c>
      <c r="L207" s="1222"/>
    </row>
    <row r="208" spans="1:12">
      <c r="A208" s="1222">
        <f>SUBTOTAL(103,$C$7:C208)</f>
        <v>202</v>
      </c>
      <c r="B208" s="1222"/>
      <c r="C208" s="1222" t="s">
        <v>570</v>
      </c>
      <c r="D208" s="1253" t="s">
        <v>79</v>
      </c>
      <c r="E208" s="1222" t="s">
        <v>50</v>
      </c>
      <c r="F208" s="1224" t="s">
        <v>255</v>
      </c>
      <c r="G208" s="1224" t="s">
        <v>255</v>
      </c>
      <c r="H208" s="1222" t="s">
        <v>255</v>
      </c>
      <c r="I208" s="1222" t="s">
        <v>1754</v>
      </c>
      <c r="J208" s="1222" t="s">
        <v>1754</v>
      </c>
      <c r="K208" s="1222" t="s">
        <v>1754</v>
      </c>
      <c r="L208" s="1222"/>
    </row>
    <row r="209" spans="1:12">
      <c r="A209" s="1222">
        <f>SUBTOTAL(103,$C$7:C209)</f>
        <v>203</v>
      </c>
      <c r="B209" s="1222"/>
      <c r="C209" s="1222" t="s">
        <v>571</v>
      </c>
      <c r="D209" s="1253" t="s">
        <v>79</v>
      </c>
      <c r="E209" s="1222" t="s">
        <v>50</v>
      </c>
      <c r="F209" s="1224" t="s">
        <v>255</v>
      </c>
      <c r="G209" s="1224" t="s">
        <v>255</v>
      </c>
      <c r="H209" s="1222" t="s">
        <v>255</v>
      </c>
      <c r="I209" s="1222" t="s">
        <v>1754</v>
      </c>
      <c r="J209" s="1222" t="s">
        <v>1754</v>
      </c>
      <c r="K209" s="1222" t="s">
        <v>1754</v>
      </c>
      <c r="L209" s="1222"/>
    </row>
    <row r="210" spans="1:12">
      <c r="A210" s="1222">
        <f>SUBTOTAL(103,$C$7:C210)</f>
        <v>204</v>
      </c>
      <c r="B210" s="1222"/>
      <c r="C210" s="1222" t="s">
        <v>572</v>
      </c>
      <c r="D210" s="1253" t="s">
        <v>2</v>
      </c>
      <c r="E210" s="1222" t="s">
        <v>50</v>
      </c>
      <c r="F210" s="1224" t="s">
        <v>255</v>
      </c>
      <c r="G210" s="1224" t="s">
        <v>255</v>
      </c>
      <c r="H210" s="1222" t="s">
        <v>255</v>
      </c>
      <c r="I210" s="1222" t="s">
        <v>1754</v>
      </c>
      <c r="J210" s="1222" t="s">
        <v>1754</v>
      </c>
      <c r="K210" s="1222" t="s">
        <v>1754</v>
      </c>
      <c r="L210" s="1222"/>
    </row>
    <row r="211" spans="1:12">
      <c r="A211" s="1222">
        <f>SUBTOTAL(103,$C$7:C211)</f>
        <v>205</v>
      </c>
      <c r="B211" s="1222"/>
      <c r="C211" s="1222" t="s">
        <v>573</v>
      </c>
      <c r="D211" s="1253" t="s">
        <v>170</v>
      </c>
      <c r="E211" s="1222" t="s">
        <v>50</v>
      </c>
      <c r="F211" s="1224" t="s">
        <v>255</v>
      </c>
      <c r="G211" s="1224" t="s">
        <v>255</v>
      </c>
      <c r="H211" s="1222" t="s">
        <v>255</v>
      </c>
      <c r="I211" s="1222" t="s">
        <v>1754</v>
      </c>
      <c r="J211" s="1222" t="s">
        <v>1754</v>
      </c>
      <c r="K211" s="1222" t="s">
        <v>1754</v>
      </c>
      <c r="L211" s="1222"/>
    </row>
    <row r="212" spans="1:12">
      <c r="A212" s="1222">
        <f>SUBTOTAL(103,$C$7:C212)</f>
        <v>206</v>
      </c>
      <c r="B212" s="1222" t="s">
        <v>574</v>
      </c>
      <c r="C212" s="1222" t="s">
        <v>166</v>
      </c>
      <c r="D212" s="1253" t="s">
        <v>227</v>
      </c>
      <c r="E212" s="1222" t="s">
        <v>50</v>
      </c>
      <c r="F212" s="1224" t="s">
        <v>255</v>
      </c>
      <c r="G212" s="1224" t="s">
        <v>255</v>
      </c>
      <c r="H212" s="1222" t="s">
        <v>255</v>
      </c>
      <c r="I212" s="1222" t="s">
        <v>1754</v>
      </c>
      <c r="J212" s="1222" t="s">
        <v>1754</v>
      </c>
      <c r="K212" s="1222" t="s">
        <v>1754</v>
      </c>
      <c r="L212" s="1222"/>
    </row>
    <row r="213" spans="1:12">
      <c r="A213" s="1222">
        <f>SUBTOTAL(103,$C$7:C213)</f>
        <v>207</v>
      </c>
      <c r="B213" s="1222"/>
      <c r="C213" s="1222" t="s">
        <v>575</v>
      </c>
      <c r="D213" s="1253" t="s">
        <v>49</v>
      </c>
      <c r="E213" s="1222" t="s">
        <v>50</v>
      </c>
      <c r="F213" s="1224" t="s">
        <v>255</v>
      </c>
      <c r="G213" s="1224" t="s">
        <v>255</v>
      </c>
      <c r="H213" s="1222" t="s">
        <v>255</v>
      </c>
      <c r="I213" s="1222" t="s">
        <v>1754</v>
      </c>
      <c r="J213" s="1222" t="s">
        <v>1754</v>
      </c>
      <c r="K213" s="1222" t="s">
        <v>1754</v>
      </c>
      <c r="L213" s="1222"/>
    </row>
    <row r="214" spans="1:12">
      <c r="A214" s="1222">
        <f>SUBTOTAL(103,$C$7:C214)</f>
        <v>208</v>
      </c>
      <c r="B214" s="1222"/>
      <c r="C214" s="1222" t="s">
        <v>576</v>
      </c>
      <c r="D214" s="1253" t="s">
        <v>49</v>
      </c>
      <c r="E214" s="1222" t="s">
        <v>50</v>
      </c>
      <c r="F214" s="1224" t="s">
        <v>255</v>
      </c>
      <c r="G214" s="1224" t="s">
        <v>255</v>
      </c>
      <c r="H214" s="1222" t="s">
        <v>255</v>
      </c>
      <c r="I214" s="1222" t="s">
        <v>1754</v>
      </c>
      <c r="J214" s="1222" t="s">
        <v>1754</v>
      </c>
      <c r="K214" s="1222" t="s">
        <v>1754</v>
      </c>
      <c r="L214" s="1222"/>
    </row>
    <row r="215" spans="1:12">
      <c r="A215" s="1222">
        <f>SUBTOTAL(103,$C$7:C215)</f>
        <v>209</v>
      </c>
      <c r="B215" s="1222"/>
      <c r="C215" s="1222" t="s">
        <v>577</v>
      </c>
      <c r="D215" s="1253" t="s">
        <v>170</v>
      </c>
      <c r="E215" s="1222" t="s">
        <v>50</v>
      </c>
      <c r="F215" s="1224" t="s">
        <v>255</v>
      </c>
      <c r="G215" s="1224" t="s">
        <v>255</v>
      </c>
      <c r="H215" s="1222" t="s">
        <v>255</v>
      </c>
      <c r="I215" s="1222" t="s">
        <v>1754</v>
      </c>
      <c r="J215" s="1222" t="s">
        <v>1754</v>
      </c>
      <c r="K215" s="1222" t="s">
        <v>1754</v>
      </c>
      <c r="L215" s="1222"/>
    </row>
    <row r="216" spans="1:12">
      <c r="A216" s="1222">
        <f>SUBTOTAL(103,$C$7:C216)</f>
        <v>210</v>
      </c>
      <c r="B216" s="1222"/>
      <c r="C216" s="1222" t="s">
        <v>578</v>
      </c>
      <c r="D216" s="1253" t="s">
        <v>79</v>
      </c>
      <c r="E216" s="1222" t="s">
        <v>50</v>
      </c>
      <c r="F216" s="1224" t="s">
        <v>255</v>
      </c>
      <c r="G216" s="1224" t="s">
        <v>255</v>
      </c>
      <c r="H216" s="1222" t="s">
        <v>255</v>
      </c>
      <c r="I216" s="1222" t="s">
        <v>1754</v>
      </c>
      <c r="J216" s="1222" t="s">
        <v>1754</v>
      </c>
      <c r="K216" s="1222" t="s">
        <v>1754</v>
      </c>
      <c r="L216" s="1222"/>
    </row>
    <row r="217" spans="1:12">
      <c r="A217" s="1222">
        <f>SUBTOTAL(103,$C$7:C217)</f>
        <v>211</v>
      </c>
      <c r="B217" s="1222"/>
      <c r="C217" s="1222" t="s">
        <v>579</v>
      </c>
      <c r="D217" s="1253" t="s">
        <v>49</v>
      </c>
      <c r="E217" s="1222" t="s">
        <v>50</v>
      </c>
      <c r="F217" s="1224" t="s">
        <v>255</v>
      </c>
      <c r="G217" s="1224" t="s">
        <v>255</v>
      </c>
      <c r="H217" s="1222" t="s">
        <v>255</v>
      </c>
      <c r="I217" s="1222" t="s">
        <v>1754</v>
      </c>
      <c r="J217" s="1222" t="s">
        <v>1754</v>
      </c>
      <c r="K217" s="1222" t="s">
        <v>1754</v>
      </c>
      <c r="L217" s="1222"/>
    </row>
    <row r="218" spans="1:12">
      <c r="A218" s="1222">
        <f>SUBTOTAL(103,$C$7:C218)</f>
        <v>212</v>
      </c>
      <c r="B218" s="1222"/>
      <c r="C218" s="1222" t="s">
        <v>580</v>
      </c>
      <c r="D218" s="1253" t="s">
        <v>2</v>
      </c>
      <c r="E218" s="1222" t="s">
        <v>50</v>
      </c>
      <c r="F218" s="1224" t="s">
        <v>255</v>
      </c>
      <c r="G218" s="1224" t="s">
        <v>255</v>
      </c>
      <c r="H218" s="1222" t="s">
        <v>255</v>
      </c>
      <c r="I218" s="1222" t="s">
        <v>1754</v>
      </c>
      <c r="J218" s="1222" t="s">
        <v>1754</v>
      </c>
      <c r="K218" s="1222" t="s">
        <v>1754</v>
      </c>
      <c r="L218" s="1222"/>
    </row>
    <row r="219" spans="1:12">
      <c r="A219" s="1222">
        <f>SUBTOTAL(103,$C$7:C219)</f>
        <v>213</v>
      </c>
      <c r="B219" s="1222"/>
      <c r="C219" s="1222" t="s">
        <v>581</v>
      </c>
      <c r="D219" s="1253" t="s">
        <v>3</v>
      </c>
      <c r="E219" s="1222" t="s">
        <v>50</v>
      </c>
      <c r="F219" s="1224" t="s">
        <v>255</v>
      </c>
      <c r="G219" s="1224" t="s">
        <v>255</v>
      </c>
      <c r="H219" s="1222" t="s">
        <v>255</v>
      </c>
      <c r="I219" s="1222" t="s">
        <v>1754</v>
      </c>
      <c r="J219" s="1222" t="s">
        <v>1754</v>
      </c>
      <c r="K219" s="1222" t="s">
        <v>1754</v>
      </c>
      <c r="L219" s="1222"/>
    </row>
    <row r="220" spans="1:12">
      <c r="A220" s="1222">
        <f>SUBTOTAL(103,$C$7:C220)</f>
        <v>214</v>
      </c>
      <c r="B220" s="1222"/>
      <c r="C220" s="1222" t="s">
        <v>582</v>
      </c>
      <c r="D220" s="1253" t="s">
        <v>3</v>
      </c>
      <c r="E220" s="1222" t="s">
        <v>50</v>
      </c>
      <c r="F220" s="1224" t="s">
        <v>255</v>
      </c>
      <c r="G220" s="1224" t="s">
        <v>255</v>
      </c>
      <c r="H220" s="1222" t="s">
        <v>255</v>
      </c>
      <c r="I220" s="1222" t="s">
        <v>1754</v>
      </c>
      <c r="J220" s="1222" t="s">
        <v>1754</v>
      </c>
      <c r="K220" s="1222" t="s">
        <v>1754</v>
      </c>
      <c r="L220" s="1222"/>
    </row>
    <row r="221" spans="1:12">
      <c r="A221" s="1222">
        <f>SUBTOTAL(103,$C$7:C221)</f>
        <v>215</v>
      </c>
      <c r="B221" s="1222"/>
      <c r="C221" s="1222" t="s">
        <v>583</v>
      </c>
      <c r="D221" s="1253" t="s">
        <v>170</v>
      </c>
      <c r="E221" s="1222" t="s">
        <v>50</v>
      </c>
      <c r="F221" s="1224" t="s">
        <v>255</v>
      </c>
      <c r="G221" s="1224" t="s">
        <v>255</v>
      </c>
      <c r="H221" s="1222" t="s">
        <v>255</v>
      </c>
      <c r="I221" s="1222" t="s">
        <v>1754</v>
      </c>
      <c r="J221" s="1222" t="s">
        <v>1754</v>
      </c>
      <c r="K221" s="1222" t="s">
        <v>1754</v>
      </c>
      <c r="L221" s="1222"/>
    </row>
    <row r="222" spans="1:12">
      <c r="A222" s="1222">
        <f>SUBTOTAL(103,$C$7:C222)</f>
        <v>216</v>
      </c>
      <c r="B222" s="1222"/>
      <c r="C222" s="1222" t="s">
        <v>584</v>
      </c>
      <c r="D222" s="1253" t="s">
        <v>4</v>
      </c>
      <c r="E222" s="1222" t="s">
        <v>50</v>
      </c>
      <c r="F222" s="1224" t="s">
        <v>255</v>
      </c>
      <c r="G222" s="1224" t="s">
        <v>255</v>
      </c>
      <c r="H222" s="1222" t="s">
        <v>255</v>
      </c>
      <c r="I222" s="1222" t="s">
        <v>1754</v>
      </c>
      <c r="J222" s="1222" t="s">
        <v>1754</v>
      </c>
      <c r="K222" s="1222" t="s">
        <v>1754</v>
      </c>
      <c r="L222" s="1222"/>
    </row>
    <row r="223" spans="1:12">
      <c r="A223" s="1222">
        <f>SUBTOTAL(103,$C$7:C223)</f>
        <v>217</v>
      </c>
      <c r="B223" s="1222"/>
      <c r="C223" s="1222" t="s">
        <v>585</v>
      </c>
      <c r="D223" s="1253" t="s">
        <v>170</v>
      </c>
      <c r="E223" s="1222" t="s">
        <v>50</v>
      </c>
      <c r="F223" s="1224" t="s">
        <v>255</v>
      </c>
      <c r="G223" s="1224" t="s">
        <v>255</v>
      </c>
      <c r="H223" s="1222" t="s">
        <v>255</v>
      </c>
      <c r="I223" s="1222" t="s">
        <v>1754</v>
      </c>
      <c r="J223" s="1222" t="s">
        <v>1754</v>
      </c>
      <c r="K223" s="1222" t="s">
        <v>1754</v>
      </c>
      <c r="L223" s="1222"/>
    </row>
    <row r="224" spans="1:12">
      <c r="A224" s="1222">
        <f>SUBTOTAL(103,$C$7:C224)</f>
        <v>218</v>
      </c>
      <c r="B224" s="1222"/>
      <c r="C224" s="1222" t="s">
        <v>586</v>
      </c>
      <c r="D224" s="1253" t="s">
        <v>2</v>
      </c>
      <c r="E224" s="1222" t="s">
        <v>50</v>
      </c>
      <c r="F224" s="1224" t="s">
        <v>255</v>
      </c>
      <c r="G224" s="1224" t="s">
        <v>255</v>
      </c>
      <c r="H224" s="1222" t="s">
        <v>255</v>
      </c>
      <c r="I224" s="1222" t="s">
        <v>1754</v>
      </c>
      <c r="J224" s="1222" t="s">
        <v>1754</v>
      </c>
      <c r="K224" s="1222" t="s">
        <v>1754</v>
      </c>
      <c r="L224" s="1222"/>
    </row>
    <row r="225" spans="1:12">
      <c r="A225" s="1222">
        <f>SUBTOTAL(103,$C$7:C225)</f>
        <v>219</v>
      </c>
      <c r="B225" s="1222" t="s">
        <v>587</v>
      </c>
      <c r="C225" s="1222" t="s">
        <v>71</v>
      </c>
      <c r="D225" s="1253" t="s">
        <v>184</v>
      </c>
      <c r="E225" s="1222" t="s">
        <v>50</v>
      </c>
      <c r="F225" s="1224" t="s">
        <v>255</v>
      </c>
      <c r="G225" s="1224" t="s">
        <v>255</v>
      </c>
      <c r="H225" s="1222" t="s">
        <v>255</v>
      </c>
      <c r="I225" s="1222" t="s">
        <v>1754</v>
      </c>
      <c r="J225" s="1222" t="s">
        <v>1754</v>
      </c>
      <c r="K225" s="1222" t="s">
        <v>1754</v>
      </c>
      <c r="L225" s="1222"/>
    </row>
    <row r="226" spans="1:12">
      <c r="A226" s="1222">
        <f>SUBTOTAL(103,$C$7:C226)</f>
        <v>220</v>
      </c>
      <c r="B226" s="1222"/>
      <c r="C226" s="1222" t="s">
        <v>588</v>
      </c>
      <c r="D226" s="1253" t="s">
        <v>79</v>
      </c>
      <c r="E226" s="1222" t="s">
        <v>50</v>
      </c>
      <c r="F226" s="1224" t="s">
        <v>255</v>
      </c>
      <c r="G226" s="1224" t="s">
        <v>255</v>
      </c>
      <c r="H226" s="1222" t="s">
        <v>255</v>
      </c>
      <c r="I226" s="1222" t="s">
        <v>1754</v>
      </c>
      <c r="J226" s="1222" t="s">
        <v>1754</v>
      </c>
      <c r="K226" s="1222" t="s">
        <v>1754</v>
      </c>
      <c r="L226" s="1222"/>
    </row>
    <row r="227" spans="1:12">
      <c r="A227" s="1220">
        <f>SUBTOTAL(103,$C$7:C227)</f>
        <v>221</v>
      </c>
      <c r="B227" s="1220"/>
      <c r="C227" s="1222" t="s">
        <v>589</v>
      </c>
      <c r="D227" s="1255" t="s">
        <v>79</v>
      </c>
      <c r="E227" s="1222" t="s">
        <v>50</v>
      </c>
      <c r="F227" s="1217" t="s">
        <v>255</v>
      </c>
      <c r="G227" s="1220"/>
      <c r="H227" s="1220" t="s">
        <v>255</v>
      </c>
      <c r="I227" s="1220" t="s">
        <v>1754</v>
      </c>
      <c r="J227" s="1220" t="s">
        <v>1754</v>
      </c>
      <c r="K227" s="1222" t="s">
        <v>1754</v>
      </c>
      <c r="L227" s="1220"/>
    </row>
    <row r="228" spans="1:12">
      <c r="A228" s="1222">
        <f>SUBTOTAL(103,$C$7:C228)</f>
        <v>222</v>
      </c>
      <c r="B228" s="1222"/>
      <c r="C228" s="1222" t="s">
        <v>590</v>
      </c>
      <c r="D228" s="1253" t="s">
        <v>4</v>
      </c>
      <c r="E228" s="1222" t="s">
        <v>50</v>
      </c>
      <c r="F228" s="1224" t="s">
        <v>255</v>
      </c>
      <c r="G228" s="1224" t="s">
        <v>255</v>
      </c>
      <c r="H228" s="1222" t="s">
        <v>255</v>
      </c>
      <c r="I228" s="1222" t="s">
        <v>1754</v>
      </c>
      <c r="J228" s="1222" t="s">
        <v>1754</v>
      </c>
      <c r="K228" s="1222" t="s">
        <v>1754</v>
      </c>
      <c r="L228" s="1222"/>
    </row>
    <row r="229" spans="1:12">
      <c r="A229" s="1222">
        <f>SUBTOTAL(103,$C$7:C229)</f>
        <v>223</v>
      </c>
      <c r="B229" s="1222"/>
      <c r="C229" s="1222" t="s">
        <v>591</v>
      </c>
      <c r="D229" s="1253" t="s">
        <v>49</v>
      </c>
      <c r="E229" s="1222" t="s">
        <v>50</v>
      </c>
      <c r="F229" s="1224" t="s">
        <v>255</v>
      </c>
      <c r="G229" s="1224" t="s">
        <v>255</v>
      </c>
      <c r="H229" s="1222" t="s">
        <v>255</v>
      </c>
      <c r="I229" s="1222" t="s">
        <v>1754</v>
      </c>
      <c r="J229" s="1222" t="s">
        <v>1754</v>
      </c>
      <c r="K229" s="1222" t="s">
        <v>1754</v>
      </c>
      <c r="L229" s="1222"/>
    </row>
    <row r="230" spans="1:12">
      <c r="A230" s="1222">
        <f>SUBTOTAL(103,$C$7:C230)</f>
        <v>224</v>
      </c>
      <c r="B230" s="1222"/>
      <c r="C230" s="1222" t="s">
        <v>592</v>
      </c>
      <c r="D230" s="1253" t="s">
        <v>49</v>
      </c>
      <c r="E230" s="1222" t="s">
        <v>50</v>
      </c>
      <c r="F230" s="1224" t="s">
        <v>255</v>
      </c>
      <c r="G230" s="1224" t="s">
        <v>255</v>
      </c>
      <c r="H230" s="1222" t="s">
        <v>255</v>
      </c>
      <c r="I230" s="1222" t="s">
        <v>1754</v>
      </c>
      <c r="J230" s="1222" t="s">
        <v>1754</v>
      </c>
      <c r="K230" s="1222" t="s">
        <v>1754</v>
      </c>
      <c r="L230" s="1222"/>
    </row>
    <row r="231" spans="1:12">
      <c r="A231" s="1222">
        <f>SUBTOTAL(103,$C$7:C231)</f>
        <v>225</v>
      </c>
      <c r="B231" s="1222"/>
      <c r="C231" s="1222" t="s">
        <v>593</v>
      </c>
      <c r="D231" s="1253" t="s">
        <v>79</v>
      </c>
      <c r="E231" s="1222" t="s">
        <v>50</v>
      </c>
      <c r="F231" s="1224" t="s">
        <v>255</v>
      </c>
      <c r="G231" s="1224" t="s">
        <v>255</v>
      </c>
      <c r="H231" s="1222" t="s">
        <v>255</v>
      </c>
      <c r="I231" s="1222" t="s">
        <v>1754</v>
      </c>
      <c r="J231" s="1222" t="s">
        <v>1754</v>
      </c>
      <c r="K231" s="1222" t="s">
        <v>1754</v>
      </c>
      <c r="L231" s="1222"/>
    </row>
    <row r="232" spans="1:12">
      <c r="A232" s="1222">
        <f>SUBTOTAL(103,$C$7:C232)</f>
        <v>226</v>
      </c>
      <c r="B232" s="1222"/>
      <c r="C232" s="1222" t="s">
        <v>594</v>
      </c>
      <c r="D232" s="1253" t="s">
        <v>2</v>
      </c>
      <c r="E232" s="1222" t="s">
        <v>50</v>
      </c>
      <c r="F232" s="1224" t="s">
        <v>255</v>
      </c>
      <c r="G232" s="1224" t="s">
        <v>255</v>
      </c>
      <c r="H232" s="1222" t="s">
        <v>255</v>
      </c>
      <c r="I232" s="1222" t="s">
        <v>1754</v>
      </c>
      <c r="J232" s="1227" t="s">
        <v>1754</v>
      </c>
      <c r="K232" s="1222" t="s">
        <v>1754</v>
      </c>
      <c r="L232" s="1222"/>
    </row>
    <row r="233" spans="1:12">
      <c r="A233" s="1222">
        <f>SUBTOTAL(103,$C$7:C233)</f>
        <v>227</v>
      </c>
      <c r="B233" s="1222"/>
      <c r="C233" s="1222" t="s">
        <v>595</v>
      </c>
      <c r="D233" s="1253" t="s">
        <v>79</v>
      </c>
      <c r="E233" s="1222" t="s">
        <v>50</v>
      </c>
      <c r="F233" s="1224" t="s">
        <v>255</v>
      </c>
      <c r="G233" s="1224" t="s">
        <v>255</v>
      </c>
      <c r="H233" s="1222" t="s">
        <v>255</v>
      </c>
      <c r="I233" s="1222" t="s">
        <v>1754</v>
      </c>
      <c r="J233" s="1222" t="s">
        <v>1754</v>
      </c>
      <c r="K233" s="1222" t="s">
        <v>1754</v>
      </c>
      <c r="L233" s="1222"/>
    </row>
    <row r="234" spans="1:12">
      <c r="A234" s="1222">
        <f>SUBTOTAL(103,$C$7:C234)</f>
        <v>228</v>
      </c>
      <c r="B234" s="1222"/>
      <c r="C234" s="1222" t="s">
        <v>596</v>
      </c>
      <c r="D234" s="1253" t="s">
        <v>170</v>
      </c>
      <c r="E234" s="1222" t="s">
        <v>50</v>
      </c>
      <c r="F234" s="1224" t="s">
        <v>255</v>
      </c>
      <c r="G234" s="1224" t="s">
        <v>255</v>
      </c>
      <c r="H234" s="1222" t="s">
        <v>255</v>
      </c>
      <c r="I234" s="1222" t="s">
        <v>1754</v>
      </c>
      <c r="J234" s="1227" t="s">
        <v>1754</v>
      </c>
      <c r="K234" s="1222" t="s">
        <v>1754</v>
      </c>
      <c r="L234" s="1222"/>
    </row>
    <row r="235" spans="1:12">
      <c r="A235" s="1222">
        <f>SUBTOTAL(103,$C$7:C235)</f>
        <v>229</v>
      </c>
      <c r="B235" s="1222"/>
      <c r="C235" s="1222" t="s">
        <v>597</v>
      </c>
      <c r="D235" s="1253" t="s">
        <v>2</v>
      </c>
      <c r="E235" s="1222" t="s">
        <v>50</v>
      </c>
      <c r="F235" s="1224" t="s">
        <v>255</v>
      </c>
      <c r="G235" s="1224" t="s">
        <v>255</v>
      </c>
      <c r="H235" s="1222" t="s">
        <v>255</v>
      </c>
      <c r="I235" s="1222" t="s">
        <v>1754</v>
      </c>
      <c r="J235" s="1222" t="s">
        <v>1754</v>
      </c>
      <c r="K235" s="1222" t="s">
        <v>1754</v>
      </c>
      <c r="L235" s="1222"/>
    </row>
    <row r="236" spans="1:12">
      <c r="A236" s="1222">
        <f>SUBTOTAL(103,$C$7:C236)</f>
        <v>230</v>
      </c>
      <c r="B236" s="1222"/>
      <c r="C236" s="1222" t="s">
        <v>598</v>
      </c>
      <c r="D236" s="1253" t="s">
        <v>2</v>
      </c>
      <c r="E236" s="1222" t="s">
        <v>50</v>
      </c>
      <c r="F236" s="1224" t="s">
        <v>255</v>
      </c>
      <c r="G236" s="1224" t="s">
        <v>255</v>
      </c>
      <c r="H236" s="1222" t="s">
        <v>255</v>
      </c>
      <c r="I236" s="1222" t="s">
        <v>1754</v>
      </c>
      <c r="J236" s="1227" t="s">
        <v>1754</v>
      </c>
      <c r="K236" s="1222" t="s">
        <v>1754</v>
      </c>
      <c r="L236" s="1222"/>
    </row>
    <row r="237" spans="1:12">
      <c r="A237" s="1222">
        <f>SUBTOTAL(103,$C$7:C237)</f>
        <v>231</v>
      </c>
      <c r="B237" s="1222" t="s">
        <v>599</v>
      </c>
      <c r="C237" s="1222" t="s">
        <v>8</v>
      </c>
      <c r="D237" s="1253" t="s">
        <v>228</v>
      </c>
      <c r="E237" s="1222" t="s">
        <v>50</v>
      </c>
      <c r="F237" s="1224" t="s">
        <v>255</v>
      </c>
      <c r="G237" s="1224" t="s">
        <v>255</v>
      </c>
      <c r="H237" s="1222" t="s">
        <v>255</v>
      </c>
      <c r="I237" s="1222" t="s">
        <v>1754</v>
      </c>
      <c r="J237" s="1227" t="s">
        <v>1754</v>
      </c>
      <c r="K237" s="1222" t="s">
        <v>1754</v>
      </c>
      <c r="L237" s="1222"/>
    </row>
    <row r="238" spans="1:12">
      <c r="A238" s="1220">
        <f>SUBTOTAL(103,$C$7:C238)</f>
        <v>232</v>
      </c>
      <c r="B238" s="1220"/>
      <c r="C238" s="1222" t="s">
        <v>1069</v>
      </c>
      <c r="D238" s="1255" t="s">
        <v>211</v>
      </c>
      <c r="E238" s="1222" t="s">
        <v>50</v>
      </c>
      <c r="F238" s="1217" t="s">
        <v>255</v>
      </c>
      <c r="G238" s="1220"/>
      <c r="H238" s="1220" t="s">
        <v>255</v>
      </c>
      <c r="I238" s="1222" t="s">
        <v>1754</v>
      </c>
      <c r="J238" s="1252" t="s">
        <v>1754</v>
      </c>
      <c r="K238" s="1220"/>
      <c r="L238" s="1220"/>
    </row>
    <row r="239" spans="1:12">
      <c r="A239" s="1222">
        <f>SUBTOTAL(103,$C$7:C239)</f>
        <v>233</v>
      </c>
      <c r="B239" s="1222"/>
      <c r="C239" s="1222" t="s">
        <v>1070</v>
      </c>
      <c r="D239" s="1253" t="s">
        <v>2</v>
      </c>
      <c r="E239" s="1222" t="s">
        <v>50</v>
      </c>
      <c r="F239" s="1224" t="s">
        <v>255</v>
      </c>
      <c r="G239" s="1224" t="s">
        <v>255</v>
      </c>
      <c r="H239" s="1222" t="s">
        <v>255</v>
      </c>
      <c r="I239" s="1222" t="s">
        <v>1754</v>
      </c>
      <c r="J239" s="1227" t="s">
        <v>1754</v>
      </c>
      <c r="K239" s="1222"/>
      <c r="L239" s="1222"/>
    </row>
    <row r="240" spans="1:12">
      <c r="A240" s="1222">
        <f>SUBTOTAL(103,$C$7:C240)</f>
        <v>234</v>
      </c>
      <c r="B240" s="1222"/>
      <c r="C240" s="1222" t="s">
        <v>1772</v>
      </c>
      <c r="D240" s="1253" t="s">
        <v>215</v>
      </c>
      <c r="E240" s="1222" t="s">
        <v>50</v>
      </c>
      <c r="F240" s="1224" t="s">
        <v>255</v>
      </c>
      <c r="G240" s="1224" t="s">
        <v>255</v>
      </c>
      <c r="H240" s="1222"/>
      <c r="I240" s="1222"/>
      <c r="J240" s="1222"/>
      <c r="K240" s="1222"/>
      <c r="L240" s="1222"/>
    </row>
    <row r="241" spans="1:12">
      <c r="A241" s="1222">
        <f>SUBTOTAL(103,$C$7:C241)</f>
        <v>235</v>
      </c>
      <c r="B241" s="1222"/>
      <c r="C241" s="1222" t="s">
        <v>1773</v>
      </c>
      <c r="D241" s="1253" t="s">
        <v>428</v>
      </c>
      <c r="E241" s="1222" t="s">
        <v>50</v>
      </c>
      <c r="F241" s="1224" t="s">
        <v>255</v>
      </c>
      <c r="G241" s="1224" t="s">
        <v>255</v>
      </c>
      <c r="H241" s="1222"/>
      <c r="I241" s="1222"/>
      <c r="J241" s="1222"/>
      <c r="K241" s="1222"/>
      <c r="L241" s="1222"/>
    </row>
    <row r="242" spans="1:12">
      <c r="A242" s="1222">
        <f>SUBTOTAL(103,$C$7:C242)</f>
        <v>236</v>
      </c>
      <c r="B242" s="1222"/>
      <c r="C242" s="1222" t="s">
        <v>1774</v>
      </c>
      <c r="D242" s="1253" t="s">
        <v>215</v>
      </c>
      <c r="E242" s="1222" t="s">
        <v>50</v>
      </c>
      <c r="F242" s="1224" t="s">
        <v>255</v>
      </c>
      <c r="G242" s="1224" t="s">
        <v>255</v>
      </c>
      <c r="H242" s="1222"/>
      <c r="I242" s="1222"/>
      <c r="J242" s="1222"/>
      <c r="K242" s="1222"/>
      <c r="L242" s="1222"/>
    </row>
    <row r="243" spans="1:12">
      <c r="A243" s="1222">
        <f>SUBTOTAL(103,$C$7:C243)</f>
        <v>237</v>
      </c>
      <c r="B243" s="1222"/>
      <c r="C243" s="1222" t="s">
        <v>602</v>
      </c>
      <c r="D243" s="1253" t="s">
        <v>2</v>
      </c>
      <c r="E243" s="1222" t="s">
        <v>50</v>
      </c>
      <c r="F243" s="1224" t="s">
        <v>255</v>
      </c>
      <c r="G243" s="1224" t="s">
        <v>255</v>
      </c>
      <c r="H243" s="1222" t="s">
        <v>255</v>
      </c>
      <c r="I243" s="1222"/>
      <c r="J243" s="1227" t="s">
        <v>1754</v>
      </c>
      <c r="K243" s="1222"/>
      <c r="L243" s="1222"/>
    </row>
    <row r="244" spans="1:12">
      <c r="A244" s="1222">
        <f>SUBTOTAL(103,$C$7:C244)</f>
        <v>238</v>
      </c>
      <c r="B244" s="1222"/>
      <c r="C244" s="1222" t="s">
        <v>603</v>
      </c>
      <c r="D244" s="1253" t="s">
        <v>154</v>
      </c>
      <c r="E244" s="1222" t="s">
        <v>50</v>
      </c>
      <c r="F244" s="1224" t="s">
        <v>255</v>
      </c>
      <c r="G244" s="1224" t="s">
        <v>255</v>
      </c>
      <c r="H244" s="1222" t="s">
        <v>255</v>
      </c>
      <c r="I244" s="1222" t="s">
        <v>1754</v>
      </c>
      <c r="J244" s="1227" t="s">
        <v>1754</v>
      </c>
      <c r="K244" s="1222"/>
      <c r="L244" s="1222"/>
    </row>
    <row r="245" spans="1:12">
      <c r="A245" s="1222">
        <f>SUBTOTAL(103,$C$7:C245)</f>
        <v>239</v>
      </c>
      <c r="B245" s="1222"/>
      <c r="C245" s="1222" t="s">
        <v>604</v>
      </c>
      <c r="D245" s="1253" t="s">
        <v>49</v>
      </c>
      <c r="E245" s="1222" t="s">
        <v>50</v>
      </c>
      <c r="F245" s="1224" t="s">
        <v>255</v>
      </c>
      <c r="G245" s="1224" t="s">
        <v>255</v>
      </c>
      <c r="H245" s="1222" t="s">
        <v>255</v>
      </c>
      <c r="I245" s="1222" t="s">
        <v>1754</v>
      </c>
      <c r="J245" s="1227" t="s">
        <v>1754</v>
      </c>
      <c r="K245" s="1222"/>
      <c r="L245" s="1222"/>
    </row>
    <row r="246" spans="1:12">
      <c r="A246" s="1222">
        <f>SUBTOTAL(103,$C$7:C246)</f>
        <v>240</v>
      </c>
      <c r="B246" s="1222"/>
      <c r="C246" s="1222" t="s">
        <v>605</v>
      </c>
      <c r="D246" s="1253" t="s">
        <v>2</v>
      </c>
      <c r="E246" s="1222" t="s">
        <v>50</v>
      </c>
      <c r="F246" s="1224" t="s">
        <v>255</v>
      </c>
      <c r="G246" s="1224" t="s">
        <v>255</v>
      </c>
      <c r="H246" s="1222" t="s">
        <v>255</v>
      </c>
      <c r="I246" s="1222" t="s">
        <v>1754</v>
      </c>
      <c r="J246" s="1227" t="s">
        <v>1754</v>
      </c>
      <c r="K246" s="1222"/>
      <c r="L246" s="1222"/>
    </row>
    <row r="247" spans="1:12">
      <c r="A247" s="1222">
        <f>SUBTOTAL(103,$C$7:C247)</f>
        <v>241</v>
      </c>
      <c r="B247" s="1222" t="s">
        <v>790</v>
      </c>
      <c r="C247" s="1222" t="s">
        <v>775</v>
      </c>
      <c r="D247" s="1253" t="s">
        <v>197</v>
      </c>
      <c r="E247" s="1222" t="s">
        <v>50</v>
      </c>
      <c r="F247" s="1224" t="s">
        <v>255</v>
      </c>
      <c r="G247" s="1224" t="s">
        <v>255</v>
      </c>
      <c r="H247" s="1222" t="s">
        <v>255</v>
      </c>
      <c r="I247" s="1222" t="s">
        <v>1754</v>
      </c>
      <c r="J247" s="1222" t="s">
        <v>1754</v>
      </c>
      <c r="K247" s="1222" t="s">
        <v>1754</v>
      </c>
      <c r="L247" s="1222"/>
    </row>
    <row r="248" spans="1:12">
      <c r="A248" s="1222">
        <f>SUBTOTAL(103,$C$7:C248)</f>
        <v>242</v>
      </c>
      <c r="B248" s="1222"/>
      <c r="C248" s="1222" t="s">
        <v>776</v>
      </c>
      <c r="D248" s="1253" t="s">
        <v>2</v>
      </c>
      <c r="E248" s="1222" t="s">
        <v>50</v>
      </c>
      <c r="F248" s="1224" t="s">
        <v>255</v>
      </c>
      <c r="G248" s="1224" t="s">
        <v>255</v>
      </c>
      <c r="H248" s="1222" t="s">
        <v>255</v>
      </c>
      <c r="I248" s="1222" t="s">
        <v>1754</v>
      </c>
      <c r="J248" s="1222" t="s">
        <v>1754</v>
      </c>
      <c r="K248" s="1222" t="s">
        <v>1754</v>
      </c>
      <c r="L248" s="1222"/>
    </row>
    <row r="249" spans="1:12">
      <c r="A249" s="1222">
        <f>SUBTOTAL(103,$C$7:C249)</f>
        <v>243</v>
      </c>
      <c r="B249" s="1222"/>
      <c r="C249" s="1222" t="s">
        <v>777</v>
      </c>
      <c r="D249" s="1253" t="s">
        <v>170</v>
      </c>
      <c r="E249" s="1222" t="s">
        <v>50</v>
      </c>
      <c r="F249" s="1224" t="s">
        <v>255</v>
      </c>
      <c r="G249" s="1224" t="s">
        <v>255</v>
      </c>
      <c r="H249" s="1222" t="s">
        <v>255</v>
      </c>
      <c r="I249" s="1222" t="s">
        <v>1754</v>
      </c>
      <c r="J249" s="1222" t="s">
        <v>1754</v>
      </c>
      <c r="K249" s="1222" t="s">
        <v>1754</v>
      </c>
      <c r="L249" s="1222"/>
    </row>
    <row r="250" spans="1:12">
      <c r="A250" s="1222">
        <f>SUBTOTAL(103,$C$7:C250)</f>
        <v>244</v>
      </c>
      <c r="B250" s="1222"/>
      <c r="C250" s="1222" t="s">
        <v>778</v>
      </c>
      <c r="D250" s="1253" t="s">
        <v>2</v>
      </c>
      <c r="E250" s="1222" t="s">
        <v>50</v>
      </c>
      <c r="F250" s="1224" t="s">
        <v>255</v>
      </c>
      <c r="G250" s="1224" t="s">
        <v>255</v>
      </c>
      <c r="H250" s="1222" t="s">
        <v>255</v>
      </c>
      <c r="I250" s="1222" t="s">
        <v>1754</v>
      </c>
      <c r="J250" s="1222" t="s">
        <v>1754</v>
      </c>
      <c r="K250" s="1222" t="s">
        <v>1754</v>
      </c>
      <c r="L250" s="1222"/>
    </row>
    <row r="251" spans="1:12">
      <c r="A251" s="1222">
        <f>SUBTOTAL(103,$C$7:C251)</f>
        <v>245</v>
      </c>
      <c r="B251" s="1222"/>
      <c r="C251" s="1222" t="s">
        <v>779</v>
      </c>
      <c r="D251" s="1253" t="s">
        <v>49</v>
      </c>
      <c r="E251" s="1222" t="s">
        <v>50</v>
      </c>
      <c r="F251" s="1224" t="s">
        <v>255</v>
      </c>
      <c r="G251" s="1224" t="s">
        <v>255</v>
      </c>
      <c r="H251" s="1222" t="s">
        <v>255</v>
      </c>
      <c r="I251" s="1222" t="s">
        <v>1754</v>
      </c>
      <c r="J251" s="1222" t="s">
        <v>1754</v>
      </c>
      <c r="K251" s="1222" t="s">
        <v>1754</v>
      </c>
      <c r="L251" s="1222"/>
    </row>
    <row r="252" spans="1:12">
      <c r="A252" s="1222">
        <f>SUBTOTAL(103,$C$7:C252)</f>
        <v>246</v>
      </c>
      <c r="B252" s="1222"/>
      <c r="C252" s="1222" t="s">
        <v>780</v>
      </c>
      <c r="D252" s="1253" t="s">
        <v>2</v>
      </c>
      <c r="E252" s="1222" t="s">
        <v>50</v>
      </c>
      <c r="F252" s="1224" t="s">
        <v>255</v>
      </c>
      <c r="G252" s="1224" t="s">
        <v>255</v>
      </c>
      <c r="H252" s="1222" t="s">
        <v>255</v>
      </c>
      <c r="I252" s="1222" t="s">
        <v>1754</v>
      </c>
      <c r="J252" s="1222" t="s">
        <v>1754</v>
      </c>
      <c r="K252" s="1222" t="s">
        <v>1754</v>
      </c>
      <c r="L252" s="1222"/>
    </row>
    <row r="253" spans="1:12">
      <c r="A253" s="1222">
        <f>SUBTOTAL(103,$C$7:C253)</f>
        <v>247</v>
      </c>
      <c r="B253" s="1222"/>
      <c r="C253" s="1222" t="s">
        <v>781</v>
      </c>
      <c r="D253" s="1253" t="s">
        <v>2</v>
      </c>
      <c r="E253" s="1222" t="s">
        <v>50</v>
      </c>
      <c r="F253" s="1224" t="s">
        <v>255</v>
      </c>
      <c r="G253" s="1224" t="s">
        <v>255</v>
      </c>
      <c r="H253" s="1222" t="s">
        <v>255</v>
      </c>
      <c r="I253" s="1222" t="s">
        <v>1754</v>
      </c>
      <c r="J253" s="1222" t="s">
        <v>1754</v>
      </c>
      <c r="K253" s="1222" t="s">
        <v>1754</v>
      </c>
      <c r="L253" s="1222"/>
    </row>
    <row r="254" spans="1:12">
      <c r="A254" s="1222">
        <f>SUBTOTAL(103,$C$7:C254)</f>
        <v>248</v>
      </c>
      <c r="B254" s="1222" t="s">
        <v>606</v>
      </c>
      <c r="C254" s="1222" t="s">
        <v>72</v>
      </c>
      <c r="D254" s="1253" t="s">
        <v>226</v>
      </c>
      <c r="E254" s="1222" t="s">
        <v>50</v>
      </c>
      <c r="F254" s="1224" t="s">
        <v>255</v>
      </c>
      <c r="G254" s="1224" t="s">
        <v>255</v>
      </c>
      <c r="H254" s="1222" t="s">
        <v>255</v>
      </c>
      <c r="I254" s="1222" t="s">
        <v>1754</v>
      </c>
      <c r="J254" s="1222" t="s">
        <v>1754</v>
      </c>
      <c r="K254" s="1222" t="s">
        <v>1754</v>
      </c>
      <c r="L254" s="1222"/>
    </row>
    <row r="255" spans="1:12">
      <c r="A255" s="1222">
        <f>SUBTOTAL(103,$C$7:C255)</f>
        <v>249</v>
      </c>
      <c r="B255" s="1222"/>
      <c r="C255" s="1222" t="s">
        <v>607</v>
      </c>
      <c r="D255" s="1253" t="s">
        <v>3</v>
      </c>
      <c r="E255" s="1222" t="s">
        <v>50</v>
      </c>
      <c r="F255" s="1224" t="s">
        <v>255</v>
      </c>
      <c r="G255" s="1224" t="s">
        <v>255</v>
      </c>
      <c r="H255" s="1222" t="s">
        <v>255</v>
      </c>
      <c r="I255" s="1222" t="s">
        <v>1754</v>
      </c>
      <c r="J255" s="1222" t="s">
        <v>1754</v>
      </c>
      <c r="K255" s="1222" t="s">
        <v>1754</v>
      </c>
      <c r="L255" s="1222"/>
    </row>
    <row r="256" spans="1:12">
      <c r="A256" s="1222">
        <f>SUBTOTAL(103,$C$7:C256)</f>
        <v>250</v>
      </c>
      <c r="B256" s="1222"/>
      <c r="C256" s="1222" t="s">
        <v>608</v>
      </c>
      <c r="D256" s="1253" t="s">
        <v>3</v>
      </c>
      <c r="E256" s="1222" t="s">
        <v>50</v>
      </c>
      <c r="F256" s="1224" t="s">
        <v>255</v>
      </c>
      <c r="G256" s="1224" t="s">
        <v>255</v>
      </c>
      <c r="H256" s="1222" t="s">
        <v>255</v>
      </c>
      <c r="I256" s="1222" t="s">
        <v>1754</v>
      </c>
      <c r="J256" s="1222" t="s">
        <v>1754</v>
      </c>
      <c r="K256" s="1222" t="s">
        <v>1754</v>
      </c>
      <c r="L256" s="1222"/>
    </row>
    <row r="257" spans="1:12">
      <c r="A257" s="1222">
        <f>SUBTOTAL(103,$C$7:C257)</f>
        <v>251</v>
      </c>
      <c r="B257" s="1222"/>
      <c r="C257" s="1222" t="s">
        <v>609</v>
      </c>
      <c r="D257" s="1253" t="s">
        <v>2</v>
      </c>
      <c r="E257" s="1222" t="s">
        <v>50</v>
      </c>
      <c r="F257" s="1224" t="s">
        <v>255</v>
      </c>
      <c r="G257" s="1224" t="s">
        <v>255</v>
      </c>
      <c r="H257" s="1222" t="s">
        <v>255</v>
      </c>
      <c r="I257" s="1222" t="s">
        <v>1754</v>
      </c>
      <c r="J257" s="1222" t="s">
        <v>1754</v>
      </c>
      <c r="K257" s="1222" t="s">
        <v>1754</v>
      </c>
      <c r="L257" s="1222"/>
    </row>
    <row r="258" spans="1:12">
      <c r="A258" s="1222">
        <f>SUBTOTAL(103,$C$7:C258)</f>
        <v>252</v>
      </c>
      <c r="B258" s="1222"/>
      <c r="C258" s="1222" t="s">
        <v>610</v>
      </c>
      <c r="D258" s="1253" t="s">
        <v>170</v>
      </c>
      <c r="E258" s="1222" t="s">
        <v>50</v>
      </c>
      <c r="F258" s="1224" t="s">
        <v>255</v>
      </c>
      <c r="G258" s="1224" t="s">
        <v>255</v>
      </c>
      <c r="H258" s="1222" t="s">
        <v>255</v>
      </c>
      <c r="I258" s="1222" t="s">
        <v>1754</v>
      </c>
      <c r="J258" s="1222" t="s">
        <v>1754</v>
      </c>
      <c r="K258" s="1222" t="s">
        <v>1754</v>
      </c>
      <c r="L258" s="1222"/>
    </row>
    <row r="259" spans="1:12">
      <c r="A259" s="1222">
        <f>SUBTOTAL(103,$C$7:C259)</f>
        <v>253</v>
      </c>
      <c r="B259" s="1222"/>
      <c r="C259" s="1222" t="s">
        <v>611</v>
      </c>
      <c r="D259" s="1253" t="s">
        <v>2</v>
      </c>
      <c r="E259" s="1222" t="s">
        <v>50</v>
      </c>
      <c r="F259" s="1224" t="s">
        <v>255</v>
      </c>
      <c r="G259" s="1224" t="s">
        <v>255</v>
      </c>
      <c r="H259" s="1222" t="s">
        <v>255</v>
      </c>
      <c r="I259" s="1222" t="s">
        <v>1754</v>
      </c>
      <c r="J259" s="1222" t="s">
        <v>1754</v>
      </c>
      <c r="K259" s="1222" t="s">
        <v>1754</v>
      </c>
      <c r="L259" s="1222"/>
    </row>
    <row r="260" spans="1:12">
      <c r="A260" s="1222">
        <f>SUBTOTAL(103,$C$7:C260)</f>
        <v>254</v>
      </c>
      <c r="B260" s="1222"/>
      <c r="C260" s="1222" t="s">
        <v>612</v>
      </c>
      <c r="D260" s="1253" t="s">
        <v>79</v>
      </c>
      <c r="E260" s="1222" t="s">
        <v>50</v>
      </c>
      <c r="F260" s="1224" t="s">
        <v>255</v>
      </c>
      <c r="G260" s="1224" t="s">
        <v>255</v>
      </c>
      <c r="H260" s="1222" t="s">
        <v>255</v>
      </c>
      <c r="I260" s="1222" t="s">
        <v>1754</v>
      </c>
      <c r="J260" s="1222" t="s">
        <v>1754</v>
      </c>
      <c r="K260" s="1222" t="s">
        <v>1754</v>
      </c>
      <c r="L260" s="1222"/>
    </row>
    <row r="261" spans="1:12">
      <c r="A261" s="1222">
        <f>SUBTOTAL(103,$C$7:C261)</f>
        <v>255</v>
      </c>
      <c r="B261" s="1222"/>
      <c r="C261" s="1222" t="s">
        <v>613</v>
      </c>
      <c r="D261" s="1253" t="s">
        <v>49</v>
      </c>
      <c r="E261" s="1222" t="s">
        <v>50</v>
      </c>
      <c r="F261" s="1224" t="s">
        <v>255</v>
      </c>
      <c r="G261" s="1224" t="s">
        <v>255</v>
      </c>
      <c r="H261" s="1222" t="s">
        <v>255</v>
      </c>
      <c r="I261" s="1222" t="s">
        <v>1754</v>
      </c>
      <c r="J261" s="1227" t="s">
        <v>1754</v>
      </c>
      <c r="K261" s="1222" t="s">
        <v>1754</v>
      </c>
      <c r="L261" s="1222"/>
    </row>
    <row r="262" spans="1:12">
      <c r="A262" s="1222">
        <f>SUBTOTAL(103,$C$7:C262)</f>
        <v>256</v>
      </c>
      <c r="B262" s="1222"/>
      <c r="C262" s="1222" t="s">
        <v>614</v>
      </c>
      <c r="D262" s="1253" t="s">
        <v>170</v>
      </c>
      <c r="E262" s="1222" t="s">
        <v>50</v>
      </c>
      <c r="F262" s="1224" t="s">
        <v>255</v>
      </c>
      <c r="G262" s="1224" t="s">
        <v>255</v>
      </c>
      <c r="H262" s="1222" t="s">
        <v>255</v>
      </c>
      <c r="I262" s="1222" t="s">
        <v>1754</v>
      </c>
      <c r="J262" s="1222" t="s">
        <v>1754</v>
      </c>
      <c r="K262" s="1222" t="s">
        <v>1754</v>
      </c>
      <c r="L262" s="1222"/>
    </row>
    <row r="263" spans="1:12">
      <c r="A263" s="1222">
        <f>SUBTOTAL(103,$C$7:C263)</f>
        <v>257</v>
      </c>
      <c r="B263" s="1222"/>
      <c r="C263" s="1222" t="s">
        <v>615</v>
      </c>
      <c r="D263" s="1253" t="s">
        <v>3</v>
      </c>
      <c r="E263" s="1222" t="s">
        <v>50</v>
      </c>
      <c r="F263" s="1224" t="s">
        <v>255</v>
      </c>
      <c r="G263" s="1224" t="s">
        <v>255</v>
      </c>
      <c r="H263" s="1222" t="s">
        <v>255</v>
      </c>
      <c r="I263" s="1222" t="s">
        <v>1754</v>
      </c>
      <c r="J263" s="1222" t="s">
        <v>1754</v>
      </c>
      <c r="K263" s="1222" t="s">
        <v>1754</v>
      </c>
      <c r="L263" s="1222"/>
    </row>
    <row r="264" spans="1:12">
      <c r="A264" s="1222">
        <f>SUBTOTAL(103,$C$7:C264)</f>
        <v>258</v>
      </c>
      <c r="B264" s="1222"/>
      <c r="C264" s="1222" t="s">
        <v>616</v>
      </c>
      <c r="D264" s="1253" t="s">
        <v>2</v>
      </c>
      <c r="E264" s="1222" t="s">
        <v>50</v>
      </c>
      <c r="F264" s="1224" t="s">
        <v>255</v>
      </c>
      <c r="G264" s="1224" t="s">
        <v>255</v>
      </c>
      <c r="H264" s="1222" t="s">
        <v>255</v>
      </c>
      <c r="I264" s="1222" t="s">
        <v>1754</v>
      </c>
      <c r="J264" s="1222" t="s">
        <v>1754</v>
      </c>
      <c r="K264" s="1222" t="s">
        <v>1754</v>
      </c>
      <c r="L264" s="1222"/>
    </row>
    <row r="265" spans="1:12">
      <c r="A265" s="1222">
        <f>SUBTOTAL(103,$C$7:C265)</f>
        <v>259</v>
      </c>
      <c r="B265" s="1222" t="s">
        <v>617</v>
      </c>
      <c r="C265" s="1222" t="s">
        <v>73</v>
      </c>
      <c r="D265" s="1253" t="s">
        <v>184</v>
      </c>
      <c r="E265" s="1222" t="s">
        <v>50</v>
      </c>
      <c r="F265" s="1224" t="s">
        <v>255</v>
      </c>
      <c r="G265" s="1224" t="s">
        <v>255</v>
      </c>
      <c r="H265" s="1222" t="s">
        <v>255</v>
      </c>
      <c r="I265" s="1222" t="s">
        <v>1754</v>
      </c>
      <c r="J265" s="1222" t="s">
        <v>1754</v>
      </c>
      <c r="K265" s="1222" t="s">
        <v>1754</v>
      </c>
      <c r="L265" s="1222"/>
    </row>
    <row r="266" spans="1:12">
      <c r="A266" s="1222">
        <f>SUBTOTAL(103,$C$7:C266)</f>
        <v>260</v>
      </c>
      <c r="B266" s="1222"/>
      <c r="C266" s="1222" t="s">
        <v>618</v>
      </c>
      <c r="D266" s="1253" t="s">
        <v>154</v>
      </c>
      <c r="E266" s="1222" t="s">
        <v>50</v>
      </c>
      <c r="F266" s="1224" t="s">
        <v>255</v>
      </c>
      <c r="G266" s="1224" t="s">
        <v>255</v>
      </c>
      <c r="H266" s="1222" t="s">
        <v>255</v>
      </c>
      <c r="I266" s="1222" t="s">
        <v>1754</v>
      </c>
      <c r="J266" s="1222" t="s">
        <v>1754</v>
      </c>
      <c r="K266" s="1222" t="s">
        <v>1754</v>
      </c>
      <c r="L266" s="1222"/>
    </row>
    <row r="267" spans="1:12">
      <c r="A267" s="1222">
        <f>SUBTOTAL(103,$C$7:C267)</f>
        <v>261</v>
      </c>
      <c r="B267" s="1222"/>
      <c r="C267" s="1222" t="s">
        <v>619</v>
      </c>
      <c r="D267" s="1253" t="s">
        <v>2</v>
      </c>
      <c r="E267" s="1222" t="s">
        <v>50</v>
      </c>
      <c r="F267" s="1224" t="s">
        <v>255</v>
      </c>
      <c r="G267" s="1224" t="s">
        <v>255</v>
      </c>
      <c r="H267" s="1222" t="s">
        <v>255</v>
      </c>
      <c r="I267" s="1222" t="s">
        <v>1754</v>
      </c>
      <c r="J267" s="1222" t="s">
        <v>1754</v>
      </c>
      <c r="K267" s="1222" t="s">
        <v>1754</v>
      </c>
      <c r="L267" s="1222"/>
    </row>
    <row r="268" spans="1:12">
      <c r="A268" s="1222">
        <f>SUBTOTAL(103,$C$7:C268)</f>
        <v>262</v>
      </c>
      <c r="B268" s="1222"/>
      <c r="C268" s="1222" t="s">
        <v>620</v>
      </c>
      <c r="D268" s="1253" t="s">
        <v>170</v>
      </c>
      <c r="E268" s="1222" t="s">
        <v>50</v>
      </c>
      <c r="F268" s="1224" t="s">
        <v>255</v>
      </c>
      <c r="G268" s="1224" t="s">
        <v>255</v>
      </c>
      <c r="H268" s="1222" t="s">
        <v>255</v>
      </c>
      <c r="I268" s="1222" t="s">
        <v>1754</v>
      </c>
      <c r="J268" s="1222" t="s">
        <v>1754</v>
      </c>
      <c r="K268" s="1222" t="s">
        <v>1754</v>
      </c>
      <c r="L268" s="1222"/>
    </row>
    <row r="269" spans="1:12">
      <c r="A269" s="1222">
        <f>SUBTOTAL(103,$C$7:C269)</f>
        <v>263</v>
      </c>
      <c r="B269" s="1222"/>
      <c r="C269" s="1222" t="s">
        <v>621</v>
      </c>
      <c r="D269" s="1253" t="s">
        <v>2</v>
      </c>
      <c r="E269" s="1222" t="s">
        <v>50</v>
      </c>
      <c r="F269" s="1224" t="s">
        <v>255</v>
      </c>
      <c r="G269" s="1224" t="s">
        <v>255</v>
      </c>
      <c r="H269" s="1222" t="s">
        <v>255</v>
      </c>
      <c r="I269" s="1222" t="s">
        <v>1754</v>
      </c>
      <c r="J269" s="1222" t="s">
        <v>1754</v>
      </c>
      <c r="K269" s="1222" t="s">
        <v>1754</v>
      </c>
      <c r="L269" s="1222"/>
    </row>
    <row r="270" spans="1:12">
      <c r="A270" s="1222">
        <f>SUBTOTAL(103,$C$7:C270)</f>
        <v>264</v>
      </c>
      <c r="B270" s="1222"/>
      <c r="C270" s="1222" t="s">
        <v>622</v>
      </c>
      <c r="D270" s="1253" t="s">
        <v>170</v>
      </c>
      <c r="E270" s="1222" t="s">
        <v>50</v>
      </c>
      <c r="F270" s="1224" t="s">
        <v>255</v>
      </c>
      <c r="G270" s="1224" t="s">
        <v>255</v>
      </c>
      <c r="H270" s="1222" t="s">
        <v>255</v>
      </c>
      <c r="I270" s="1222" t="s">
        <v>1754</v>
      </c>
      <c r="J270" s="1222" t="s">
        <v>1754</v>
      </c>
      <c r="K270" s="1222" t="s">
        <v>1754</v>
      </c>
      <c r="L270" s="1222"/>
    </row>
    <row r="271" spans="1:12">
      <c r="A271" s="1222">
        <f>SUBTOTAL(103,$C$7:C271)</f>
        <v>265</v>
      </c>
      <c r="B271" s="1222"/>
      <c r="C271" s="1222" t="s">
        <v>623</v>
      </c>
      <c r="D271" s="1253" t="s">
        <v>170</v>
      </c>
      <c r="E271" s="1222" t="s">
        <v>50</v>
      </c>
      <c r="F271" s="1224" t="s">
        <v>255</v>
      </c>
      <c r="G271" s="1224" t="s">
        <v>255</v>
      </c>
      <c r="H271" s="1222" t="s">
        <v>255</v>
      </c>
      <c r="I271" s="1222" t="s">
        <v>1754</v>
      </c>
      <c r="J271" s="1222" t="s">
        <v>1754</v>
      </c>
      <c r="K271" s="1222" t="s">
        <v>1754</v>
      </c>
      <c r="L271" s="1222"/>
    </row>
    <row r="272" spans="1:12">
      <c r="A272" s="1222">
        <f>SUBTOTAL(103,$C$7:C272)</f>
        <v>266</v>
      </c>
      <c r="B272" s="1222"/>
      <c r="C272" s="1222" t="s">
        <v>624</v>
      </c>
      <c r="D272" s="1253" t="s">
        <v>2</v>
      </c>
      <c r="E272" s="1222" t="s">
        <v>50</v>
      </c>
      <c r="F272" s="1224" t="s">
        <v>255</v>
      </c>
      <c r="G272" s="1224" t="s">
        <v>255</v>
      </c>
      <c r="H272" s="1222" t="s">
        <v>255</v>
      </c>
      <c r="I272" s="1222" t="s">
        <v>1754</v>
      </c>
      <c r="J272" s="1222" t="s">
        <v>1754</v>
      </c>
      <c r="K272" s="1222" t="s">
        <v>1754</v>
      </c>
      <c r="L272" s="1222"/>
    </row>
    <row r="273" spans="1:12">
      <c r="A273" s="1222">
        <f>SUBTOTAL(103,$C$7:C273)</f>
        <v>267</v>
      </c>
      <c r="B273" s="1222"/>
      <c r="C273" s="1222" t="s">
        <v>625</v>
      </c>
      <c r="D273" s="1253" t="s">
        <v>170</v>
      </c>
      <c r="E273" s="1222" t="s">
        <v>50</v>
      </c>
      <c r="F273" s="1224" t="s">
        <v>255</v>
      </c>
      <c r="G273" s="1224" t="s">
        <v>255</v>
      </c>
      <c r="H273" s="1222" t="s">
        <v>255</v>
      </c>
      <c r="I273" s="1222" t="s">
        <v>1754</v>
      </c>
      <c r="J273" s="1222" t="s">
        <v>1754</v>
      </c>
      <c r="K273" s="1222" t="s">
        <v>1754</v>
      </c>
      <c r="L273" s="1222"/>
    </row>
    <row r="274" spans="1:12">
      <c r="A274" s="1222">
        <f>SUBTOTAL(103,$C$7:C274)</f>
        <v>268</v>
      </c>
      <c r="B274" s="1222"/>
      <c r="C274" s="1222" t="s">
        <v>626</v>
      </c>
      <c r="D274" s="1253" t="s">
        <v>79</v>
      </c>
      <c r="E274" s="1222" t="s">
        <v>50</v>
      </c>
      <c r="F274" s="1224" t="s">
        <v>255</v>
      </c>
      <c r="G274" s="1224" t="s">
        <v>255</v>
      </c>
      <c r="H274" s="1222" t="s">
        <v>255</v>
      </c>
      <c r="I274" s="1222" t="s">
        <v>1754</v>
      </c>
      <c r="J274" s="1222" t="s">
        <v>1754</v>
      </c>
      <c r="K274" s="1222" t="s">
        <v>1754</v>
      </c>
      <c r="L274" s="1222"/>
    </row>
    <row r="275" spans="1:12">
      <c r="A275" s="1222">
        <f>SUBTOTAL(103,$C$7:C275)</f>
        <v>269</v>
      </c>
      <c r="B275" s="1222"/>
      <c r="C275" s="1222" t="s">
        <v>627</v>
      </c>
      <c r="D275" s="1253" t="s">
        <v>2</v>
      </c>
      <c r="E275" s="1222" t="s">
        <v>50</v>
      </c>
      <c r="F275" s="1224" t="s">
        <v>255</v>
      </c>
      <c r="G275" s="1224" t="s">
        <v>255</v>
      </c>
      <c r="H275" s="1222" t="s">
        <v>255</v>
      </c>
      <c r="I275" s="1222" t="s">
        <v>1754</v>
      </c>
      <c r="J275" s="1222" t="s">
        <v>1754</v>
      </c>
      <c r="K275" s="1222" t="s">
        <v>1754</v>
      </c>
      <c r="L275" s="1222"/>
    </row>
    <row r="276" spans="1:12">
      <c r="A276" s="1222">
        <f>SUBTOTAL(103,$C$7:C276)</f>
        <v>270</v>
      </c>
      <c r="B276" s="1222"/>
      <c r="C276" s="1222" t="s">
        <v>628</v>
      </c>
      <c r="D276" s="1253" t="s">
        <v>79</v>
      </c>
      <c r="E276" s="1222" t="s">
        <v>50</v>
      </c>
      <c r="F276" s="1224" t="s">
        <v>255</v>
      </c>
      <c r="G276" s="1224" t="s">
        <v>255</v>
      </c>
      <c r="H276" s="1222" t="s">
        <v>255</v>
      </c>
      <c r="I276" s="1222" t="s">
        <v>1754</v>
      </c>
      <c r="J276" s="1222" t="s">
        <v>1754</v>
      </c>
      <c r="K276" s="1222" t="s">
        <v>1754</v>
      </c>
      <c r="L276" s="1222"/>
    </row>
    <row r="277" spans="1:12">
      <c r="A277" s="1222">
        <f>SUBTOTAL(103,$C$7:C277)</f>
        <v>271</v>
      </c>
      <c r="B277" s="1222" t="s">
        <v>629</v>
      </c>
      <c r="C277" s="1222" t="s">
        <v>74</v>
      </c>
      <c r="D277" s="1253" t="s">
        <v>227</v>
      </c>
      <c r="E277" s="1222" t="s">
        <v>50</v>
      </c>
      <c r="F277" s="1224" t="s">
        <v>255</v>
      </c>
      <c r="G277" s="1224" t="s">
        <v>255</v>
      </c>
      <c r="H277" s="1222" t="s">
        <v>255</v>
      </c>
      <c r="I277" s="1222" t="s">
        <v>1754</v>
      </c>
      <c r="J277" s="1222" t="s">
        <v>1754</v>
      </c>
      <c r="K277" s="1222" t="s">
        <v>1754</v>
      </c>
      <c r="L277" s="1222"/>
    </row>
    <row r="278" spans="1:12">
      <c r="A278" s="1222">
        <f>SUBTOTAL(103,$C$7:C278)</f>
        <v>272</v>
      </c>
      <c r="B278" s="1222"/>
      <c r="C278" s="1222" t="s">
        <v>206</v>
      </c>
      <c r="D278" s="1253" t="s">
        <v>49</v>
      </c>
      <c r="E278" s="1222" t="s">
        <v>50</v>
      </c>
      <c r="F278" s="1224" t="s">
        <v>255</v>
      </c>
      <c r="G278" s="1224" t="s">
        <v>255</v>
      </c>
      <c r="H278" s="1222" t="s">
        <v>255</v>
      </c>
      <c r="I278" s="1222" t="s">
        <v>1754</v>
      </c>
      <c r="J278" s="1222" t="s">
        <v>1754</v>
      </c>
      <c r="K278" s="1222" t="s">
        <v>311</v>
      </c>
      <c r="L278" s="1222"/>
    </row>
    <row r="279" spans="1:12">
      <c r="A279" s="1222">
        <f>SUBTOTAL(103,$C$7:C279)</f>
        <v>273</v>
      </c>
      <c r="B279" s="1222"/>
      <c r="C279" s="1222" t="s">
        <v>207</v>
      </c>
      <c r="D279" s="1253" t="s">
        <v>79</v>
      </c>
      <c r="E279" s="1222" t="s">
        <v>50</v>
      </c>
      <c r="F279" s="1224" t="s">
        <v>255</v>
      </c>
      <c r="G279" s="1224" t="s">
        <v>255</v>
      </c>
      <c r="H279" s="1222" t="s">
        <v>255</v>
      </c>
      <c r="I279" s="1222" t="s">
        <v>1754</v>
      </c>
      <c r="J279" s="1222" t="s">
        <v>1754</v>
      </c>
      <c r="K279" s="1222" t="s">
        <v>311</v>
      </c>
      <c r="L279" s="1222"/>
    </row>
    <row r="280" spans="1:12">
      <c r="A280" s="1222">
        <f>SUBTOTAL(103,$C$7:C280)</f>
        <v>274</v>
      </c>
      <c r="B280" s="1222"/>
      <c r="C280" s="1222" t="s">
        <v>5</v>
      </c>
      <c r="D280" s="1253" t="s">
        <v>2</v>
      </c>
      <c r="E280" s="1222" t="s">
        <v>50</v>
      </c>
      <c r="F280" s="1224" t="s">
        <v>255</v>
      </c>
      <c r="G280" s="1224" t="s">
        <v>255</v>
      </c>
      <c r="H280" s="1222" t="s">
        <v>255</v>
      </c>
      <c r="I280" s="1222" t="s">
        <v>1754</v>
      </c>
      <c r="J280" s="1222" t="s">
        <v>1754</v>
      </c>
      <c r="K280" s="1222" t="s">
        <v>311</v>
      </c>
      <c r="L280" s="1222"/>
    </row>
    <row r="281" spans="1:12">
      <c r="A281" s="1222">
        <f>SUBTOTAL(103,$C$7:C281)</f>
        <v>275</v>
      </c>
      <c r="B281" s="1222"/>
      <c r="C281" s="1222" t="s">
        <v>6</v>
      </c>
      <c r="D281" s="1253" t="s">
        <v>79</v>
      </c>
      <c r="E281" s="1222" t="s">
        <v>50</v>
      </c>
      <c r="F281" s="1224" t="s">
        <v>255</v>
      </c>
      <c r="G281" s="1224" t="s">
        <v>255</v>
      </c>
      <c r="H281" s="1222" t="s">
        <v>255</v>
      </c>
      <c r="I281" s="1222" t="s">
        <v>1754</v>
      </c>
      <c r="J281" s="1222" t="s">
        <v>1754</v>
      </c>
      <c r="K281" s="1222" t="s">
        <v>311</v>
      </c>
      <c r="L281" s="1222"/>
    </row>
    <row r="282" spans="1:12">
      <c r="A282" s="1222">
        <f>SUBTOTAL(103,$C$7:C282)</f>
        <v>276</v>
      </c>
      <c r="B282" s="1222"/>
      <c r="C282" s="1222" t="s">
        <v>630</v>
      </c>
      <c r="D282" s="1253" t="s">
        <v>49</v>
      </c>
      <c r="E282" s="1222" t="s">
        <v>50</v>
      </c>
      <c r="F282" s="1224" t="s">
        <v>255</v>
      </c>
      <c r="G282" s="1224" t="s">
        <v>255</v>
      </c>
      <c r="H282" s="1222" t="s">
        <v>255</v>
      </c>
      <c r="I282" s="1222" t="s">
        <v>1754</v>
      </c>
      <c r="J282" s="1222" t="s">
        <v>1754</v>
      </c>
      <c r="K282" s="1222" t="s">
        <v>311</v>
      </c>
      <c r="L282" s="1222"/>
    </row>
    <row r="283" spans="1:12">
      <c r="A283" s="1222">
        <f>SUBTOTAL(103,$C$7:C283)</f>
        <v>277</v>
      </c>
      <c r="B283" s="1222"/>
      <c r="C283" s="1222" t="s">
        <v>631</v>
      </c>
      <c r="D283" s="1253" t="s">
        <v>49</v>
      </c>
      <c r="E283" s="1222" t="s">
        <v>50</v>
      </c>
      <c r="F283" s="1224" t="s">
        <v>255</v>
      </c>
      <c r="G283" s="1224" t="s">
        <v>255</v>
      </c>
      <c r="H283" s="1222" t="s">
        <v>255</v>
      </c>
      <c r="I283" s="1222" t="s">
        <v>1754</v>
      </c>
      <c r="J283" s="1222" t="s">
        <v>1754</v>
      </c>
      <c r="K283" s="1222" t="s">
        <v>311</v>
      </c>
      <c r="L283" s="1222"/>
    </row>
    <row r="284" spans="1:12">
      <c r="A284" s="1222">
        <f>SUBTOTAL(103,$C$7:C284)</f>
        <v>278</v>
      </c>
      <c r="B284" s="1222"/>
      <c r="C284" s="1222" t="s">
        <v>632</v>
      </c>
      <c r="D284" s="1253" t="s">
        <v>2</v>
      </c>
      <c r="E284" s="1222" t="s">
        <v>50</v>
      </c>
      <c r="F284" s="1224" t="s">
        <v>255</v>
      </c>
      <c r="G284" s="1224" t="s">
        <v>255</v>
      </c>
      <c r="H284" s="1222" t="s">
        <v>255</v>
      </c>
      <c r="I284" s="1222" t="s">
        <v>1754</v>
      </c>
      <c r="J284" s="1222" t="s">
        <v>1754</v>
      </c>
      <c r="K284" s="1222" t="s">
        <v>311</v>
      </c>
      <c r="L284" s="1222"/>
    </row>
    <row r="285" spans="1:12">
      <c r="A285" s="1222">
        <f>SUBTOTAL(103,$C$7:C285)</f>
        <v>279</v>
      </c>
      <c r="B285" s="1222"/>
      <c r="C285" s="1222" t="s">
        <v>633</v>
      </c>
      <c r="D285" s="1253" t="s">
        <v>154</v>
      </c>
      <c r="E285" s="1222" t="s">
        <v>50</v>
      </c>
      <c r="F285" s="1224" t="s">
        <v>255</v>
      </c>
      <c r="G285" s="1224" t="s">
        <v>255</v>
      </c>
      <c r="H285" s="1222" t="s">
        <v>255</v>
      </c>
      <c r="I285" s="1222"/>
      <c r="J285" s="1227" t="s">
        <v>1754</v>
      </c>
      <c r="K285" s="1222"/>
      <c r="L285" s="1222"/>
    </row>
    <row r="286" spans="1:12">
      <c r="A286" s="1222">
        <f>SUBTOTAL(103,$C$7:C286)</f>
        <v>280</v>
      </c>
      <c r="B286" s="1222"/>
      <c r="C286" s="1222" t="s">
        <v>634</v>
      </c>
      <c r="D286" s="1253" t="s">
        <v>49</v>
      </c>
      <c r="E286" s="1222" t="s">
        <v>50</v>
      </c>
      <c r="F286" s="1224" t="s">
        <v>255</v>
      </c>
      <c r="G286" s="1224" t="s">
        <v>255</v>
      </c>
      <c r="H286" s="1222" t="s">
        <v>255</v>
      </c>
      <c r="I286" s="1222" t="s">
        <v>1754</v>
      </c>
      <c r="J286" s="1222" t="s">
        <v>1754</v>
      </c>
      <c r="K286" s="1222" t="s">
        <v>311</v>
      </c>
      <c r="L286" s="1222"/>
    </row>
    <row r="287" spans="1:12">
      <c r="A287" s="1222">
        <f>SUBTOTAL(103,$C$7:C287)</f>
        <v>281</v>
      </c>
      <c r="B287" s="1222"/>
      <c r="C287" s="1222" t="s">
        <v>635</v>
      </c>
      <c r="D287" s="1253" t="s">
        <v>2</v>
      </c>
      <c r="E287" s="1222" t="s">
        <v>50</v>
      </c>
      <c r="F287" s="1224" t="s">
        <v>255</v>
      </c>
      <c r="G287" s="1224" t="s">
        <v>255</v>
      </c>
      <c r="H287" s="1222" t="s">
        <v>255</v>
      </c>
      <c r="I287" s="1222" t="s">
        <v>1754</v>
      </c>
      <c r="J287" s="1222" t="s">
        <v>1754</v>
      </c>
      <c r="K287" s="1222" t="s">
        <v>311</v>
      </c>
      <c r="L287" s="1222"/>
    </row>
    <row r="288" spans="1:12">
      <c r="A288" s="1222">
        <f>SUBTOTAL(103,$C$7:C288)</f>
        <v>282</v>
      </c>
      <c r="B288" s="1222"/>
      <c r="C288" s="1222" t="s">
        <v>636</v>
      </c>
      <c r="D288" s="1253" t="s">
        <v>49</v>
      </c>
      <c r="E288" s="1222" t="s">
        <v>50</v>
      </c>
      <c r="F288" s="1224" t="s">
        <v>255</v>
      </c>
      <c r="G288" s="1224" t="s">
        <v>255</v>
      </c>
      <c r="H288" s="1222" t="s">
        <v>255</v>
      </c>
      <c r="I288" s="1222"/>
      <c r="J288" s="1227" t="s">
        <v>1754</v>
      </c>
      <c r="K288" s="1222"/>
      <c r="L288" s="1222"/>
    </row>
    <row r="289" spans="1:12">
      <c r="A289" s="1222">
        <f>SUBTOTAL(103,$C$7:C289)</f>
        <v>283</v>
      </c>
      <c r="B289" s="1222" t="s">
        <v>637</v>
      </c>
      <c r="C289" s="1222" t="s">
        <v>638</v>
      </c>
      <c r="D289" s="1253" t="s">
        <v>211</v>
      </c>
      <c r="E289" s="1222" t="s">
        <v>50</v>
      </c>
      <c r="F289" s="1224" t="s">
        <v>255</v>
      </c>
      <c r="G289" s="1224" t="s">
        <v>255</v>
      </c>
      <c r="H289" s="1222" t="s">
        <v>255</v>
      </c>
      <c r="I289" s="1222"/>
      <c r="J289" s="1227" t="s">
        <v>311</v>
      </c>
      <c r="K289" s="1222"/>
      <c r="L289" s="1222"/>
    </row>
    <row r="290" spans="1:12">
      <c r="A290" s="1222">
        <f>SUBTOTAL(103,$C$7:C290)</f>
        <v>284</v>
      </c>
      <c r="B290" s="1222" t="s">
        <v>639</v>
      </c>
      <c r="C290" s="1222" t="s">
        <v>75</v>
      </c>
      <c r="D290" s="1253" t="s">
        <v>211</v>
      </c>
      <c r="E290" s="1222" t="s">
        <v>50</v>
      </c>
      <c r="F290" s="1224" t="s">
        <v>255</v>
      </c>
      <c r="G290" s="1224" t="s">
        <v>255</v>
      </c>
      <c r="H290" s="1222" t="s">
        <v>255</v>
      </c>
      <c r="I290" s="1222"/>
      <c r="J290" s="1225" t="s">
        <v>1541</v>
      </c>
      <c r="K290" s="1222"/>
      <c r="L290" s="1222"/>
    </row>
    <row r="291" spans="1:12">
      <c r="A291" s="1222">
        <f>SUBTOTAL(103,$C$7:C291)</f>
        <v>285</v>
      </c>
      <c r="B291" s="1222"/>
      <c r="C291" s="1222" t="s">
        <v>76</v>
      </c>
      <c r="D291" s="1253" t="s">
        <v>49</v>
      </c>
      <c r="E291" s="1222" t="s">
        <v>50</v>
      </c>
      <c r="F291" s="1224" t="s">
        <v>255</v>
      </c>
      <c r="G291" s="1224" t="s">
        <v>255</v>
      </c>
      <c r="H291" s="1222" t="s">
        <v>255</v>
      </c>
      <c r="I291" s="1222"/>
      <c r="J291" s="1225" t="s">
        <v>1541</v>
      </c>
      <c r="K291" s="1222"/>
      <c r="L291" s="1222"/>
    </row>
    <row r="292" spans="1:12">
      <c r="A292" s="1222">
        <f>SUBTOTAL(103,$C$7:C292)</f>
        <v>286</v>
      </c>
      <c r="B292" s="1222" t="s">
        <v>640</v>
      </c>
      <c r="C292" s="1222" t="s">
        <v>77</v>
      </c>
      <c r="D292" s="1253" t="s">
        <v>184</v>
      </c>
      <c r="E292" s="1222" t="s">
        <v>50</v>
      </c>
      <c r="F292" s="1224" t="s">
        <v>255</v>
      </c>
      <c r="G292" s="1224" t="s">
        <v>255</v>
      </c>
      <c r="H292" s="1222" t="s">
        <v>255</v>
      </c>
      <c r="I292" s="1222"/>
      <c r="J292" s="1225" t="s">
        <v>1541</v>
      </c>
      <c r="K292" s="1222"/>
      <c r="L292" s="1222"/>
    </row>
    <row r="293" spans="1:12">
      <c r="A293" s="1222">
        <f>SUBTOTAL(103,$C$7:C293)</f>
        <v>287</v>
      </c>
      <c r="B293" s="1222"/>
      <c r="C293" s="1222" t="s">
        <v>171</v>
      </c>
      <c r="D293" s="1253" t="s">
        <v>2</v>
      </c>
      <c r="E293" s="1222" t="s">
        <v>50</v>
      </c>
      <c r="F293" s="1224" t="s">
        <v>255</v>
      </c>
      <c r="G293" s="1224" t="s">
        <v>255</v>
      </c>
      <c r="H293" s="1222" t="s">
        <v>255</v>
      </c>
      <c r="I293" s="1222"/>
      <c r="J293" s="1225" t="s">
        <v>1541</v>
      </c>
      <c r="K293" s="1222"/>
      <c r="L293" s="1222"/>
    </row>
    <row r="294" spans="1:12">
      <c r="A294" s="1222">
        <f>SUBTOTAL(103,$C$7:C294)</f>
        <v>288</v>
      </c>
      <c r="B294" s="1222"/>
      <c r="C294" s="1222" t="s">
        <v>172</v>
      </c>
      <c r="D294" s="1253" t="s">
        <v>49</v>
      </c>
      <c r="E294" s="1222" t="s">
        <v>50</v>
      </c>
      <c r="F294" s="1224" t="s">
        <v>255</v>
      </c>
      <c r="G294" s="1224" t="s">
        <v>255</v>
      </c>
      <c r="H294" s="1222" t="s">
        <v>255</v>
      </c>
      <c r="I294" s="1222"/>
      <c r="J294" s="1225" t="s">
        <v>1541</v>
      </c>
      <c r="K294" s="1222"/>
      <c r="L294" s="1222"/>
    </row>
    <row r="295" spans="1:12">
      <c r="A295" s="1222">
        <f>SUBTOTAL(103,$C$7:C295)</f>
        <v>289</v>
      </c>
      <c r="B295" s="1222"/>
      <c r="C295" s="1222" t="s">
        <v>1784</v>
      </c>
      <c r="D295" s="1253" t="s">
        <v>211</v>
      </c>
      <c r="E295" s="1222" t="s">
        <v>50</v>
      </c>
      <c r="F295" s="1224" t="s">
        <v>255</v>
      </c>
      <c r="G295" s="1224" t="s">
        <v>255</v>
      </c>
      <c r="H295" s="1222" t="s">
        <v>255</v>
      </c>
      <c r="I295" s="1222"/>
      <c r="J295" s="1225" t="s">
        <v>1541</v>
      </c>
      <c r="K295" s="1222"/>
      <c r="L295" s="1222"/>
    </row>
    <row r="296" spans="1:12">
      <c r="A296" s="1222">
        <f>SUBTOTAL(103,$C$7:C296)</f>
        <v>290</v>
      </c>
      <c r="B296" s="1222" t="s">
        <v>641</v>
      </c>
      <c r="C296" s="1222" t="s">
        <v>78</v>
      </c>
      <c r="D296" s="1253" t="s">
        <v>197</v>
      </c>
      <c r="E296" s="1222" t="s">
        <v>50</v>
      </c>
      <c r="F296" s="1224" t="s">
        <v>255</v>
      </c>
      <c r="G296" s="1224" t="s">
        <v>255</v>
      </c>
      <c r="H296" s="1222" t="s">
        <v>255</v>
      </c>
      <c r="I296" s="1222"/>
      <c r="J296" s="1225" t="s">
        <v>1541</v>
      </c>
      <c r="K296" s="1222"/>
      <c r="L296" s="1222"/>
    </row>
    <row r="297" spans="1:12">
      <c r="A297" s="1222">
        <f>SUBTOTAL(103,$C$7:C297)</f>
        <v>291</v>
      </c>
      <c r="B297" s="1222"/>
      <c r="C297" s="1222" t="s">
        <v>642</v>
      </c>
      <c r="D297" s="1253" t="s">
        <v>154</v>
      </c>
      <c r="E297" s="1222" t="s">
        <v>50</v>
      </c>
      <c r="F297" s="1224" t="s">
        <v>255</v>
      </c>
      <c r="G297" s="1224" t="s">
        <v>255</v>
      </c>
      <c r="H297" s="1222" t="s">
        <v>255</v>
      </c>
      <c r="I297" s="1222"/>
      <c r="J297" s="1222" t="s">
        <v>1754</v>
      </c>
      <c r="K297" s="1222"/>
      <c r="L297" s="1222"/>
    </row>
    <row r="298" spans="1:12">
      <c r="A298" s="1222">
        <f>SUBTOTAL(103,$C$7:C298)</f>
        <v>292</v>
      </c>
      <c r="B298" s="1222"/>
      <c r="C298" s="1222" t="s">
        <v>643</v>
      </c>
      <c r="D298" s="1253" t="s">
        <v>79</v>
      </c>
      <c r="E298" s="1222" t="s">
        <v>50</v>
      </c>
      <c r="F298" s="1224" t="s">
        <v>255</v>
      </c>
      <c r="G298" s="1224" t="s">
        <v>255</v>
      </c>
      <c r="H298" s="1222" t="s">
        <v>255</v>
      </c>
      <c r="I298" s="1222"/>
      <c r="J298" s="1222" t="s">
        <v>311</v>
      </c>
      <c r="K298" s="1222"/>
      <c r="L298" s="1222"/>
    </row>
    <row r="299" spans="1:12">
      <c r="A299" s="1222">
        <f>SUBTOTAL(103,$C$7:C299)</f>
        <v>293</v>
      </c>
      <c r="B299" s="1222"/>
      <c r="C299" s="1222" t="s">
        <v>644</v>
      </c>
      <c r="D299" s="1253" t="s">
        <v>154</v>
      </c>
      <c r="E299" s="1222" t="s">
        <v>50</v>
      </c>
      <c r="F299" s="1224" t="s">
        <v>255</v>
      </c>
      <c r="G299" s="1224" t="s">
        <v>255</v>
      </c>
      <c r="H299" s="1222" t="s">
        <v>255</v>
      </c>
      <c r="I299" s="1222"/>
      <c r="J299" s="1222" t="s">
        <v>311</v>
      </c>
      <c r="K299" s="1222"/>
      <c r="L299" s="1222"/>
    </row>
    <row r="300" spans="1:12">
      <c r="A300" s="1222">
        <f>SUBTOTAL(103,$C$7:C300)</f>
        <v>294</v>
      </c>
      <c r="B300" s="1222"/>
      <c r="C300" s="1222" t="s">
        <v>645</v>
      </c>
      <c r="D300" s="1253" t="s">
        <v>3</v>
      </c>
      <c r="E300" s="1222" t="s">
        <v>50</v>
      </c>
      <c r="F300" s="1224" t="s">
        <v>255</v>
      </c>
      <c r="G300" s="1224" t="s">
        <v>255</v>
      </c>
      <c r="H300" s="1222" t="s">
        <v>255</v>
      </c>
      <c r="I300" s="1222"/>
      <c r="J300" s="1225" t="s">
        <v>1541</v>
      </c>
      <c r="K300" s="1222"/>
      <c r="L300" s="1222"/>
    </row>
    <row r="301" spans="1:12">
      <c r="A301" s="1222">
        <f>SUBTOTAL(103,$C$7:C301)</f>
        <v>295</v>
      </c>
      <c r="B301" s="1222"/>
      <c r="C301" s="1222" t="s">
        <v>1785</v>
      </c>
      <c r="D301" s="1253" t="s">
        <v>173</v>
      </c>
      <c r="E301" s="1222" t="s">
        <v>50</v>
      </c>
      <c r="F301" s="1224" t="s">
        <v>255</v>
      </c>
      <c r="G301" s="1224" t="s">
        <v>255</v>
      </c>
      <c r="H301" s="1222" t="s">
        <v>255</v>
      </c>
      <c r="I301" s="1222"/>
      <c r="J301" s="1225" t="s">
        <v>1541</v>
      </c>
      <c r="K301" s="1222"/>
      <c r="L301" s="1222"/>
    </row>
    <row r="302" spans="1:12">
      <c r="A302" s="1222">
        <f>SUBTOTAL(103,$C$7:C302)</f>
        <v>296</v>
      </c>
      <c r="B302" s="1222"/>
      <c r="C302" s="1222" t="s">
        <v>647</v>
      </c>
      <c r="D302" s="1253" t="s">
        <v>2</v>
      </c>
      <c r="E302" s="1222" t="s">
        <v>50</v>
      </c>
      <c r="F302" s="1224" t="s">
        <v>255</v>
      </c>
      <c r="G302" s="1224" t="s">
        <v>255</v>
      </c>
      <c r="H302" s="1222" t="s">
        <v>255</v>
      </c>
      <c r="I302" s="1222"/>
      <c r="J302" s="1222" t="s">
        <v>1754</v>
      </c>
      <c r="K302" s="1222"/>
      <c r="L302" s="1222"/>
    </row>
    <row r="303" spans="1:12">
      <c r="A303" s="1222">
        <f>SUBTOTAL(103,$C$7:C303)</f>
        <v>297</v>
      </c>
      <c r="B303" s="1222"/>
      <c r="C303" s="1222" t="s">
        <v>648</v>
      </c>
      <c r="D303" s="1253" t="s">
        <v>3</v>
      </c>
      <c r="E303" s="1222" t="s">
        <v>50</v>
      </c>
      <c r="F303" s="1224" t="s">
        <v>255</v>
      </c>
      <c r="G303" s="1224" t="s">
        <v>255</v>
      </c>
      <c r="H303" s="1222" t="s">
        <v>255</v>
      </c>
      <c r="I303" s="1222"/>
      <c r="J303" s="1222" t="s">
        <v>1754</v>
      </c>
      <c r="K303" s="1222"/>
      <c r="L303" s="1222"/>
    </row>
    <row r="304" spans="1:12">
      <c r="A304" s="1222">
        <f>SUBTOTAL(103,$C$7:C304)</f>
        <v>298</v>
      </c>
      <c r="B304" s="1222"/>
      <c r="C304" s="1222" t="s">
        <v>649</v>
      </c>
      <c r="D304" s="1253" t="s">
        <v>49</v>
      </c>
      <c r="E304" s="1222" t="s">
        <v>50</v>
      </c>
      <c r="F304" s="1224" t="s">
        <v>255</v>
      </c>
      <c r="G304" s="1224" t="s">
        <v>255</v>
      </c>
      <c r="H304" s="1222" t="s">
        <v>255</v>
      </c>
      <c r="I304" s="1222"/>
      <c r="J304" s="1225" t="s">
        <v>1541</v>
      </c>
      <c r="K304" s="1222"/>
      <c r="L304" s="1222"/>
    </row>
    <row r="305" spans="1:12">
      <c r="A305" s="1222">
        <f>SUBTOTAL(103,$C$7:C305)</f>
        <v>299</v>
      </c>
      <c r="B305" s="1222" t="s">
        <v>650</v>
      </c>
      <c r="C305" s="1222" t="s">
        <v>7</v>
      </c>
      <c r="D305" s="1253" t="s">
        <v>227</v>
      </c>
      <c r="E305" s="1222" t="s">
        <v>50</v>
      </c>
      <c r="F305" s="1224" t="s">
        <v>255</v>
      </c>
      <c r="G305" s="1224" t="s">
        <v>255</v>
      </c>
      <c r="H305" s="1222" t="s">
        <v>255</v>
      </c>
      <c r="I305" s="1222"/>
      <c r="J305" s="1225" t="s">
        <v>1541</v>
      </c>
      <c r="K305" s="1222"/>
      <c r="L305" s="1222"/>
    </row>
    <row r="306" spans="1:12">
      <c r="A306" s="1222">
        <f>SUBTOTAL(103,$C$7:C306)</f>
        <v>300</v>
      </c>
      <c r="B306" s="1222"/>
      <c r="C306" s="1222" t="s">
        <v>1238</v>
      </c>
      <c r="D306" s="1253" t="s">
        <v>2</v>
      </c>
      <c r="E306" s="1222" t="s">
        <v>50</v>
      </c>
      <c r="F306" s="1224" t="s">
        <v>255</v>
      </c>
      <c r="G306" s="1224" t="s">
        <v>255</v>
      </c>
      <c r="H306" s="1222" t="s">
        <v>255</v>
      </c>
      <c r="I306" s="1222"/>
      <c r="J306" s="1222" t="s">
        <v>1754</v>
      </c>
      <c r="K306" s="1222"/>
      <c r="L306" s="1222"/>
    </row>
    <row r="307" spans="1:12">
      <c r="A307" s="1222">
        <f>SUBTOTAL(103,$C$7:C307)</f>
        <v>301</v>
      </c>
      <c r="B307" s="1222"/>
      <c r="C307" s="1222" t="s">
        <v>1240</v>
      </c>
      <c r="D307" s="1253" t="s">
        <v>2</v>
      </c>
      <c r="E307" s="1222" t="s">
        <v>50</v>
      </c>
      <c r="F307" s="1224" t="s">
        <v>255</v>
      </c>
      <c r="G307" s="1224" t="s">
        <v>255</v>
      </c>
      <c r="H307" s="1222" t="s">
        <v>255</v>
      </c>
      <c r="I307" s="1222" t="s">
        <v>1754</v>
      </c>
      <c r="J307" s="1222" t="s">
        <v>1754</v>
      </c>
      <c r="K307" s="1222"/>
      <c r="L307" s="1222"/>
    </row>
    <row r="308" spans="1:12">
      <c r="A308" s="1222">
        <f>SUBTOTAL(103,$C$7:C308)</f>
        <v>302</v>
      </c>
      <c r="B308" s="1222"/>
      <c r="C308" s="1222" t="s">
        <v>1241</v>
      </c>
      <c r="D308" s="1253" t="s">
        <v>2</v>
      </c>
      <c r="E308" s="1222" t="s">
        <v>50</v>
      </c>
      <c r="F308" s="1224" t="s">
        <v>255</v>
      </c>
      <c r="G308" s="1224" t="s">
        <v>255</v>
      </c>
      <c r="H308" s="1222" t="s">
        <v>255</v>
      </c>
      <c r="I308" s="1222"/>
      <c r="J308" s="1225" t="s">
        <v>1541</v>
      </c>
      <c r="K308" s="1222"/>
      <c r="L308" s="1222"/>
    </row>
    <row r="309" spans="1:12">
      <c r="A309" s="1222">
        <f>SUBTOTAL(103,$C$7:C309)</f>
        <v>303</v>
      </c>
      <c r="B309" s="1222"/>
      <c r="C309" s="1222" t="s">
        <v>1242</v>
      </c>
      <c r="D309" s="1253" t="s">
        <v>3</v>
      </c>
      <c r="E309" s="1222" t="s">
        <v>50</v>
      </c>
      <c r="F309" s="1224" t="s">
        <v>255</v>
      </c>
      <c r="G309" s="1224" t="s">
        <v>255</v>
      </c>
      <c r="H309" s="1222" t="s">
        <v>255</v>
      </c>
      <c r="I309" s="1222"/>
      <c r="J309" s="1227" t="s">
        <v>1754</v>
      </c>
      <c r="K309" s="1222"/>
      <c r="L309" s="1222"/>
    </row>
    <row r="310" spans="1:12">
      <c r="A310" s="1222">
        <f>SUBTOTAL(103,$C$7:C310)</f>
        <v>304</v>
      </c>
      <c r="B310" s="1222"/>
      <c r="C310" s="1222" t="s">
        <v>1243</v>
      </c>
      <c r="D310" s="1253" t="s">
        <v>3</v>
      </c>
      <c r="E310" s="1222" t="s">
        <v>50</v>
      </c>
      <c r="F310" s="1224" t="s">
        <v>255</v>
      </c>
      <c r="G310" s="1224" t="s">
        <v>255</v>
      </c>
      <c r="H310" s="1222" t="s">
        <v>255</v>
      </c>
      <c r="I310" s="1222"/>
      <c r="J310" s="1222" t="s">
        <v>1754</v>
      </c>
      <c r="K310" s="1222"/>
      <c r="L310" s="1222"/>
    </row>
    <row r="311" spans="1:12">
      <c r="A311" s="1222">
        <f>SUBTOTAL(103,$C$7:C311)</f>
        <v>305</v>
      </c>
      <c r="B311" s="1222" t="s">
        <v>1268</v>
      </c>
      <c r="C311" s="1222" t="s">
        <v>1244</v>
      </c>
      <c r="D311" s="1253" t="s">
        <v>211</v>
      </c>
      <c r="E311" s="1222" t="s">
        <v>50</v>
      </c>
      <c r="F311" s="1224" t="s">
        <v>255</v>
      </c>
      <c r="G311" s="1224" t="s">
        <v>255</v>
      </c>
      <c r="H311" s="1222" t="s">
        <v>255</v>
      </c>
      <c r="I311" s="1222" t="s">
        <v>1754</v>
      </c>
      <c r="J311" s="1225" t="s">
        <v>1541</v>
      </c>
      <c r="K311" s="1222"/>
      <c r="L311" s="1222" t="s">
        <v>1246</v>
      </c>
    </row>
    <row r="312" spans="1:12">
      <c r="A312" s="1222">
        <f>SUBTOTAL(103,$C$7:C312)</f>
        <v>306</v>
      </c>
      <c r="B312" s="1222" t="s">
        <v>1269</v>
      </c>
      <c r="C312" s="1222" t="s">
        <v>1245</v>
      </c>
      <c r="D312" s="1253" t="s">
        <v>401</v>
      </c>
      <c r="E312" s="1222" t="s">
        <v>50</v>
      </c>
      <c r="F312" s="1224" t="s">
        <v>255</v>
      </c>
      <c r="G312" s="1224" t="s">
        <v>255</v>
      </c>
      <c r="H312" s="1222" t="s">
        <v>255</v>
      </c>
      <c r="I312" s="1222"/>
      <c r="J312" s="1227" t="s">
        <v>1754</v>
      </c>
      <c r="K312" s="1222"/>
      <c r="L312" s="1222" t="s">
        <v>1246</v>
      </c>
    </row>
  </sheetData>
  <autoFilter ref="A5:L311" xr:uid="{95BFB1A5-FF73-4096-80F7-2E6E8F9C78BD}"/>
  <mergeCells count="4">
    <mergeCell ref="A1:L1"/>
    <mergeCell ref="A2:L2"/>
    <mergeCell ref="A4:A5"/>
    <mergeCell ref="E4:E5"/>
  </mergeCells>
  <conditionalFormatting sqref="C1:C1048576">
    <cfRule type="duplicateValues" dxfId="163" priority="1"/>
  </conditionalFormatting>
  <conditionalFormatting sqref="C4:C312">
    <cfRule type="duplicateValues" dxfId="162" priority="21"/>
    <cfRule type="duplicateValues" dxfId="161" priority="22"/>
    <cfRule type="duplicateValues" dxfId="160" priority="23"/>
  </conditionalFormatting>
  <conditionalFormatting sqref="C6:C312">
    <cfRule type="duplicateValues" dxfId="159" priority="17"/>
    <cfRule type="duplicateValues" dxfId="158" priority="18"/>
    <cfRule type="duplicateValues" dxfId="157" priority="19"/>
    <cfRule type="duplicateValues" dxfId="156" priority="20"/>
  </conditionalFormatting>
  <conditionalFormatting sqref="C240:C243">
    <cfRule type="duplicateValues" dxfId="155" priority="6"/>
    <cfRule type="duplicateValues" dxfId="154" priority="7"/>
    <cfRule type="duplicateValues" dxfId="153" priority="8"/>
    <cfRule type="duplicateValues" dxfId="152" priority="9"/>
    <cfRule type="duplicateValues" dxfId="151" priority="10"/>
    <cfRule type="duplicateValues" dxfId="150" priority="11"/>
    <cfRule type="duplicateValues" dxfId="149" priority="12"/>
  </conditionalFormatting>
  <conditionalFormatting sqref="C301">
    <cfRule type="duplicateValues" dxfId="148" priority="13"/>
    <cfRule type="duplicateValues" dxfId="147" priority="14"/>
    <cfRule type="duplicateValues" dxfId="146" priority="15"/>
    <cfRule type="duplicateValues" dxfId="145" priority="16"/>
  </conditionalFormatting>
  <conditionalFormatting sqref="C312">
    <cfRule type="duplicateValues" dxfId="144" priority="2"/>
    <cfRule type="duplicateValues" dxfId="143" priority="3"/>
    <cfRule type="duplicateValues" dxfId="142" priority="4"/>
    <cfRule type="duplicateValues" dxfId="141" priority="5"/>
  </conditionalFormatting>
  <printOptions horizontalCentered="1"/>
  <pageMargins left="0.31496062992125984" right="0.11811023622047245" top="0.74803149606299213" bottom="0.74803149606299213" header="0.31496062992125984" footer="0.31496062992125984"/>
  <pageSetup paperSize="9"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FCDC6-762D-48CE-B160-4E188D45A52A}">
  <sheetPr>
    <tabColor theme="4" tint="0.39997558519241921"/>
  </sheetPr>
  <dimension ref="A1:I144"/>
  <sheetViews>
    <sheetView topLeftCell="A126" workbookViewId="0">
      <selection activeCell="E136" sqref="E136"/>
    </sheetView>
  </sheetViews>
  <sheetFormatPr defaultColWidth="9.1796875" defaultRowHeight="14.5"/>
  <cols>
    <col min="1" max="1" width="7.1796875" style="13" bestFit="1" customWidth="1"/>
    <col min="2" max="2" width="7.453125" style="13" bestFit="1" customWidth="1"/>
    <col min="3" max="5" width="11.1796875" style="13" customWidth="1"/>
    <col min="6" max="6" width="10.08984375" style="13" customWidth="1"/>
    <col min="7" max="7" width="18.1796875" style="13" customWidth="1"/>
    <col min="8" max="8" width="18.7265625" style="13" customWidth="1"/>
    <col min="9" max="9" width="16" style="13" customWidth="1"/>
    <col min="10" max="16384" width="9.1796875" style="13"/>
  </cols>
  <sheetData>
    <row r="1" spans="1:9" ht="15.5">
      <c r="A1" s="1535" t="s">
        <v>120</v>
      </c>
      <c r="B1" s="1536"/>
      <c r="C1" s="1536"/>
      <c r="D1" s="1536"/>
      <c r="E1" s="1536"/>
      <c r="F1" s="1536"/>
      <c r="G1" s="1536"/>
      <c r="H1" s="1536"/>
      <c r="I1" s="1537"/>
    </row>
    <row r="2" spans="1:9" ht="15.5">
      <c r="A2" s="1582" t="str">
        <f>TA413_PBNTL!A1</f>
        <v xml:space="preserve"> TA413 : 765 KV D/C Bikaner III - Neemrana II TL02</v>
      </c>
      <c r="B2" s="1583"/>
      <c r="C2" s="1583"/>
      <c r="D2" s="1583"/>
      <c r="E2" s="1583"/>
      <c r="F2" s="1583"/>
      <c r="G2" s="1583"/>
      <c r="H2" s="1583"/>
      <c r="I2" s="1604"/>
    </row>
    <row r="3" spans="1:9" ht="16" thickBot="1">
      <c r="A3" s="1605" t="s">
        <v>1761</v>
      </c>
      <c r="B3" s="1606"/>
      <c r="C3" s="1606"/>
      <c r="D3" s="1606"/>
      <c r="E3" s="1606"/>
      <c r="F3" s="1606"/>
      <c r="G3" s="1606"/>
      <c r="H3" s="1606"/>
      <c r="I3" s="63" t="str">
        <f>TA413_PBNTL!M1</f>
        <v>17.07.2026</v>
      </c>
    </row>
    <row r="4" spans="1:9" ht="29.5" thickBot="1">
      <c r="A4" s="47" t="s">
        <v>41</v>
      </c>
      <c r="B4" s="48" t="s">
        <v>42</v>
      </c>
      <c r="C4" s="49" t="s">
        <v>43</v>
      </c>
      <c r="D4" s="48" t="s">
        <v>44</v>
      </c>
      <c r="E4" s="48" t="s">
        <v>1760</v>
      </c>
      <c r="F4" s="50" t="s">
        <v>1759</v>
      </c>
      <c r="G4" s="51" t="s">
        <v>87</v>
      </c>
      <c r="H4" s="48" t="s">
        <v>48</v>
      </c>
      <c r="I4" s="52" t="s">
        <v>1</v>
      </c>
    </row>
    <row r="5" spans="1:9">
      <c r="A5" s="1119">
        <v>1</v>
      </c>
      <c r="B5" s="1240">
        <v>1</v>
      </c>
      <c r="C5" s="1240" t="s">
        <v>1250</v>
      </c>
      <c r="D5" s="1241" t="str">
        <f>VLOOKUP(C5,Erection!$C$5:$D$307,2,0)</f>
        <v>DA+0</v>
      </c>
      <c r="E5" s="1242">
        <v>46157</v>
      </c>
      <c r="F5" s="1240" t="s">
        <v>1762</v>
      </c>
      <c r="G5" s="1240" t="s">
        <v>1763</v>
      </c>
      <c r="H5" s="1240" t="s">
        <v>1148</v>
      </c>
      <c r="I5" s="1243"/>
    </row>
    <row r="6" spans="1:9">
      <c r="A6" s="14">
        <f>A5+1</f>
        <v>2</v>
      </c>
      <c r="B6" s="10">
        <v>2</v>
      </c>
      <c r="C6" s="10" t="s">
        <v>1251</v>
      </c>
      <c r="D6" s="10" t="str">
        <f>VLOOKUP(C6,Erection!$C$5:$D$307,2,0)</f>
        <v>DA+3</v>
      </c>
      <c r="E6" s="111">
        <v>46157</v>
      </c>
      <c r="F6" s="10" t="s">
        <v>1762</v>
      </c>
      <c r="G6" s="10" t="s">
        <v>1763</v>
      </c>
      <c r="H6" s="10" t="s">
        <v>1148</v>
      </c>
      <c r="I6" s="46"/>
    </row>
    <row r="7" spans="1:9">
      <c r="A7" s="14">
        <f t="shared" ref="A7:A70" si="0">A6+1</f>
        <v>3</v>
      </c>
      <c r="B7" s="10">
        <v>3</v>
      </c>
      <c r="C7" s="10" t="s">
        <v>1252</v>
      </c>
      <c r="D7" s="10" t="str">
        <f>VLOOKUP(C7,Erection!$C$5:$D$307,2,0)</f>
        <v>DA+3</v>
      </c>
      <c r="E7" s="111">
        <v>46158</v>
      </c>
      <c r="F7" s="10" t="s">
        <v>1762</v>
      </c>
      <c r="G7" s="10" t="s">
        <v>1763</v>
      </c>
      <c r="H7" s="10" t="s">
        <v>1148</v>
      </c>
      <c r="I7" s="46"/>
    </row>
    <row r="8" spans="1:9">
      <c r="A8" s="14">
        <f t="shared" si="0"/>
        <v>4</v>
      </c>
      <c r="B8" s="10">
        <v>4</v>
      </c>
      <c r="C8" s="10" t="s">
        <v>1253</v>
      </c>
      <c r="D8" s="10" t="str">
        <f>VLOOKUP(C8,Erection!$C$5:$D$307,2,0)</f>
        <v>DA+3</v>
      </c>
      <c r="E8" s="111">
        <v>46158</v>
      </c>
      <c r="F8" s="10" t="s">
        <v>1762</v>
      </c>
      <c r="G8" s="10" t="s">
        <v>1763</v>
      </c>
      <c r="H8" s="10" t="s">
        <v>1148</v>
      </c>
      <c r="I8" s="46"/>
    </row>
    <row r="9" spans="1:9">
      <c r="A9" s="14">
        <f t="shared" si="0"/>
        <v>5</v>
      </c>
      <c r="B9" s="10">
        <v>5</v>
      </c>
      <c r="C9" s="10" t="s">
        <v>1254</v>
      </c>
      <c r="D9" s="10" t="str">
        <f>VLOOKUP(C9,Erection!$C$5:$D$307,2,0)</f>
        <v>DA+3</v>
      </c>
      <c r="E9" s="111">
        <v>46159</v>
      </c>
      <c r="F9" s="10" t="s">
        <v>1762</v>
      </c>
      <c r="G9" s="10" t="s">
        <v>1763</v>
      </c>
      <c r="H9" s="10" t="s">
        <v>1148</v>
      </c>
      <c r="I9" s="46"/>
    </row>
    <row r="10" spans="1:9">
      <c r="A10" s="14">
        <f t="shared" si="0"/>
        <v>6</v>
      </c>
      <c r="B10" s="10">
        <v>6</v>
      </c>
      <c r="C10" s="10" t="s">
        <v>1255</v>
      </c>
      <c r="D10" s="10" t="str">
        <f>VLOOKUP(C10,Erection!$C$5:$D$307,2,0)</f>
        <v>DA+6</v>
      </c>
      <c r="E10" s="111">
        <v>46159</v>
      </c>
      <c r="F10" s="10" t="s">
        <v>1762</v>
      </c>
      <c r="G10" s="10" t="s">
        <v>1763</v>
      </c>
      <c r="H10" s="10" t="s">
        <v>1148</v>
      </c>
      <c r="I10" s="46"/>
    </row>
    <row r="11" spans="1:9">
      <c r="A11" s="14">
        <f t="shared" si="0"/>
        <v>7</v>
      </c>
      <c r="B11" s="10">
        <v>7</v>
      </c>
      <c r="C11" s="10" t="s">
        <v>1257</v>
      </c>
      <c r="D11" s="10" t="str">
        <f>VLOOKUP(C11,Erection!$C$5:$D$307,2,0)</f>
        <v>DA+3</v>
      </c>
      <c r="E11" s="111">
        <v>46159</v>
      </c>
      <c r="F11" s="10" t="s">
        <v>1762</v>
      </c>
      <c r="G11" s="10" t="s">
        <v>1763</v>
      </c>
      <c r="H11" s="10" t="s">
        <v>1148</v>
      </c>
      <c r="I11" s="46"/>
    </row>
    <row r="12" spans="1:9">
      <c r="A12" s="986">
        <f t="shared" si="0"/>
        <v>8</v>
      </c>
      <c r="B12" s="10">
        <v>8</v>
      </c>
      <c r="C12" s="72" t="s">
        <v>26</v>
      </c>
      <c r="D12" s="62" t="str">
        <f>VLOOKUP(C12,Erection!$C$5:$D$307,2,0)</f>
        <v>DA+0</v>
      </c>
      <c r="E12" s="716">
        <v>46161</v>
      </c>
      <c r="F12" s="62" t="s">
        <v>1762</v>
      </c>
      <c r="G12" s="62" t="s">
        <v>1765</v>
      </c>
      <c r="H12" s="62" t="s">
        <v>1148</v>
      </c>
      <c r="I12" s="46"/>
    </row>
    <row r="13" spans="1:9">
      <c r="A13" s="986">
        <f t="shared" si="0"/>
        <v>9</v>
      </c>
      <c r="B13" s="10">
        <v>9</v>
      </c>
      <c r="C13" s="72" t="s">
        <v>435</v>
      </c>
      <c r="D13" s="62" t="str">
        <f>VLOOKUP(C13,Erection!$C$5:$D$307,2,0)</f>
        <v>DA+9</v>
      </c>
      <c r="E13" s="716">
        <v>46161</v>
      </c>
      <c r="F13" s="62" t="s">
        <v>1762</v>
      </c>
      <c r="G13" s="62" t="s">
        <v>1765</v>
      </c>
      <c r="H13" s="62" t="s">
        <v>1148</v>
      </c>
      <c r="I13" s="46"/>
    </row>
    <row r="14" spans="1:9">
      <c r="A14" s="986">
        <f t="shared" si="0"/>
        <v>10</v>
      </c>
      <c r="B14" s="10">
        <v>10</v>
      </c>
      <c r="C14" s="72" t="s">
        <v>436</v>
      </c>
      <c r="D14" s="62" t="str">
        <f>VLOOKUP(C14,Erection!$C$5:$D$307,2,0)</f>
        <v>DA+3</v>
      </c>
      <c r="E14" s="716">
        <v>46161</v>
      </c>
      <c r="F14" s="62" t="s">
        <v>1762</v>
      </c>
      <c r="G14" s="62" t="s">
        <v>1765</v>
      </c>
      <c r="H14" s="62" t="s">
        <v>1148</v>
      </c>
      <c r="I14" s="1247"/>
    </row>
    <row r="15" spans="1:9">
      <c r="A15" s="986">
        <f t="shared" si="0"/>
        <v>11</v>
      </c>
      <c r="B15" s="10">
        <v>11</v>
      </c>
      <c r="C15" s="72" t="s">
        <v>437</v>
      </c>
      <c r="D15" s="62" t="str">
        <f>VLOOKUP(C15,Erection!$C$5:$D$307,2,0)</f>
        <v>DA+9</v>
      </c>
      <c r="E15" s="716">
        <v>46161</v>
      </c>
      <c r="F15" s="62" t="s">
        <v>1762</v>
      </c>
      <c r="G15" s="62" t="s">
        <v>1765</v>
      </c>
      <c r="H15" s="62" t="s">
        <v>1148</v>
      </c>
      <c r="I15" s="1247"/>
    </row>
    <row r="16" spans="1:9">
      <c r="A16" s="986">
        <f t="shared" si="0"/>
        <v>12</v>
      </c>
      <c r="B16" s="10">
        <v>12</v>
      </c>
      <c r="C16" s="72" t="s">
        <v>438</v>
      </c>
      <c r="D16" s="62" t="str">
        <f>VLOOKUP(C16,Erection!$C$5:$D$307,2,0)</f>
        <v>DA+0</v>
      </c>
      <c r="E16" s="716">
        <v>46161</v>
      </c>
      <c r="F16" s="62" t="s">
        <v>1762</v>
      </c>
      <c r="G16" s="62" t="s">
        <v>1765</v>
      </c>
      <c r="H16" s="62" t="s">
        <v>1148</v>
      </c>
      <c r="I16" s="1247"/>
    </row>
    <row r="17" spans="1:9">
      <c r="A17" s="986">
        <f t="shared" si="0"/>
        <v>13</v>
      </c>
      <c r="B17" s="10">
        <v>13</v>
      </c>
      <c r="C17" s="72" t="s">
        <v>439</v>
      </c>
      <c r="D17" s="62" t="str">
        <f>VLOOKUP(C17,Erection!$C$5:$D$307,2,0)</f>
        <v>DA+6</v>
      </c>
      <c r="E17" s="716">
        <v>46161</v>
      </c>
      <c r="F17" s="62" t="s">
        <v>1762</v>
      </c>
      <c r="G17" s="62" t="s">
        <v>1765</v>
      </c>
      <c r="H17" s="62" t="s">
        <v>1148</v>
      </c>
      <c r="I17" s="1247"/>
    </row>
    <row r="18" spans="1:9">
      <c r="A18" s="986">
        <f t="shared" si="0"/>
        <v>14</v>
      </c>
      <c r="B18" s="10">
        <v>14</v>
      </c>
      <c r="C18" s="72" t="s">
        <v>440</v>
      </c>
      <c r="D18" s="62" t="str">
        <f>VLOOKUP(C18,Erection!$C$5:$D$307,2,0)</f>
        <v>DA-3</v>
      </c>
      <c r="E18" s="716">
        <v>46161</v>
      </c>
      <c r="F18" s="62" t="s">
        <v>1762</v>
      </c>
      <c r="G18" s="62" t="s">
        <v>1765</v>
      </c>
      <c r="H18" s="62" t="s">
        <v>1148</v>
      </c>
      <c r="I18" s="1247"/>
    </row>
    <row r="19" spans="1:9">
      <c r="A19" s="986">
        <f t="shared" si="0"/>
        <v>15</v>
      </c>
      <c r="B19" s="10">
        <v>15</v>
      </c>
      <c r="C19" s="72" t="s">
        <v>441</v>
      </c>
      <c r="D19" s="62" t="str">
        <f>VLOOKUP(C19,Erection!$C$5:$D$307,2,0)</f>
        <v>DA+3</v>
      </c>
      <c r="E19" s="716">
        <v>46161</v>
      </c>
      <c r="F19" s="62" t="s">
        <v>1762</v>
      </c>
      <c r="G19" s="62" t="s">
        <v>1765</v>
      </c>
      <c r="H19" s="62" t="s">
        <v>1148</v>
      </c>
      <c r="I19" s="1247"/>
    </row>
    <row r="20" spans="1:9">
      <c r="A20" s="986">
        <f t="shared" si="0"/>
        <v>16</v>
      </c>
      <c r="B20" s="10">
        <v>16</v>
      </c>
      <c r="C20" s="72" t="s">
        <v>442</v>
      </c>
      <c r="D20" s="62" t="str">
        <f>VLOOKUP(C20,Erection!$C$5:$D$307,2,0)</f>
        <v>DA-3</v>
      </c>
      <c r="E20" s="716">
        <v>46161</v>
      </c>
      <c r="F20" s="62" t="s">
        <v>1762</v>
      </c>
      <c r="G20" s="62" t="s">
        <v>1765</v>
      </c>
      <c r="H20" s="62" t="s">
        <v>1148</v>
      </c>
      <c r="I20" s="1247"/>
    </row>
    <row r="21" spans="1:9">
      <c r="A21" s="986">
        <f t="shared" si="0"/>
        <v>17</v>
      </c>
      <c r="B21" s="10">
        <v>17</v>
      </c>
      <c r="C21" s="72" t="s">
        <v>443</v>
      </c>
      <c r="D21" s="62" t="str">
        <f>VLOOKUP(C21,Erection!$C$5:$D$307,2,0)</f>
        <v>DA+3</v>
      </c>
      <c r="E21" s="716">
        <v>46161</v>
      </c>
      <c r="F21" s="62" t="s">
        <v>1762</v>
      </c>
      <c r="G21" s="62" t="s">
        <v>1765</v>
      </c>
      <c r="H21" s="62" t="s">
        <v>1148</v>
      </c>
      <c r="I21" s="1247"/>
    </row>
    <row r="22" spans="1:9">
      <c r="A22" s="986">
        <f t="shared" si="0"/>
        <v>18</v>
      </c>
      <c r="B22" s="10">
        <v>18</v>
      </c>
      <c r="C22" s="661" t="s">
        <v>82</v>
      </c>
      <c r="D22" s="62" t="str">
        <f>VLOOKUP(C22,Erection!$C$5:$D$307,2,0)</f>
        <v>DA+3</v>
      </c>
      <c r="E22" s="1251">
        <v>46162</v>
      </c>
      <c r="F22" s="1246" t="s">
        <v>1762</v>
      </c>
      <c r="G22" s="1246" t="s">
        <v>1765</v>
      </c>
      <c r="H22" s="1246" t="s">
        <v>1148</v>
      </c>
      <c r="I22" s="1247"/>
    </row>
    <row r="23" spans="1:9">
      <c r="A23" s="986">
        <f t="shared" si="0"/>
        <v>19</v>
      </c>
      <c r="B23" s="10">
        <v>19</v>
      </c>
      <c r="C23" s="661" t="s">
        <v>163</v>
      </c>
      <c r="D23" s="62" t="str">
        <f>VLOOKUP(C23,Erection!$C$5:$D$307,2,0)</f>
        <v>DA+1.5</v>
      </c>
      <c r="E23" s="1251">
        <v>46162</v>
      </c>
      <c r="F23" s="1246" t="s">
        <v>1762</v>
      </c>
      <c r="G23" s="1246" t="s">
        <v>1765</v>
      </c>
      <c r="H23" s="1246" t="s">
        <v>1148</v>
      </c>
      <c r="I23" s="1247"/>
    </row>
    <row r="24" spans="1:9">
      <c r="A24" s="986">
        <f t="shared" si="0"/>
        <v>20</v>
      </c>
      <c r="B24" s="10">
        <v>20</v>
      </c>
      <c r="C24" s="661" t="s">
        <v>164</v>
      </c>
      <c r="D24" s="62" t="str">
        <f>VLOOKUP(C24,Erection!$C$5:$D$307,2,0)</f>
        <v>DA+3</v>
      </c>
      <c r="E24" s="1251">
        <v>46162</v>
      </c>
      <c r="F24" s="1246" t="s">
        <v>1762</v>
      </c>
      <c r="G24" s="1246" t="s">
        <v>1765</v>
      </c>
      <c r="H24" s="1246" t="s">
        <v>1148</v>
      </c>
      <c r="I24" s="1247"/>
    </row>
    <row r="25" spans="1:9">
      <c r="A25" s="986">
        <f t="shared" si="0"/>
        <v>21</v>
      </c>
      <c r="B25" s="10">
        <v>21</v>
      </c>
      <c r="C25" s="661" t="s">
        <v>444</v>
      </c>
      <c r="D25" s="62" t="str">
        <f>VLOOKUP(C25,Erection!$C$5:$D$307,2,0)</f>
        <v>DA-1.5</v>
      </c>
      <c r="E25" s="1251">
        <v>46162</v>
      </c>
      <c r="F25" s="1246" t="s">
        <v>1762</v>
      </c>
      <c r="G25" s="1246" t="s">
        <v>1765</v>
      </c>
      <c r="H25" s="1246" t="s">
        <v>1148</v>
      </c>
      <c r="I25" s="1247"/>
    </row>
    <row r="26" spans="1:9">
      <c r="A26" s="986">
        <f t="shared" si="0"/>
        <v>22</v>
      </c>
      <c r="B26" s="10">
        <v>22</v>
      </c>
      <c r="C26" s="661" t="s">
        <v>445</v>
      </c>
      <c r="D26" s="62" t="str">
        <f>VLOOKUP(C26,Erection!$C$5:$D$307,2,0)</f>
        <v>DA+6</v>
      </c>
      <c r="E26" s="1251">
        <v>46162</v>
      </c>
      <c r="F26" s="1246" t="s">
        <v>1762</v>
      </c>
      <c r="G26" s="1246" t="s">
        <v>1765</v>
      </c>
      <c r="H26" s="1246" t="s">
        <v>1148</v>
      </c>
      <c r="I26" s="1247"/>
    </row>
    <row r="27" spans="1:9">
      <c r="A27" s="986">
        <f t="shared" si="0"/>
        <v>23</v>
      </c>
      <c r="B27" s="10">
        <v>23</v>
      </c>
      <c r="C27" s="1250" t="s">
        <v>446</v>
      </c>
      <c r="D27" s="62" t="str">
        <f>VLOOKUP(C27,Erection!$C$5:$D$307,2,0)</f>
        <v>DA+9</v>
      </c>
      <c r="E27" s="1251">
        <v>46162</v>
      </c>
      <c r="F27" s="1246" t="s">
        <v>1762</v>
      </c>
      <c r="G27" s="1246" t="s">
        <v>1765</v>
      </c>
      <c r="H27" s="1246" t="s">
        <v>1148</v>
      </c>
      <c r="I27" s="1247"/>
    </row>
    <row r="28" spans="1:9">
      <c r="A28" s="986">
        <f t="shared" si="0"/>
        <v>24</v>
      </c>
      <c r="B28" s="10">
        <v>24</v>
      </c>
      <c r="C28" s="661" t="s">
        <v>447</v>
      </c>
      <c r="D28" s="62" t="str">
        <f>VLOOKUP(C28,Erection!$C$5:$D$307,2,0)</f>
        <v>DA+0</v>
      </c>
      <c r="E28" s="1251">
        <v>46162</v>
      </c>
      <c r="F28" s="1246" t="s">
        <v>1762</v>
      </c>
      <c r="G28" s="1246" t="s">
        <v>1765</v>
      </c>
      <c r="H28" s="1246" t="s">
        <v>1148</v>
      </c>
      <c r="I28" s="1247"/>
    </row>
    <row r="29" spans="1:9">
      <c r="A29" s="986">
        <f t="shared" si="0"/>
        <v>25</v>
      </c>
      <c r="B29" s="10">
        <v>25</v>
      </c>
      <c r="C29" s="661" t="s">
        <v>448</v>
      </c>
      <c r="D29" s="62" t="str">
        <f>VLOOKUP(C29,Erection!$C$5:$D$307,2,0)</f>
        <v>DA+0</v>
      </c>
      <c r="E29" s="1251">
        <v>46162</v>
      </c>
      <c r="F29" s="1246" t="s">
        <v>1762</v>
      </c>
      <c r="G29" s="1246" t="s">
        <v>1765</v>
      </c>
      <c r="H29" s="1246" t="s">
        <v>1148</v>
      </c>
      <c r="I29" s="1247"/>
    </row>
    <row r="30" spans="1:9">
      <c r="A30" s="986">
        <f t="shared" si="0"/>
        <v>26</v>
      </c>
      <c r="B30" s="10">
        <v>26</v>
      </c>
      <c r="C30" s="661" t="s">
        <v>449</v>
      </c>
      <c r="D30" s="62" t="str">
        <f>VLOOKUP(C30,Erection!$C$5:$D$307,2,0)</f>
        <v>DA+1.5</v>
      </c>
      <c r="E30" s="111">
        <v>46162</v>
      </c>
      <c r="F30" s="10" t="s">
        <v>1762</v>
      </c>
      <c r="G30" s="10" t="s">
        <v>1765</v>
      </c>
      <c r="H30" s="10" t="s">
        <v>1148</v>
      </c>
      <c r="I30" s="46"/>
    </row>
    <row r="31" spans="1:9">
      <c r="A31" s="986">
        <f t="shared" si="0"/>
        <v>27</v>
      </c>
      <c r="B31" s="10">
        <v>27</v>
      </c>
      <c r="C31" s="661" t="s">
        <v>450</v>
      </c>
      <c r="D31" s="62" t="str">
        <f>VLOOKUP(C31,Erection!$C$5:$D$307,2,0)</f>
        <v>DA+4.5</v>
      </c>
      <c r="E31" s="111">
        <v>46163</v>
      </c>
      <c r="F31" s="10" t="s">
        <v>1762</v>
      </c>
      <c r="G31" s="10" t="s">
        <v>1765</v>
      </c>
      <c r="H31" s="10" t="s">
        <v>1148</v>
      </c>
      <c r="I31" s="46"/>
    </row>
    <row r="32" spans="1:9">
      <c r="A32" s="986">
        <f t="shared" si="0"/>
        <v>28</v>
      </c>
      <c r="B32" s="10">
        <v>28</v>
      </c>
      <c r="C32" s="661" t="s">
        <v>66</v>
      </c>
      <c r="D32" s="62" t="str">
        <f>VLOOKUP(C32,Erection!$C$5:$D$307,2,0)</f>
        <v>DA+6</v>
      </c>
      <c r="E32" s="111">
        <v>46163</v>
      </c>
      <c r="F32" s="10" t="s">
        <v>1762</v>
      </c>
      <c r="G32" s="10" t="s">
        <v>1765</v>
      </c>
      <c r="H32" s="10" t="s">
        <v>1148</v>
      </c>
      <c r="I32" s="46"/>
    </row>
    <row r="33" spans="1:9">
      <c r="A33" s="986">
        <f t="shared" si="0"/>
        <v>29</v>
      </c>
      <c r="B33" s="10">
        <v>29</v>
      </c>
      <c r="C33" s="661" t="s">
        <v>165</v>
      </c>
      <c r="D33" s="62" t="str">
        <f>VLOOKUP(C33,Erection!$C$5:$D$307,2,0)</f>
        <v>DA+9</v>
      </c>
      <c r="E33" s="111">
        <v>46163</v>
      </c>
      <c r="F33" s="10" t="s">
        <v>1762</v>
      </c>
      <c r="G33" s="10" t="s">
        <v>1765</v>
      </c>
      <c r="H33" s="10" t="s">
        <v>1148</v>
      </c>
      <c r="I33" s="46"/>
    </row>
    <row r="34" spans="1:9">
      <c r="A34" s="986">
        <f t="shared" si="0"/>
        <v>30</v>
      </c>
      <c r="B34" s="10">
        <v>30</v>
      </c>
      <c r="C34" s="661" t="s">
        <v>873</v>
      </c>
      <c r="D34" s="62" t="str">
        <f>VLOOKUP(C34,Erection!$C$5:$D$307,2,0)</f>
        <v>DA+6</v>
      </c>
      <c r="E34" s="111">
        <v>46163</v>
      </c>
      <c r="F34" s="10" t="s">
        <v>1762</v>
      </c>
      <c r="G34" s="10" t="s">
        <v>1765</v>
      </c>
      <c r="H34" s="10" t="s">
        <v>1148</v>
      </c>
      <c r="I34" s="46"/>
    </row>
    <row r="35" spans="1:9">
      <c r="A35" s="986">
        <f t="shared" si="0"/>
        <v>31</v>
      </c>
      <c r="B35" s="10">
        <v>31</v>
      </c>
      <c r="C35" s="661" t="s">
        <v>874</v>
      </c>
      <c r="D35" s="62" t="str">
        <f>VLOOKUP(C35,Erection!$C$5:$D$307,2,0)</f>
        <v>DA+9</v>
      </c>
      <c r="E35" s="111">
        <v>46163</v>
      </c>
      <c r="F35" s="10" t="s">
        <v>1762</v>
      </c>
      <c r="G35" s="10" t="s">
        <v>1765</v>
      </c>
      <c r="H35" s="10" t="s">
        <v>1148</v>
      </c>
      <c r="I35" s="46"/>
    </row>
    <row r="36" spans="1:9">
      <c r="A36" s="986">
        <f t="shared" si="0"/>
        <v>32</v>
      </c>
      <c r="B36" s="10">
        <v>32</v>
      </c>
      <c r="C36" s="661" t="s">
        <v>875</v>
      </c>
      <c r="D36" s="62" t="str">
        <f>VLOOKUP(C36,Erection!$C$5:$D$307,2,0)</f>
        <v>DA+9</v>
      </c>
      <c r="E36" s="111">
        <v>46163</v>
      </c>
      <c r="F36" s="10" t="s">
        <v>1762</v>
      </c>
      <c r="G36" s="10" t="s">
        <v>1765</v>
      </c>
      <c r="H36" s="10" t="s">
        <v>1148</v>
      </c>
      <c r="I36" s="46"/>
    </row>
    <row r="37" spans="1:9">
      <c r="A37" s="986">
        <f t="shared" si="0"/>
        <v>33</v>
      </c>
      <c r="B37" s="10">
        <v>33</v>
      </c>
      <c r="C37" s="661" t="s">
        <v>876</v>
      </c>
      <c r="D37" s="62" t="str">
        <f>VLOOKUP(C37,Erection!$C$5:$D$307,2,0)</f>
        <v>DA+9</v>
      </c>
      <c r="E37" s="111">
        <v>46163</v>
      </c>
      <c r="F37" s="10" t="s">
        <v>1762</v>
      </c>
      <c r="G37" s="10" t="s">
        <v>1765</v>
      </c>
      <c r="H37" s="10" t="s">
        <v>1148</v>
      </c>
      <c r="I37" s="46"/>
    </row>
    <row r="38" spans="1:9">
      <c r="A38" s="986">
        <f t="shared" si="0"/>
        <v>34</v>
      </c>
      <c r="B38" s="10">
        <v>34</v>
      </c>
      <c r="C38" s="661" t="s">
        <v>877</v>
      </c>
      <c r="D38" s="62" t="str">
        <f>VLOOKUP(C38,Erection!$C$5:$D$307,2,0)</f>
        <v>DA+3</v>
      </c>
      <c r="E38" s="111">
        <v>46163</v>
      </c>
      <c r="F38" s="10" t="s">
        <v>1762</v>
      </c>
      <c r="G38" s="10" t="s">
        <v>1765</v>
      </c>
      <c r="H38" s="10" t="s">
        <v>1148</v>
      </c>
      <c r="I38" s="46"/>
    </row>
    <row r="39" spans="1:9">
      <c r="A39" s="986">
        <f t="shared" si="0"/>
        <v>35</v>
      </c>
      <c r="B39" s="10">
        <v>35</v>
      </c>
      <c r="C39" s="661" t="s">
        <v>774</v>
      </c>
      <c r="D39" s="62" t="str">
        <f>VLOOKUP(C39,Erection!$C$5:$D$307,2,0)</f>
        <v>DA+6</v>
      </c>
      <c r="E39" s="111">
        <v>46163</v>
      </c>
      <c r="F39" s="10" t="s">
        <v>1762</v>
      </c>
      <c r="G39" s="10" t="s">
        <v>1765</v>
      </c>
      <c r="H39" s="10" t="s">
        <v>1148</v>
      </c>
      <c r="I39" s="46"/>
    </row>
    <row r="40" spans="1:9">
      <c r="A40" s="986">
        <f t="shared" si="0"/>
        <v>36</v>
      </c>
      <c r="B40" s="10">
        <v>36</v>
      </c>
      <c r="C40" s="661" t="s">
        <v>68</v>
      </c>
      <c r="D40" s="62" t="str">
        <f>VLOOKUP(C40,Erection!$C$5:$D$307,2,0)</f>
        <v>DA+9</v>
      </c>
      <c r="E40" s="111">
        <v>46163</v>
      </c>
      <c r="F40" s="10" t="s">
        <v>1762</v>
      </c>
      <c r="G40" s="10" t="s">
        <v>1765</v>
      </c>
      <c r="H40" s="10" t="s">
        <v>1148</v>
      </c>
      <c r="I40" s="46"/>
    </row>
    <row r="41" spans="1:9">
      <c r="A41" s="986">
        <f t="shared" si="0"/>
        <v>37</v>
      </c>
      <c r="B41" s="10">
        <v>37</v>
      </c>
      <c r="C41" s="661" t="s">
        <v>69</v>
      </c>
      <c r="D41" s="62" t="str">
        <f>VLOOKUP(C41,Erection!$C$5:$D$307,2,0)</f>
        <v>DA+9</v>
      </c>
      <c r="E41" s="111">
        <v>46163</v>
      </c>
      <c r="F41" s="10" t="s">
        <v>1762</v>
      </c>
      <c r="G41" s="10" t="s">
        <v>1765</v>
      </c>
      <c r="H41" s="10" t="s">
        <v>1148</v>
      </c>
      <c r="I41" s="46"/>
    </row>
    <row r="42" spans="1:9">
      <c r="A42" s="986">
        <f t="shared" si="0"/>
        <v>38</v>
      </c>
      <c r="B42" s="10">
        <v>38</v>
      </c>
      <c r="C42" s="661" t="s">
        <v>70</v>
      </c>
      <c r="D42" s="62" t="str">
        <f>VLOOKUP(C42,Erection!$C$5:$D$307,2,0)</f>
        <v>DA+3</v>
      </c>
      <c r="E42" s="111">
        <v>46163</v>
      </c>
      <c r="F42" s="10" t="s">
        <v>1762</v>
      </c>
      <c r="G42" s="10" t="s">
        <v>1765</v>
      </c>
      <c r="H42" s="10" t="s">
        <v>1148</v>
      </c>
      <c r="I42" s="46"/>
    </row>
    <row r="43" spans="1:9">
      <c r="A43" s="986">
        <f t="shared" si="0"/>
        <v>39</v>
      </c>
      <c r="B43" s="10">
        <v>39</v>
      </c>
      <c r="C43" s="661" t="s">
        <v>405</v>
      </c>
      <c r="D43" s="62" t="str">
        <f>VLOOKUP(C43,Erection!$C$5:$D$307,2,0)</f>
        <v>DA+0</v>
      </c>
      <c r="E43" s="111">
        <v>46163</v>
      </c>
      <c r="F43" s="10" t="s">
        <v>1762</v>
      </c>
      <c r="G43" s="10" t="s">
        <v>1763</v>
      </c>
      <c r="H43" s="10" t="s">
        <v>1148</v>
      </c>
      <c r="I43" s="46"/>
    </row>
    <row r="44" spans="1:9">
      <c r="A44" s="986">
        <f t="shared" si="0"/>
        <v>40</v>
      </c>
      <c r="B44" s="10">
        <v>40</v>
      </c>
      <c r="C44" s="661" t="s">
        <v>368</v>
      </c>
      <c r="D44" s="62" t="str">
        <f>VLOOKUP(C44,Erection!$C$5:$D$307,2,0)</f>
        <v>DA+6</v>
      </c>
      <c r="E44" s="111">
        <v>46163</v>
      </c>
      <c r="F44" s="10" t="s">
        <v>1762</v>
      </c>
      <c r="G44" s="10" t="s">
        <v>1763</v>
      </c>
      <c r="H44" s="10" t="s">
        <v>1148</v>
      </c>
      <c r="I44" s="46"/>
    </row>
    <row r="45" spans="1:9">
      <c r="A45" s="986">
        <f t="shared" si="0"/>
        <v>41</v>
      </c>
      <c r="B45" s="10">
        <v>41</v>
      </c>
      <c r="C45" s="661" t="s">
        <v>369</v>
      </c>
      <c r="D45" s="62" t="str">
        <f>VLOOKUP(C45,Erection!$C$5:$D$307,2,0)</f>
        <v>DA+3</v>
      </c>
      <c r="E45" s="111">
        <v>46163</v>
      </c>
      <c r="F45" s="10" t="s">
        <v>1762</v>
      </c>
      <c r="G45" s="10" t="s">
        <v>1763</v>
      </c>
      <c r="H45" s="10" t="s">
        <v>1148</v>
      </c>
      <c r="I45" s="46"/>
    </row>
    <row r="46" spans="1:9">
      <c r="A46" s="986">
        <f t="shared" si="0"/>
        <v>42</v>
      </c>
      <c r="B46" s="10">
        <v>42</v>
      </c>
      <c r="C46" s="661" t="s">
        <v>370</v>
      </c>
      <c r="D46" s="62" t="str">
        <f>VLOOKUP(C46,Erection!$C$5:$D$307,2,0)</f>
        <v>DA+3</v>
      </c>
      <c r="E46" s="111">
        <v>46163</v>
      </c>
      <c r="F46" s="10" t="s">
        <v>1762</v>
      </c>
      <c r="G46" s="10" t="s">
        <v>1763</v>
      </c>
      <c r="H46" s="10" t="s">
        <v>1148</v>
      </c>
      <c r="I46" s="46"/>
    </row>
    <row r="47" spans="1:9">
      <c r="A47" s="986">
        <f t="shared" si="0"/>
        <v>43</v>
      </c>
      <c r="B47" s="10">
        <v>43</v>
      </c>
      <c r="C47" s="661" t="s">
        <v>406</v>
      </c>
      <c r="D47" s="62" t="str">
        <f>VLOOKUP(C47,Erection!$C$5:$D$307,2,0)</f>
        <v>DA+9</v>
      </c>
      <c r="E47" s="111">
        <v>46163</v>
      </c>
      <c r="F47" s="10" t="s">
        <v>1762</v>
      </c>
      <c r="G47" s="10" t="s">
        <v>1763</v>
      </c>
      <c r="H47" s="10" t="s">
        <v>1148</v>
      </c>
      <c r="I47" s="46"/>
    </row>
    <row r="48" spans="1:9">
      <c r="A48" s="986">
        <f t="shared" si="0"/>
        <v>44</v>
      </c>
      <c r="B48" s="10">
        <v>44</v>
      </c>
      <c r="C48" s="661" t="s">
        <v>407</v>
      </c>
      <c r="D48" s="62" t="str">
        <f>VLOOKUP(C48,Erection!$C$5:$D$307,2,0)</f>
        <v>DA+0</v>
      </c>
      <c r="E48" s="111">
        <v>46163</v>
      </c>
      <c r="F48" s="10" t="s">
        <v>1762</v>
      </c>
      <c r="G48" s="10" t="s">
        <v>1763</v>
      </c>
      <c r="H48" s="10" t="s">
        <v>1148</v>
      </c>
      <c r="I48" s="46"/>
    </row>
    <row r="49" spans="1:9">
      <c r="A49" s="986">
        <f t="shared" si="0"/>
        <v>45</v>
      </c>
      <c r="B49" s="10">
        <v>45</v>
      </c>
      <c r="C49" s="661" t="s">
        <v>408</v>
      </c>
      <c r="D49" s="62" t="str">
        <f>VLOOKUP(C49,Erection!$C$5:$D$307,2,0)</f>
        <v>DA+0</v>
      </c>
      <c r="E49" s="111">
        <v>46163</v>
      </c>
      <c r="F49" s="10" t="s">
        <v>1762</v>
      </c>
      <c r="G49" s="10" t="s">
        <v>1763</v>
      </c>
      <c r="H49" s="10" t="s">
        <v>1148</v>
      </c>
      <c r="I49" s="1002"/>
    </row>
    <row r="50" spans="1:9">
      <c r="A50" s="986">
        <f t="shared" si="0"/>
        <v>46</v>
      </c>
      <c r="B50" s="10">
        <v>46</v>
      </c>
      <c r="C50" s="10" t="s">
        <v>409</v>
      </c>
      <c r="D50" s="62" t="str">
        <f>VLOOKUP(C50,Erection!$C$5:$D$307,2,0)</f>
        <v>DA+3</v>
      </c>
      <c r="E50" s="111">
        <v>46163</v>
      </c>
      <c r="F50" s="10" t="s">
        <v>1762</v>
      </c>
      <c r="G50" s="10" t="s">
        <v>1763</v>
      </c>
      <c r="H50" s="10" t="s">
        <v>1148</v>
      </c>
      <c r="I50" s="1002"/>
    </row>
    <row r="51" spans="1:9">
      <c r="A51" s="986">
        <f t="shared" si="0"/>
        <v>47</v>
      </c>
      <c r="B51" s="10">
        <v>47</v>
      </c>
      <c r="C51" s="661" t="s">
        <v>404</v>
      </c>
      <c r="D51" s="62" t="str">
        <f>VLOOKUP(C51,Erection!$C$5:$D$307,2,0)</f>
        <v>DA+3</v>
      </c>
      <c r="E51" s="111">
        <v>46164</v>
      </c>
      <c r="F51" s="10" t="s">
        <v>1762</v>
      </c>
      <c r="G51" s="10" t="s">
        <v>1763</v>
      </c>
      <c r="H51" s="10" t="s">
        <v>1148</v>
      </c>
      <c r="I51" s="1002"/>
    </row>
    <row r="52" spans="1:9">
      <c r="A52" s="986">
        <f t="shared" si="0"/>
        <v>48</v>
      </c>
      <c r="B52" s="10">
        <v>48</v>
      </c>
      <c r="C52" s="661" t="s">
        <v>402</v>
      </c>
      <c r="D52" s="62" t="str">
        <f>VLOOKUP(C52,Erection!$C$5:$D$307,2,0)</f>
        <v>DA+3</v>
      </c>
      <c r="E52" s="111">
        <v>46164</v>
      </c>
      <c r="F52" s="10" t="s">
        <v>1762</v>
      </c>
      <c r="G52" s="10" t="s">
        <v>1763</v>
      </c>
      <c r="H52" s="10" t="s">
        <v>1148</v>
      </c>
      <c r="I52" s="1002"/>
    </row>
    <row r="53" spans="1:9">
      <c r="A53" s="986">
        <f t="shared" si="0"/>
        <v>49</v>
      </c>
      <c r="B53" s="10">
        <v>49</v>
      </c>
      <c r="C53" s="661" t="s">
        <v>400</v>
      </c>
      <c r="D53" s="62" t="str">
        <f>VLOOKUP(C53,Erection!$C$5:$D$307,2,0)</f>
        <v>DA+9</v>
      </c>
      <c r="E53" s="111">
        <v>46164</v>
      </c>
      <c r="F53" s="10" t="s">
        <v>1762</v>
      </c>
      <c r="G53" s="10" t="s">
        <v>1763</v>
      </c>
      <c r="H53" s="10" t="s">
        <v>1148</v>
      </c>
      <c r="I53" s="1002"/>
    </row>
    <row r="54" spans="1:9">
      <c r="A54" s="986">
        <f t="shared" si="0"/>
        <v>50</v>
      </c>
      <c r="B54" s="10">
        <v>50</v>
      </c>
      <c r="C54" s="661" t="s">
        <v>187</v>
      </c>
      <c r="D54" s="62" t="str">
        <f>VLOOKUP(C54,Erection!$C$5:$D$307,2,0)</f>
        <v>DA+3</v>
      </c>
      <c r="E54" s="111">
        <v>46164</v>
      </c>
      <c r="F54" s="10" t="s">
        <v>1762</v>
      </c>
      <c r="G54" s="10" t="s">
        <v>1765</v>
      </c>
      <c r="H54" s="10" t="s">
        <v>1148</v>
      </c>
      <c r="I54" s="1002"/>
    </row>
    <row r="55" spans="1:9">
      <c r="A55" s="986">
        <f t="shared" si="0"/>
        <v>51</v>
      </c>
      <c r="B55" s="10">
        <v>51</v>
      </c>
      <c r="C55" s="661" t="s">
        <v>569</v>
      </c>
      <c r="D55" s="62" t="str">
        <f>VLOOKUP(C55,Erection!$C$5:$D$307,2,0)</f>
        <v>DA+0</v>
      </c>
      <c r="E55" s="111">
        <v>46164</v>
      </c>
      <c r="F55" s="10" t="s">
        <v>1762</v>
      </c>
      <c r="G55" s="10" t="s">
        <v>1765</v>
      </c>
      <c r="H55" s="10" t="s">
        <v>1148</v>
      </c>
      <c r="I55" s="1002"/>
    </row>
    <row r="56" spans="1:9">
      <c r="A56" s="986">
        <f t="shared" si="0"/>
        <v>52</v>
      </c>
      <c r="B56" s="10">
        <v>52</v>
      </c>
      <c r="C56" s="661" t="s">
        <v>570</v>
      </c>
      <c r="D56" s="62" t="str">
        <f>VLOOKUP(C56,Erection!$C$5:$D$307,2,0)</f>
        <v>DA+6</v>
      </c>
      <c r="E56" s="111">
        <v>46164</v>
      </c>
      <c r="F56" s="10" t="s">
        <v>1762</v>
      </c>
      <c r="G56" s="10" t="s">
        <v>1765</v>
      </c>
      <c r="H56" s="10" t="s">
        <v>1148</v>
      </c>
      <c r="I56" s="1002"/>
    </row>
    <row r="57" spans="1:9">
      <c r="A57" s="986">
        <f t="shared" si="0"/>
        <v>53</v>
      </c>
      <c r="B57" s="10">
        <v>53</v>
      </c>
      <c r="C57" s="661" t="s">
        <v>571</v>
      </c>
      <c r="D57" s="62" t="str">
        <f>VLOOKUP(C57,Erection!$C$5:$D$307,2,0)</f>
        <v>DA+6</v>
      </c>
      <c r="E57" s="111">
        <v>46164</v>
      </c>
      <c r="F57" s="10" t="s">
        <v>1762</v>
      </c>
      <c r="G57" s="10" t="s">
        <v>1765</v>
      </c>
      <c r="H57" s="10" t="s">
        <v>1148</v>
      </c>
      <c r="I57" s="1002"/>
    </row>
    <row r="58" spans="1:9">
      <c r="A58" s="986">
        <f t="shared" si="0"/>
        <v>54</v>
      </c>
      <c r="B58" s="10">
        <v>54</v>
      </c>
      <c r="C58" s="661" t="s">
        <v>572</v>
      </c>
      <c r="D58" s="62" t="str">
        <f>VLOOKUP(C58,Erection!$C$5:$D$307,2,0)</f>
        <v>DA+3</v>
      </c>
      <c r="E58" s="111">
        <v>46164</v>
      </c>
      <c r="F58" s="10" t="s">
        <v>1762</v>
      </c>
      <c r="G58" s="10" t="s">
        <v>1765</v>
      </c>
      <c r="H58" s="10" t="s">
        <v>1148</v>
      </c>
      <c r="I58" s="1002"/>
    </row>
    <row r="59" spans="1:9">
      <c r="A59" s="986">
        <f t="shared" si="0"/>
        <v>55</v>
      </c>
      <c r="B59" s="10">
        <v>55</v>
      </c>
      <c r="C59" s="661" t="s">
        <v>573</v>
      </c>
      <c r="D59" s="62" t="str">
        <f>VLOOKUP(C59,Erection!$C$5:$D$307,2,0)</f>
        <v>DA+1.5</v>
      </c>
      <c r="E59" s="111">
        <v>46164</v>
      </c>
      <c r="F59" s="10" t="s">
        <v>1762</v>
      </c>
      <c r="G59" s="10" t="s">
        <v>1765</v>
      </c>
      <c r="H59" s="10" t="s">
        <v>1148</v>
      </c>
      <c r="I59" s="1002"/>
    </row>
    <row r="60" spans="1:9">
      <c r="A60" s="986">
        <f t="shared" si="0"/>
        <v>56</v>
      </c>
      <c r="B60" s="10">
        <v>56</v>
      </c>
      <c r="C60" s="661" t="s">
        <v>575</v>
      </c>
      <c r="D60" s="62" t="str">
        <f>VLOOKUP(C60,Erection!$C$5:$D$307,2,0)</f>
        <v>DA+9</v>
      </c>
      <c r="E60" s="111">
        <v>46164</v>
      </c>
      <c r="F60" s="10" t="s">
        <v>1762</v>
      </c>
      <c r="G60" s="10" t="s">
        <v>1765</v>
      </c>
      <c r="H60" s="10" t="s">
        <v>1148</v>
      </c>
      <c r="I60" s="1002"/>
    </row>
    <row r="61" spans="1:9">
      <c r="A61" s="986">
        <f t="shared" si="0"/>
        <v>57</v>
      </c>
      <c r="B61" s="10">
        <v>57</v>
      </c>
      <c r="C61" s="661" t="s">
        <v>576</v>
      </c>
      <c r="D61" s="62" t="str">
        <f>VLOOKUP(C61,Erection!$C$5:$D$307,2,0)</f>
        <v>DA+9</v>
      </c>
      <c r="E61" s="111">
        <v>46164</v>
      </c>
      <c r="F61" s="10" t="s">
        <v>1762</v>
      </c>
      <c r="G61" s="10" t="s">
        <v>1765</v>
      </c>
      <c r="H61" s="10" t="s">
        <v>1148</v>
      </c>
      <c r="I61" s="1002"/>
    </row>
    <row r="62" spans="1:9">
      <c r="A62" s="986">
        <f t="shared" si="0"/>
        <v>58</v>
      </c>
      <c r="B62" s="10">
        <v>58</v>
      </c>
      <c r="C62" s="661" t="s">
        <v>577</v>
      </c>
      <c r="D62" s="62" t="str">
        <f>VLOOKUP(C62,Erection!$C$5:$D$307,2,0)</f>
        <v>DA+1.5</v>
      </c>
      <c r="E62" s="111">
        <v>46164</v>
      </c>
      <c r="F62" s="10" t="s">
        <v>1762</v>
      </c>
      <c r="G62" s="10" t="s">
        <v>1765</v>
      </c>
      <c r="H62" s="10" t="s">
        <v>1148</v>
      </c>
      <c r="I62" s="1002"/>
    </row>
    <row r="63" spans="1:9">
      <c r="A63" s="986">
        <f t="shared" si="0"/>
        <v>59</v>
      </c>
      <c r="B63" s="10">
        <v>59</v>
      </c>
      <c r="C63" s="661" t="s">
        <v>578</v>
      </c>
      <c r="D63" s="62" t="str">
        <f>VLOOKUP(C63,Erection!$C$5:$D$307,2,0)</f>
        <v>DA+6</v>
      </c>
      <c r="E63" s="111">
        <v>46164</v>
      </c>
      <c r="F63" s="10" t="s">
        <v>1762</v>
      </c>
      <c r="G63" s="10" t="s">
        <v>1765</v>
      </c>
      <c r="H63" s="10" t="s">
        <v>1148</v>
      </c>
      <c r="I63" s="1002"/>
    </row>
    <row r="64" spans="1:9">
      <c r="A64" s="986">
        <f t="shared" si="0"/>
        <v>60</v>
      </c>
      <c r="B64" s="10">
        <v>60</v>
      </c>
      <c r="C64" s="661" t="s">
        <v>579</v>
      </c>
      <c r="D64" s="62" t="str">
        <f>VLOOKUP(C64,Erection!$C$5:$D$307,2,0)</f>
        <v>DA+9</v>
      </c>
      <c r="E64" s="111">
        <v>46164</v>
      </c>
      <c r="F64" s="10" t="s">
        <v>1762</v>
      </c>
      <c r="G64" s="10" t="s">
        <v>1765</v>
      </c>
      <c r="H64" s="10" t="s">
        <v>1148</v>
      </c>
      <c r="I64" s="1002"/>
    </row>
    <row r="65" spans="1:9">
      <c r="A65" s="986">
        <f t="shared" si="0"/>
        <v>61</v>
      </c>
      <c r="B65" s="10">
        <v>61</v>
      </c>
      <c r="C65" s="661" t="s">
        <v>580</v>
      </c>
      <c r="D65" s="62" t="str">
        <f>VLOOKUP(C65,Erection!$C$5:$D$307,2,0)</f>
        <v>DA+3</v>
      </c>
      <c r="E65" s="111">
        <v>46165</v>
      </c>
      <c r="F65" s="10" t="s">
        <v>1762</v>
      </c>
      <c r="G65" s="10" t="s">
        <v>1765</v>
      </c>
      <c r="H65" s="10" t="s">
        <v>1148</v>
      </c>
      <c r="I65" s="1002"/>
    </row>
    <row r="66" spans="1:9">
      <c r="A66" s="986">
        <f t="shared" si="0"/>
        <v>62</v>
      </c>
      <c r="B66" s="10">
        <v>62</v>
      </c>
      <c r="C66" s="661" t="s">
        <v>581</v>
      </c>
      <c r="D66" s="62" t="str">
        <f>VLOOKUP(C66,Erection!$C$5:$D$307,2,0)</f>
        <v>DA+0</v>
      </c>
      <c r="E66" s="111">
        <v>46165</v>
      </c>
      <c r="F66" s="10" t="s">
        <v>1762</v>
      </c>
      <c r="G66" s="10" t="s">
        <v>1765</v>
      </c>
      <c r="H66" s="10" t="s">
        <v>1148</v>
      </c>
      <c r="I66" s="1002"/>
    </row>
    <row r="67" spans="1:9">
      <c r="A67" s="986">
        <f t="shared" si="0"/>
        <v>63</v>
      </c>
      <c r="B67" s="10">
        <v>63</v>
      </c>
      <c r="C67" s="661" t="s">
        <v>582</v>
      </c>
      <c r="D67" s="62" t="str">
        <f>VLOOKUP(C67,Erection!$C$5:$D$307,2,0)</f>
        <v>DA+0</v>
      </c>
      <c r="E67" s="111">
        <v>46165</v>
      </c>
      <c r="F67" s="10" t="s">
        <v>1762</v>
      </c>
      <c r="G67" s="10" t="s">
        <v>1765</v>
      </c>
      <c r="H67" s="10" t="s">
        <v>1148</v>
      </c>
      <c r="I67" s="1002"/>
    </row>
    <row r="68" spans="1:9">
      <c r="A68" s="986">
        <f t="shared" si="0"/>
        <v>64</v>
      </c>
      <c r="B68" s="10">
        <v>64</v>
      </c>
      <c r="C68" s="661" t="s">
        <v>583</v>
      </c>
      <c r="D68" s="62" t="str">
        <f>VLOOKUP(C68,Erection!$C$5:$D$307,2,0)</f>
        <v>DA+1.5</v>
      </c>
      <c r="E68" s="111">
        <v>46165</v>
      </c>
      <c r="F68" s="10" t="s">
        <v>1762</v>
      </c>
      <c r="G68" s="10" t="s">
        <v>1765</v>
      </c>
      <c r="H68" s="10" t="s">
        <v>1148</v>
      </c>
      <c r="I68" s="1002"/>
    </row>
    <row r="69" spans="1:9">
      <c r="A69" s="986">
        <f t="shared" si="0"/>
        <v>65</v>
      </c>
      <c r="B69" s="10">
        <v>65</v>
      </c>
      <c r="C69" s="661" t="s">
        <v>584</v>
      </c>
      <c r="D69" s="62" t="str">
        <f>VLOOKUP(C69,Erection!$C$5:$D$307,2,0)</f>
        <v>DA-3</v>
      </c>
      <c r="E69" s="111">
        <v>46165</v>
      </c>
      <c r="F69" s="10" t="s">
        <v>1762</v>
      </c>
      <c r="G69" s="10" t="s">
        <v>1765</v>
      </c>
      <c r="H69" s="10" t="s">
        <v>1148</v>
      </c>
      <c r="I69" s="1002"/>
    </row>
    <row r="70" spans="1:9">
      <c r="A70" s="986">
        <f t="shared" si="0"/>
        <v>66</v>
      </c>
      <c r="B70" s="10">
        <v>66</v>
      </c>
      <c r="C70" s="661" t="s">
        <v>585</v>
      </c>
      <c r="D70" s="62" t="str">
        <f>VLOOKUP(C70,Erection!$C$5:$D$307,2,0)</f>
        <v>DA+1.5</v>
      </c>
      <c r="E70" s="111">
        <v>46165</v>
      </c>
      <c r="F70" s="10" t="s">
        <v>1762</v>
      </c>
      <c r="G70" s="10" t="s">
        <v>1765</v>
      </c>
      <c r="H70" s="10" t="s">
        <v>1148</v>
      </c>
      <c r="I70" s="1002"/>
    </row>
    <row r="71" spans="1:9">
      <c r="A71" s="986">
        <f t="shared" ref="A71:A138" si="1">A70+1</f>
        <v>67</v>
      </c>
      <c r="B71" s="10">
        <v>67</v>
      </c>
      <c r="C71" s="661" t="s">
        <v>621</v>
      </c>
      <c r="D71" s="62" t="str">
        <f>VLOOKUP(C71,Erection!$C$5:$D$307,2,0)</f>
        <v>DA+3</v>
      </c>
      <c r="E71" s="111">
        <v>46166</v>
      </c>
      <c r="F71" s="10" t="s">
        <v>1762</v>
      </c>
      <c r="G71" s="10" t="s">
        <v>1765</v>
      </c>
      <c r="H71" s="10" t="s">
        <v>1148</v>
      </c>
      <c r="I71" s="1002"/>
    </row>
    <row r="72" spans="1:9">
      <c r="A72" s="986">
        <f t="shared" si="1"/>
        <v>68</v>
      </c>
      <c r="B72" s="10">
        <v>68</v>
      </c>
      <c r="C72" s="661" t="s">
        <v>622</v>
      </c>
      <c r="D72" s="62" t="str">
        <f>VLOOKUP(C72,Erection!$C$5:$D$307,2,0)</f>
        <v>DA+1.5</v>
      </c>
      <c r="E72" s="111">
        <v>46166</v>
      </c>
      <c r="F72" s="10" t="s">
        <v>1762</v>
      </c>
      <c r="G72" s="10" t="s">
        <v>1765</v>
      </c>
      <c r="H72" s="10" t="s">
        <v>1148</v>
      </c>
      <c r="I72" s="1002"/>
    </row>
    <row r="73" spans="1:9">
      <c r="A73" s="986">
        <f t="shared" si="1"/>
        <v>69</v>
      </c>
      <c r="B73" s="10">
        <v>69</v>
      </c>
      <c r="C73" s="661" t="s">
        <v>623</v>
      </c>
      <c r="D73" s="62" t="str">
        <f>VLOOKUP(C73,Erection!$C$5:$D$307,2,0)</f>
        <v>DA+1.5</v>
      </c>
      <c r="E73" s="111">
        <v>46166</v>
      </c>
      <c r="F73" s="10" t="s">
        <v>1762</v>
      </c>
      <c r="G73" s="10" t="s">
        <v>1765</v>
      </c>
      <c r="H73" s="10" t="s">
        <v>1148</v>
      </c>
      <c r="I73" s="1002"/>
    </row>
    <row r="74" spans="1:9">
      <c r="A74" s="986">
        <f t="shared" si="1"/>
        <v>70</v>
      </c>
      <c r="B74" s="10">
        <v>70</v>
      </c>
      <c r="C74" s="661" t="s">
        <v>624</v>
      </c>
      <c r="D74" s="62" t="str">
        <f>VLOOKUP(C74,Erection!$C$5:$D$307,2,0)</f>
        <v>DA+3</v>
      </c>
      <c r="E74" s="111">
        <v>46166</v>
      </c>
      <c r="F74" s="10" t="s">
        <v>1762</v>
      </c>
      <c r="G74" s="10" t="s">
        <v>1765</v>
      </c>
      <c r="H74" s="10" t="s">
        <v>1148</v>
      </c>
      <c r="I74" s="1002"/>
    </row>
    <row r="75" spans="1:9">
      <c r="A75" s="986">
        <f t="shared" si="1"/>
        <v>71</v>
      </c>
      <c r="B75" s="10">
        <v>71</v>
      </c>
      <c r="C75" s="661" t="s">
        <v>625</v>
      </c>
      <c r="D75" s="62" t="str">
        <f>VLOOKUP(C75,Erection!$C$5:$D$307,2,0)</f>
        <v>DA+1.5</v>
      </c>
      <c r="E75" s="111">
        <v>46166</v>
      </c>
      <c r="F75" s="10" t="s">
        <v>1762</v>
      </c>
      <c r="G75" s="10" t="s">
        <v>1765</v>
      </c>
      <c r="H75" s="10" t="s">
        <v>1148</v>
      </c>
      <c r="I75" s="1002"/>
    </row>
    <row r="76" spans="1:9">
      <c r="A76" s="986">
        <f t="shared" si="1"/>
        <v>72</v>
      </c>
      <c r="B76" s="10">
        <v>72</v>
      </c>
      <c r="C76" s="661" t="s">
        <v>626</v>
      </c>
      <c r="D76" s="62" t="str">
        <f>VLOOKUP(C76,Erection!$C$5:$D$307,2,0)</f>
        <v>DA+6</v>
      </c>
      <c r="E76" s="111">
        <v>46166</v>
      </c>
      <c r="F76" s="10" t="s">
        <v>1762</v>
      </c>
      <c r="G76" s="10" t="s">
        <v>1765</v>
      </c>
      <c r="H76" s="10" t="s">
        <v>1148</v>
      </c>
      <c r="I76" s="1002"/>
    </row>
    <row r="77" spans="1:9">
      <c r="A77" s="986">
        <f t="shared" si="1"/>
        <v>73</v>
      </c>
      <c r="B77" s="10">
        <v>73</v>
      </c>
      <c r="C77" s="661" t="s">
        <v>627</v>
      </c>
      <c r="D77" s="62" t="str">
        <f>VLOOKUP(C77,Erection!$C$5:$D$307,2,0)</f>
        <v>DA+3</v>
      </c>
      <c r="E77" s="111">
        <v>46166</v>
      </c>
      <c r="F77" s="10" t="s">
        <v>1762</v>
      </c>
      <c r="G77" s="10" t="s">
        <v>1765</v>
      </c>
      <c r="H77" s="10" t="s">
        <v>1148</v>
      </c>
      <c r="I77" s="1002"/>
    </row>
    <row r="78" spans="1:9">
      <c r="A78" s="986">
        <f t="shared" si="1"/>
        <v>74</v>
      </c>
      <c r="B78" s="10">
        <v>74</v>
      </c>
      <c r="C78" s="661" t="s">
        <v>628</v>
      </c>
      <c r="D78" s="62" t="str">
        <f>VLOOKUP(C78,Erection!$C$5:$D$307,2,0)</f>
        <v>DA+6</v>
      </c>
      <c r="E78" s="111">
        <v>46166</v>
      </c>
      <c r="F78" s="10" t="s">
        <v>1762</v>
      </c>
      <c r="G78" s="10" t="s">
        <v>1765</v>
      </c>
      <c r="H78" s="10" t="s">
        <v>1148</v>
      </c>
      <c r="I78" s="1002"/>
    </row>
    <row r="79" spans="1:9">
      <c r="A79" s="986">
        <f t="shared" si="1"/>
        <v>75</v>
      </c>
      <c r="B79" s="10">
        <v>75</v>
      </c>
      <c r="C79" s="661" t="s">
        <v>611</v>
      </c>
      <c r="D79" s="62" t="str">
        <f>VLOOKUP(C79,Erection!$C$5:$D$307,2,0)</f>
        <v>DA+3</v>
      </c>
      <c r="E79" s="111">
        <v>46167</v>
      </c>
      <c r="F79" s="10" t="s">
        <v>1762</v>
      </c>
      <c r="G79" s="10" t="s">
        <v>1765</v>
      </c>
      <c r="H79" s="10" t="s">
        <v>1148</v>
      </c>
      <c r="I79" s="1002"/>
    </row>
    <row r="80" spans="1:9">
      <c r="A80" s="986">
        <f t="shared" si="1"/>
        <v>76</v>
      </c>
      <c r="B80" s="10">
        <v>76</v>
      </c>
      <c r="C80" s="661" t="s">
        <v>612</v>
      </c>
      <c r="D80" s="62" t="str">
        <f>VLOOKUP(C80,Erection!$C$5:$D$307,2,0)</f>
        <v>DA+6</v>
      </c>
      <c r="E80" s="111">
        <v>46167</v>
      </c>
      <c r="F80" s="10" t="s">
        <v>1762</v>
      </c>
      <c r="G80" s="10" t="s">
        <v>1765</v>
      </c>
      <c r="H80" s="10" t="s">
        <v>1148</v>
      </c>
      <c r="I80" s="1002"/>
    </row>
    <row r="81" spans="1:9">
      <c r="A81" s="986">
        <f t="shared" si="1"/>
        <v>77</v>
      </c>
      <c r="B81" s="10">
        <v>77</v>
      </c>
      <c r="C81" s="661" t="s">
        <v>613</v>
      </c>
      <c r="D81" s="62" t="str">
        <f>VLOOKUP(C81,Erection!$C$5:$D$307,2,0)</f>
        <v>DA+9</v>
      </c>
      <c r="E81" s="111">
        <v>46167</v>
      </c>
      <c r="F81" s="10" t="s">
        <v>1762</v>
      </c>
      <c r="G81" s="10" t="s">
        <v>1765</v>
      </c>
      <c r="H81" s="10" t="s">
        <v>1148</v>
      </c>
      <c r="I81" s="1002"/>
    </row>
    <row r="82" spans="1:9">
      <c r="A82" s="986">
        <f t="shared" si="1"/>
        <v>78</v>
      </c>
      <c r="B82" s="10">
        <v>78</v>
      </c>
      <c r="C82" s="661" t="s">
        <v>614</v>
      </c>
      <c r="D82" s="62" t="str">
        <f>VLOOKUP(C82,Erection!$C$5:$D$307,2,0)</f>
        <v>DA+1.5</v>
      </c>
      <c r="E82" s="111">
        <v>46167</v>
      </c>
      <c r="F82" s="10" t="s">
        <v>1762</v>
      </c>
      <c r="G82" s="10" t="s">
        <v>1765</v>
      </c>
      <c r="H82" s="10" t="s">
        <v>1148</v>
      </c>
      <c r="I82" s="1002"/>
    </row>
    <row r="83" spans="1:9">
      <c r="A83" s="986">
        <f t="shared" si="1"/>
        <v>79</v>
      </c>
      <c r="B83" s="10">
        <v>79</v>
      </c>
      <c r="C83" s="661" t="s">
        <v>615</v>
      </c>
      <c r="D83" s="62" t="str">
        <f>VLOOKUP(C83,Erection!$C$5:$D$307,2,0)</f>
        <v>DA+0</v>
      </c>
      <c r="E83" s="111">
        <v>46167</v>
      </c>
      <c r="F83" s="10" t="s">
        <v>1762</v>
      </c>
      <c r="G83" s="10" t="s">
        <v>1765</v>
      </c>
      <c r="H83" s="10" t="s">
        <v>1148</v>
      </c>
      <c r="I83" s="1002"/>
    </row>
    <row r="84" spans="1:9">
      <c r="A84" s="986">
        <f t="shared" si="1"/>
        <v>80</v>
      </c>
      <c r="B84" s="10">
        <v>80</v>
      </c>
      <c r="C84" s="661" t="s">
        <v>616</v>
      </c>
      <c r="D84" s="62" t="str">
        <f>VLOOKUP(C84,Erection!$C$5:$D$307,2,0)</f>
        <v>DA+3</v>
      </c>
      <c r="E84" s="111">
        <v>46167</v>
      </c>
      <c r="F84" s="10" t="s">
        <v>1762</v>
      </c>
      <c r="G84" s="10" t="s">
        <v>1765</v>
      </c>
      <c r="H84" s="10" t="s">
        <v>1148</v>
      </c>
      <c r="I84" s="1002"/>
    </row>
    <row r="85" spans="1:9">
      <c r="A85" s="986">
        <f t="shared" si="1"/>
        <v>81</v>
      </c>
      <c r="B85" s="10">
        <v>81</v>
      </c>
      <c r="C85" s="661" t="s">
        <v>618</v>
      </c>
      <c r="D85" s="62" t="str">
        <f>VLOOKUP(C85,Erection!$C$5:$D$307,2,0)</f>
        <v>DA-1.5</v>
      </c>
      <c r="E85" s="111">
        <v>46167</v>
      </c>
      <c r="F85" s="10" t="s">
        <v>1762</v>
      </c>
      <c r="G85" s="10" t="s">
        <v>1765</v>
      </c>
      <c r="H85" s="10" t="s">
        <v>1148</v>
      </c>
      <c r="I85" s="1002"/>
    </row>
    <row r="86" spans="1:9">
      <c r="A86" s="986">
        <f t="shared" si="1"/>
        <v>82</v>
      </c>
      <c r="B86" s="10">
        <v>82</v>
      </c>
      <c r="C86" s="661" t="s">
        <v>619</v>
      </c>
      <c r="D86" s="62" t="str">
        <f>VLOOKUP(C86,Erection!$C$5:$D$307,2,0)</f>
        <v>DA+3</v>
      </c>
      <c r="E86" s="111">
        <v>46167</v>
      </c>
      <c r="F86" s="10" t="s">
        <v>1762</v>
      </c>
      <c r="G86" s="10" t="s">
        <v>1765</v>
      </c>
      <c r="H86" s="10" t="s">
        <v>1148</v>
      </c>
      <c r="I86" s="1002"/>
    </row>
    <row r="87" spans="1:9">
      <c r="A87" s="986">
        <f t="shared" si="1"/>
        <v>83</v>
      </c>
      <c r="B87" s="10">
        <v>83</v>
      </c>
      <c r="C87" s="661" t="s">
        <v>620</v>
      </c>
      <c r="D87" s="62" t="str">
        <f>VLOOKUP(C87,Erection!$C$5:$D$307,2,0)</f>
        <v>DA+1.5</v>
      </c>
      <c r="E87" s="111">
        <v>46167</v>
      </c>
      <c r="F87" s="10" t="s">
        <v>1762</v>
      </c>
      <c r="G87" s="10" t="s">
        <v>1765</v>
      </c>
      <c r="H87" s="10" t="s">
        <v>1148</v>
      </c>
      <c r="I87" s="1002"/>
    </row>
    <row r="88" spans="1:9">
      <c r="A88" s="986">
        <f t="shared" si="1"/>
        <v>84</v>
      </c>
      <c r="B88" s="10">
        <v>84</v>
      </c>
      <c r="C88" s="661" t="s">
        <v>776</v>
      </c>
      <c r="D88" s="62" t="str">
        <f>VLOOKUP(C88,Erection!$C$5:$D$307,2,0)</f>
        <v>DA+3</v>
      </c>
      <c r="E88" s="111">
        <v>46168</v>
      </c>
      <c r="F88" s="10" t="s">
        <v>1762</v>
      </c>
      <c r="G88" s="10" t="s">
        <v>1765</v>
      </c>
      <c r="H88" s="10" t="s">
        <v>1148</v>
      </c>
      <c r="I88" s="1002"/>
    </row>
    <row r="89" spans="1:9">
      <c r="A89" s="986">
        <f t="shared" si="1"/>
        <v>85</v>
      </c>
      <c r="B89" s="10">
        <v>85</v>
      </c>
      <c r="C89" s="661" t="s">
        <v>777</v>
      </c>
      <c r="D89" s="62" t="str">
        <f>VLOOKUP(C89,Erection!$C$5:$D$307,2,0)</f>
        <v>DA+1.5</v>
      </c>
      <c r="E89" s="111">
        <v>46168</v>
      </c>
      <c r="F89" s="10" t="s">
        <v>1762</v>
      </c>
      <c r="G89" s="10" t="s">
        <v>1765</v>
      </c>
      <c r="H89" s="10" t="s">
        <v>1148</v>
      </c>
      <c r="I89" s="1002"/>
    </row>
    <row r="90" spans="1:9">
      <c r="A90" s="986">
        <f t="shared" si="1"/>
        <v>86</v>
      </c>
      <c r="B90" s="10">
        <v>86</v>
      </c>
      <c r="C90" s="661" t="s">
        <v>778</v>
      </c>
      <c r="D90" s="62" t="str">
        <f>VLOOKUP(C90,Erection!$C$5:$D$307,2,0)</f>
        <v>DA+3</v>
      </c>
      <c r="E90" s="111">
        <v>46168</v>
      </c>
      <c r="F90" s="10" t="s">
        <v>1762</v>
      </c>
      <c r="G90" s="10" t="s">
        <v>1765</v>
      </c>
      <c r="H90" s="10" t="s">
        <v>1148</v>
      </c>
      <c r="I90" s="1002"/>
    </row>
    <row r="91" spans="1:9">
      <c r="A91" s="986">
        <f t="shared" si="1"/>
        <v>87</v>
      </c>
      <c r="B91" s="10">
        <v>87</v>
      </c>
      <c r="C91" s="661" t="s">
        <v>779</v>
      </c>
      <c r="D91" s="62" t="str">
        <f>VLOOKUP(C91,Erection!$C$5:$D$307,2,0)</f>
        <v>DA+9</v>
      </c>
      <c r="E91" s="111">
        <v>46168</v>
      </c>
      <c r="F91" s="10" t="s">
        <v>1762</v>
      </c>
      <c r="G91" s="10" t="s">
        <v>1765</v>
      </c>
      <c r="H91" s="10" t="s">
        <v>1148</v>
      </c>
      <c r="I91" s="1002"/>
    </row>
    <row r="92" spans="1:9">
      <c r="A92" s="986">
        <f t="shared" si="1"/>
        <v>88</v>
      </c>
      <c r="B92" s="10">
        <v>88</v>
      </c>
      <c r="C92" s="661" t="s">
        <v>780</v>
      </c>
      <c r="D92" s="62" t="str">
        <f>VLOOKUP(C92,Erection!$C$5:$D$307,2,0)</f>
        <v>DA+3</v>
      </c>
      <c r="E92" s="111">
        <v>46168</v>
      </c>
      <c r="F92" s="10" t="s">
        <v>1762</v>
      </c>
      <c r="G92" s="10" t="s">
        <v>1765</v>
      </c>
      <c r="H92" s="10" t="s">
        <v>1148</v>
      </c>
      <c r="I92" s="1002"/>
    </row>
    <row r="93" spans="1:9">
      <c r="A93" s="986">
        <f t="shared" si="1"/>
        <v>89</v>
      </c>
      <c r="B93" s="10">
        <v>89</v>
      </c>
      <c r="C93" s="661" t="s">
        <v>781</v>
      </c>
      <c r="D93" s="62" t="str">
        <f>VLOOKUP(C93,Erection!$C$5:$D$307,2,0)</f>
        <v>DA+3</v>
      </c>
      <c r="E93" s="111">
        <v>46168</v>
      </c>
      <c r="F93" s="10" t="s">
        <v>1762</v>
      </c>
      <c r="G93" s="10" t="s">
        <v>1765</v>
      </c>
      <c r="H93" s="10" t="s">
        <v>1148</v>
      </c>
      <c r="I93" s="1002"/>
    </row>
    <row r="94" spans="1:9">
      <c r="A94" s="986">
        <f t="shared" si="1"/>
        <v>90</v>
      </c>
      <c r="B94" s="10">
        <v>90</v>
      </c>
      <c r="C94" s="1250" t="s">
        <v>1258</v>
      </c>
      <c r="D94" s="62" t="str">
        <f>VLOOKUP(C94,Erection!$C$5:$D$307,2,0)</f>
        <v>DA+3</v>
      </c>
      <c r="E94" s="111">
        <v>46168</v>
      </c>
      <c r="F94" s="10" t="s">
        <v>1762</v>
      </c>
      <c r="G94" s="10" t="s">
        <v>1763</v>
      </c>
      <c r="H94" s="10" t="s">
        <v>1148</v>
      </c>
      <c r="I94" s="1262"/>
    </row>
    <row r="95" spans="1:9">
      <c r="A95" s="986">
        <f t="shared" si="1"/>
        <v>91</v>
      </c>
      <c r="B95" s="10">
        <v>91</v>
      </c>
      <c r="C95" s="1250" t="s">
        <v>1259</v>
      </c>
      <c r="D95" s="62" t="str">
        <f>VLOOKUP(C95,Erection!$C$5:$D$307,2,0)</f>
        <v>DA+0</v>
      </c>
      <c r="E95" s="111">
        <v>46168</v>
      </c>
      <c r="F95" s="10" t="s">
        <v>1762</v>
      </c>
      <c r="G95" s="10" t="s">
        <v>1763</v>
      </c>
      <c r="H95" s="10" t="s">
        <v>1148</v>
      </c>
      <c r="I95" s="1262"/>
    </row>
    <row r="96" spans="1:9">
      <c r="A96" s="986">
        <f t="shared" si="1"/>
        <v>92</v>
      </c>
      <c r="B96" s="10">
        <v>92</v>
      </c>
      <c r="C96" s="1250" t="s">
        <v>1260</v>
      </c>
      <c r="D96" s="62" t="str">
        <f>VLOOKUP(C96,Erection!$C$5:$D$307,2,0)</f>
        <v>DA+0</v>
      </c>
      <c r="E96" s="111">
        <v>46168</v>
      </c>
      <c r="F96" s="10" t="s">
        <v>1762</v>
      </c>
      <c r="G96" s="10" t="s">
        <v>1763</v>
      </c>
      <c r="H96" s="10" t="s">
        <v>1148</v>
      </c>
      <c r="I96" s="1262"/>
    </row>
    <row r="97" spans="1:9">
      <c r="A97" s="986">
        <f t="shared" si="1"/>
        <v>93</v>
      </c>
      <c r="B97" s="10">
        <v>93</v>
      </c>
      <c r="C97" s="1250" t="s">
        <v>1261</v>
      </c>
      <c r="D97" s="62" t="str">
        <f>VLOOKUP(C97,Erection!$C$5:$D$307,2,0)</f>
        <v>DA+3</v>
      </c>
      <c r="E97" s="111">
        <v>46168</v>
      </c>
      <c r="F97" s="10" t="s">
        <v>1762</v>
      </c>
      <c r="G97" s="10" t="s">
        <v>1763</v>
      </c>
      <c r="H97" s="10" t="s">
        <v>1148</v>
      </c>
      <c r="I97" s="1262"/>
    </row>
    <row r="98" spans="1:9">
      <c r="A98" s="986">
        <f t="shared" si="1"/>
        <v>94</v>
      </c>
      <c r="B98" s="10">
        <v>94</v>
      </c>
      <c r="C98" s="1250" t="s">
        <v>1262</v>
      </c>
      <c r="D98" s="62" t="str">
        <f>VLOOKUP(C98,Erection!$C$5:$D$307,2,0)</f>
        <v>DA+0</v>
      </c>
      <c r="E98" s="111">
        <v>46168</v>
      </c>
      <c r="F98" s="10" t="s">
        <v>1762</v>
      </c>
      <c r="G98" s="10" t="s">
        <v>1763</v>
      </c>
      <c r="H98" s="10" t="s">
        <v>1148</v>
      </c>
      <c r="I98" s="1262"/>
    </row>
    <row r="99" spans="1:9">
      <c r="A99" s="986">
        <f t="shared" si="1"/>
        <v>95</v>
      </c>
      <c r="B99" s="10">
        <v>95</v>
      </c>
      <c r="C99" s="1250" t="s">
        <v>1264</v>
      </c>
      <c r="D99" s="62" t="str">
        <f>VLOOKUP(C99,Erection!$C$5:$D$307,2,0)</f>
        <v>DA+3</v>
      </c>
      <c r="E99" s="111">
        <v>46168</v>
      </c>
      <c r="F99" s="10" t="s">
        <v>1762</v>
      </c>
      <c r="G99" s="10" t="s">
        <v>1763</v>
      </c>
      <c r="H99" s="10" t="s">
        <v>1148</v>
      </c>
      <c r="I99" s="1262"/>
    </row>
    <row r="100" spans="1:9">
      <c r="A100" s="986">
        <f t="shared" si="1"/>
        <v>96</v>
      </c>
      <c r="B100" s="10">
        <v>96</v>
      </c>
      <c r="C100" s="1250" t="s">
        <v>1265</v>
      </c>
      <c r="D100" s="62" t="str">
        <f>VLOOKUP(C100,Erection!$C$5:$D$307,2,0)</f>
        <v>DA+9</v>
      </c>
      <c r="E100" s="111">
        <v>46168</v>
      </c>
      <c r="F100" s="10" t="s">
        <v>1762</v>
      </c>
      <c r="G100" s="10" t="s">
        <v>1763</v>
      </c>
      <c r="H100" s="10" t="s">
        <v>1148</v>
      </c>
      <c r="I100" s="1262"/>
    </row>
    <row r="101" spans="1:9">
      <c r="A101" s="986">
        <f t="shared" si="1"/>
        <v>97</v>
      </c>
      <c r="B101" s="10">
        <v>97</v>
      </c>
      <c r="C101" s="1250" t="s">
        <v>1266</v>
      </c>
      <c r="D101" s="62" t="str">
        <f>VLOOKUP(C101,Erection!$C$5:$D$307,2,0)</f>
        <v>DA+6</v>
      </c>
      <c r="E101" s="111">
        <v>46168</v>
      </c>
      <c r="F101" s="10" t="s">
        <v>1762</v>
      </c>
      <c r="G101" s="10" t="s">
        <v>1763</v>
      </c>
      <c r="H101" s="10" t="s">
        <v>1148</v>
      </c>
      <c r="I101" s="1262"/>
    </row>
    <row r="102" spans="1:9">
      <c r="A102" s="986">
        <f t="shared" si="1"/>
        <v>98</v>
      </c>
      <c r="B102" s="10">
        <v>98</v>
      </c>
      <c r="C102" s="1250" t="s">
        <v>452</v>
      </c>
      <c r="D102" s="62" t="str">
        <f>VLOOKUP(C102,Erection!$C$5:$D$307,2,0)</f>
        <v>DA+6</v>
      </c>
      <c r="E102" s="111">
        <v>46168</v>
      </c>
      <c r="F102" s="10" t="s">
        <v>1762</v>
      </c>
      <c r="G102" s="10" t="s">
        <v>1763</v>
      </c>
      <c r="H102" s="10" t="s">
        <v>1148</v>
      </c>
      <c r="I102" s="1262"/>
    </row>
    <row r="103" spans="1:9">
      <c r="A103" s="986">
        <f t="shared" si="1"/>
        <v>99</v>
      </c>
      <c r="B103" s="10">
        <v>99</v>
      </c>
      <c r="C103" s="1250" t="s">
        <v>891</v>
      </c>
      <c r="D103" s="62" t="str">
        <f>VLOOKUP(C103,Erection!$C$5:$D$307,2,0)</f>
        <v>DA+6</v>
      </c>
      <c r="E103" s="111">
        <v>46168</v>
      </c>
      <c r="F103" s="10" t="s">
        <v>1762</v>
      </c>
      <c r="G103" s="10" t="s">
        <v>1763</v>
      </c>
      <c r="H103" s="10" t="s">
        <v>1148</v>
      </c>
      <c r="I103" s="1262"/>
    </row>
    <row r="104" spans="1:9">
      <c r="A104" s="986">
        <f t="shared" si="1"/>
        <v>100</v>
      </c>
      <c r="B104" s="10">
        <v>100</v>
      </c>
      <c r="C104" s="1250" t="s">
        <v>390</v>
      </c>
      <c r="D104" s="62" t="str">
        <f>VLOOKUP(C104,Erection!$C$5:$D$307,2,0)</f>
        <v>DA-3</v>
      </c>
      <c r="E104" s="1251">
        <v>46170</v>
      </c>
      <c r="F104" s="10" t="s">
        <v>1762</v>
      </c>
      <c r="G104" s="1246" t="s">
        <v>1765</v>
      </c>
      <c r="H104" s="10" t="s">
        <v>1148</v>
      </c>
      <c r="I104" s="1262"/>
    </row>
    <row r="105" spans="1:9">
      <c r="A105" s="986">
        <f t="shared" si="1"/>
        <v>101</v>
      </c>
      <c r="B105" s="10">
        <v>101</v>
      </c>
      <c r="C105" s="1250" t="s">
        <v>391</v>
      </c>
      <c r="D105" s="62" t="str">
        <f>VLOOKUP(C105,Erection!$C$5:$D$307,2,0)</f>
        <v>DA+6</v>
      </c>
      <c r="E105" s="1251">
        <v>46170</v>
      </c>
      <c r="F105" s="10" t="s">
        <v>1762</v>
      </c>
      <c r="G105" s="1246" t="s">
        <v>1765</v>
      </c>
      <c r="H105" s="10" t="s">
        <v>1148</v>
      </c>
      <c r="I105" s="1262"/>
    </row>
    <row r="106" spans="1:9">
      <c r="A106" s="986">
        <f t="shared" si="1"/>
        <v>102</v>
      </c>
      <c r="B106" s="10">
        <v>102</v>
      </c>
      <c r="C106" s="1250" t="s">
        <v>394</v>
      </c>
      <c r="D106" s="62" t="str">
        <f>VLOOKUP(C106,Erection!$C$5:$D$307,2,0)</f>
        <v>DA+9</v>
      </c>
      <c r="E106" s="1251">
        <v>46170</v>
      </c>
      <c r="F106" s="10" t="s">
        <v>1762</v>
      </c>
      <c r="G106" s="1246" t="s">
        <v>1765</v>
      </c>
      <c r="H106" s="10" t="s">
        <v>1148</v>
      </c>
      <c r="I106" s="1262"/>
    </row>
    <row r="107" spans="1:9">
      <c r="A107" s="986">
        <f t="shared" si="1"/>
        <v>103</v>
      </c>
      <c r="B107" s="10">
        <v>103</v>
      </c>
      <c r="C107" s="1250" t="s">
        <v>395</v>
      </c>
      <c r="D107" s="62" t="str">
        <f>VLOOKUP(C107,Erection!$C$5:$D$307,2,0)</f>
        <v>DA+3</v>
      </c>
      <c r="E107" s="1251">
        <v>46170</v>
      </c>
      <c r="F107" s="10" t="s">
        <v>1762</v>
      </c>
      <c r="G107" s="1246" t="s">
        <v>1765</v>
      </c>
      <c r="H107" s="10" t="s">
        <v>1148</v>
      </c>
      <c r="I107" s="1262"/>
    </row>
    <row r="108" spans="1:9">
      <c r="A108" s="986">
        <f t="shared" si="1"/>
        <v>104</v>
      </c>
      <c r="B108" s="10">
        <v>104</v>
      </c>
      <c r="C108" s="1250" t="s">
        <v>396</v>
      </c>
      <c r="D108" s="62" t="str">
        <f>VLOOKUP(C108,Erection!$C$5:$D$307,2,0)</f>
        <v>DA+3</v>
      </c>
      <c r="E108" s="1251">
        <v>46170</v>
      </c>
      <c r="F108" s="10" t="s">
        <v>1762</v>
      </c>
      <c r="G108" s="1246" t="s">
        <v>1765</v>
      </c>
      <c r="H108" s="10" t="s">
        <v>1148</v>
      </c>
      <c r="I108" s="1262"/>
    </row>
    <row r="109" spans="1:9">
      <c r="A109" s="986">
        <f t="shared" si="1"/>
        <v>105</v>
      </c>
      <c r="B109" s="10">
        <v>105</v>
      </c>
      <c r="C109" s="1250" t="s">
        <v>397</v>
      </c>
      <c r="D109" s="62" t="str">
        <f>VLOOKUP(C109,Erection!$C$5:$D$307,2,0)</f>
        <v>DA+9</v>
      </c>
      <c r="E109" s="1251">
        <v>46170</v>
      </c>
      <c r="F109" s="10" t="s">
        <v>1762</v>
      </c>
      <c r="G109" s="1246" t="s">
        <v>1765</v>
      </c>
      <c r="H109" s="10" t="s">
        <v>1148</v>
      </c>
      <c r="I109" s="1262"/>
    </row>
    <row r="110" spans="1:9">
      <c r="A110" s="986">
        <f t="shared" si="1"/>
        <v>106</v>
      </c>
      <c r="B110" s="10">
        <v>106</v>
      </c>
      <c r="C110" s="1250" t="s">
        <v>398</v>
      </c>
      <c r="D110" s="62" t="str">
        <f>VLOOKUP(C110,Erection!$C$5:$D$307,2,0)</f>
        <v>DA+3</v>
      </c>
      <c r="E110" s="1251">
        <v>46170</v>
      </c>
      <c r="F110" s="10" t="s">
        <v>1762</v>
      </c>
      <c r="G110" s="1246" t="s">
        <v>1765</v>
      </c>
      <c r="H110" s="10" t="s">
        <v>1148</v>
      </c>
      <c r="I110" s="1262"/>
    </row>
    <row r="111" spans="1:9">
      <c r="A111" s="986">
        <f t="shared" si="1"/>
        <v>107</v>
      </c>
      <c r="B111" s="10">
        <v>107</v>
      </c>
      <c r="C111" s="1250" t="s">
        <v>399</v>
      </c>
      <c r="D111" s="62" t="str">
        <f>VLOOKUP(C111,Erection!$C$5:$D$307,2,0)</f>
        <v>DA+0</v>
      </c>
      <c r="E111" s="1251">
        <v>46170</v>
      </c>
      <c r="F111" s="10" t="s">
        <v>1762</v>
      </c>
      <c r="G111" s="1246" t="s">
        <v>1765</v>
      </c>
      <c r="H111" s="10" t="s">
        <v>1148</v>
      </c>
      <c r="I111" s="1262"/>
    </row>
    <row r="112" spans="1:9">
      <c r="A112" s="986">
        <f t="shared" si="1"/>
        <v>108</v>
      </c>
      <c r="B112" s="10">
        <v>108</v>
      </c>
      <c r="C112" s="1250" t="s">
        <v>492</v>
      </c>
      <c r="D112" s="62" t="str">
        <f>VLOOKUP(C112,Erection!$C$5:$D$307,2,0)</f>
        <v>DA+1.5</v>
      </c>
      <c r="E112" s="1251">
        <v>46171</v>
      </c>
      <c r="F112" s="10" t="s">
        <v>1762</v>
      </c>
      <c r="G112" s="1246" t="s">
        <v>1765</v>
      </c>
      <c r="H112" s="10" t="s">
        <v>1148</v>
      </c>
      <c r="I112" s="1262"/>
    </row>
    <row r="113" spans="1:9">
      <c r="A113" s="986">
        <f t="shared" si="1"/>
        <v>109</v>
      </c>
      <c r="B113" s="10">
        <v>109</v>
      </c>
      <c r="C113" s="1250" t="s">
        <v>493</v>
      </c>
      <c r="D113" s="62" t="str">
        <f>VLOOKUP(C113,Erection!$C$5:$D$307,2,0)</f>
        <v>DA+3</v>
      </c>
      <c r="E113" s="1251">
        <v>46171</v>
      </c>
      <c r="F113" s="10" t="s">
        <v>1762</v>
      </c>
      <c r="G113" s="1246" t="s">
        <v>1765</v>
      </c>
      <c r="H113" s="10" t="s">
        <v>1148</v>
      </c>
      <c r="I113" s="1262"/>
    </row>
    <row r="114" spans="1:9">
      <c r="A114" s="986">
        <f t="shared" si="1"/>
        <v>110</v>
      </c>
      <c r="B114" s="10">
        <v>110</v>
      </c>
      <c r="C114" s="1250" t="s">
        <v>494</v>
      </c>
      <c r="D114" s="62" t="str">
        <f>VLOOKUP(C114,Erection!$C$5:$D$307,2,0)</f>
        <v>DA+3</v>
      </c>
      <c r="E114" s="1251">
        <v>46171</v>
      </c>
      <c r="F114" s="10" t="s">
        <v>1762</v>
      </c>
      <c r="G114" s="1246" t="s">
        <v>1765</v>
      </c>
      <c r="H114" s="10" t="s">
        <v>1148</v>
      </c>
      <c r="I114" s="1262"/>
    </row>
    <row r="115" spans="1:9">
      <c r="A115" s="986">
        <f t="shared" si="1"/>
        <v>111</v>
      </c>
      <c r="B115" s="10">
        <v>111</v>
      </c>
      <c r="C115" s="1250" t="s">
        <v>495</v>
      </c>
      <c r="D115" s="62" t="str">
        <f>VLOOKUP(C115,Erection!$C$5:$D$307,2,0)</f>
        <v>DA+3</v>
      </c>
      <c r="E115" s="1251">
        <v>46171</v>
      </c>
      <c r="F115" s="10" t="s">
        <v>1762</v>
      </c>
      <c r="G115" s="1246" t="s">
        <v>1765</v>
      </c>
      <c r="H115" s="10" t="s">
        <v>1148</v>
      </c>
      <c r="I115" s="1262"/>
    </row>
    <row r="116" spans="1:9">
      <c r="A116" s="986">
        <f t="shared" si="1"/>
        <v>112</v>
      </c>
      <c r="B116" s="10">
        <v>112</v>
      </c>
      <c r="C116" s="1250" t="s">
        <v>496</v>
      </c>
      <c r="D116" s="62" t="str">
        <f>VLOOKUP(C116,Erection!$C$5:$D$307,2,0)</f>
        <v>DA+3</v>
      </c>
      <c r="E116" s="1251">
        <v>46171</v>
      </c>
      <c r="F116" s="10" t="s">
        <v>1762</v>
      </c>
      <c r="G116" s="1246" t="s">
        <v>1765</v>
      </c>
      <c r="H116" s="10" t="s">
        <v>1148</v>
      </c>
      <c r="I116" s="1262"/>
    </row>
    <row r="117" spans="1:9">
      <c r="A117" s="986">
        <f t="shared" si="1"/>
        <v>113</v>
      </c>
      <c r="B117" s="10">
        <v>113</v>
      </c>
      <c r="C117" s="1250" t="s">
        <v>476</v>
      </c>
      <c r="D117" s="62" t="str">
        <f>VLOOKUP(C117,Erection!$C$5:$D$307,2,0)</f>
        <v>DA-3</v>
      </c>
      <c r="E117" s="1251">
        <v>46172</v>
      </c>
      <c r="F117" s="10" t="s">
        <v>1762</v>
      </c>
      <c r="G117" s="1246" t="s">
        <v>1765</v>
      </c>
      <c r="H117" s="10" t="s">
        <v>1148</v>
      </c>
      <c r="I117" s="1262"/>
    </row>
    <row r="118" spans="1:9">
      <c r="A118" s="986">
        <f t="shared" si="1"/>
        <v>114</v>
      </c>
      <c r="B118" s="10">
        <v>114</v>
      </c>
      <c r="C118" s="1250" t="s">
        <v>477</v>
      </c>
      <c r="D118" s="62" t="str">
        <f>VLOOKUP(C118,Erection!$C$5:$D$307,2,0)</f>
        <v>DA+6</v>
      </c>
      <c r="E118" s="1251">
        <v>46172</v>
      </c>
      <c r="F118" s="10" t="s">
        <v>1762</v>
      </c>
      <c r="G118" s="1246" t="s">
        <v>1765</v>
      </c>
      <c r="H118" s="10" t="s">
        <v>1148</v>
      </c>
      <c r="I118" s="1262"/>
    </row>
    <row r="119" spans="1:9">
      <c r="A119" s="986">
        <f t="shared" si="1"/>
        <v>115</v>
      </c>
      <c r="B119" s="10">
        <v>115</v>
      </c>
      <c r="C119" s="1250" t="s">
        <v>478</v>
      </c>
      <c r="D119" s="62" t="str">
        <f>VLOOKUP(C119,Erection!$C$5:$D$307,2,0)</f>
        <v>DA+9</v>
      </c>
      <c r="E119" s="1251">
        <v>46172</v>
      </c>
      <c r="F119" s="10" t="s">
        <v>1762</v>
      </c>
      <c r="G119" s="1246" t="s">
        <v>1765</v>
      </c>
      <c r="H119" s="10" t="s">
        <v>1148</v>
      </c>
      <c r="I119" s="1262"/>
    </row>
    <row r="120" spans="1:9">
      <c r="A120" s="986">
        <f t="shared" si="1"/>
        <v>116</v>
      </c>
      <c r="B120" s="10">
        <v>116</v>
      </c>
      <c r="C120" s="1250" t="s">
        <v>480</v>
      </c>
      <c r="D120" s="62" t="str">
        <f>VLOOKUP(C120,Erection!$C$5:$D$307,2,0)</f>
        <v>DA+6</v>
      </c>
      <c r="E120" s="1251">
        <v>46172</v>
      </c>
      <c r="F120" s="10" t="s">
        <v>1762</v>
      </c>
      <c r="G120" s="1246" t="s">
        <v>1765</v>
      </c>
      <c r="H120" s="10" t="s">
        <v>1148</v>
      </c>
      <c r="I120" s="1262"/>
    </row>
    <row r="121" spans="1:9">
      <c r="A121" s="986">
        <f t="shared" si="1"/>
        <v>117</v>
      </c>
      <c r="B121" s="10">
        <v>117</v>
      </c>
      <c r="C121" s="1250" t="s">
        <v>481</v>
      </c>
      <c r="D121" s="62" t="str">
        <f>VLOOKUP(C121,Erection!$C$5:$D$307,2,0)</f>
        <v>DA-1.5</v>
      </c>
      <c r="E121" s="1251">
        <v>46172</v>
      </c>
      <c r="F121" s="10" t="s">
        <v>1762</v>
      </c>
      <c r="G121" s="1246" t="s">
        <v>1765</v>
      </c>
      <c r="H121" s="10" t="s">
        <v>1148</v>
      </c>
      <c r="I121" s="1262"/>
    </row>
    <row r="122" spans="1:9">
      <c r="A122" s="986">
        <f t="shared" si="1"/>
        <v>118</v>
      </c>
      <c r="B122" s="10">
        <v>118</v>
      </c>
      <c r="C122" s="1250" t="s">
        <v>472</v>
      </c>
      <c r="D122" s="62" t="str">
        <f>VLOOKUP(C122,Erection!$C$5:$D$307,2,0)</f>
        <v>DA+3</v>
      </c>
      <c r="E122" s="1251">
        <v>46173</v>
      </c>
      <c r="F122" s="1246" t="s">
        <v>1762</v>
      </c>
      <c r="G122" s="1246" t="s">
        <v>1765</v>
      </c>
      <c r="H122" s="1246" t="s">
        <v>1148</v>
      </c>
      <c r="I122" s="1262"/>
    </row>
    <row r="123" spans="1:9">
      <c r="A123" s="986">
        <f t="shared" si="1"/>
        <v>119</v>
      </c>
      <c r="B123" s="1246">
        <v>119</v>
      </c>
      <c r="C123" s="1250" t="s">
        <v>471</v>
      </c>
      <c r="D123" s="62" t="str">
        <f>VLOOKUP(C123,Erection!$C$5:$D$307,2,0)</f>
        <v>DA+1.5</v>
      </c>
      <c r="E123" s="1251">
        <v>46173</v>
      </c>
      <c r="F123" s="1246" t="s">
        <v>1762</v>
      </c>
      <c r="G123" s="1246" t="s">
        <v>1765</v>
      </c>
      <c r="H123" s="1246" t="s">
        <v>1148</v>
      </c>
      <c r="I123" s="1262"/>
    </row>
    <row r="124" spans="1:9">
      <c r="A124" s="986">
        <f t="shared" si="1"/>
        <v>120</v>
      </c>
      <c r="B124" s="1246">
        <v>120</v>
      </c>
      <c r="C124" s="1250" t="s">
        <v>470</v>
      </c>
      <c r="D124" s="62" t="str">
        <f>VLOOKUP(C124,Erection!$C$5:$D$307,2,0)</f>
        <v>DA-3</v>
      </c>
      <c r="E124" s="1251">
        <v>46173</v>
      </c>
      <c r="F124" s="1246" t="s">
        <v>1762</v>
      </c>
      <c r="G124" s="1246" t="s">
        <v>1765</v>
      </c>
      <c r="H124" s="1246" t="s">
        <v>1148</v>
      </c>
      <c r="I124" s="1262"/>
    </row>
    <row r="125" spans="1:9">
      <c r="A125" s="986">
        <f t="shared" si="1"/>
        <v>121</v>
      </c>
      <c r="B125" s="1246">
        <v>1</v>
      </c>
      <c r="C125" s="1250" t="s">
        <v>259</v>
      </c>
      <c r="D125" s="62" t="str">
        <f>VLOOKUP(C125,Erection!$C$5:$D$307,2,0)</f>
        <v>DA+9</v>
      </c>
      <c r="E125" s="1251">
        <v>46174</v>
      </c>
      <c r="F125" s="1246" t="s">
        <v>1762</v>
      </c>
      <c r="G125" s="1246" t="s">
        <v>1765</v>
      </c>
      <c r="H125" s="1246" t="s">
        <v>1148</v>
      </c>
      <c r="I125" s="1262"/>
    </row>
    <row r="126" spans="1:9">
      <c r="A126" s="986">
        <f t="shared" si="1"/>
        <v>122</v>
      </c>
      <c r="B126" s="1246">
        <v>2</v>
      </c>
      <c r="C126" s="1250" t="s">
        <v>260</v>
      </c>
      <c r="D126" s="62" t="str">
        <f>VLOOKUP(C126,Erection!$C$5:$D$307,2,0)</f>
        <v>DA+6</v>
      </c>
      <c r="E126" s="1251">
        <v>46174</v>
      </c>
      <c r="F126" s="1246" t="s">
        <v>1762</v>
      </c>
      <c r="G126" s="1246" t="s">
        <v>1765</v>
      </c>
      <c r="H126" s="1246" t="s">
        <v>1148</v>
      </c>
      <c r="I126" s="1262"/>
    </row>
    <row r="127" spans="1:9">
      <c r="A127" s="986">
        <f t="shared" si="1"/>
        <v>123</v>
      </c>
      <c r="B127" s="1246">
        <v>3</v>
      </c>
      <c r="C127" s="1250" t="s">
        <v>467</v>
      </c>
      <c r="D127" s="62" t="str">
        <f>VLOOKUP(C127,Erection!$C$5:$D$307,2,0)</f>
        <v>DA+3</v>
      </c>
      <c r="E127" s="1251">
        <v>46174</v>
      </c>
      <c r="F127" s="1246" t="s">
        <v>1762</v>
      </c>
      <c r="G127" s="1246" t="s">
        <v>1765</v>
      </c>
      <c r="H127" s="1246" t="s">
        <v>1148</v>
      </c>
      <c r="I127" s="1262"/>
    </row>
    <row r="128" spans="1:9">
      <c r="A128" s="986">
        <f t="shared" si="1"/>
        <v>124</v>
      </c>
      <c r="B128" s="1246">
        <v>4</v>
      </c>
      <c r="C128" s="1250" t="s">
        <v>468</v>
      </c>
      <c r="D128" s="62" t="str">
        <f>VLOOKUP(C128,Erection!$C$5:$D$307,2,0)</f>
        <v>DA+9</v>
      </c>
      <c r="E128" s="1251">
        <v>46174</v>
      </c>
      <c r="F128" s="1246" t="s">
        <v>1762</v>
      </c>
      <c r="G128" s="1246" t="s">
        <v>1765</v>
      </c>
      <c r="H128" s="1246" t="s">
        <v>1148</v>
      </c>
      <c r="I128" s="1262"/>
    </row>
    <row r="129" spans="1:9">
      <c r="A129" s="986">
        <f t="shared" si="1"/>
        <v>125</v>
      </c>
      <c r="B129" s="1246">
        <v>5</v>
      </c>
      <c r="C129" s="1250" t="s">
        <v>469</v>
      </c>
      <c r="D129" s="62" t="str">
        <f>VLOOKUP(C129,Erection!$C$5:$D$307,2,0)</f>
        <v>DA+9</v>
      </c>
      <c r="E129" s="1251">
        <v>46174</v>
      </c>
      <c r="F129" s="1246" t="s">
        <v>1762</v>
      </c>
      <c r="G129" s="1246" t="s">
        <v>1765</v>
      </c>
      <c r="H129" s="1246" t="s">
        <v>1148</v>
      </c>
      <c r="I129" s="1262"/>
    </row>
    <row r="130" spans="1:9">
      <c r="A130" s="986">
        <f t="shared" si="1"/>
        <v>126</v>
      </c>
      <c r="B130" s="1246">
        <v>6</v>
      </c>
      <c r="C130" s="1274" t="s">
        <v>463</v>
      </c>
      <c r="D130" s="62" t="str">
        <f>VLOOKUP(C130,Erection!$C$5:$D$307,2,0)</f>
        <v>DA+9</v>
      </c>
      <c r="E130" s="1251">
        <v>46175</v>
      </c>
      <c r="F130" s="1246" t="s">
        <v>1762</v>
      </c>
      <c r="G130" s="1246" t="s">
        <v>1765</v>
      </c>
      <c r="H130" s="1246" t="s">
        <v>1148</v>
      </c>
      <c r="I130" s="1262"/>
    </row>
    <row r="131" spans="1:9">
      <c r="A131" s="986">
        <f t="shared" si="1"/>
        <v>127</v>
      </c>
      <c r="B131" s="1246">
        <v>7</v>
      </c>
      <c r="C131" s="1274" t="s">
        <v>464</v>
      </c>
      <c r="D131" s="62" t="str">
        <f>VLOOKUP(C131,Erection!$C$5:$D$307,2,0)</f>
        <v>DA+6</v>
      </c>
      <c r="E131" s="1251">
        <v>46175</v>
      </c>
      <c r="F131" s="1246" t="s">
        <v>1762</v>
      </c>
      <c r="G131" s="1246" t="s">
        <v>1765</v>
      </c>
      <c r="H131" s="1246" t="s">
        <v>1148</v>
      </c>
      <c r="I131" s="1262"/>
    </row>
    <row r="132" spans="1:9">
      <c r="A132" s="986">
        <f t="shared" si="1"/>
        <v>128</v>
      </c>
      <c r="B132" s="1246">
        <v>8</v>
      </c>
      <c r="C132" s="1274" t="s">
        <v>465</v>
      </c>
      <c r="D132" s="62" t="str">
        <f>VLOOKUP(C132,Erection!$C$5:$D$307,2,0)</f>
        <v>DA+6</v>
      </c>
      <c r="E132" s="1251">
        <v>46175</v>
      </c>
      <c r="F132" s="1246" t="s">
        <v>1762</v>
      </c>
      <c r="G132" s="1246" t="s">
        <v>1765</v>
      </c>
      <c r="H132" s="1246" t="s">
        <v>1148</v>
      </c>
      <c r="I132" s="1262"/>
    </row>
    <row r="133" spans="1:9">
      <c r="A133" s="986">
        <f t="shared" si="1"/>
        <v>129</v>
      </c>
      <c r="B133" s="1246">
        <v>9</v>
      </c>
      <c r="C133" s="1274" t="s">
        <v>466</v>
      </c>
      <c r="D133" s="62" t="str">
        <f>VLOOKUP(C133,Erection!$C$5:$D$307,2,0)</f>
        <v>DA+9</v>
      </c>
      <c r="E133" s="1251">
        <v>46175</v>
      </c>
      <c r="F133" s="1246" t="s">
        <v>1762</v>
      </c>
      <c r="G133" s="1246" t="s">
        <v>1765</v>
      </c>
      <c r="H133" s="1246" t="s">
        <v>1148</v>
      </c>
      <c r="I133" s="1262"/>
    </row>
    <row r="134" spans="1:9">
      <c r="A134" s="986">
        <f t="shared" si="1"/>
        <v>130</v>
      </c>
      <c r="B134" s="1246">
        <v>10</v>
      </c>
      <c r="C134" s="1250" t="s">
        <v>462</v>
      </c>
      <c r="D134" s="62" t="str">
        <f>VLOOKUP(C134,Erection!$C$5:$D$307,2,0)</f>
        <v>DA+3</v>
      </c>
      <c r="E134" s="1251">
        <v>46176</v>
      </c>
      <c r="F134" s="1246" t="s">
        <v>1762</v>
      </c>
      <c r="G134" s="1246" t="s">
        <v>1765</v>
      </c>
      <c r="H134" s="1246" t="s">
        <v>1148</v>
      </c>
      <c r="I134" s="1262"/>
    </row>
    <row r="135" spans="1:9">
      <c r="A135" s="986">
        <f t="shared" si="1"/>
        <v>131</v>
      </c>
      <c r="B135" s="1246">
        <v>11</v>
      </c>
      <c r="C135" s="1250" t="s">
        <v>461</v>
      </c>
      <c r="D135" s="62" t="str">
        <f>VLOOKUP(C135,Erection!$C$5:$D$307,2,0)</f>
        <v>DA+6</v>
      </c>
      <c r="E135" s="1251">
        <v>46176</v>
      </c>
      <c r="F135" s="1246" t="s">
        <v>1762</v>
      </c>
      <c r="G135" s="1246" t="s">
        <v>1765</v>
      </c>
      <c r="H135" s="1246" t="s">
        <v>1148</v>
      </c>
      <c r="I135" s="1262"/>
    </row>
    <row r="136" spans="1:9">
      <c r="A136" s="986">
        <f t="shared" si="1"/>
        <v>132</v>
      </c>
      <c r="B136" s="1246">
        <v>12</v>
      </c>
      <c r="C136" s="1250" t="s">
        <v>460</v>
      </c>
      <c r="D136" s="62" t="str">
        <f>VLOOKUP(C136,Erection!$C$5:$D$307,2,0)</f>
        <v>DA-1.5</v>
      </c>
      <c r="E136" s="1251">
        <v>46176</v>
      </c>
      <c r="F136" s="1246" t="s">
        <v>1762</v>
      </c>
      <c r="G136" s="1246" t="s">
        <v>1765</v>
      </c>
      <c r="H136" s="1246" t="s">
        <v>1148</v>
      </c>
      <c r="I136" s="1262"/>
    </row>
    <row r="137" spans="1:9">
      <c r="A137" s="986">
        <f t="shared" si="1"/>
        <v>133</v>
      </c>
      <c r="B137" s="1246">
        <v>13</v>
      </c>
      <c r="C137" s="1250" t="s">
        <v>459</v>
      </c>
      <c r="D137" s="62" t="str">
        <f>VLOOKUP(C137,Erection!$C$5:$D$307,2,0)</f>
        <v>DA+9</v>
      </c>
      <c r="E137" s="1251">
        <v>46176</v>
      </c>
      <c r="F137" s="1246" t="s">
        <v>1762</v>
      </c>
      <c r="G137" s="1246" t="s">
        <v>1765</v>
      </c>
      <c r="H137" s="1246" t="s">
        <v>1148</v>
      </c>
      <c r="I137" s="1262"/>
    </row>
    <row r="138" spans="1:9">
      <c r="A138" s="986">
        <f t="shared" si="1"/>
        <v>134</v>
      </c>
      <c r="B138" s="1246">
        <v>14</v>
      </c>
      <c r="C138" s="1250" t="s">
        <v>893</v>
      </c>
      <c r="D138" s="62" t="str">
        <f>VLOOKUP(C138,Erection!$C$5:$D$307,2,0)</f>
        <v>DA+9</v>
      </c>
      <c r="E138" s="1251">
        <v>46209</v>
      </c>
      <c r="F138" s="1246" t="s">
        <v>1762</v>
      </c>
      <c r="G138" s="1246" t="s">
        <v>1848</v>
      </c>
      <c r="H138" s="1246" t="s">
        <v>1148</v>
      </c>
      <c r="I138" s="1262"/>
    </row>
    <row r="139" spans="1:9">
      <c r="A139" s="986">
        <f t="shared" ref="A139:A141" si="2">A138+1</f>
        <v>135</v>
      </c>
      <c r="B139" s="1246">
        <v>15</v>
      </c>
      <c r="C139" s="1250" t="s">
        <v>894</v>
      </c>
      <c r="D139" s="62" t="str">
        <f>VLOOKUP(C139,Erection!$C$5:$D$307,2,0)</f>
        <v>DA+6</v>
      </c>
      <c r="E139" s="1251">
        <v>46209</v>
      </c>
      <c r="F139" s="1246" t="s">
        <v>1762</v>
      </c>
      <c r="G139" s="1246" t="s">
        <v>1848</v>
      </c>
      <c r="H139" s="1246" t="s">
        <v>1148</v>
      </c>
      <c r="I139" s="1262"/>
    </row>
    <row r="140" spans="1:9">
      <c r="A140" s="986">
        <f t="shared" si="2"/>
        <v>136</v>
      </c>
      <c r="B140" s="1246">
        <v>16</v>
      </c>
      <c r="C140" s="1250" t="s">
        <v>895</v>
      </c>
      <c r="D140" s="62" t="str">
        <f>VLOOKUP(C140,Erection!$C$5:$D$307,2,0)</f>
        <v>DA+9</v>
      </c>
      <c r="E140" s="1251">
        <v>46210</v>
      </c>
      <c r="F140" s="1246" t="s">
        <v>1762</v>
      </c>
      <c r="G140" s="1246" t="s">
        <v>1848</v>
      </c>
      <c r="H140" s="1246" t="s">
        <v>1148</v>
      </c>
      <c r="I140" s="1262"/>
    </row>
    <row r="141" spans="1:9">
      <c r="A141" s="986">
        <f t="shared" si="2"/>
        <v>137</v>
      </c>
      <c r="B141" s="1246">
        <v>17</v>
      </c>
      <c r="C141" s="1250" t="s">
        <v>896</v>
      </c>
      <c r="D141" s="62" t="str">
        <f>VLOOKUP(C141,Erection!$C$5:$D$307,2,0)</f>
        <v>DA+9</v>
      </c>
      <c r="E141" s="1251">
        <v>46210</v>
      </c>
      <c r="F141" s="1246" t="s">
        <v>1762</v>
      </c>
      <c r="G141" s="1246" t="s">
        <v>1848</v>
      </c>
      <c r="H141" s="1246" t="s">
        <v>1148</v>
      </c>
      <c r="I141" s="1262"/>
    </row>
    <row r="142" spans="1:9">
      <c r="A142" s="1261"/>
      <c r="B142" s="1246"/>
      <c r="C142" s="1250"/>
      <c r="D142" s="62"/>
      <c r="E142" s="1251"/>
      <c r="F142" s="1246"/>
      <c r="G142" s="1246"/>
      <c r="H142" s="1246"/>
      <c r="I142" s="1262"/>
    </row>
    <row r="143" spans="1:9">
      <c r="A143" s="1261"/>
      <c r="B143" s="1246"/>
      <c r="C143" s="1250"/>
      <c r="D143" s="62"/>
      <c r="E143" s="1251"/>
      <c r="F143" s="1246"/>
      <c r="G143" s="1246"/>
      <c r="H143" s="1246"/>
      <c r="I143" s="1262"/>
    </row>
    <row r="144" spans="1:9">
      <c r="A144" s="1261"/>
      <c r="B144" s="1246"/>
      <c r="C144" s="1250"/>
      <c r="D144" s="62"/>
      <c r="E144" s="1251"/>
      <c r="F144" s="1246"/>
      <c r="G144" s="1246"/>
      <c r="H144" s="1246"/>
      <c r="I144" s="1262"/>
    </row>
  </sheetData>
  <autoFilter ref="A4:I137" xr:uid="{D56FCDC6-762D-48CE-B160-4E188D45A52A}"/>
  <mergeCells count="3">
    <mergeCell ref="A1:I1"/>
    <mergeCell ref="A2:I2"/>
    <mergeCell ref="A3:H3"/>
  </mergeCells>
  <phoneticPr fontId="46" type="noConversion"/>
  <conditionalFormatting sqref="C1:C12 C14 C16 C18 C20 C22 C24 C26 C29:C65607">
    <cfRule type="expression" dxfId="140" priority="2093" stopIfTrue="1">
      <formula>AND(COUNTIF($C$28:$C$65607, C1)+COUNTIF($C$1:$C$12, C1)&gt;1,NOT(ISBLANK(C1)))</formula>
    </cfRule>
  </conditionalFormatting>
  <conditionalFormatting sqref="C1:C1048576">
    <cfRule type="duplicateValues" dxfId="139" priority="1"/>
    <cfRule type="duplicateValues" dxfId="138" priority="22"/>
  </conditionalFormatting>
  <conditionalFormatting sqref="C5">
    <cfRule type="duplicateValues" dxfId="137" priority="21"/>
  </conditionalFormatting>
  <conditionalFormatting sqref="C13:C28">
    <cfRule type="duplicateValues" dxfId="136" priority="14"/>
    <cfRule type="duplicateValues" dxfId="135" priority="15"/>
    <cfRule type="duplicateValues" dxfId="134" priority="16"/>
    <cfRule type="duplicateValues" dxfId="133" priority="17"/>
    <cfRule type="duplicateValues" dxfId="132" priority="18"/>
    <cfRule type="duplicateValues" dxfId="131" priority="19"/>
  </conditionalFormatting>
  <conditionalFormatting sqref="C29">
    <cfRule type="duplicateValues" dxfId="130" priority="2"/>
    <cfRule type="duplicateValues" dxfId="129" priority="3"/>
    <cfRule type="duplicateValues" dxfId="128" priority="4"/>
    <cfRule type="duplicateValues" dxfId="127" priority="5"/>
    <cfRule type="duplicateValues" dxfId="126" priority="6"/>
    <cfRule type="duplicateValues" dxfId="125" priority="7"/>
  </conditionalFormatting>
  <conditionalFormatting sqref="C30:C48">
    <cfRule type="duplicateValues" dxfId="124" priority="2106"/>
    <cfRule type="duplicateValues" dxfId="123" priority="2107"/>
    <cfRule type="duplicateValues" dxfId="122" priority="2108"/>
    <cfRule type="duplicateValues" dxfId="121" priority="2109"/>
    <cfRule type="duplicateValues" dxfId="120" priority="2110"/>
    <cfRule type="duplicateValues" dxfId="119" priority="2111"/>
  </conditionalFormatting>
  <conditionalFormatting sqref="C49:C65607">
    <cfRule type="duplicateValues" dxfId="118" priority="20"/>
  </conditionalFormatting>
  <pageMargins left="0.7" right="0.7" top="0.75" bottom="0.75" header="0.3" footer="0.3"/>
  <pageSetup orientation="portrait" horizontalDpi="360" verticalDpi="36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A30C0-ECDA-4A57-9CF7-E2F81BC95CFF}">
  <sheetPr>
    <tabColor theme="4" tint="0.39997558519241921"/>
  </sheetPr>
  <dimension ref="A1:K114"/>
  <sheetViews>
    <sheetView view="pageBreakPreview" topLeftCell="A83" zoomScale="98" zoomScaleNormal="100" zoomScaleSheetLayoutView="98" workbookViewId="0">
      <selection activeCell="C109" sqref="C109"/>
    </sheetView>
  </sheetViews>
  <sheetFormatPr defaultColWidth="9.1796875" defaultRowHeight="14.5"/>
  <cols>
    <col min="1" max="1" width="7.1796875" style="13" bestFit="1" customWidth="1"/>
    <col min="2" max="2" width="7.453125" style="13" bestFit="1" customWidth="1"/>
    <col min="3" max="5" width="11.1796875" style="13" customWidth="1"/>
    <col min="6" max="6" width="10.08984375" style="13" customWidth="1"/>
    <col min="7" max="7" width="17.54296875" style="13" customWidth="1"/>
    <col min="8" max="8" width="18.7265625" style="13" customWidth="1"/>
    <col min="9" max="9" width="16" style="13" customWidth="1"/>
    <col min="10" max="16384" width="9.1796875" style="13"/>
  </cols>
  <sheetData>
    <row r="1" spans="1:9" ht="15.5">
      <c r="A1" s="1535" t="s">
        <v>120</v>
      </c>
      <c r="B1" s="1536"/>
      <c r="C1" s="1536"/>
      <c r="D1" s="1536"/>
      <c r="E1" s="1536"/>
      <c r="F1" s="1536"/>
      <c r="G1" s="1536"/>
      <c r="H1" s="1536"/>
      <c r="I1" s="1537"/>
    </row>
    <row r="2" spans="1:9" ht="15.5">
      <c r="A2" s="1582" t="str">
        <f>TA413_PBNTL!A1</f>
        <v xml:space="preserve"> TA413 : 765 KV D/C Bikaner III - Neemrana II TL02</v>
      </c>
      <c r="B2" s="1583"/>
      <c r="C2" s="1583"/>
      <c r="D2" s="1583"/>
      <c r="E2" s="1583"/>
      <c r="F2" s="1583"/>
      <c r="G2" s="1583"/>
      <c r="H2" s="1583"/>
      <c r="I2" s="1604"/>
    </row>
    <row r="3" spans="1:9" ht="16" thickBot="1">
      <c r="A3" s="1605" t="s">
        <v>1771</v>
      </c>
      <c r="B3" s="1606"/>
      <c r="C3" s="1606"/>
      <c r="D3" s="1606"/>
      <c r="E3" s="1606"/>
      <c r="F3" s="1606"/>
      <c r="G3" s="1606"/>
      <c r="H3" s="1606"/>
      <c r="I3" s="63" t="str">
        <f>TA413_PBNTL!M1</f>
        <v>17.07.2026</v>
      </c>
    </row>
    <row r="4" spans="1:9" ht="29.5" thickBot="1">
      <c r="A4" s="47" t="s">
        <v>41</v>
      </c>
      <c r="B4" s="48" t="s">
        <v>42</v>
      </c>
      <c r="C4" s="49" t="s">
        <v>43</v>
      </c>
      <c r="D4" s="48" t="s">
        <v>44</v>
      </c>
      <c r="E4" s="48" t="s">
        <v>1760</v>
      </c>
      <c r="F4" s="50" t="s">
        <v>1770</v>
      </c>
      <c r="G4" s="51" t="s">
        <v>87</v>
      </c>
      <c r="H4" s="48" t="s">
        <v>48</v>
      </c>
      <c r="I4" s="52" t="s">
        <v>1</v>
      </c>
    </row>
    <row r="5" spans="1:9">
      <c r="A5" s="1119">
        <v>1</v>
      </c>
      <c r="B5" s="1240">
        <v>1</v>
      </c>
      <c r="C5" s="1266" t="s">
        <v>411</v>
      </c>
      <c r="D5" s="1241" t="str">
        <f>VLOOKUP(C5,Erection!$C$5:$D$307,2,0)</f>
        <v>DA+3</v>
      </c>
      <c r="E5" s="1242">
        <v>46170</v>
      </c>
      <c r="F5" s="1240" t="s">
        <v>1762</v>
      </c>
      <c r="G5" s="62" t="s">
        <v>1765</v>
      </c>
      <c r="H5" s="1240" t="s">
        <v>1148</v>
      </c>
      <c r="I5" s="1243"/>
    </row>
    <row r="6" spans="1:9">
      <c r="A6" s="14">
        <f>A5+1</f>
        <v>2</v>
      </c>
      <c r="B6" s="10">
        <v>2</v>
      </c>
      <c r="C6" s="661" t="s">
        <v>412</v>
      </c>
      <c r="D6" s="10" t="str">
        <f>VLOOKUP(C6,Erection!$C$5:$D$307,2,0)</f>
        <v>DA+3</v>
      </c>
      <c r="E6" s="1242">
        <v>46170</v>
      </c>
      <c r="F6" s="10" t="s">
        <v>1762</v>
      </c>
      <c r="G6" s="10" t="s">
        <v>1765</v>
      </c>
      <c r="H6" s="10" t="s">
        <v>1148</v>
      </c>
      <c r="I6" s="46"/>
    </row>
    <row r="7" spans="1:9">
      <c r="A7" s="14">
        <f t="shared" ref="A7:A79" si="0">A6+1</f>
        <v>3</v>
      </c>
      <c r="B7" s="10">
        <v>3</v>
      </c>
      <c r="C7" s="661" t="s">
        <v>368</v>
      </c>
      <c r="D7" s="10" t="str">
        <f>VLOOKUP(C7,Erection!$C$5:$D$307,2,0)</f>
        <v>DA+6</v>
      </c>
      <c r="E7" s="111">
        <v>46171</v>
      </c>
      <c r="F7" s="10" t="s">
        <v>1762</v>
      </c>
      <c r="G7" s="10" t="s">
        <v>1765</v>
      </c>
      <c r="H7" s="10" t="s">
        <v>1148</v>
      </c>
      <c r="I7" s="46"/>
    </row>
    <row r="8" spans="1:9">
      <c r="A8" s="14">
        <f t="shared" si="0"/>
        <v>4</v>
      </c>
      <c r="B8" s="10">
        <v>4</v>
      </c>
      <c r="C8" s="661" t="s">
        <v>404</v>
      </c>
      <c r="D8" s="10" t="str">
        <f>VLOOKUP(C8,Erection!$C$5:$D$307,2,0)</f>
        <v>DA+3</v>
      </c>
      <c r="E8" s="111">
        <v>46171</v>
      </c>
      <c r="F8" s="10" t="s">
        <v>1762</v>
      </c>
      <c r="G8" s="10" t="s">
        <v>1765</v>
      </c>
      <c r="H8" s="10" t="s">
        <v>1148</v>
      </c>
      <c r="I8" s="46"/>
    </row>
    <row r="9" spans="1:9">
      <c r="A9" s="14">
        <f t="shared" si="0"/>
        <v>5</v>
      </c>
      <c r="B9" s="10">
        <v>5</v>
      </c>
      <c r="C9" s="661" t="s">
        <v>410</v>
      </c>
      <c r="D9" s="10" t="str">
        <f>VLOOKUP(C9,Erection!$C$5:$D$307,2,0)</f>
        <v>DA+3</v>
      </c>
      <c r="E9" s="111">
        <v>46173</v>
      </c>
      <c r="F9" s="10" t="s">
        <v>1762</v>
      </c>
      <c r="G9" s="10" t="s">
        <v>1765</v>
      </c>
      <c r="H9" s="10" t="s">
        <v>1148</v>
      </c>
      <c r="I9" s="46"/>
    </row>
    <row r="10" spans="1:9">
      <c r="A10" s="14">
        <f t="shared" si="0"/>
        <v>6</v>
      </c>
      <c r="B10" s="10">
        <v>6</v>
      </c>
      <c r="C10" s="661" t="s">
        <v>409</v>
      </c>
      <c r="D10" s="10" t="str">
        <f>VLOOKUP(C10,Erection!$C$5:$D$307,2,0)</f>
        <v>DA+3</v>
      </c>
      <c r="E10" s="111">
        <v>46173</v>
      </c>
      <c r="F10" s="10" t="s">
        <v>1762</v>
      </c>
      <c r="G10" s="10" t="s">
        <v>1765</v>
      </c>
      <c r="H10" s="10" t="s">
        <v>1148</v>
      </c>
      <c r="I10" s="46"/>
    </row>
    <row r="11" spans="1:9">
      <c r="A11" s="14">
        <f t="shared" si="0"/>
        <v>7</v>
      </c>
      <c r="B11" s="10">
        <v>7</v>
      </c>
      <c r="C11" s="661" t="s">
        <v>408</v>
      </c>
      <c r="D11" s="10" t="str">
        <f>VLOOKUP(C11,Erection!$C$5:$D$307,2,0)</f>
        <v>DA+0</v>
      </c>
      <c r="E11" s="111">
        <v>46173</v>
      </c>
      <c r="F11" s="10" t="s">
        <v>1762</v>
      </c>
      <c r="G11" s="10" t="s">
        <v>1765</v>
      </c>
      <c r="H11" s="10" t="s">
        <v>1148</v>
      </c>
      <c r="I11" s="46"/>
    </row>
    <row r="12" spans="1:9">
      <c r="A12" s="14">
        <f t="shared" si="0"/>
        <v>8</v>
      </c>
      <c r="B12" s="10">
        <v>8</v>
      </c>
      <c r="C12" s="72" t="s">
        <v>264</v>
      </c>
      <c r="D12" s="10" t="str">
        <f>VLOOKUP(C12,Erection!$C$5:$D$307,2,0)</f>
        <v>DB1+6</v>
      </c>
      <c r="E12" s="716">
        <v>46174</v>
      </c>
      <c r="F12" s="62" t="s">
        <v>1762</v>
      </c>
      <c r="G12" s="62" t="s">
        <v>1765</v>
      </c>
      <c r="H12" s="62" t="s">
        <v>1148</v>
      </c>
      <c r="I12" s="46"/>
    </row>
    <row r="13" spans="1:9">
      <c r="A13" s="14">
        <f t="shared" si="0"/>
        <v>9</v>
      </c>
      <c r="B13" s="10">
        <v>9</v>
      </c>
      <c r="C13" s="72" t="s">
        <v>406</v>
      </c>
      <c r="D13" s="10" t="str">
        <f>VLOOKUP(C13,Erection!$C$5:$D$307,2,0)</f>
        <v>DA+9</v>
      </c>
      <c r="E13" s="716">
        <v>46174</v>
      </c>
      <c r="F13" s="62" t="s">
        <v>1762</v>
      </c>
      <c r="G13" s="62" t="s">
        <v>1765</v>
      </c>
      <c r="H13" s="62" t="s">
        <v>1148</v>
      </c>
      <c r="I13" s="46"/>
    </row>
    <row r="14" spans="1:9">
      <c r="A14" s="14">
        <f t="shared" si="0"/>
        <v>10</v>
      </c>
      <c r="B14" s="10">
        <v>10</v>
      </c>
      <c r="C14" s="72" t="s">
        <v>402</v>
      </c>
      <c r="D14" s="10" t="str">
        <f>VLOOKUP(C14,Erection!$C$5:$D$307,2,0)</f>
        <v>DA+3</v>
      </c>
      <c r="E14" s="716">
        <v>46175</v>
      </c>
      <c r="F14" s="62" t="s">
        <v>1762</v>
      </c>
      <c r="G14" s="62" t="s">
        <v>1765</v>
      </c>
      <c r="H14" s="62" t="s">
        <v>1148</v>
      </c>
      <c r="I14" s="1247"/>
    </row>
    <row r="15" spans="1:9">
      <c r="A15" s="14">
        <f t="shared" si="0"/>
        <v>11</v>
      </c>
      <c r="B15" s="10">
        <v>11</v>
      </c>
      <c r="C15" s="72" t="s">
        <v>405</v>
      </c>
      <c r="D15" s="10" t="str">
        <f>VLOOKUP(C15,Erection!$C$5:$D$307,2,0)</f>
        <v>DA+0</v>
      </c>
      <c r="E15" s="716">
        <v>46175</v>
      </c>
      <c r="F15" s="62" t="s">
        <v>1762</v>
      </c>
      <c r="G15" s="62" t="s">
        <v>1765</v>
      </c>
      <c r="H15" s="62" t="s">
        <v>1148</v>
      </c>
      <c r="I15" s="1247"/>
    </row>
    <row r="16" spans="1:9">
      <c r="A16" s="14">
        <f t="shared" si="0"/>
        <v>12</v>
      </c>
      <c r="B16" s="10">
        <v>12</v>
      </c>
      <c r="C16" s="72" t="s">
        <v>369</v>
      </c>
      <c r="D16" s="10" t="str">
        <f>VLOOKUP(C16,Erection!$C$5:$D$307,2,0)</f>
        <v>DA+3</v>
      </c>
      <c r="E16" s="716">
        <v>46175</v>
      </c>
      <c r="F16" s="62" t="s">
        <v>1762</v>
      </c>
      <c r="G16" s="62" t="s">
        <v>1765</v>
      </c>
      <c r="H16" s="62" t="s">
        <v>1148</v>
      </c>
      <c r="I16" s="1247"/>
    </row>
    <row r="17" spans="1:9">
      <c r="A17" s="14">
        <f t="shared" si="0"/>
        <v>13</v>
      </c>
      <c r="B17" s="10">
        <v>13</v>
      </c>
      <c r="C17" s="72" t="s">
        <v>370</v>
      </c>
      <c r="D17" s="10" t="str">
        <f>VLOOKUP(C17,Erection!$C$5:$D$307,2,0)</f>
        <v>DA+3</v>
      </c>
      <c r="E17" s="716">
        <v>46175</v>
      </c>
      <c r="F17" s="62" t="s">
        <v>1762</v>
      </c>
      <c r="G17" s="62" t="s">
        <v>1765</v>
      </c>
      <c r="H17" s="62" t="s">
        <v>1148</v>
      </c>
      <c r="I17" s="1247"/>
    </row>
    <row r="18" spans="1:9">
      <c r="A18" s="14">
        <f t="shared" si="0"/>
        <v>14</v>
      </c>
      <c r="B18" s="10">
        <v>14</v>
      </c>
      <c r="C18" s="72" t="s">
        <v>407</v>
      </c>
      <c r="D18" s="10" t="str">
        <f>VLOOKUP(C18,Erection!$C$5:$D$307,2,0)</f>
        <v>DA+0</v>
      </c>
      <c r="E18" s="716">
        <v>46175</v>
      </c>
      <c r="F18" s="62" t="s">
        <v>1762</v>
      </c>
      <c r="G18" s="62" t="s">
        <v>1765</v>
      </c>
      <c r="H18" s="62" t="s">
        <v>1148</v>
      </c>
      <c r="I18" s="1247"/>
    </row>
    <row r="19" spans="1:9">
      <c r="A19" s="14">
        <f t="shared" si="0"/>
        <v>15</v>
      </c>
      <c r="B19" s="10">
        <v>15</v>
      </c>
      <c r="C19" s="72" t="s">
        <v>469</v>
      </c>
      <c r="D19" s="10" t="str">
        <f>VLOOKUP(C19,Erection!$C$5:$D$307,2,0)</f>
        <v>DA+9</v>
      </c>
      <c r="E19" s="716">
        <v>46176</v>
      </c>
      <c r="F19" s="62" t="s">
        <v>1762</v>
      </c>
      <c r="G19" s="62" t="s">
        <v>1765</v>
      </c>
      <c r="H19" s="62" t="s">
        <v>1148</v>
      </c>
      <c r="I19" s="1247"/>
    </row>
    <row r="20" spans="1:9">
      <c r="A20" s="14">
        <f t="shared" si="0"/>
        <v>16</v>
      </c>
      <c r="B20" s="10">
        <v>16</v>
      </c>
      <c r="C20" s="719" t="s">
        <v>470</v>
      </c>
      <c r="D20" s="10" t="str">
        <f>VLOOKUP(C20,Erection!$C$5:$D$307,2,0)</f>
        <v>DA-3</v>
      </c>
      <c r="E20" s="716">
        <v>46176</v>
      </c>
      <c r="F20" s="62" t="s">
        <v>1762</v>
      </c>
      <c r="G20" s="62" t="s">
        <v>1765</v>
      </c>
      <c r="H20" s="62" t="s">
        <v>1148</v>
      </c>
      <c r="I20" s="1247"/>
    </row>
    <row r="21" spans="1:9">
      <c r="A21" s="14">
        <f t="shared" si="0"/>
        <v>17</v>
      </c>
      <c r="B21" s="10">
        <v>17</v>
      </c>
      <c r="C21" s="72" t="s">
        <v>471</v>
      </c>
      <c r="D21" s="10" t="str">
        <f>VLOOKUP(C21,Erection!$C$5:$D$307,2,0)</f>
        <v>DA+1.5</v>
      </c>
      <c r="E21" s="716">
        <v>46176</v>
      </c>
      <c r="F21" s="62" t="s">
        <v>1762</v>
      </c>
      <c r="G21" s="62" t="s">
        <v>1765</v>
      </c>
      <c r="H21" s="62" t="s">
        <v>1148</v>
      </c>
      <c r="I21" s="1247"/>
    </row>
    <row r="22" spans="1:9">
      <c r="A22" s="14">
        <f t="shared" si="0"/>
        <v>18</v>
      </c>
      <c r="B22" s="10">
        <v>18</v>
      </c>
      <c r="C22" s="661" t="s">
        <v>468</v>
      </c>
      <c r="D22" s="10" t="str">
        <f>VLOOKUP(C22,Erection!$C$5:$D$307,2,0)</f>
        <v>DA+9</v>
      </c>
      <c r="E22" s="716">
        <v>46176</v>
      </c>
      <c r="F22" s="62" t="s">
        <v>1762</v>
      </c>
      <c r="G22" s="1246" t="s">
        <v>1791</v>
      </c>
      <c r="H22" s="62" t="s">
        <v>1148</v>
      </c>
      <c r="I22" s="1247"/>
    </row>
    <row r="23" spans="1:9">
      <c r="A23" s="14">
        <f t="shared" si="0"/>
        <v>19</v>
      </c>
      <c r="B23" s="10">
        <v>19</v>
      </c>
      <c r="C23" s="661" t="s">
        <v>467</v>
      </c>
      <c r="D23" s="10" t="str">
        <f>VLOOKUP(C23,Erection!$C$5:$D$307,2,0)</f>
        <v>DA+3</v>
      </c>
      <c r="E23" s="716">
        <v>46176</v>
      </c>
      <c r="F23" s="62" t="s">
        <v>1762</v>
      </c>
      <c r="G23" s="1246" t="s">
        <v>1791</v>
      </c>
      <c r="H23" s="62" t="s">
        <v>1148</v>
      </c>
      <c r="I23" s="1247"/>
    </row>
    <row r="24" spans="1:9">
      <c r="A24" s="14">
        <f t="shared" si="0"/>
        <v>20</v>
      </c>
      <c r="B24" s="10">
        <v>20</v>
      </c>
      <c r="C24" s="661" t="s">
        <v>482</v>
      </c>
      <c r="D24" s="10" t="str">
        <f>VLOOKUP(C24,Erection!$C$5:$D$307,2,0)</f>
        <v>DB1+12</v>
      </c>
      <c r="E24" s="1251">
        <v>46177</v>
      </c>
      <c r="F24" s="62" t="s">
        <v>1762</v>
      </c>
      <c r="G24" s="62" t="s">
        <v>1765</v>
      </c>
      <c r="H24" s="62" t="s">
        <v>1148</v>
      </c>
      <c r="I24" s="1247"/>
    </row>
    <row r="25" spans="1:9">
      <c r="A25" s="14">
        <f t="shared" si="0"/>
        <v>21</v>
      </c>
      <c r="B25" s="10">
        <v>21</v>
      </c>
      <c r="C25" s="661" t="s">
        <v>263</v>
      </c>
      <c r="D25" s="10" t="str">
        <f>VLOOKUP(C25,Erection!$C$5:$D$307,2,0)</f>
        <v>DB1+12</v>
      </c>
      <c r="E25" s="1251">
        <v>46177</v>
      </c>
      <c r="F25" s="62" t="s">
        <v>1762</v>
      </c>
      <c r="G25" s="62" t="s">
        <v>1765</v>
      </c>
      <c r="H25" s="62" t="s">
        <v>1148</v>
      </c>
      <c r="I25" s="1247"/>
    </row>
    <row r="26" spans="1:9">
      <c r="A26" s="14">
        <f t="shared" si="0"/>
        <v>22</v>
      </c>
      <c r="B26" s="10">
        <v>22</v>
      </c>
      <c r="C26" s="1250" t="s">
        <v>472</v>
      </c>
      <c r="D26" s="10" t="str">
        <f>VLOOKUP(C26,Erection!$C$5:$D$307,2,0)</f>
        <v>DA+3</v>
      </c>
      <c r="E26" s="1251">
        <v>46177</v>
      </c>
      <c r="F26" s="62" t="s">
        <v>1762</v>
      </c>
      <c r="G26" s="62" t="s">
        <v>1765</v>
      </c>
      <c r="H26" s="62" t="s">
        <v>1148</v>
      </c>
      <c r="I26" s="1247"/>
    </row>
    <row r="27" spans="1:9">
      <c r="A27" s="14">
        <f t="shared" si="0"/>
        <v>23</v>
      </c>
      <c r="B27" s="10">
        <v>23</v>
      </c>
      <c r="C27" s="10" t="s">
        <v>1251</v>
      </c>
      <c r="D27" s="10" t="str">
        <f>VLOOKUP(C27,Erection!$C$5:$D$307,2,0)</f>
        <v>DA+3</v>
      </c>
      <c r="E27" s="1251">
        <v>46177</v>
      </c>
      <c r="F27" s="62" t="s">
        <v>1762</v>
      </c>
      <c r="G27" s="1246" t="s">
        <v>1792</v>
      </c>
      <c r="H27" s="62" t="s">
        <v>1148</v>
      </c>
      <c r="I27" s="1247"/>
    </row>
    <row r="28" spans="1:9">
      <c r="A28" s="14">
        <f t="shared" si="0"/>
        <v>24</v>
      </c>
      <c r="B28" s="10">
        <v>24</v>
      </c>
      <c r="C28" s="1275" t="s">
        <v>260</v>
      </c>
      <c r="D28" s="10" t="str">
        <f>VLOOKUP(C28,Erection!$C$5:$D$307,2,0)</f>
        <v>DA+6</v>
      </c>
      <c r="E28" s="1251">
        <v>46177</v>
      </c>
      <c r="F28" s="62" t="s">
        <v>1762</v>
      </c>
      <c r="G28" s="1246" t="s">
        <v>1791</v>
      </c>
      <c r="H28" s="62" t="s">
        <v>1148</v>
      </c>
      <c r="I28" s="1247"/>
    </row>
    <row r="29" spans="1:9">
      <c r="A29" s="14">
        <f t="shared" si="0"/>
        <v>25</v>
      </c>
      <c r="B29" s="10">
        <v>25</v>
      </c>
      <c r="C29" s="661" t="s">
        <v>259</v>
      </c>
      <c r="D29" s="10" t="str">
        <f>VLOOKUP(C29,Erection!$C$5:$D$307,2,0)</f>
        <v>DA+9</v>
      </c>
      <c r="E29" s="1251">
        <v>46177</v>
      </c>
      <c r="F29" s="62" t="s">
        <v>1762</v>
      </c>
      <c r="G29" s="1246" t="s">
        <v>1791</v>
      </c>
      <c r="H29" s="62" t="s">
        <v>1148</v>
      </c>
      <c r="I29" s="1247"/>
    </row>
    <row r="30" spans="1:9">
      <c r="A30" s="14">
        <f t="shared" si="0"/>
        <v>26</v>
      </c>
      <c r="B30" s="10">
        <v>26</v>
      </c>
      <c r="C30" s="661" t="s">
        <v>473</v>
      </c>
      <c r="D30" s="10" t="str">
        <f>VLOOKUP(C30,Erection!$C$5:$D$307,2,0)</f>
        <v>DA+6</v>
      </c>
      <c r="E30" s="111">
        <v>46178</v>
      </c>
      <c r="F30" s="62" t="s">
        <v>1762</v>
      </c>
      <c r="G30" s="10" t="s">
        <v>1765</v>
      </c>
      <c r="H30" s="10" t="s">
        <v>1148</v>
      </c>
      <c r="I30" s="46"/>
    </row>
    <row r="31" spans="1:9">
      <c r="A31" s="14">
        <f t="shared" si="0"/>
        <v>27</v>
      </c>
      <c r="B31" s="10">
        <v>27</v>
      </c>
      <c r="C31" s="661" t="s">
        <v>399</v>
      </c>
      <c r="D31" s="10" t="str">
        <f>VLOOKUP(C31,Erection!$C$5:$D$307,2,0)</f>
        <v>DA+0</v>
      </c>
      <c r="E31" s="111">
        <v>46178</v>
      </c>
      <c r="F31" s="10" t="s">
        <v>1762</v>
      </c>
      <c r="G31" s="10" t="s">
        <v>1765</v>
      </c>
      <c r="H31" s="10" t="s">
        <v>1148</v>
      </c>
      <c r="I31" s="46"/>
    </row>
    <row r="32" spans="1:9">
      <c r="A32" s="14">
        <f t="shared" si="0"/>
        <v>28</v>
      </c>
      <c r="B32" s="10">
        <v>28</v>
      </c>
      <c r="C32" s="661" t="s">
        <v>400</v>
      </c>
      <c r="D32" s="10" t="str">
        <f>VLOOKUP(C32,Erection!$C$5:$D$307,2,0)</f>
        <v>DA+9</v>
      </c>
      <c r="E32" s="111">
        <v>46178</v>
      </c>
      <c r="F32" s="10" t="s">
        <v>1762</v>
      </c>
      <c r="G32" s="10" t="s">
        <v>1765</v>
      </c>
      <c r="H32" s="10" t="s">
        <v>1148</v>
      </c>
      <c r="I32" s="46"/>
    </row>
    <row r="33" spans="1:11">
      <c r="A33" s="14">
        <f t="shared" si="0"/>
        <v>29</v>
      </c>
      <c r="B33" s="10">
        <v>29</v>
      </c>
      <c r="C33" s="661" t="s">
        <v>397</v>
      </c>
      <c r="D33" s="10" t="str">
        <f>VLOOKUP(C33,Erection!$C$5:$D$307,2,0)</f>
        <v>DA+9</v>
      </c>
      <c r="E33" s="111">
        <v>46178</v>
      </c>
      <c r="F33" s="10" t="s">
        <v>1762</v>
      </c>
      <c r="G33" s="10" t="s">
        <v>1765</v>
      </c>
      <c r="H33" s="10" t="s">
        <v>1148</v>
      </c>
      <c r="I33" s="46"/>
    </row>
    <row r="34" spans="1:11">
      <c r="A34" s="14">
        <f t="shared" si="0"/>
        <v>30</v>
      </c>
      <c r="B34" s="10">
        <v>30</v>
      </c>
      <c r="C34" s="661" t="s">
        <v>258</v>
      </c>
      <c r="D34" s="10" t="str">
        <f>VLOOKUP(C34,Erection!$C$5:$D$307,2,0)</f>
        <v>DB1+9</v>
      </c>
      <c r="E34" s="111">
        <v>46178</v>
      </c>
      <c r="F34" s="10" t="s">
        <v>1762</v>
      </c>
      <c r="G34" s="10" t="s">
        <v>1791</v>
      </c>
      <c r="H34" s="10" t="s">
        <v>1148</v>
      </c>
      <c r="I34" s="46"/>
    </row>
    <row r="35" spans="1:11">
      <c r="A35" s="14">
        <f t="shared" si="0"/>
        <v>31</v>
      </c>
      <c r="B35" s="10">
        <v>31</v>
      </c>
      <c r="C35" s="661" t="s">
        <v>395</v>
      </c>
      <c r="D35" s="10" t="str">
        <f>VLOOKUP(C35,Erection!$C$5:$D$307,2,0)</f>
        <v>DA+3</v>
      </c>
      <c r="E35" s="111">
        <v>46179</v>
      </c>
      <c r="F35" s="10" t="s">
        <v>1762</v>
      </c>
      <c r="G35" s="10" t="s">
        <v>1765</v>
      </c>
      <c r="H35" s="10" t="s">
        <v>1148</v>
      </c>
      <c r="I35" s="46"/>
    </row>
    <row r="36" spans="1:11">
      <c r="A36" s="14">
        <f t="shared" si="0"/>
        <v>32</v>
      </c>
      <c r="B36" s="10">
        <v>32</v>
      </c>
      <c r="C36" s="661" t="s">
        <v>398</v>
      </c>
      <c r="D36" s="10" t="str">
        <f>VLOOKUP(C36,Erection!$C$5:$D$307,2,0)</f>
        <v>DA+3</v>
      </c>
      <c r="E36" s="111">
        <v>46179</v>
      </c>
      <c r="F36" s="10" t="s">
        <v>1762</v>
      </c>
      <c r="G36" s="10" t="s">
        <v>1765</v>
      </c>
      <c r="H36" s="10" t="s">
        <v>1148</v>
      </c>
      <c r="I36" s="46"/>
    </row>
    <row r="37" spans="1:11">
      <c r="A37" s="14">
        <f t="shared" si="0"/>
        <v>33</v>
      </c>
      <c r="B37" s="10">
        <v>33</v>
      </c>
      <c r="C37" s="661" t="s">
        <v>394</v>
      </c>
      <c r="D37" s="10" t="str">
        <f>VLOOKUP(C37,Erection!$C$5:$D$307,2,0)</f>
        <v>DA+9</v>
      </c>
      <c r="E37" s="111">
        <v>46179</v>
      </c>
      <c r="F37" s="10" t="s">
        <v>1762</v>
      </c>
      <c r="G37" s="10" t="s">
        <v>1765</v>
      </c>
      <c r="H37" s="10" t="s">
        <v>1148</v>
      </c>
      <c r="I37" s="46"/>
    </row>
    <row r="38" spans="1:11">
      <c r="A38" s="14">
        <f t="shared" si="0"/>
        <v>34</v>
      </c>
      <c r="B38" s="10">
        <v>34</v>
      </c>
      <c r="C38" s="661" t="s">
        <v>396</v>
      </c>
      <c r="D38" s="10" t="str">
        <f>VLOOKUP(C38,Erection!$C$5:$D$307,2,0)</f>
        <v>DA+3</v>
      </c>
      <c r="E38" s="111">
        <v>46179</v>
      </c>
      <c r="F38" s="10" t="s">
        <v>1762</v>
      </c>
      <c r="G38" s="10" t="s">
        <v>1765</v>
      </c>
      <c r="H38" s="10" t="s">
        <v>1148</v>
      </c>
      <c r="I38" s="46"/>
    </row>
    <row r="39" spans="1:11">
      <c r="A39" s="14">
        <f t="shared" si="0"/>
        <v>35</v>
      </c>
      <c r="B39" s="10">
        <v>35</v>
      </c>
      <c r="C39" s="661" t="s">
        <v>466</v>
      </c>
      <c r="D39" s="10" t="str">
        <f>VLOOKUP(C39,Erection!$C$5:$D$307,2,0)</f>
        <v>DA+9</v>
      </c>
      <c r="E39" s="111">
        <v>46179</v>
      </c>
      <c r="F39" s="10" t="s">
        <v>1762</v>
      </c>
      <c r="G39" s="10" t="s">
        <v>1791</v>
      </c>
      <c r="H39" s="10" t="s">
        <v>1148</v>
      </c>
      <c r="I39" s="46"/>
    </row>
    <row r="40" spans="1:11">
      <c r="A40" s="14">
        <f t="shared" si="0"/>
        <v>36</v>
      </c>
      <c r="B40" s="10">
        <v>36</v>
      </c>
      <c r="C40" s="661" t="s">
        <v>393</v>
      </c>
      <c r="D40" s="10" t="str">
        <f>VLOOKUP(C40,Erection!$C$5:$D$307,2,0)</f>
        <v>DA+6</v>
      </c>
      <c r="E40" s="111">
        <v>46180</v>
      </c>
      <c r="F40" s="10" t="s">
        <v>1762</v>
      </c>
      <c r="G40" s="10" t="s">
        <v>1765</v>
      </c>
      <c r="H40" s="10" t="s">
        <v>1148</v>
      </c>
      <c r="I40" s="46"/>
      <c r="J40" s="1278"/>
      <c r="K40" s="1085"/>
    </row>
    <row r="41" spans="1:11">
      <c r="A41" s="14">
        <f t="shared" si="0"/>
        <v>37</v>
      </c>
      <c r="B41" s="10">
        <v>37</v>
      </c>
      <c r="C41" s="661" t="s">
        <v>268</v>
      </c>
      <c r="D41" s="10" t="str">
        <f>VLOOKUP(C41,Erection!$C$5:$D$307,2,0)</f>
        <v>DD60+0</v>
      </c>
      <c r="E41" s="111">
        <v>46180</v>
      </c>
      <c r="F41" s="10" t="s">
        <v>1762</v>
      </c>
      <c r="G41" s="10" t="s">
        <v>1792</v>
      </c>
      <c r="H41" s="10" t="s">
        <v>1148</v>
      </c>
      <c r="I41" s="46"/>
    </row>
    <row r="42" spans="1:11">
      <c r="A42" s="14">
        <f t="shared" si="0"/>
        <v>38</v>
      </c>
      <c r="B42" s="10">
        <v>38</v>
      </c>
      <c r="C42" s="661" t="s">
        <v>465</v>
      </c>
      <c r="D42" s="10" t="str">
        <f>VLOOKUP(C42,Erection!$C$5:$D$307,2,0)</f>
        <v>DA+6</v>
      </c>
      <c r="E42" s="111">
        <v>46180</v>
      </c>
      <c r="F42" s="10" t="s">
        <v>1762</v>
      </c>
      <c r="G42" s="10" t="s">
        <v>1791</v>
      </c>
      <c r="H42" s="10" t="s">
        <v>1148</v>
      </c>
      <c r="I42" s="46"/>
    </row>
    <row r="43" spans="1:11">
      <c r="A43" s="14">
        <f t="shared" si="0"/>
        <v>39</v>
      </c>
      <c r="B43" s="10">
        <v>39</v>
      </c>
      <c r="C43" s="661" t="s">
        <v>464</v>
      </c>
      <c r="D43" s="10" t="str">
        <f>VLOOKUP(C43,Erection!$C$5:$D$307,2,0)</f>
        <v>DA+6</v>
      </c>
      <c r="E43" s="111">
        <v>46180</v>
      </c>
      <c r="F43" s="10" t="s">
        <v>1762</v>
      </c>
      <c r="G43" s="10" t="s">
        <v>1791</v>
      </c>
      <c r="H43" s="10" t="s">
        <v>1148</v>
      </c>
      <c r="I43" s="46"/>
    </row>
    <row r="44" spans="1:11">
      <c r="A44" s="14">
        <f t="shared" si="0"/>
        <v>40</v>
      </c>
      <c r="B44" s="10">
        <v>40</v>
      </c>
      <c r="C44" s="661" t="s">
        <v>462</v>
      </c>
      <c r="D44" s="10" t="str">
        <f>VLOOKUP(C44,Erection!$C$5:$D$307,2,0)</f>
        <v>DA+3</v>
      </c>
      <c r="E44" s="111">
        <v>46180</v>
      </c>
      <c r="F44" s="10" t="s">
        <v>1762</v>
      </c>
      <c r="G44" s="10" t="s">
        <v>1791</v>
      </c>
      <c r="H44" s="10" t="s">
        <v>1148</v>
      </c>
      <c r="I44" s="1002"/>
    </row>
    <row r="45" spans="1:11">
      <c r="A45" s="14">
        <f t="shared" si="0"/>
        <v>41</v>
      </c>
      <c r="B45" s="10">
        <v>41</v>
      </c>
      <c r="C45" s="661" t="s">
        <v>672</v>
      </c>
      <c r="D45" s="10" t="str">
        <f>VLOOKUP(C45,Erection!$C$5:$D$307,2,0)</f>
        <v>DB1+12</v>
      </c>
      <c r="E45" s="111">
        <v>46180</v>
      </c>
      <c r="F45" s="10" t="s">
        <v>1762</v>
      </c>
      <c r="G45" s="10" t="s">
        <v>1791</v>
      </c>
      <c r="H45" s="10" t="s">
        <v>1148</v>
      </c>
      <c r="I45" s="1002"/>
    </row>
    <row r="46" spans="1:11">
      <c r="A46" s="14">
        <f t="shared" si="0"/>
        <v>42</v>
      </c>
      <c r="B46" s="10">
        <v>42</v>
      </c>
      <c r="C46" s="661" t="s">
        <v>461</v>
      </c>
      <c r="D46" s="10" t="str">
        <f>VLOOKUP(C46,Erection!$C$5:$D$307,2,0)</f>
        <v>DA+6</v>
      </c>
      <c r="E46" s="111">
        <v>46181</v>
      </c>
      <c r="F46" s="10" t="s">
        <v>1762</v>
      </c>
      <c r="G46" s="10" t="s">
        <v>1791</v>
      </c>
      <c r="H46" s="10" t="s">
        <v>1148</v>
      </c>
      <c r="I46" s="1002"/>
    </row>
    <row r="47" spans="1:11">
      <c r="A47" s="14">
        <f t="shared" si="0"/>
        <v>43</v>
      </c>
      <c r="B47" s="10">
        <v>43</v>
      </c>
      <c r="C47" s="661" t="s">
        <v>463</v>
      </c>
      <c r="D47" s="10" t="str">
        <f>VLOOKUP(C47,Erection!$C$5:$D$307,2,0)</f>
        <v>DA+9</v>
      </c>
      <c r="E47" s="111">
        <v>46181</v>
      </c>
      <c r="F47" s="10" t="s">
        <v>1762</v>
      </c>
      <c r="G47" s="10" t="s">
        <v>1791</v>
      </c>
      <c r="H47" s="10" t="s">
        <v>1148</v>
      </c>
      <c r="I47" s="1002"/>
    </row>
    <row r="48" spans="1:11">
      <c r="A48" s="14">
        <f t="shared" si="0"/>
        <v>44</v>
      </c>
      <c r="B48" s="10">
        <v>44</v>
      </c>
      <c r="C48" s="661" t="s">
        <v>480</v>
      </c>
      <c r="D48" s="10" t="str">
        <f>VLOOKUP(C48,Erection!$C$5:$D$307,2,0)</f>
        <v>DA+6</v>
      </c>
      <c r="E48" s="111">
        <v>46181</v>
      </c>
      <c r="F48" s="10" t="s">
        <v>1762</v>
      </c>
      <c r="G48" s="10" t="s">
        <v>1765</v>
      </c>
      <c r="H48" s="10" t="s">
        <v>1148</v>
      </c>
      <c r="I48" s="1002"/>
    </row>
    <row r="49" spans="1:9">
      <c r="A49" s="14">
        <f t="shared" si="0"/>
        <v>45</v>
      </c>
      <c r="B49" s="10">
        <v>45</v>
      </c>
      <c r="C49" s="661" t="s">
        <v>481</v>
      </c>
      <c r="D49" s="10" t="str">
        <f>VLOOKUP(C49,Erection!$C$5:$D$307,2,0)</f>
        <v>DA-1.5</v>
      </c>
      <c r="E49" s="111">
        <v>46181</v>
      </c>
      <c r="F49" s="10" t="s">
        <v>1762</v>
      </c>
      <c r="G49" s="10" t="s">
        <v>1765</v>
      </c>
      <c r="H49" s="10" t="s">
        <v>1148</v>
      </c>
      <c r="I49" s="1002"/>
    </row>
    <row r="50" spans="1:9">
      <c r="A50" s="14">
        <f t="shared" si="0"/>
        <v>46</v>
      </c>
      <c r="B50" s="10">
        <v>46</v>
      </c>
      <c r="C50" s="661" t="s">
        <v>479</v>
      </c>
      <c r="D50" s="10" t="str">
        <f>VLOOKUP(C50,Erection!$C$5:$D$307,2,0)</f>
        <v>DA+6</v>
      </c>
      <c r="E50" s="111">
        <v>46181</v>
      </c>
      <c r="F50" s="10" t="s">
        <v>1762</v>
      </c>
      <c r="G50" s="10" t="s">
        <v>1765</v>
      </c>
      <c r="H50" s="10" t="s">
        <v>1148</v>
      </c>
      <c r="I50" s="1002"/>
    </row>
    <row r="51" spans="1:9">
      <c r="A51" s="14">
        <f t="shared" si="0"/>
        <v>47</v>
      </c>
      <c r="B51" s="10">
        <v>47</v>
      </c>
      <c r="C51" s="661" t="s">
        <v>474</v>
      </c>
      <c r="D51" s="10" t="str">
        <f>VLOOKUP(C51,Erection!$C$5:$D$307,2,0)</f>
        <v>DA+1.5</v>
      </c>
      <c r="E51" s="111">
        <v>46180</v>
      </c>
      <c r="F51" s="10" t="s">
        <v>1762</v>
      </c>
      <c r="G51" s="10" t="s">
        <v>1765</v>
      </c>
      <c r="H51" s="10" t="s">
        <v>1148</v>
      </c>
      <c r="I51" s="1002"/>
    </row>
    <row r="52" spans="1:9">
      <c r="A52" s="14">
        <f t="shared" si="0"/>
        <v>48</v>
      </c>
      <c r="B52" s="10">
        <v>48</v>
      </c>
      <c r="C52" s="661" t="s">
        <v>475</v>
      </c>
      <c r="D52" s="10" t="str">
        <f>VLOOKUP(C52,Erection!$C$5:$D$307,2,0)</f>
        <v>DA-1.5</v>
      </c>
      <c r="E52" s="111">
        <v>46181</v>
      </c>
      <c r="F52" s="10" t="s">
        <v>1762</v>
      </c>
      <c r="G52" s="10" t="s">
        <v>1765</v>
      </c>
      <c r="H52" s="10" t="s">
        <v>1148</v>
      </c>
      <c r="I52" s="1002"/>
    </row>
    <row r="53" spans="1:9">
      <c r="A53" s="14">
        <f t="shared" si="0"/>
        <v>49</v>
      </c>
      <c r="B53" s="10">
        <v>49</v>
      </c>
      <c r="C53" s="661" t="s">
        <v>490</v>
      </c>
      <c r="D53" s="10" t="str">
        <f>VLOOKUP(C53,Erection!$C$5:$D$307,2,0)</f>
        <v>DA+1.5</v>
      </c>
      <c r="E53" s="111">
        <v>46181</v>
      </c>
      <c r="F53" s="10" t="s">
        <v>1762</v>
      </c>
      <c r="G53" s="10" t="s">
        <v>1765</v>
      </c>
      <c r="H53" s="10" t="s">
        <v>1148</v>
      </c>
      <c r="I53" s="1002"/>
    </row>
    <row r="54" spans="1:9">
      <c r="A54" s="14">
        <f t="shared" si="0"/>
        <v>50</v>
      </c>
      <c r="B54" s="10">
        <v>50</v>
      </c>
      <c r="C54" s="661" t="s">
        <v>460</v>
      </c>
      <c r="D54" s="10" t="str">
        <f>VLOOKUP(C54,Erection!$C$5:$D$307,2,0)</f>
        <v>DA-1.5</v>
      </c>
      <c r="E54" s="111">
        <v>46182</v>
      </c>
      <c r="F54" s="10" t="s">
        <v>1762</v>
      </c>
      <c r="G54" s="10" t="s">
        <v>1791</v>
      </c>
      <c r="H54" s="10" t="s">
        <v>1148</v>
      </c>
      <c r="I54" s="1002"/>
    </row>
    <row r="55" spans="1:9">
      <c r="A55" s="14">
        <f t="shared" si="0"/>
        <v>51</v>
      </c>
      <c r="B55" s="10">
        <v>51</v>
      </c>
      <c r="C55" s="661" t="s">
        <v>459</v>
      </c>
      <c r="D55" s="10" t="str">
        <f>VLOOKUP(C55,Erection!$C$5:$D$307,2,0)</f>
        <v>DA+9</v>
      </c>
      <c r="E55" s="111">
        <v>46182</v>
      </c>
      <c r="F55" s="10" t="s">
        <v>1762</v>
      </c>
      <c r="G55" s="10" t="s">
        <v>1791</v>
      </c>
      <c r="H55" s="10" t="s">
        <v>1148</v>
      </c>
      <c r="I55" s="1002"/>
    </row>
    <row r="56" spans="1:9">
      <c r="A56" s="14">
        <f t="shared" si="0"/>
        <v>52</v>
      </c>
      <c r="B56" s="10">
        <v>52</v>
      </c>
      <c r="C56" s="661" t="s">
        <v>458</v>
      </c>
      <c r="D56" s="10" t="str">
        <f>VLOOKUP(C56,Erection!$C$5:$D$307,2,0)</f>
        <v>DA+9</v>
      </c>
      <c r="E56" s="111">
        <v>46182</v>
      </c>
      <c r="F56" s="10" t="s">
        <v>1762</v>
      </c>
      <c r="G56" s="10" t="s">
        <v>1791</v>
      </c>
      <c r="H56" s="10" t="s">
        <v>1148</v>
      </c>
      <c r="I56" s="1002"/>
    </row>
    <row r="57" spans="1:9">
      <c r="A57" s="14">
        <f t="shared" si="0"/>
        <v>53</v>
      </c>
      <c r="B57" s="10">
        <v>53</v>
      </c>
      <c r="C57" s="661" t="s">
        <v>265</v>
      </c>
      <c r="D57" s="10" t="str">
        <f>VLOOKUP(C57,Erection!$C$5:$D$307,2,0)</f>
        <v>DD45+0</v>
      </c>
      <c r="E57" s="111">
        <v>46182</v>
      </c>
      <c r="F57" s="10" t="s">
        <v>1762</v>
      </c>
      <c r="G57" s="10" t="s">
        <v>1765</v>
      </c>
      <c r="H57" s="10" t="s">
        <v>1148</v>
      </c>
      <c r="I57" s="1002"/>
    </row>
    <row r="58" spans="1:9">
      <c r="A58" s="14">
        <f t="shared" si="0"/>
        <v>54</v>
      </c>
      <c r="B58" s="10">
        <v>54</v>
      </c>
      <c r="C58" s="661" t="s">
        <v>266</v>
      </c>
      <c r="D58" s="10" t="str">
        <f>VLOOKUP(C58,Erection!$C$5:$D$307,2,0)</f>
        <v>DB1+9</v>
      </c>
      <c r="E58" s="111">
        <v>46182</v>
      </c>
      <c r="F58" s="10" t="s">
        <v>1762</v>
      </c>
      <c r="G58" s="10" t="s">
        <v>1765</v>
      </c>
      <c r="H58" s="10" t="s">
        <v>1148</v>
      </c>
      <c r="I58" s="1002"/>
    </row>
    <row r="59" spans="1:9">
      <c r="A59" s="14">
        <f t="shared" si="0"/>
        <v>55</v>
      </c>
      <c r="B59" s="10">
        <v>55</v>
      </c>
      <c r="C59" s="661" t="s">
        <v>390</v>
      </c>
      <c r="D59" s="10" t="str">
        <f>VLOOKUP(C59,Erection!$C$5:$D$307,2,0)</f>
        <v>DA-3</v>
      </c>
      <c r="E59" s="111">
        <v>46183</v>
      </c>
      <c r="F59" s="10" t="s">
        <v>1762</v>
      </c>
      <c r="G59" s="10" t="s">
        <v>1765</v>
      </c>
      <c r="H59" s="10" t="s">
        <v>1148</v>
      </c>
      <c r="I59" s="1002"/>
    </row>
    <row r="60" spans="1:9">
      <c r="A60" s="14">
        <f t="shared" si="0"/>
        <v>56</v>
      </c>
      <c r="B60" s="10">
        <v>56</v>
      </c>
      <c r="C60" s="661" t="s">
        <v>391</v>
      </c>
      <c r="D60" s="10" t="str">
        <f>VLOOKUP(C60,Erection!$C$5:$D$307,2,0)</f>
        <v>DA+6</v>
      </c>
      <c r="E60" s="111">
        <v>46183</v>
      </c>
      <c r="F60" s="10" t="s">
        <v>1762</v>
      </c>
      <c r="G60" s="10" t="s">
        <v>1765</v>
      </c>
      <c r="H60" s="10" t="s">
        <v>1148</v>
      </c>
      <c r="I60" s="1002"/>
    </row>
    <row r="61" spans="1:9">
      <c r="A61" s="14">
        <f t="shared" si="0"/>
        <v>57</v>
      </c>
      <c r="B61" s="10">
        <v>57</v>
      </c>
      <c r="C61" s="661" t="s">
        <v>392</v>
      </c>
      <c r="D61" s="10" t="str">
        <f>VLOOKUP(C61,Erection!$C$5:$D$307,2,0)</f>
        <v>DA+9</v>
      </c>
      <c r="E61" s="111">
        <v>46183</v>
      </c>
      <c r="F61" s="10" t="s">
        <v>1762</v>
      </c>
      <c r="G61" s="10" t="s">
        <v>1765</v>
      </c>
      <c r="H61" s="10" t="s">
        <v>1148</v>
      </c>
      <c r="I61" s="1002"/>
    </row>
    <row r="62" spans="1:9">
      <c r="A62" s="14">
        <f t="shared" si="0"/>
        <v>58</v>
      </c>
      <c r="B62" s="10">
        <v>58</v>
      </c>
      <c r="C62" s="661" t="s">
        <v>457</v>
      </c>
      <c r="D62" s="10" t="str">
        <f>VLOOKUP(C62,Erection!$C$5:$D$307,2,0)</f>
        <v>DA+6</v>
      </c>
      <c r="E62" s="111">
        <v>46183</v>
      </c>
      <c r="F62" s="10" t="s">
        <v>1762</v>
      </c>
      <c r="G62" s="10" t="s">
        <v>1791</v>
      </c>
      <c r="H62" s="10" t="s">
        <v>1148</v>
      </c>
      <c r="I62" s="1002"/>
    </row>
    <row r="63" spans="1:9">
      <c r="A63" s="14">
        <f t="shared" si="0"/>
        <v>59</v>
      </c>
      <c r="B63" s="10">
        <v>59</v>
      </c>
      <c r="C63" s="661" t="s">
        <v>257</v>
      </c>
      <c r="D63" s="10" t="str">
        <f>VLOOKUP(C63,Erection!$C$5:$D$307,2,0)</f>
        <v>DB1+6</v>
      </c>
      <c r="E63" s="111">
        <v>46184</v>
      </c>
      <c r="F63" s="10" t="s">
        <v>1762</v>
      </c>
      <c r="G63" s="10" t="s">
        <v>1791</v>
      </c>
      <c r="H63" s="10" t="s">
        <v>1148</v>
      </c>
      <c r="I63" s="1002"/>
    </row>
    <row r="64" spans="1:9">
      <c r="A64" s="14">
        <f t="shared" si="0"/>
        <v>60</v>
      </c>
      <c r="B64" s="10">
        <v>60</v>
      </c>
      <c r="C64" s="661" t="s">
        <v>896</v>
      </c>
      <c r="D64" s="10" t="str">
        <f>VLOOKUP(C64,Erection!$C$5:$D$307,2,0)</f>
        <v>DA+9</v>
      </c>
      <c r="E64" s="111">
        <v>46184</v>
      </c>
      <c r="F64" s="10" t="s">
        <v>1762</v>
      </c>
      <c r="G64" s="10" t="s">
        <v>1791</v>
      </c>
      <c r="H64" s="10" t="s">
        <v>1148</v>
      </c>
      <c r="I64" s="1002"/>
    </row>
    <row r="65" spans="1:9">
      <c r="A65" s="14">
        <f t="shared" si="0"/>
        <v>61</v>
      </c>
      <c r="B65" s="10">
        <v>61</v>
      </c>
      <c r="C65" s="661" t="s">
        <v>895</v>
      </c>
      <c r="D65" s="10" t="str">
        <f>VLOOKUP(C65,Erection!$C$5:$D$307,2,0)</f>
        <v>DA+9</v>
      </c>
      <c r="E65" s="111">
        <v>46185</v>
      </c>
      <c r="F65" s="10" t="s">
        <v>1762</v>
      </c>
      <c r="G65" s="10" t="s">
        <v>1791</v>
      </c>
      <c r="H65" s="10" t="s">
        <v>1148</v>
      </c>
      <c r="I65" s="1002"/>
    </row>
    <row r="66" spans="1:9">
      <c r="A66" s="14">
        <f t="shared" si="0"/>
        <v>62</v>
      </c>
      <c r="B66" s="10">
        <v>62</v>
      </c>
      <c r="C66" s="661" t="s">
        <v>894</v>
      </c>
      <c r="D66" s="10" t="str">
        <f>VLOOKUP(C66,Erection!$C$5:$D$307,2,0)</f>
        <v>DA+6</v>
      </c>
      <c r="E66" s="111">
        <v>46185</v>
      </c>
      <c r="F66" s="10" t="s">
        <v>1762</v>
      </c>
      <c r="G66" s="10" t="s">
        <v>1791</v>
      </c>
      <c r="H66" s="10" t="s">
        <v>1148</v>
      </c>
      <c r="I66" s="1002"/>
    </row>
    <row r="67" spans="1:9">
      <c r="A67" s="14">
        <f t="shared" si="0"/>
        <v>63</v>
      </c>
      <c r="B67" s="10">
        <v>63</v>
      </c>
      <c r="C67" s="661" t="s">
        <v>262</v>
      </c>
      <c r="D67" s="10" t="str">
        <f>VLOOKUP(C67,Erection!$C$5:$D$307,2,0)</f>
        <v>DB1+0</v>
      </c>
      <c r="E67" s="111">
        <v>46185</v>
      </c>
      <c r="F67" s="10" t="s">
        <v>1762</v>
      </c>
      <c r="G67" s="10" t="s">
        <v>1765</v>
      </c>
      <c r="H67" s="10" t="s">
        <v>1148</v>
      </c>
      <c r="I67" s="1002"/>
    </row>
    <row r="68" spans="1:9">
      <c r="A68" s="14">
        <f t="shared" si="0"/>
        <v>64</v>
      </c>
      <c r="B68" s="10">
        <v>64</v>
      </c>
      <c r="C68" s="661" t="s">
        <v>495</v>
      </c>
      <c r="D68" s="10" t="str">
        <f>VLOOKUP(C68,Erection!$C$5:$D$307,2,0)</f>
        <v>DA+3</v>
      </c>
      <c r="E68" s="111">
        <v>46185</v>
      </c>
      <c r="F68" s="10" t="s">
        <v>1762</v>
      </c>
      <c r="G68" s="10" t="s">
        <v>1765</v>
      </c>
      <c r="H68" s="10" t="s">
        <v>1148</v>
      </c>
      <c r="I68" s="1002"/>
    </row>
    <row r="69" spans="1:9">
      <c r="A69" s="14">
        <f t="shared" si="0"/>
        <v>65</v>
      </c>
      <c r="B69" s="10">
        <v>65</v>
      </c>
      <c r="C69" s="661" t="s">
        <v>1266</v>
      </c>
      <c r="D69" s="10" t="str">
        <f>VLOOKUP(C69,Erection!$C$5:$D$307,2,0)</f>
        <v>DA+6</v>
      </c>
      <c r="E69" s="111">
        <v>46185</v>
      </c>
      <c r="F69" s="10" t="s">
        <v>1762</v>
      </c>
      <c r="G69" s="10" t="s">
        <v>1765</v>
      </c>
      <c r="H69" s="10" t="s">
        <v>1148</v>
      </c>
      <c r="I69" s="1002"/>
    </row>
    <row r="70" spans="1:9">
      <c r="A70" s="14">
        <f t="shared" si="0"/>
        <v>66</v>
      </c>
      <c r="B70" s="10">
        <v>66</v>
      </c>
      <c r="C70" s="661" t="s">
        <v>1265</v>
      </c>
      <c r="D70" s="10" t="str">
        <f>VLOOKUP(C70,Erection!$C$5:$D$307,2,0)</f>
        <v>DA+9</v>
      </c>
      <c r="E70" s="111">
        <v>46185</v>
      </c>
      <c r="F70" s="10" t="s">
        <v>1762</v>
      </c>
      <c r="G70" s="10" t="s">
        <v>1765</v>
      </c>
      <c r="H70" s="10" t="s">
        <v>1148</v>
      </c>
      <c r="I70" s="1002"/>
    </row>
    <row r="71" spans="1:9">
      <c r="A71" s="14">
        <f t="shared" si="0"/>
        <v>67</v>
      </c>
      <c r="B71" s="10">
        <v>67</v>
      </c>
      <c r="C71" s="661" t="s">
        <v>478</v>
      </c>
      <c r="D71" s="10" t="str">
        <f>VLOOKUP(C71,Erection!$C$5:$D$307,2,0)</f>
        <v>DA+9</v>
      </c>
      <c r="E71" s="111">
        <v>46187</v>
      </c>
      <c r="F71" s="10" t="s">
        <v>1762</v>
      </c>
      <c r="G71" s="10" t="s">
        <v>1765</v>
      </c>
      <c r="H71" s="10" t="s">
        <v>1824</v>
      </c>
      <c r="I71" s="1002"/>
    </row>
    <row r="72" spans="1:9">
      <c r="A72" s="14">
        <f t="shared" si="0"/>
        <v>68</v>
      </c>
      <c r="B72" s="10">
        <v>68</v>
      </c>
      <c r="C72" s="661" t="s">
        <v>477</v>
      </c>
      <c r="D72" s="10" t="str">
        <f>VLOOKUP(C72,Erection!$C$5:$D$307,2,0)</f>
        <v>DA+6</v>
      </c>
      <c r="E72" s="111">
        <v>46187</v>
      </c>
      <c r="F72" s="10" t="s">
        <v>1762</v>
      </c>
      <c r="G72" s="10" t="s">
        <v>1765</v>
      </c>
      <c r="H72" s="10" t="s">
        <v>1824</v>
      </c>
      <c r="I72" s="1002"/>
    </row>
    <row r="73" spans="1:9">
      <c r="A73" s="14">
        <f t="shared" si="0"/>
        <v>69</v>
      </c>
      <c r="B73" s="10">
        <v>69</v>
      </c>
      <c r="C73" s="661" t="s">
        <v>476</v>
      </c>
      <c r="D73" s="10" t="str">
        <f>VLOOKUP(C73,Erection!$C$5:$D$307,2,0)</f>
        <v>DA-3</v>
      </c>
      <c r="E73" s="111">
        <v>46187</v>
      </c>
      <c r="F73" s="10" t="s">
        <v>1762</v>
      </c>
      <c r="G73" s="10" t="s">
        <v>1765</v>
      </c>
      <c r="H73" s="10" t="s">
        <v>1824</v>
      </c>
      <c r="I73" s="1002"/>
    </row>
    <row r="74" spans="1:9">
      <c r="A74" s="14">
        <f t="shared" si="0"/>
        <v>70</v>
      </c>
      <c r="B74" s="10">
        <v>70</v>
      </c>
      <c r="C74" s="661" t="s">
        <v>892</v>
      </c>
      <c r="D74" s="10" t="str">
        <f>VLOOKUP(C74,Erection!$C$5:$D$307,2,0)</f>
        <v>DA+6</v>
      </c>
      <c r="E74" s="111">
        <v>46187</v>
      </c>
      <c r="F74" s="10" t="s">
        <v>1762</v>
      </c>
      <c r="G74" s="10" t="s">
        <v>1791</v>
      </c>
      <c r="H74" s="10" t="s">
        <v>1824</v>
      </c>
      <c r="I74" s="1002"/>
    </row>
    <row r="75" spans="1:9">
      <c r="A75" s="14">
        <f t="shared" si="0"/>
        <v>71</v>
      </c>
      <c r="B75" s="10">
        <v>71</v>
      </c>
      <c r="C75" s="661" t="s">
        <v>893</v>
      </c>
      <c r="D75" s="10" t="str">
        <f>VLOOKUP(C75,Erection!$C$5:$D$307,2,0)</f>
        <v>DA+9</v>
      </c>
      <c r="E75" s="111">
        <v>46187</v>
      </c>
      <c r="F75" s="10" t="s">
        <v>1762</v>
      </c>
      <c r="G75" s="10" t="s">
        <v>1791</v>
      </c>
      <c r="H75" s="10" t="s">
        <v>1824</v>
      </c>
      <c r="I75" s="1002"/>
    </row>
    <row r="76" spans="1:9">
      <c r="A76" s="14">
        <f t="shared" si="0"/>
        <v>72</v>
      </c>
      <c r="B76" s="10">
        <v>72</v>
      </c>
      <c r="C76" s="661" t="s">
        <v>11</v>
      </c>
      <c r="D76" s="10" t="str">
        <f>VLOOKUP(C76,Erection!$C$5:$D$307,2,0)</f>
        <v>DD60+18</v>
      </c>
      <c r="E76" s="111">
        <v>46188</v>
      </c>
      <c r="F76" s="10" t="s">
        <v>1762</v>
      </c>
      <c r="G76" s="10" t="s">
        <v>1765</v>
      </c>
      <c r="H76" s="10" t="s">
        <v>1824</v>
      </c>
      <c r="I76" s="1002"/>
    </row>
    <row r="77" spans="1:9">
      <c r="A77" s="14">
        <f t="shared" si="0"/>
        <v>73</v>
      </c>
      <c r="B77" s="10">
        <v>73</v>
      </c>
      <c r="C77" s="661" t="s">
        <v>167</v>
      </c>
      <c r="D77" s="10" t="str">
        <f>VLOOKUP(C77,Erection!$C$5:$D$307,2,0)</f>
        <v>DD60+25</v>
      </c>
      <c r="E77" s="111">
        <v>46188</v>
      </c>
      <c r="F77" s="10" t="s">
        <v>1762</v>
      </c>
      <c r="G77" s="10" t="s">
        <v>1765</v>
      </c>
      <c r="H77" s="10" t="s">
        <v>1824</v>
      </c>
      <c r="I77" s="1002"/>
    </row>
    <row r="78" spans="1:9">
      <c r="A78" s="14">
        <f t="shared" si="0"/>
        <v>74</v>
      </c>
      <c r="B78" s="10">
        <v>74</v>
      </c>
      <c r="C78" s="661" t="s">
        <v>890</v>
      </c>
      <c r="D78" s="10" t="str">
        <f>VLOOKUP(C78,Erection!$C$5:$D$307,2,0)</f>
        <v>DB1+3</v>
      </c>
      <c r="E78" s="111">
        <v>46188</v>
      </c>
      <c r="F78" s="10" t="s">
        <v>1762</v>
      </c>
      <c r="G78" s="10" t="s">
        <v>1791</v>
      </c>
      <c r="H78" s="10" t="s">
        <v>1824</v>
      </c>
      <c r="I78" s="1002"/>
    </row>
    <row r="79" spans="1:9">
      <c r="A79" s="14">
        <f t="shared" si="0"/>
        <v>75</v>
      </c>
      <c r="B79" s="10">
        <v>75</v>
      </c>
      <c r="C79" s="661" t="s">
        <v>891</v>
      </c>
      <c r="D79" s="10" t="str">
        <f>VLOOKUP(C79,Erection!$C$5:$D$307,2,0)</f>
        <v>DA+6</v>
      </c>
      <c r="E79" s="111">
        <v>46188</v>
      </c>
      <c r="F79" s="10" t="s">
        <v>1762</v>
      </c>
      <c r="G79" s="10" t="s">
        <v>1791</v>
      </c>
      <c r="H79" s="10" t="s">
        <v>1824</v>
      </c>
      <c r="I79" s="1002"/>
    </row>
    <row r="80" spans="1:9">
      <c r="A80" s="14">
        <f t="shared" ref="A80:A99" si="1">A79+1</f>
        <v>76</v>
      </c>
      <c r="B80" s="10">
        <v>76</v>
      </c>
      <c r="C80" s="661" t="s">
        <v>1263</v>
      </c>
      <c r="D80" s="10" t="str">
        <f>VLOOKUP(C80,Erection!$C$5:$D$307,2,0)</f>
        <v>DB1+9</v>
      </c>
      <c r="E80" s="111">
        <v>46189</v>
      </c>
      <c r="F80" s="10" t="s">
        <v>1762</v>
      </c>
      <c r="G80" s="10" t="s">
        <v>1765</v>
      </c>
      <c r="H80" s="10" t="s">
        <v>1824</v>
      </c>
      <c r="I80" s="1002"/>
    </row>
    <row r="81" spans="1:9">
      <c r="A81" s="14">
        <f t="shared" si="1"/>
        <v>77</v>
      </c>
      <c r="B81" s="10">
        <v>77</v>
      </c>
      <c r="C81" s="661" t="s">
        <v>1264</v>
      </c>
      <c r="D81" s="10" t="str">
        <f>VLOOKUP(C81,Erection!$C$5:$D$307,2,0)</f>
        <v>DA+3</v>
      </c>
      <c r="E81" s="111">
        <v>46189</v>
      </c>
      <c r="F81" s="10" t="s">
        <v>1762</v>
      </c>
      <c r="G81" s="10" t="s">
        <v>1765</v>
      </c>
      <c r="H81" s="10" t="s">
        <v>1824</v>
      </c>
      <c r="I81" s="1002"/>
    </row>
    <row r="82" spans="1:9">
      <c r="A82" s="14">
        <f t="shared" si="1"/>
        <v>78</v>
      </c>
      <c r="B82" s="10">
        <v>78</v>
      </c>
      <c r="C82" s="661" t="s">
        <v>256</v>
      </c>
      <c r="D82" s="10" t="str">
        <f>VLOOKUP(C82,Erection!$C$5:$D$307,2,0)</f>
        <v>DB2+9</v>
      </c>
      <c r="E82" s="111">
        <v>46189</v>
      </c>
      <c r="F82" s="10" t="s">
        <v>1762</v>
      </c>
      <c r="G82" s="10" t="s">
        <v>1791</v>
      </c>
      <c r="H82" s="10" t="s">
        <v>1824</v>
      </c>
      <c r="I82" s="1002"/>
    </row>
    <row r="83" spans="1:9">
      <c r="A83" s="14">
        <f t="shared" si="1"/>
        <v>79</v>
      </c>
      <c r="B83" s="10">
        <v>79</v>
      </c>
      <c r="C83" s="661" t="s">
        <v>452</v>
      </c>
      <c r="D83" s="10" t="str">
        <f>VLOOKUP(C83,Erection!$C$5:$D$307,2,0)</f>
        <v>DA+6</v>
      </c>
      <c r="E83" s="111">
        <v>46189</v>
      </c>
      <c r="F83" s="10" t="s">
        <v>1762</v>
      </c>
      <c r="G83" s="10" t="s">
        <v>1791</v>
      </c>
      <c r="H83" s="10" t="s">
        <v>1824</v>
      </c>
      <c r="I83" s="1002" t="s">
        <v>1838</v>
      </c>
    </row>
    <row r="84" spans="1:9">
      <c r="A84" s="14">
        <f t="shared" si="1"/>
        <v>80</v>
      </c>
      <c r="B84" s="10">
        <v>80</v>
      </c>
      <c r="C84" s="661" t="s">
        <v>1256</v>
      </c>
      <c r="D84" s="10" t="str">
        <f>VLOOKUP(C84,Erection!$C$5:$D$307,2,0)</f>
        <v>DD45+3</v>
      </c>
      <c r="E84" s="111">
        <v>46190</v>
      </c>
      <c r="F84" s="10" t="s">
        <v>1762</v>
      </c>
      <c r="G84" s="10" t="s">
        <v>1765</v>
      </c>
      <c r="H84" s="10" t="s">
        <v>1824</v>
      </c>
      <c r="I84" s="1002"/>
    </row>
    <row r="85" spans="1:9">
      <c r="A85" s="14">
        <f t="shared" si="1"/>
        <v>81</v>
      </c>
      <c r="B85" s="10">
        <v>81</v>
      </c>
      <c r="C85" s="661" t="s">
        <v>1257</v>
      </c>
      <c r="D85" s="10" t="str">
        <f>VLOOKUP(C85,Erection!$C$5:$D$307,2,0)</f>
        <v>DA+3</v>
      </c>
      <c r="E85" s="111">
        <v>46190</v>
      </c>
      <c r="F85" s="10" t="s">
        <v>1762</v>
      </c>
      <c r="G85" s="10" t="s">
        <v>1765</v>
      </c>
      <c r="H85" s="10" t="s">
        <v>1824</v>
      </c>
      <c r="I85" s="1002"/>
    </row>
    <row r="86" spans="1:9">
      <c r="A86" s="14">
        <f t="shared" si="1"/>
        <v>82</v>
      </c>
      <c r="B86" s="10">
        <v>82</v>
      </c>
      <c r="C86" s="661" t="s">
        <v>1258</v>
      </c>
      <c r="D86" s="10" t="str">
        <f>VLOOKUP(C86,Erection!$C$5:$D$307,2,0)</f>
        <v>DA+3</v>
      </c>
      <c r="E86" s="111">
        <v>46191</v>
      </c>
      <c r="F86" s="10" t="s">
        <v>1762</v>
      </c>
      <c r="G86" s="10" t="s">
        <v>1791</v>
      </c>
      <c r="H86" s="10" t="s">
        <v>1824</v>
      </c>
      <c r="I86" s="1002"/>
    </row>
    <row r="87" spans="1:9">
      <c r="A87" s="14">
        <f t="shared" si="1"/>
        <v>83</v>
      </c>
      <c r="B87" s="10">
        <v>83</v>
      </c>
      <c r="C87" s="661" t="s">
        <v>1259</v>
      </c>
      <c r="D87" s="10" t="str">
        <f>VLOOKUP(C87,Erection!$C$5:$D$307,2,0)</f>
        <v>DA+0</v>
      </c>
      <c r="E87" s="111">
        <v>46191</v>
      </c>
      <c r="F87" s="10" t="s">
        <v>1762</v>
      </c>
      <c r="G87" s="10" t="s">
        <v>1791</v>
      </c>
      <c r="H87" s="10" t="s">
        <v>1824</v>
      </c>
      <c r="I87" s="1002"/>
    </row>
    <row r="88" spans="1:9">
      <c r="A88" s="14">
        <f t="shared" si="1"/>
        <v>84</v>
      </c>
      <c r="B88" s="10">
        <v>84</v>
      </c>
      <c r="C88" s="661" t="s">
        <v>1260</v>
      </c>
      <c r="D88" s="10" t="str">
        <f>VLOOKUP(C88,Erection!$C$5:$D$307,2,0)</f>
        <v>DA+0</v>
      </c>
      <c r="E88" s="111">
        <v>46191</v>
      </c>
      <c r="F88" s="10" t="s">
        <v>1762</v>
      </c>
      <c r="G88" s="10" t="s">
        <v>1791</v>
      </c>
      <c r="H88" s="10" t="s">
        <v>1824</v>
      </c>
      <c r="I88" s="1002"/>
    </row>
    <row r="89" spans="1:9">
      <c r="A89" s="14">
        <f t="shared" si="1"/>
        <v>85</v>
      </c>
      <c r="B89" s="10">
        <v>85</v>
      </c>
      <c r="C89" s="661" t="s">
        <v>1261</v>
      </c>
      <c r="D89" s="10" t="str">
        <f>VLOOKUP(C89,Erection!$C$5:$D$307,2,0)</f>
        <v>DA+3</v>
      </c>
      <c r="E89" s="111">
        <v>46191</v>
      </c>
      <c r="F89" s="10" t="s">
        <v>1762</v>
      </c>
      <c r="G89" s="10" t="s">
        <v>1791</v>
      </c>
      <c r="H89" s="10" t="s">
        <v>1824</v>
      </c>
      <c r="I89" s="1002"/>
    </row>
    <row r="90" spans="1:9">
      <c r="A90" s="14">
        <f t="shared" si="1"/>
        <v>86</v>
      </c>
      <c r="B90" s="10">
        <v>86</v>
      </c>
      <c r="C90" s="661" t="s">
        <v>1262</v>
      </c>
      <c r="D90" s="10" t="str">
        <f>VLOOKUP(C90,Erection!$C$5:$D$307,2,0)</f>
        <v>DA+0</v>
      </c>
      <c r="E90" s="111">
        <v>46192</v>
      </c>
      <c r="F90" s="10" t="s">
        <v>1762</v>
      </c>
      <c r="G90" s="10" t="s">
        <v>1791</v>
      </c>
      <c r="H90" s="10" t="s">
        <v>1824</v>
      </c>
      <c r="I90" s="1002"/>
    </row>
    <row r="91" spans="1:9">
      <c r="A91" s="14">
        <f t="shared" si="1"/>
        <v>87</v>
      </c>
      <c r="B91" s="10">
        <v>87</v>
      </c>
      <c r="C91" s="661" t="s">
        <v>1248</v>
      </c>
      <c r="D91" s="10" t="str">
        <f>VLOOKUP(C91,Erection!$C$5:$D$307,2,0)</f>
        <v>DD45+0</v>
      </c>
      <c r="E91" s="111">
        <v>46192</v>
      </c>
      <c r="F91" s="10" t="s">
        <v>1762</v>
      </c>
      <c r="G91" s="10" t="s">
        <v>1792</v>
      </c>
      <c r="H91" s="10" t="s">
        <v>1824</v>
      </c>
      <c r="I91" s="1002"/>
    </row>
    <row r="92" spans="1:9">
      <c r="A92" s="14">
        <f t="shared" si="1"/>
        <v>88</v>
      </c>
      <c r="B92" s="10">
        <v>88</v>
      </c>
      <c r="C92" s="661" t="s">
        <v>261</v>
      </c>
      <c r="D92" s="10" t="str">
        <f>VLOOKUP(C92,Erection!$C$5:$D$307,2,0)</f>
        <v>DB2+0</v>
      </c>
      <c r="E92" s="111">
        <v>46192</v>
      </c>
      <c r="F92" s="10" t="s">
        <v>1762</v>
      </c>
      <c r="G92" s="10" t="s">
        <v>1765</v>
      </c>
      <c r="H92" s="10" t="s">
        <v>1824</v>
      </c>
      <c r="I92" s="1002"/>
    </row>
    <row r="93" spans="1:9">
      <c r="A93" s="14">
        <f t="shared" si="1"/>
        <v>89</v>
      </c>
      <c r="B93" s="10">
        <v>89</v>
      </c>
      <c r="C93" s="661" t="s">
        <v>1255</v>
      </c>
      <c r="D93" s="10" t="str">
        <f>VLOOKUP(C93,Erection!$C$5:$D$307,2,0)</f>
        <v>DA+6</v>
      </c>
      <c r="E93" s="111">
        <v>46194</v>
      </c>
      <c r="F93" s="10" t="s">
        <v>1762</v>
      </c>
      <c r="G93" s="10" t="s">
        <v>1765</v>
      </c>
      <c r="H93" s="10" t="s">
        <v>1824</v>
      </c>
      <c r="I93" s="1002"/>
    </row>
    <row r="94" spans="1:9">
      <c r="A94" s="14">
        <f t="shared" si="1"/>
        <v>90</v>
      </c>
      <c r="B94" s="10">
        <v>90</v>
      </c>
      <c r="C94" s="661" t="s">
        <v>1254</v>
      </c>
      <c r="D94" s="10" t="str">
        <f>VLOOKUP(C94,Erection!$C$5:$D$307,2,0)</f>
        <v>DA+3</v>
      </c>
      <c r="E94" s="111">
        <v>46194</v>
      </c>
      <c r="F94" s="10" t="s">
        <v>1762</v>
      </c>
      <c r="G94" s="10" t="s">
        <v>1765</v>
      </c>
      <c r="H94" s="10" t="s">
        <v>1824</v>
      </c>
      <c r="I94" s="1002"/>
    </row>
    <row r="95" spans="1:9">
      <c r="A95" s="14">
        <f t="shared" si="1"/>
        <v>91</v>
      </c>
      <c r="B95" s="10">
        <v>91</v>
      </c>
      <c r="C95" s="661" t="s">
        <v>1252</v>
      </c>
      <c r="D95" s="10" t="str">
        <f>VLOOKUP(C95,Erection!$C$5:$D$307,2,0)</f>
        <v>DA+3</v>
      </c>
      <c r="E95" s="111">
        <v>46194</v>
      </c>
      <c r="F95" s="10" t="s">
        <v>1762</v>
      </c>
      <c r="G95" s="10" t="s">
        <v>1765</v>
      </c>
      <c r="H95" s="10" t="s">
        <v>1824</v>
      </c>
      <c r="I95" s="1002"/>
    </row>
    <row r="96" spans="1:9">
      <c r="A96" s="14">
        <f t="shared" si="1"/>
        <v>92</v>
      </c>
      <c r="B96" s="10">
        <v>92</v>
      </c>
      <c r="C96" s="1016" t="s">
        <v>494</v>
      </c>
      <c r="D96" s="10" t="str">
        <f>VLOOKUP(C96,Erection!$C$5:$D$307,2,0)</f>
        <v>DA+3</v>
      </c>
      <c r="E96" s="111">
        <v>46195</v>
      </c>
      <c r="F96" s="10" t="s">
        <v>1762</v>
      </c>
      <c r="G96" s="10" t="s">
        <v>1765</v>
      </c>
      <c r="H96" s="10" t="s">
        <v>1824</v>
      </c>
      <c r="I96" s="1002"/>
    </row>
    <row r="97" spans="1:9">
      <c r="A97" s="14">
        <f t="shared" si="1"/>
        <v>93</v>
      </c>
      <c r="B97" s="10">
        <v>93</v>
      </c>
      <c r="C97" s="661" t="s">
        <v>493</v>
      </c>
      <c r="D97" s="10" t="str">
        <f>VLOOKUP(C97,Erection!$C$5:$D$307,2,0)</f>
        <v>DA+3</v>
      </c>
      <c r="E97" s="111">
        <v>46195</v>
      </c>
      <c r="F97" s="10" t="s">
        <v>1762</v>
      </c>
      <c r="G97" s="10" t="s">
        <v>1765</v>
      </c>
      <c r="H97" s="10" t="s">
        <v>1824</v>
      </c>
      <c r="I97" s="1002"/>
    </row>
    <row r="98" spans="1:9">
      <c r="A98" s="14">
        <f t="shared" si="1"/>
        <v>94</v>
      </c>
      <c r="B98" s="10">
        <v>94</v>
      </c>
      <c r="C98" s="661" t="s">
        <v>492</v>
      </c>
      <c r="D98" s="10" t="str">
        <f>VLOOKUP(C98,Erection!$C$5:$D$307,2,0)</f>
        <v>DA+1.5</v>
      </c>
      <c r="E98" s="111">
        <v>46195</v>
      </c>
      <c r="F98" s="10" t="s">
        <v>1762</v>
      </c>
      <c r="G98" s="10" t="s">
        <v>1765</v>
      </c>
      <c r="H98" s="10" t="s">
        <v>1824</v>
      </c>
      <c r="I98" s="1002"/>
    </row>
    <row r="99" spans="1:9">
      <c r="A99" s="14">
        <f t="shared" si="1"/>
        <v>95</v>
      </c>
      <c r="B99" s="10">
        <v>95</v>
      </c>
      <c r="C99" s="661" t="s">
        <v>491</v>
      </c>
      <c r="D99" s="10" t="str">
        <f>VLOOKUP(C99,Erection!$C$5:$D$307,2,0)</f>
        <v>DB1+6</v>
      </c>
      <c r="E99" s="111">
        <v>46195</v>
      </c>
      <c r="F99" s="10" t="s">
        <v>1762</v>
      </c>
      <c r="G99" s="10" t="s">
        <v>1765</v>
      </c>
      <c r="H99" s="10" t="s">
        <v>1824</v>
      </c>
      <c r="I99" s="1002"/>
    </row>
    <row r="100" spans="1:9">
      <c r="A100" s="14">
        <f t="shared" ref="A100:A104" si="2">A99+1</f>
        <v>96</v>
      </c>
      <c r="B100" s="10">
        <v>96</v>
      </c>
      <c r="C100" s="661" t="s">
        <v>267</v>
      </c>
      <c r="D100" s="10" t="str">
        <f>VLOOKUP(C100,Erection!$C$5:$D$307,2,0)</f>
        <v>DD60+9</v>
      </c>
      <c r="E100" s="111">
        <v>46199</v>
      </c>
      <c r="F100" s="10" t="s">
        <v>1762</v>
      </c>
      <c r="G100" s="10" t="s">
        <v>1765</v>
      </c>
      <c r="H100" s="10" t="s">
        <v>1148</v>
      </c>
      <c r="I100" s="1002"/>
    </row>
    <row r="101" spans="1:9">
      <c r="A101" s="14">
        <f t="shared" si="2"/>
        <v>97</v>
      </c>
      <c r="B101" s="10">
        <v>97</v>
      </c>
      <c r="C101" s="1250" t="s">
        <v>483</v>
      </c>
      <c r="D101" s="10" t="str">
        <f>VLOOKUP(C101,Erection!$C$5:$D$307,2,0)</f>
        <v>DB1+9</v>
      </c>
      <c r="E101" s="111">
        <v>46199</v>
      </c>
      <c r="F101" s="10" t="s">
        <v>1762</v>
      </c>
      <c r="G101" s="10" t="s">
        <v>1765</v>
      </c>
      <c r="H101" s="10" t="s">
        <v>1148</v>
      </c>
      <c r="I101" s="1262"/>
    </row>
    <row r="102" spans="1:9">
      <c r="A102" s="14">
        <f t="shared" si="2"/>
        <v>98</v>
      </c>
      <c r="B102" s="10">
        <v>98</v>
      </c>
      <c r="C102" s="1250" t="s">
        <v>1253</v>
      </c>
      <c r="D102" s="10" t="str">
        <f>VLOOKUP(C102,Erection!$C$5:$D$307,2,0)</f>
        <v>DA+3</v>
      </c>
      <c r="E102" s="111">
        <v>46200</v>
      </c>
      <c r="F102" s="10" t="s">
        <v>1762</v>
      </c>
      <c r="G102" s="10" t="s">
        <v>1792</v>
      </c>
      <c r="H102" s="10" t="s">
        <v>1148</v>
      </c>
      <c r="I102" s="1262"/>
    </row>
    <row r="103" spans="1:9">
      <c r="A103" s="14">
        <f t="shared" si="2"/>
        <v>99</v>
      </c>
      <c r="B103" s="10">
        <v>99</v>
      </c>
      <c r="C103" s="1250" t="s">
        <v>1250</v>
      </c>
      <c r="D103" s="10" t="str">
        <f>VLOOKUP(C103,Erection!$C$5:$D$307,2,0)</f>
        <v>DA+0</v>
      </c>
      <c r="E103" s="111">
        <v>46200</v>
      </c>
      <c r="F103" s="10" t="s">
        <v>1762</v>
      </c>
      <c r="G103" s="10" t="s">
        <v>1792</v>
      </c>
      <c r="H103" s="10" t="s">
        <v>1148</v>
      </c>
      <c r="I103" s="1262"/>
    </row>
    <row r="104" spans="1:9">
      <c r="A104" s="1298">
        <f t="shared" si="2"/>
        <v>100</v>
      </c>
      <c r="B104" s="174">
        <v>100</v>
      </c>
      <c r="C104" s="1288" t="s">
        <v>496</v>
      </c>
      <c r="D104" s="625"/>
      <c r="E104" s="1299"/>
      <c r="F104" s="174"/>
      <c r="G104" s="174"/>
      <c r="H104" s="174" t="s">
        <v>1839</v>
      </c>
      <c r="I104" s="1300"/>
    </row>
    <row r="105" spans="1:9">
      <c r="A105" s="1261"/>
      <c r="B105" s="1246"/>
      <c r="C105" s="1250"/>
      <c r="D105" s="1023"/>
      <c r="E105" s="1251"/>
      <c r="F105" s="1246"/>
      <c r="G105" s="1246"/>
      <c r="H105" s="1246"/>
      <c r="I105" s="1262"/>
    </row>
    <row r="106" spans="1:9">
      <c r="A106" s="1261"/>
      <c r="B106" s="1246"/>
      <c r="C106" s="1250"/>
      <c r="D106" s="1023"/>
      <c r="E106" s="1251"/>
      <c r="F106" s="1246"/>
      <c r="G106" s="1246"/>
      <c r="H106" s="1246"/>
      <c r="I106" s="1262"/>
    </row>
    <row r="107" spans="1:9">
      <c r="A107" s="1261"/>
      <c r="B107" s="1246"/>
      <c r="C107" s="1250"/>
      <c r="D107" s="1023"/>
      <c r="E107" s="1251"/>
      <c r="F107" s="1246"/>
      <c r="G107" s="1246"/>
      <c r="H107" s="1246"/>
      <c r="I107" s="1262"/>
    </row>
    <row r="108" spans="1:9">
      <c r="A108" s="1261"/>
      <c r="B108" s="1246"/>
      <c r="C108" s="1250"/>
      <c r="D108" s="1023"/>
      <c r="E108" s="1251"/>
      <c r="F108" s="1246"/>
      <c r="G108" s="1246"/>
      <c r="H108" s="1246"/>
      <c r="I108" s="1262"/>
    </row>
    <row r="109" spans="1:9">
      <c r="A109" s="1261"/>
      <c r="B109" s="1246"/>
      <c r="C109" s="1250"/>
      <c r="D109" s="1023"/>
      <c r="E109" s="1251"/>
      <c r="F109" s="1246"/>
      <c r="G109" s="1246"/>
      <c r="H109" s="1246"/>
      <c r="I109" s="1262"/>
    </row>
    <row r="110" spans="1:9">
      <c r="A110" s="1261"/>
      <c r="B110" s="1246"/>
      <c r="C110" s="1250"/>
      <c r="D110" s="1023"/>
      <c r="E110" s="1251"/>
      <c r="F110" s="1246"/>
      <c r="G110" s="1246"/>
      <c r="H110" s="1246"/>
      <c r="I110" s="1262"/>
    </row>
    <row r="111" spans="1:9">
      <c r="A111" s="1261"/>
      <c r="B111" s="1246"/>
      <c r="C111" s="1250"/>
      <c r="D111" s="1023"/>
      <c r="E111" s="1251"/>
      <c r="F111" s="1246"/>
      <c r="G111" s="1246"/>
      <c r="H111" s="1246"/>
      <c r="I111" s="1262"/>
    </row>
    <row r="112" spans="1:9">
      <c r="A112" s="1261"/>
      <c r="B112" s="1246"/>
      <c r="C112" s="1250"/>
      <c r="D112" s="1023"/>
      <c r="E112" s="1251"/>
      <c r="F112" s="1246"/>
      <c r="G112" s="1246"/>
      <c r="H112" s="1246"/>
      <c r="I112" s="1262"/>
    </row>
    <row r="113" spans="1:9">
      <c r="A113" s="1261"/>
      <c r="B113" s="1246"/>
      <c r="C113" s="1250"/>
      <c r="D113" s="1023"/>
      <c r="E113" s="1251"/>
      <c r="F113" s="1246"/>
      <c r="G113" s="1246"/>
      <c r="H113" s="1246"/>
      <c r="I113" s="1262"/>
    </row>
    <row r="114" spans="1:9" ht="15" thickBot="1">
      <c r="A114" s="1259"/>
      <c r="B114" s="17"/>
      <c r="C114" s="1143"/>
      <c r="D114" s="1260"/>
      <c r="E114" s="1146"/>
      <c r="F114" s="17"/>
      <c r="G114" s="17"/>
      <c r="H114" s="17"/>
      <c r="I114" s="1147"/>
    </row>
  </sheetData>
  <autoFilter ref="A4:I104" xr:uid="{16DA30C0-ECDA-4A57-9CF7-E2F81BC95CFF}"/>
  <mergeCells count="3">
    <mergeCell ref="A1:I1"/>
    <mergeCell ref="A2:I2"/>
    <mergeCell ref="A3:H3"/>
  </mergeCells>
  <conditionalFormatting sqref="C1:C26 C28:C1048576">
    <cfRule type="duplicateValues" dxfId="117" priority="27"/>
    <cfRule type="duplicateValues" dxfId="116" priority="12"/>
  </conditionalFormatting>
  <conditionalFormatting sqref="C1:C1048576">
    <cfRule type="duplicateValues" dxfId="115" priority="1"/>
    <cfRule type="duplicateValues" dxfId="114" priority="2"/>
  </conditionalFormatting>
  <conditionalFormatting sqref="C5">
    <cfRule type="duplicateValues" dxfId="113" priority="26"/>
  </conditionalFormatting>
  <conditionalFormatting sqref="C28 C13:C26">
    <cfRule type="duplicateValues" dxfId="112" priority="24"/>
    <cfRule type="duplicateValues" dxfId="111" priority="23"/>
    <cfRule type="duplicateValues" dxfId="110" priority="22"/>
    <cfRule type="duplicateValues" dxfId="109" priority="21"/>
    <cfRule type="duplicateValues" dxfId="108" priority="20"/>
    <cfRule type="duplicateValues" dxfId="107" priority="19"/>
  </conditionalFormatting>
  <conditionalFormatting sqref="C29">
    <cfRule type="duplicateValues" dxfId="106" priority="13"/>
    <cfRule type="duplicateValues" dxfId="105" priority="14"/>
    <cfRule type="duplicateValues" dxfId="104" priority="15"/>
    <cfRule type="duplicateValues" dxfId="103" priority="16"/>
    <cfRule type="duplicateValues" dxfId="102" priority="17"/>
    <cfRule type="duplicateValues" dxfId="101" priority="18"/>
  </conditionalFormatting>
  <conditionalFormatting sqref="C29:C65582 C1:C12 C14 C16 C18 C20 C22 C24 J40">
    <cfRule type="expression" dxfId="100" priority="4587" stopIfTrue="1">
      <formula>AND(COUNTIF($C$28:$C$65582, C1)+COUNTIF($C$1:$C$12, C1)&gt;1,NOT(ISBLANK(C1)))</formula>
    </cfRule>
  </conditionalFormatting>
  <conditionalFormatting sqref="C30:C43">
    <cfRule type="duplicateValues" dxfId="99" priority="4502"/>
    <cfRule type="duplicateValues" dxfId="98" priority="4503"/>
    <cfRule type="duplicateValues" dxfId="97" priority="4504"/>
    <cfRule type="duplicateValues" dxfId="96" priority="4505"/>
    <cfRule type="duplicateValues" dxfId="95" priority="4506"/>
    <cfRule type="duplicateValues" dxfId="94" priority="4507"/>
  </conditionalFormatting>
  <conditionalFormatting sqref="C44:C65582">
    <cfRule type="duplicateValues" dxfId="93" priority="4597"/>
  </conditionalFormatting>
  <conditionalFormatting sqref="J40">
    <cfRule type="duplicateValues" dxfId="92" priority="10"/>
    <cfRule type="duplicateValues" dxfId="91" priority="9"/>
    <cfRule type="duplicateValues" dxfId="90" priority="8"/>
    <cfRule type="duplicateValues" dxfId="89" priority="7"/>
    <cfRule type="duplicateValues" dxfId="88" priority="6"/>
    <cfRule type="duplicateValues" dxfId="87" priority="5"/>
    <cfRule type="duplicateValues" dxfId="86" priority="4"/>
    <cfRule type="duplicateValues" dxfId="85" priority="3"/>
  </conditionalFormatting>
  <pageMargins left="0.7" right="0.7" top="0.75" bottom="0.75" header="0.3" footer="0.3"/>
  <pageSetup scale="71" orientation="portrait" verticalDpi="36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3">
    <tabColor theme="4" tint="0.39997558519241921"/>
  </sheetPr>
  <dimension ref="A1:M251"/>
  <sheetViews>
    <sheetView workbookViewId="0">
      <selection activeCell="I246" sqref="I246:I251"/>
    </sheetView>
  </sheetViews>
  <sheetFormatPr defaultColWidth="9.1796875" defaultRowHeight="14.5"/>
  <cols>
    <col min="1" max="1" width="7.1796875" style="13" bestFit="1" customWidth="1"/>
    <col min="2" max="2" width="7.453125" style="13" bestFit="1" customWidth="1"/>
    <col min="3" max="10" width="11.1796875" style="13" customWidth="1"/>
    <col min="11" max="12" width="18.7265625" style="13" customWidth="1"/>
    <col min="13" max="13" width="15.453125" style="13" customWidth="1"/>
    <col min="14" max="16384" width="9.1796875" style="13"/>
  </cols>
  <sheetData>
    <row r="1" spans="1:13" ht="15.5">
      <c r="A1" s="1535" t="s">
        <v>120</v>
      </c>
      <c r="B1" s="1536"/>
      <c r="C1" s="1536"/>
      <c r="D1" s="1536"/>
      <c r="E1" s="1536"/>
      <c r="F1" s="1536"/>
      <c r="G1" s="1536"/>
      <c r="H1" s="1536"/>
      <c r="I1" s="1536"/>
      <c r="J1" s="1536"/>
      <c r="K1" s="1536"/>
      <c r="L1" s="1536"/>
      <c r="M1" s="1537"/>
    </row>
    <row r="2" spans="1:13" ht="15.5">
      <c r="A2" s="1582" t="str">
        <f>TA413_PBNTL!A1</f>
        <v xml:space="preserve"> TA413 : 765 KV D/C Bikaner III - Neemrana II TL02</v>
      </c>
      <c r="B2" s="1583"/>
      <c r="C2" s="1583"/>
      <c r="D2" s="1583"/>
      <c r="E2" s="1583"/>
      <c r="F2" s="1583"/>
      <c r="G2" s="1583"/>
      <c r="H2" s="1583"/>
      <c r="I2" s="1583"/>
      <c r="J2" s="1583"/>
      <c r="K2" s="1583"/>
      <c r="L2" s="1583"/>
      <c r="M2" s="1604"/>
    </row>
    <row r="3" spans="1:13" ht="16" thickBot="1">
      <c r="A3" s="1605" t="s">
        <v>116</v>
      </c>
      <c r="B3" s="1606"/>
      <c r="C3" s="1606"/>
      <c r="D3" s="1606"/>
      <c r="E3" s="1606"/>
      <c r="F3" s="1606"/>
      <c r="G3" s="1606"/>
      <c r="H3" s="1606"/>
      <c r="I3" s="1606"/>
      <c r="J3" s="1606"/>
      <c r="K3" s="1606"/>
      <c r="L3" s="1606"/>
      <c r="M3" s="63" t="str">
        <f>TA413_PBNTL!M1</f>
        <v>17.07.2026</v>
      </c>
    </row>
    <row r="4" spans="1:13" ht="43.5">
      <c r="A4" s="1280" t="s">
        <v>41</v>
      </c>
      <c r="B4" s="1281" t="s">
        <v>42</v>
      </c>
      <c r="C4" s="1282" t="s">
        <v>43</v>
      </c>
      <c r="D4" s="1281" t="s">
        <v>44</v>
      </c>
      <c r="E4" s="1283" t="s">
        <v>115</v>
      </c>
      <c r="F4" s="1283" t="s">
        <v>111</v>
      </c>
      <c r="G4" s="1283" t="s">
        <v>117</v>
      </c>
      <c r="H4" s="1283" t="s">
        <v>118</v>
      </c>
      <c r="I4" s="1283" t="s">
        <v>1828</v>
      </c>
      <c r="J4" s="1283" t="s">
        <v>119</v>
      </c>
      <c r="K4" s="1284" t="s">
        <v>87</v>
      </c>
      <c r="L4" s="1281" t="s">
        <v>48</v>
      </c>
      <c r="M4" s="1285" t="s">
        <v>1</v>
      </c>
    </row>
    <row r="5" spans="1:13" ht="15.5">
      <c r="A5" s="10">
        <v>1</v>
      </c>
      <c r="B5" s="10">
        <v>1</v>
      </c>
      <c r="C5" s="908" t="s">
        <v>268</v>
      </c>
      <c r="D5" s="1287" t="str">
        <f>VLOOKUP(C5,Erection!$C$5:$D$311,2,0)</f>
        <v>DD60+0</v>
      </c>
      <c r="E5" s="10" t="s">
        <v>1827</v>
      </c>
      <c r="F5" s="10" t="s">
        <v>1827</v>
      </c>
      <c r="G5" s="10" t="s">
        <v>1827</v>
      </c>
      <c r="H5" s="10" t="s">
        <v>1827</v>
      </c>
      <c r="I5" s="111">
        <v>46189</v>
      </c>
      <c r="J5" s="10"/>
      <c r="K5" s="10" t="s">
        <v>1006</v>
      </c>
      <c r="L5" s="10"/>
      <c r="M5" s="1286"/>
    </row>
    <row r="6" spans="1:13" ht="15.5">
      <c r="A6" s="10">
        <v>2</v>
      </c>
      <c r="B6" s="10">
        <v>2</v>
      </c>
      <c r="C6" s="737" t="s">
        <v>1248</v>
      </c>
      <c r="D6" s="1287" t="str">
        <f>VLOOKUP(C6,Erection!$C$5:$D$311,2,0)</f>
        <v>DD45+0</v>
      </c>
      <c r="E6" s="10"/>
      <c r="F6" s="10"/>
      <c r="G6" s="10"/>
      <c r="H6" s="10"/>
      <c r="I6" s="10"/>
      <c r="J6" s="10"/>
      <c r="K6" s="10"/>
      <c r="L6" s="10"/>
      <c r="M6" s="1107" t="s">
        <v>1826</v>
      </c>
    </row>
    <row r="7" spans="1:13" ht="15.5">
      <c r="A7" s="10">
        <v>3</v>
      </c>
      <c r="B7" s="10">
        <v>3</v>
      </c>
      <c r="C7" s="908" t="s">
        <v>1250</v>
      </c>
      <c r="D7" s="1287" t="str">
        <f>VLOOKUP(C7,Erection!$C$5:$D$311,2,0)</f>
        <v>DA+0</v>
      </c>
      <c r="E7" s="10" t="s">
        <v>1827</v>
      </c>
      <c r="F7" s="10" t="s">
        <v>1827</v>
      </c>
      <c r="G7" s="10" t="s">
        <v>1827</v>
      </c>
      <c r="H7" s="10" t="s">
        <v>1827</v>
      </c>
      <c r="I7" s="111">
        <v>46189</v>
      </c>
      <c r="J7" s="10"/>
      <c r="K7" s="10" t="s">
        <v>1006</v>
      </c>
      <c r="L7" s="10"/>
      <c r="M7" s="1286"/>
    </row>
    <row r="8" spans="1:13" ht="15.5">
      <c r="A8" s="10">
        <v>4</v>
      </c>
      <c r="B8" s="10">
        <v>4</v>
      </c>
      <c r="C8" s="908" t="s">
        <v>1251</v>
      </c>
      <c r="D8" s="1287" t="str">
        <f>VLOOKUP(C8,Erection!$C$5:$D$311,2,0)</f>
        <v>DA+3</v>
      </c>
      <c r="E8" s="10" t="s">
        <v>1827</v>
      </c>
      <c r="F8" s="10" t="s">
        <v>1827</v>
      </c>
      <c r="G8" s="10" t="s">
        <v>1827</v>
      </c>
      <c r="H8" s="10" t="s">
        <v>1827</v>
      </c>
      <c r="I8" s="111">
        <v>46189</v>
      </c>
      <c r="J8" s="10"/>
      <c r="K8" s="10" t="s">
        <v>1006</v>
      </c>
      <c r="L8" s="10"/>
      <c r="M8" s="1286"/>
    </row>
    <row r="9" spans="1:13" ht="15.5">
      <c r="A9" s="10">
        <v>5</v>
      </c>
      <c r="B9" s="10">
        <v>5</v>
      </c>
      <c r="C9" s="908" t="s">
        <v>1252</v>
      </c>
      <c r="D9" s="1287" t="str">
        <f>VLOOKUP(C9,Erection!$C$5:$D$311,2,0)</f>
        <v>DA+3</v>
      </c>
      <c r="E9" s="10" t="s">
        <v>1827</v>
      </c>
      <c r="F9" s="10" t="s">
        <v>1827</v>
      </c>
      <c r="G9" s="10" t="s">
        <v>1827</v>
      </c>
      <c r="H9" s="10" t="s">
        <v>1827</v>
      </c>
      <c r="I9" s="111">
        <v>46189</v>
      </c>
      <c r="J9" s="10"/>
      <c r="K9" s="10" t="s">
        <v>1006</v>
      </c>
      <c r="L9" s="10"/>
      <c r="M9" s="1286"/>
    </row>
    <row r="10" spans="1:13" ht="15.5">
      <c r="A10" s="10">
        <v>6</v>
      </c>
      <c r="B10" s="10">
        <v>6</v>
      </c>
      <c r="C10" s="908" t="s">
        <v>1253</v>
      </c>
      <c r="D10" s="1287" t="str">
        <f>VLOOKUP(C10,Erection!$C$5:$D$311,2,0)</f>
        <v>DA+3</v>
      </c>
      <c r="E10" s="10" t="s">
        <v>1827</v>
      </c>
      <c r="F10" s="10" t="s">
        <v>1827</v>
      </c>
      <c r="G10" s="10" t="s">
        <v>1827</v>
      </c>
      <c r="H10" s="10" t="s">
        <v>1827</v>
      </c>
      <c r="I10" s="111">
        <v>46189</v>
      </c>
      <c r="J10" s="10"/>
      <c r="K10" s="10" t="s">
        <v>1006</v>
      </c>
      <c r="L10" s="10"/>
      <c r="M10" s="1286"/>
    </row>
    <row r="11" spans="1:13" ht="15.5">
      <c r="A11" s="10">
        <v>7</v>
      </c>
      <c r="B11" s="10">
        <v>7</v>
      </c>
      <c r="C11" s="908" t="s">
        <v>1254</v>
      </c>
      <c r="D11" s="1287" t="str">
        <f>VLOOKUP(C11,Erection!$C$5:$D$311,2,0)</f>
        <v>DA+3</v>
      </c>
      <c r="E11" s="10" t="s">
        <v>1827</v>
      </c>
      <c r="F11" s="10" t="s">
        <v>1827</v>
      </c>
      <c r="G11" s="10" t="s">
        <v>1827</v>
      </c>
      <c r="H11" s="10" t="s">
        <v>1827</v>
      </c>
      <c r="I11" s="111">
        <v>46189</v>
      </c>
      <c r="J11" s="10"/>
      <c r="K11" s="10" t="s">
        <v>1006</v>
      </c>
      <c r="L11" s="10"/>
      <c r="M11" s="1286"/>
    </row>
    <row r="12" spans="1:13" ht="15.5">
      <c r="A12" s="10">
        <v>8</v>
      </c>
      <c r="B12" s="10">
        <v>8</v>
      </c>
      <c r="C12" s="908" t="s">
        <v>1255</v>
      </c>
      <c r="D12" s="1287" t="str">
        <f>VLOOKUP(C12,Erection!$C$5:$D$311,2,0)</f>
        <v>DA+6</v>
      </c>
      <c r="E12" s="10" t="s">
        <v>1827</v>
      </c>
      <c r="F12" s="10" t="s">
        <v>1827</v>
      </c>
      <c r="G12" s="10" t="s">
        <v>1827</v>
      </c>
      <c r="H12" s="10" t="s">
        <v>1827</v>
      </c>
      <c r="I12" s="111">
        <v>46189</v>
      </c>
      <c r="J12" s="10"/>
      <c r="K12" s="10" t="s">
        <v>1006</v>
      </c>
      <c r="L12" s="10"/>
      <c r="M12" s="1286"/>
    </row>
    <row r="13" spans="1:13" ht="15.5">
      <c r="A13" s="10">
        <v>9</v>
      </c>
      <c r="B13" s="10">
        <v>9</v>
      </c>
      <c r="C13" s="908" t="s">
        <v>1256</v>
      </c>
      <c r="D13" s="1287" t="str">
        <f>VLOOKUP(C13,Erection!$C$5:$D$311,2,0)</f>
        <v>DD45+3</v>
      </c>
      <c r="E13" s="10" t="s">
        <v>1827</v>
      </c>
      <c r="F13" s="10" t="s">
        <v>1827</v>
      </c>
      <c r="G13" s="10" t="s">
        <v>1827</v>
      </c>
      <c r="H13" s="10" t="s">
        <v>1827</v>
      </c>
      <c r="I13" s="111">
        <v>46189</v>
      </c>
      <c r="J13" s="10"/>
      <c r="K13" s="10" t="s">
        <v>1006</v>
      </c>
      <c r="L13" s="10"/>
      <c r="M13" s="1286"/>
    </row>
    <row r="14" spans="1:13" ht="15.5">
      <c r="A14" s="10">
        <v>10</v>
      </c>
      <c r="B14" s="10">
        <v>10</v>
      </c>
      <c r="C14" s="908" t="s">
        <v>1257</v>
      </c>
      <c r="D14" s="1287" t="str">
        <f>VLOOKUP(C14,Erection!$C$5:$D$311,2,0)</f>
        <v>DA+3</v>
      </c>
      <c r="E14" s="10" t="s">
        <v>1827</v>
      </c>
      <c r="F14" s="10" t="s">
        <v>1827</v>
      </c>
      <c r="G14" s="10" t="s">
        <v>1827</v>
      </c>
      <c r="H14" s="10" t="s">
        <v>1827</v>
      </c>
      <c r="I14" s="111">
        <v>46189</v>
      </c>
      <c r="J14" s="10"/>
      <c r="K14" s="10" t="s">
        <v>1006</v>
      </c>
      <c r="L14" s="10"/>
      <c r="M14" s="1286"/>
    </row>
    <row r="15" spans="1:13" ht="15.5">
      <c r="A15" s="10">
        <v>11</v>
      </c>
      <c r="B15" s="10">
        <v>11</v>
      </c>
      <c r="C15" s="908" t="s">
        <v>1258</v>
      </c>
      <c r="D15" s="1287" t="str">
        <f>VLOOKUP(C15,Erection!$C$5:$D$311,2,0)</f>
        <v>DA+3</v>
      </c>
      <c r="E15" s="10" t="s">
        <v>1827</v>
      </c>
      <c r="F15" s="10" t="s">
        <v>1827</v>
      </c>
      <c r="G15" s="10" t="s">
        <v>1827</v>
      </c>
      <c r="H15" s="10" t="s">
        <v>1827</v>
      </c>
      <c r="I15" s="111">
        <v>46189</v>
      </c>
      <c r="J15" s="10"/>
      <c r="K15" s="10" t="s">
        <v>1006</v>
      </c>
      <c r="L15" s="10"/>
      <c r="M15" s="10"/>
    </row>
    <row r="16" spans="1:13" ht="15.5">
      <c r="A16" s="10">
        <v>12</v>
      </c>
      <c r="B16" s="10">
        <v>12</v>
      </c>
      <c r="C16" s="908" t="s">
        <v>1259</v>
      </c>
      <c r="D16" s="1287" t="str">
        <f>VLOOKUP(C16,Erection!$C$5:$D$311,2,0)</f>
        <v>DA+0</v>
      </c>
      <c r="E16" s="10" t="s">
        <v>1827</v>
      </c>
      <c r="F16" s="10" t="s">
        <v>1827</v>
      </c>
      <c r="G16" s="10" t="s">
        <v>1827</v>
      </c>
      <c r="H16" s="10" t="s">
        <v>1827</v>
      </c>
      <c r="I16" s="111">
        <v>46189</v>
      </c>
      <c r="J16" s="10"/>
      <c r="K16" s="10" t="s">
        <v>1006</v>
      </c>
      <c r="L16" s="10"/>
      <c r="M16" s="10"/>
    </row>
    <row r="17" spans="1:13" ht="15.5">
      <c r="A17" s="10">
        <v>13</v>
      </c>
      <c r="B17" s="10">
        <v>13</v>
      </c>
      <c r="C17" s="908" t="s">
        <v>1260</v>
      </c>
      <c r="D17" s="1287" t="str">
        <f>VLOOKUP(C17,Erection!$C$5:$D$311,2,0)</f>
        <v>DA+0</v>
      </c>
      <c r="E17" s="10" t="s">
        <v>1827</v>
      </c>
      <c r="F17" s="10" t="s">
        <v>1827</v>
      </c>
      <c r="G17" s="10" t="s">
        <v>1827</v>
      </c>
      <c r="H17" s="10" t="s">
        <v>1827</v>
      </c>
      <c r="I17" s="111">
        <v>46189</v>
      </c>
      <c r="J17" s="10"/>
      <c r="K17" s="10" t="s">
        <v>1006</v>
      </c>
      <c r="L17" s="10"/>
      <c r="M17" s="10"/>
    </row>
    <row r="18" spans="1:13" ht="15.5">
      <c r="A18" s="10">
        <v>14</v>
      </c>
      <c r="B18" s="10">
        <v>14</v>
      </c>
      <c r="C18" s="908" t="s">
        <v>1261</v>
      </c>
      <c r="D18" s="1287" t="str">
        <f>VLOOKUP(C18,Erection!$C$5:$D$311,2,0)</f>
        <v>DA+3</v>
      </c>
      <c r="E18" s="10" t="s">
        <v>1827</v>
      </c>
      <c r="F18" s="10" t="s">
        <v>1827</v>
      </c>
      <c r="G18" s="10" t="s">
        <v>1827</v>
      </c>
      <c r="H18" s="10" t="s">
        <v>1827</v>
      </c>
      <c r="I18" s="111">
        <v>46189</v>
      </c>
      <c r="J18" s="10"/>
      <c r="K18" s="10" t="s">
        <v>1006</v>
      </c>
      <c r="L18" s="10"/>
      <c r="M18" s="10"/>
    </row>
    <row r="19" spans="1:13" ht="15.5">
      <c r="A19" s="10">
        <v>15</v>
      </c>
      <c r="B19" s="10">
        <v>15</v>
      </c>
      <c r="C19" s="908" t="s">
        <v>1262</v>
      </c>
      <c r="D19" s="1287" t="str">
        <f>VLOOKUP(C19,Erection!$C$5:$D$311,2,0)</f>
        <v>DA+0</v>
      </c>
      <c r="E19" s="10" t="s">
        <v>1827</v>
      </c>
      <c r="F19" s="10" t="s">
        <v>1827</v>
      </c>
      <c r="G19" s="10" t="s">
        <v>1827</v>
      </c>
      <c r="H19" s="10" t="s">
        <v>1827</v>
      </c>
      <c r="I19" s="111">
        <v>46189</v>
      </c>
      <c r="J19" s="10"/>
      <c r="K19" s="10" t="s">
        <v>1006</v>
      </c>
      <c r="L19" s="10"/>
      <c r="M19" s="10"/>
    </row>
    <row r="20" spans="1:13" ht="15.5">
      <c r="A20" s="10">
        <v>16</v>
      </c>
      <c r="B20" s="10">
        <v>16</v>
      </c>
      <c r="C20" s="908" t="s">
        <v>1263</v>
      </c>
      <c r="D20" s="1287" t="str">
        <f>VLOOKUP(C20,Erection!$C$5:$D$311,2,0)</f>
        <v>DB1+9</v>
      </c>
      <c r="E20" s="10"/>
      <c r="F20" s="10"/>
      <c r="G20" s="10"/>
      <c r="H20" s="10"/>
      <c r="I20" s="111"/>
      <c r="J20" s="10"/>
      <c r="K20" s="10"/>
      <c r="L20" s="10"/>
      <c r="M20" s="1107" t="s">
        <v>1826</v>
      </c>
    </row>
    <row r="21" spans="1:13" ht="15.5">
      <c r="A21" s="10">
        <v>17</v>
      </c>
      <c r="B21" s="10">
        <v>17</v>
      </c>
      <c r="C21" s="908" t="s">
        <v>1264</v>
      </c>
      <c r="D21" s="1287" t="str">
        <f>VLOOKUP(C21,Erection!$C$5:$D$311,2,0)</f>
        <v>DA+3</v>
      </c>
      <c r="E21" s="10" t="s">
        <v>1827</v>
      </c>
      <c r="F21" s="10" t="s">
        <v>1827</v>
      </c>
      <c r="G21" s="10" t="s">
        <v>1827</v>
      </c>
      <c r="H21" s="10" t="s">
        <v>1827</v>
      </c>
      <c r="I21" s="111">
        <v>46190</v>
      </c>
      <c r="J21" s="10"/>
      <c r="K21" s="10" t="s">
        <v>1006</v>
      </c>
      <c r="L21" s="10"/>
      <c r="M21" s="10"/>
    </row>
    <row r="22" spans="1:13" ht="15.5">
      <c r="A22" s="10">
        <v>18</v>
      </c>
      <c r="B22" s="10">
        <v>18</v>
      </c>
      <c r="C22" s="908" t="s">
        <v>1265</v>
      </c>
      <c r="D22" s="1287" t="str">
        <f>VLOOKUP(C22,Erection!$C$5:$D$311,2,0)</f>
        <v>DA+9</v>
      </c>
      <c r="E22" s="10"/>
      <c r="F22" s="10"/>
      <c r="G22" s="10"/>
      <c r="H22" s="10"/>
      <c r="I22" s="111"/>
      <c r="J22" s="10"/>
      <c r="K22" s="10"/>
      <c r="L22" s="10"/>
      <c r="M22" s="10" t="s">
        <v>1826</v>
      </c>
    </row>
    <row r="23" spans="1:13" ht="15.5">
      <c r="A23" s="10">
        <v>19</v>
      </c>
      <c r="B23" s="10">
        <v>19</v>
      </c>
      <c r="C23" s="908" t="s">
        <v>1266</v>
      </c>
      <c r="D23" s="1287" t="str">
        <f>VLOOKUP(C23,Erection!$C$5:$D$311,2,0)</f>
        <v>DA+6</v>
      </c>
      <c r="E23" s="10" t="s">
        <v>1827</v>
      </c>
      <c r="F23" s="10" t="s">
        <v>1827</v>
      </c>
      <c r="G23" s="10" t="s">
        <v>1827</v>
      </c>
      <c r="H23" s="10" t="s">
        <v>1827</v>
      </c>
      <c r="I23" s="111">
        <v>46190</v>
      </c>
      <c r="J23" s="10"/>
      <c r="K23" s="10" t="s">
        <v>1006</v>
      </c>
      <c r="L23" s="10"/>
      <c r="M23" s="10"/>
    </row>
    <row r="24" spans="1:13" ht="15.5">
      <c r="A24" s="10">
        <v>20</v>
      </c>
      <c r="B24" s="10">
        <v>20</v>
      </c>
      <c r="C24" s="908" t="s">
        <v>256</v>
      </c>
      <c r="D24" s="1287" t="str">
        <f>VLOOKUP(C24,Erection!$C$5:$D$311,2,0)</f>
        <v>DB2+9</v>
      </c>
      <c r="E24" s="10" t="s">
        <v>1827</v>
      </c>
      <c r="F24" s="10" t="s">
        <v>1827</v>
      </c>
      <c r="G24" s="10" t="s">
        <v>1827</v>
      </c>
      <c r="H24" s="10" t="s">
        <v>1827</v>
      </c>
      <c r="I24" s="111">
        <v>46190</v>
      </c>
      <c r="J24" s="10"/>
      <c r="K24" s="10" t="s">
        <v>1006</v>
      </c>
      <c r="L24" s="10"/>
      <c r="M24" s="10"/>
    </row>
    <row r="25" spans="1:13" ht="15.5">
      <c r="A25" s="10">
        <v>21</v>
      </c>
      <c r="B25" s="10">
        <v>21</v>
      </c>
      <c r="C25" s="908" t="s">
        <v>452</v>
      </c>
      <c r="D25" s="1287" t="str">
        <f>VLOOKUP(C25,Erection!$C$5:$D$311,2,0)</f>
        <v>DA+6</v>
      </c>
      <c r="E25" s="10" t="s">
        <v>1827</v>
      </c>
      <c r="F25" s="10" t="s">
        <v>1827</v>
      </c>
      <c r="G25" s="10" t="s">
        <v>1827</v>
      </c>
      <c r="H25" s="10" t="s">
        <v>1827</v>
      </c>
      <c r="I25" s="111">
        <v>46190</v>
      </c>
      <c r="J25" s="10"/>
      <c r="K25" s="10" t="s">
        <v>1006</v>
      </c>
      <c r="L25" s="10"/>
      <c r="M25" s="10"/>
    </row>
    <row r="26" spans="1:13" ht="15.5">
      <c r="A26" s="10">
        <v>22</v>
      </c>
      <c r="B26" s="10">
        <v>22</v>
      </c>
      <c r="C26" s="908" t="s">
        <v>890</v>
      </c>
      <c r="D26" s="1287" t="str">
        <f>VLOOKUP(C26,Erection!$C$5:$D$311,2,0)</f>
        <v>DB1+3</v>
      </c>
      <c r="E26" s="10" t="s">
        <v>1827</v>
      </c>
      <c r="F26" s="10" t="s">
        <v>1827</v>
      </c>
      <c r="G26" s="10" t="s">
        <v>1827</v>
      </c>
      <c r="H26" s="10" t="s">
        <v>1827</v>
      </c>
      <c r="I26" s="111">
        <v>46190</v>
      </c>
      <c r="J26" s="10"/>
      <c r="K26" s="10" t="s">
        <v>1006</v>
      </c>
      <c r="L26" s="10"/>
      <c r="M26" s="10"/>
    </row>
    <row r="27" spans="1:13" ht="15.5">
      <c r="A27" s="10">
        <v>23</v>
      </c>
      <c r="B27" s="10">
        <v>23</v>
      </c>
      <c r="C27" s="908" t="s">
        <v>891</v>
      </c>
      <c r="D27" s="1287" t="str">
        <f>VLOOKUP(C27,Erection!$C$5:$D$311,2,0)</f>
        <v>DA+6</v>
      </c>
      <c r="E27" s="10" t="s">
        <v>1827</v>
      </c>
      <c r="F27" s="10" t="s">
        <v>1827</v>
      </c>
      <c r="G27" s="10" t="s">
        <v>1827</v>
      </c>
      <c r="H27" s="10" t="s">
        <v>1827</v>
      </c>
      <c r="I27" s="111">
        <v>46190</v>
      </c>
      <c r="J27" s="10"/>
      <c r="K27" s="10" t="s">
        <v>1006</v>
      </c>
      <c r="L27" s="10"/>
      <c r="M27" s="10"/>
    </row>
    <row r="28" spans="1:13" ht="15.5">
      <c r="A28" s="10">
        <v>24</v>
      </c>
      <c r="B28" s="10">
        <v>24</v>
      </c>
      <c r="C28" s="908" t="s">
        <v>892</v>
      </c>
      <c r="D28" s="1287" t="str">
        <f>VLOOKUP(C28,Erection!$C$5:$D$311,2,0)</f>
        <v>DA+6</v>
      </c>
      <c r="E28" s="10" t="s">
        <v>1827</v>
      </c>
      <c r="F28" s="10" t="s">
        <v>1827</v>
      </c>
      <c r="G28" s="10" t="s">
        <v>1827</v>
      </c>
      <c r="H28" s="10" t="s">
        <v>1827</v>
      </c>
      <c r="I28" s="111">
        <v>46190</v>
      </c>
      <c r="J28" s="10"/>
      <c r="K28" s="10" t="s">
        <v>1006</v>
      </c>
      <c r="L28" s="10"/>
      <c r="M28" s="10"/>
    </row>
    <row r="29" spans="1:13" ht="15.5">
      <c r="A29" s="10">
        <v>25</v>
      </c>
      <c r="B29" s="10">
        <v>25</v>
      </c>
      <c r="C29" s="908" t="s">
        <v>893</v>
      </c>
      <c r="D29" s="1287" t="str">
        <f>VLOOKUP(C29,Erection!$C$5:$D$311,2,0)</f>
        <v>DA+9</v>
      </c>
      <c r="E29" s="10" t="s">
        <v>1827</v>
      </c>
      <c r="F29" s="10" t="s">
        <v>1827</v>
      </c>
      <c r="G29" s="10" t="s">
        <v>1827</v>
      </c>
      <c r="H29" s="10" t="s">
        <v>1827</v>
      </c>
      <c r="I29" s="111">
        <v>46190</v>
      </c>
      <c r="J29" s="10"/>
      <c r="K29" s="10" t="s">
        <v>1006</v>
      </c>
      <c r="L29" s="10"/>
      <c r="M29" s="10"/>
    </row>
    <row r="30" spans="1:13" ht="15.5">
      <c r="A30" s="10">
        <v>26</v>
      </c>
      <c r="B30" s="10">
        <v>26</v>
      </c>
      <c r="C30" s="908" t="s">
        <v>894</v>
      </c>
      <c r="D30" s="1287" t="str">
        <f>VLOOKUP(C30,Erection!$C$5:$D$311,2,0)</f>
        <v>DA+6</v>
      </c>
      <c r="E30" s="10" t="s">
        <v>1827</v>
      </c>
      <c r="F30" s="10" t="s">
        <v>1827</v>
      </c>
      <c r="G30" s="10" t="s">
        <v>1827</v>
      </c>
      <c r="H30" s="10" t="s">
        <v>1827</v>
      </c>
      <c r="I30" s="111">
        <v>46190</v>
      </c>
      <c r="J30" s="10"/>
      <c r="K30" s="10" t="s">
        <v>1006</v>
      </c>
      <c r="L30" s="10"/>
      <c r="M30" s="10"/>
    </row>
    <row r="31" spans="1:13" ht="15.5">
      <c r="A31" s="10">
        <v>27</v>
      </c>
      <c r="B31" s="10">
        <v>27</v>
      </c>
      <c r="C31" s="908" t="s">
        <v>895</v>
      </c>
      <c r="D31" s="1287" t="str">
        <f>VLOOKUP(C31,Erection!$C$5:$D$311,2,0)</f>
        <v>DA+9</v>
      </c>
      <c r="E31" s="10" t="s">
        <v>1827</v>
      </c>
      <c r="F31" s="10" t="s">
        <v>1827</v>
      </c>
      <c r="G31" s="10" t="s">
        <v>1827</v>
      </c>
      <c r="H31" s="10" t="s">
        <v>1827</v>
      </c>
      <c r="I31" s="111">
        <v>46190</v>
      </c>
      <c r="J31" s="10"/>
      <c r="K31" s="10" t="s">
        <v>1006</v>
      </c>
      <c r="L31" s="10"/>
      <c r="M31" s="10"/>
    </row>
    <row r="32" spans="1:13" ht="15.5">
      <c r="A32" s="10">
        <v>28</v>
      </c>
      <c r="B32" s="10">
        <v>28</v>
      </c>
      <c r="C32" s="908" t="s">
        <v>896</v>
      </c>
      <c r="D32" s="1287" t="str">
        <f>VLOOKUP(C32,Erection!$C$5:$D$311,2,0)</f>
        <v>DA+9</v>
      </c>
      <c r="E32" s="10" t="s">
        <v>1827</v>
      </c>
      <c r="F32" s="10" t="s">
        <v>1827</v>
      </c>
      <c r="G32" s="10" t="s">
        <v>1827</v>
      </c>
      <c r="H32" s="10" t="s">
        <v>1827</v>
      </c>
      <c r="I32" s="111">
        <v>46190</v>
      </c>
      <c r="J32" s="10"/>
      <c r="K32" s="10" t="s">
        <v>1006</v>
      </c>
      <c r="L32" s="10"/>
      <c r="M32" s="10"/>
    </row>
    <row r="33" spans="1:13" ht="15.5">
      <c r="A33" s="10">
        <v>29</v>
      </c>
      <c r="B33" s="10">
        <v>29</v>
      </c>
      <c r="C33" s="908" t="s">
        <v>257</v>
      </c>
      <c r="D33" s="1287" t="str">
        <f>VLOOKUP(C33,Erection!$C$5:$D$311,2,0)</f>
        <v>DB1+6</v>
      </c>
      <c r="E33" s="10" t="s">
        <v>1827</v>
      </c>
      <c r="F33" s="10" t="s">
        <v>1827</v>
      </c>
      <c r="G33" s="10" t="s">
        <v>1827</v>
      </c>
      <c r="H33" s="10" t="s">
        <v>1827</v>
      </c>
      <c r="I33" s="111">
        <v>46190</v>
      </c>
      <c r="J33" s="10"/>
      <c r="K33" s="10" t="s">
        <v>1006</v>
      </c>
      <c r="L33" s="10"/>
      <c r="M33" s="10"/>
    </row>
    <row r="34" spans="1:13" ht="15.5">
      <c r="A34" s="10">
        <v>30</v>
      </c>
      <c r="B34" s="10">
        <v>30</v>
      </c>
      <c r="C34" s="908" t="s">
        <v>457</v>
      </c>
      <c r="D34" s="1287" t="str">
        <f>VLOOKUP(C34,Erection!$C$5:$D$311,2,0)</f>
        <v>DA+6</v>
      </c>
      <c r="E34" s="10" t="s">
        <v>1827</v>
      </c>
      <c r="F34" s="10" t="s">
        <v>1827</v>
      </c>
      <c r="G34" s="10" t="s">
        <v>1827</v>
      </c>
      <c r="H34" s="10" t="s">
        <v>1827</v>
      </c>
      <c r="I34" s="111">
        <v>46190</v>
      </c>
      <c r="J34" s="10"/>
      <c r="K34" s="10" t="s">
        <v>1006</v>
      </c>
      <c r="L34" s="10"/>
      <c r="M34" s="10"/>
    </row>
    <row r="35" spans="1:13" ht="15.5">
      <c r="A35" s="10">
        <v>31</v>
      </c>
      <c r="B35" s="10">
        <v>31</v>
      </c>
      <c r="C35" s="908" t="s">
        <v>458</v>
      </c>
      <c r="D35" s="1287" t="str">
        <f>VLOOKUP(C35,Erection!$C$5:$D$311,2,0)</f>
        <v>DA+9</v>
      </c>
      <c r="E35" s="10" t="s">
        <v>1827</v>
      </c>
      <c r="F35" s="10" t="s">
        <v>1827</v>
      </c>
      <c r="G35" s="10" t="s">
        <v>1827</v>
      </c>
      <c r="H35" s="10" t="s">
        <v>1827</v>
      </c>
      <c r="I35" s="111">
        <v>46190</v>
      </c>
      <c r="J35" s="10"/>
      <c r="K35" s="10" t="s">
        <v>1006</v>
      </c>
      <c r="L35" s="10"/>
      <c r="M35" s="10"/>
    </row>
    <row r="36" spans="1:13" ht="15.5">
      <c r="A36" s="10">
        <v>32</v>
      </c>
      <c r="B36" s="10">
        <v>32</v>
      </c>
      <c r="C36" s="908" t="s">
        <v>459</v>
      </c>
      <c r="D36" s="1287" t="str">
        <f>VLOOKUP(C36,Erection!$C$5:$D$311,2,0)</f>
        <v>DA+9</v>
      </c>
      <c r="E36" s="10" t="s">
        <v>1827</v>
      </c>
      <c r="F36" s="10" t="s">
        <v>1827</v>
      </c>
      <c r="G36" s="10" t="s">
        <v>1827</v>
      </c>
      <c r="H36" s="10" t="s">
        <v>1827</v>
      </c>
      <c r="I36" s="111">
        <v>46190</v>
      </c>
      <c r="J36" s="10"/>
      <c r="K36" s="10" t="s">
        <v>1006</v>
      </c>
      <c r="L36" s="10"/>
      <c r="M36" s="10"/>
    </row>
    <row r="37" spans="1:13" ht="15.5">
      <c r="A37" s="10">
        <v>33</v>
      </c>
      <c r="B37" s="10">
        <v>33</v>
      </c>
      <c r="C37" s="908" t="s">
        <v>460</v>
      </c>
      <c r="D37" s="1287" t="str">
        <f>VLOOKUP(C37,Erection!$C$5:$D$311,2,0)</f>
        <v>DA-1.5</v>
      </c>
      <c r="E37" s="10" t="s">
        <v>1827</v>
      </c>
      <c r="F37" s="10" t="s">
        <v>1827</v>
      </c>
      <c r="G37" s="10" t="s">
        <v>1827</v>
      </c>
      <c r="H37" s="10" t="s">
        <v>1827</v>
      </c>
      <c r="I37" s="111">
        <v>46190</v>
      </c>
      <c r="J37" s="10"/>
      <c r="K37" s="10" t="s">
        <v>1006</v>
      </c>
      <c r="L37" s="10"/>
      <c r="M37" s="10"/>
    </row>
    <row r="38" spans="1:13" ht="15.5">
      <c r="A38" s="10">
        <v>34</v>
      </c>
      <c r="B38" s="10">
        <v>34</v>
      </c>
      <c r="C38" s="908" t="s">
        <v>461</v>
      </c>
      <c r="D38" s="1287" t="str">
        <f>VLOOKUP(C38,Erection!$C$5:$D$311,2,0)</f>
        <v>DA+6</v>
      </c>
      <c r="E38" s="10" t="s">
        <v>1827</v>
      </c>
      <c r="F38" s="10" t="s">
        <v>1827</v>
      </c>
      <c r="G38" s="10" t="s">
        <v>1827</v>
      </c>
      <c r="H38" s="10" t="s">
        <v>1827</v>
      </c>
      <c r="I38" s="111">
        <v>46190</v>
      </c>
      <c r="J38" s="10"/>
      <c r="K38" s="10" t="s">
        <v>1006</v>
      </c>
      <c r="L38" s="10"/>
      <c r="M38" s="10"/>
    </row>
    <row r="39" spans="1:13" ht="15.5">
      <c r="A39" s="10">
        <v>35</v>
      </c>
      <c r="B39" s="10">
        <v>35</v>
      </c>
      <c r="C39" s="908" t="s">
        <v>462</v>
      </c>
      <c r="D39" s="1287" t="str">
        <f>VLOOKUP(C39,Erection!$C$5:$D$311,2,0)</f>
        <v>DA+3</v>
      </c>
      <c r="E39" s="10" t="s">
        <v>1827</v>
      </c>
      <c r="F39" s="10" t="s">
        <v>1827</v>
      </c>
      <c r="G39" s="10" t="s">
        <v>1827</v>
      </c>
      <c r="H39" s="10" t="s">
        <v>1827</v>
      </c>
      <c r="I39" s="111">
        <v>46190</v>
      </c>
      <c r="J39" s="10"/>
      <c r="K39" s="10" t="s">
        <v>1006</v>
      </c>
      <c r="L39" s="10"/>
      <c r="M39" s="10"/>
    </row>
    <row r="40" spans="1:13" ht="15.5">
      <c r="A40" s="10">
        <v>36</v>
      </c>
      <c r="B40" s="10">
        <v>36</v>
      </c>
      <c r="C40" s="908" t="s">
        <v>463</v>
      </c>
      <c r="D40" s="1287" t="str">
        <f>VLOOKUP(C40,Erection!$C$5:$D$311,2,0)</f>
        <v>DA+9</v>
      </c>
      <c r="E40" s="10" t="s">
        <v>1827</v>
      </c>
      <c r="F40" s="10" t="s">
        <v>1827</v>
      </c>
      <c r="G40" s="10" t="s">
        <v>1827</v>
      </c>
      <c r="H40" s="10" t="s">
        <v>1827</v>
      </c>
      <c r="I40" s="111">
        <v>46190</v>
      </c>
      <c r="J40" s="10"/>
      <c r="K40" s="10" t="s">
        <v>1006</v>
      </c>
      <c r="L40" s="10"/>
      <c r="M40" s="10"/>
    </row>
    <row r="41" spans="1:13" ht="15.5">
      <c r="A41" s="10">
        <v>37</v>
      </c>
      <c r="B41" s="10">
        <v>37</v>
      </c>
      <c r="C41" s="908" t="s">
        <v>464</v>
      </c>
      <c r="D41" s="1287" t="str">
        <f>VLOOKUP(C41,Erection!$C$5:$D$311,2,0)</f>
        <v>DA+6</v>
      </c>
      <c r="E41" s="10" t="s">
        <v>1827</v>
      </c>
      <c r="F41" s="10" t="s">
        <v>1827</v>
      </c>
      <c r="G41" s="10" t="s">
        <v>1827</v>
      </c>
      <c r="H41" s="10" t="s">
        <v>1827</v>
      </c>
      <c r="I41" s="111">
        <v>46190</v>
      </c>
      <c r="J41" s="10"/>
      <c r="K41" s="10" t="s">
        <v>1006</v>
      </c>
      <c r="L41" s="10"/>
      <c r="M41" s="10"/>
    </row>
    <row r="42" spans="1:13" ht="15.5">
      <c r="A42" s="10">
        <v>38</v>
      </c>
      <c r="B42" s="10">
        <v>38</v>
      </c>
      <c r="C42" s="908" t="s">
        <v>465</v>
      </c>
      <c r="D42" s="1287" t="str">
        <f>VLOOKUP(C42,Erection!$C$5:$D$311,2,0)</f>
        <v>DA+6</v>
      </c>
      <c r="E42" s="10" t="s">
        <v>1827</v>
      </c>
      <c r="F42" s="10" t="s">
        <v>1827</v>
      </c>
      <c r="G42" s="10" t="s">
        <v>1827</v>
      </c>
      <c r="H42" s="10" t="s">
        <v>1827</v>
      </c>
      <c r="I42" s="111">
        <v>46190</v>
      </c>
      <c r="J42" s="10"/>
      <c r="K42" s="10" t="s">
        <v>1006</v>
      </c>
      <c r="L42" s="10"/>
      <c r="M42" s="10"/>
    </row>
    <row r="43" spans="1:13" ht="15.5">
      <c r="A43" s="10">
        <v>39</v>
      </c>
      <c r="B43" s="10">
        <v>39</v>
      </c>
      <c r="C43" s="908" t="s">
        <v>466</v>
      </c>
      <c r="D43" s="1287" t="str">
        <f>VLOOKUP(C43,Erection!$C$5:$D$311,2,0)</f>
        <v>DA+9</v>
      </c>
      <c r="E43" s="10" t="s">
        <v>1827</v>
      </c>
      <c r="F43" s="10" t="s">
        <v>1827</v>
      </c>
      <c r="G43" s="10" t="s">
        <v>1827</v>
      </c>
      <c r="H43" s="10" t="s">
        <v>1827</v>
      </c>
      <c r="I43" s="111">
        <v>46190</v>
      </c>
      <c r="J43" s="10"/>
      <c r="K43" s="10" t="s">
        <v>1006</v>
      </c>
      <c r="L43" s="10"/>
      <c r="M43" s="10"/>
    </row>
    <row r="44" spans="1:13" ht="15.5">
      <c r="A44" s="10">
        <v>40</v>
      </c>
      <c r="B44" s="10">
        <v>40</v>
      </c>
      <c r="C44" s="908" t="s">
        <v>672</v>
      </c>
      <c r="D44" s="1287" t="str">
        <f>VLOOKUP(C44,Erection!$C$5:$D$311,2,0)</f>
        <v>DB1+12</v>
      </c>
      <c r="E44" s="10" t="s">
        <v>1827</v>
      </c>
      <c r="F44" s="10" t="s">
        <v>1827</v>
      </c>
      <c r="G44" s="10" t="s">
        <v>1827</v>
      </c>
      <c r="H44" s="10" t="s">
        <v>1827</v>
      </c>
      <c r="I44" s="111">
        <v>46190</v>
      </c>
      <c r="J44" s="10"/>
      <c r="K44" s="10" t="s">
        <v>1006</v>
      </c>
      <c r="L44" s="10"/>
      <c r="M44" s="10"/>
    </row>
    <row r="45" spans="1:13" ht="15.5">
      <c r="A45" s="10">
        <v>41</v>
      </c>
      <c r="B45" s="10">
        <v>41</v>
      </c>
      <c r="C45" s="908" t="s">
        <v>258</v>
      </c>
      <c r="D45" s="1287" t="str">
        <f>VLOOKUP(C45,Erection!$C$5:$D$311,2,0)</f>
        <v>DB1+9</v>
      </c>
      <c r="E45" s="10" t="s">
        <v>1827</v>
      </c>
      <c r="F45" s="10" t="s">
        <v>1827</v>
      </c>
      <c r="G45" s="10" t="s">
        <v>1827</v>
      </c>
      <c r="H45" s="10" t="s">
        <v>1827</v>
      </c>
      <c r="I45" s="111">
        <v>46190</v>
      </c>
      <c r="J45" s="10"/>
      <c r="K45" s="10" t="s">
        <v>1006</v>
      </c>
      <c r="L45" s="10"/>
      <c r="M45" s="10"/>
    </row>
    <row r="46" spans="1:13" ht="15.5">
      <c r="A46" s="10">
        <v>42</v>
      </c>
      <c r="B46" s="10">
        <v>42</v>
      </c>
      <c r="C46" s="908" t="s">
        <v>259</v>
      </c>
      <c r="D46" s="1287" t="str">
        <f>VLOOKUP(C46,Erection!$C$5:$D$311,2,0)</f>
        <v>DA+9</v>
      </c>
      <c r="E46" s="10" t="s">
        <v>1827</v>
      </c>
      <c r="F46" s="10" t="s">
        <v>1827</v>
      </c>
      <c r="G46" s="10" t="s">
        <v>1827</v>
      </c>
      <c r="H46" s="10" t="s">
        <v>1827</v>
      </c>
      <c r="I46" s="111">
        <v>46190</v>
      </c>
      <c r="J46" s="10"/>
      <c r="K46" s="10" t="s">
        <v>1006</v>
      </c>
      <c r="L46" s="10"/>
      <c r="M46" s="10"/>
    </row>
    <row r="47" spans="1:13" ht="15.5">
      <c r="A47" s="10">
        <v>43</v>
      </c>
      <c r="B47" s="10">
        <v>43</v>
      </c>
      <c r="C47" s="908" t="s">
        <v>260</v>
      </c>
      <c r="D47" s="1287" t="str">
        <f>VLOOKUP(C47,Erection!$C$5:$D$311,2,0)</f>
        <v>DA+6</v>
      </c>
      <c r="E47" s="10" t="s">
        <v>1827</v>
      </c>
      <c r="F47" s="10" t="s">
        <v>1827</v>
      </c>
      <c r="G47" s="10" t="s">
        <v>1827</v>
      </c>
      <c r="H47" s="10" t="s">
        <v>1827</v>
      </c>
      <c r="I47" s="111">
        <v>46190</v>
      </c>
      <c r="J47" s="10"/>
      <c r="K47" s="10" t="s">
        <v>1006</v>
      </c>
      <c r="L47" s="10"/>
      <c r="M47" s="10"/>
    </row>
    <row r="48" spans="1:13" ht="15.5">
      <c r="A48" s="10">
        <v>44</v>
      </c>
      <c r="B48" s="10">
        <v>44</v>
      </c>
      <c r="C48" s="908" t="s">
        <v>467</v>
      </c>
      <c r="D48" s="1287" t="str">
        <f>VLOOKUP(C48,Erection!$C$5:$D$311,2,0)</f>
        <v>DA+3</v>
      </c>
      <c r="E48" s="10" t="s">
        <v>1827</v>
      </c>
      <c r="F48" s="10" t="s">
        <v>1827</v>
      </c>
      <c r="G48" s="10" t="s">
        <v>1827</v>
      </c>
      <c r="H48" s="10" t="s">
        <v>1827</v>
      </c>
      <c r="I48" s="111">
        <v>46190</v>
      </c>
      <c r="J48" s="10"/>
      <c r="K48" s="10" t="s">
        <v>1006</v>
      </c>
      <c r="L48" s="10"/>
      <c r="M48" s="10"/>
    </row>
    <row r="49" spans="1:13" ht="15.5">
      <c r="A49" s="10">
        <v>45</v>
      </c>
      <c r="B49" s="10">
        <v>45</v>
      </c>
      <c r="C49" s="908" t="s">
        <v>468</v>
      </c>
      <c r="D49" s="1287" t="str">
        <f>VLOOKUP(C49,Erection!$C$5:$D$311,2,0)</f>
        <v>DA+9</v>
      </c>
      <c r="E49" s="10" t="s">
        <v>1827</v>
      </c>
      <c r="F49" s="10" t="s">
        <v>1827</v>
      </c>
      <c r="G49" s="10" t="s">
        <v>1827</v>
      </c>
      <c r="H49" s="10" t="s">
        <v>1827</v>
      </c>
      <c r="I49" s="111">
        <v>46190</v>
      </c>
      <c r="J49" s="10"/>
      <c r="K49" s="10" t="s">
        <v>1006</v>
      </c>
      <c r="L49" s="10"/>
      <c r="M49" s="10"/>
    </row>
    <row r="50" spans="1:13" ht="15.5">
      <c r="A50" s="10">
        <v>46</v>
      </c>
      <c r="B50" s="10">
        <v>46</v>
      </c>
      <c r="C50" s="908" t="s">
        <v>469</v>
      </c>
      <c r="D50" s="1287" t="str">
        <f>VLOOKUP(C50,Erection!$C$5:$D$311,2,0)</f>
        <v>DA+9</v>
      </c>
      <c r="E50" s="10"/>
      <c r="F50" s="10"/>
      <c r="G50" s="10"/>
      <c r="H50" s="10"/>
      <c r="I50" s="111"/>
      <c r="J50" s="10"/>
      <c r="K50" s="10"/>
      <c r="L50" s="10"/>
      <c r="M50" s="1107" t="s">
        <v>1826</v>
      </c>
    </row>
    <row r="51" spans="1:13" ht="15.5">
      <c r="A51" s="10">
        <v>47</v>
      </c>
      <c r="B51" s="10">
        <v>47</v>
      </c>
      <c r="C51" s="908" t="s">
        <v>470</v>
      </c>
      <c r="D51" s="1287" t="str">
        <f>VLOOKUP(C51,Erection!$C$5:$D$311,2,0)</f>
        <v>DA-3</v>
      </c>
      <c r="E51" s="10" t="s">
        <v>1827</v>
      </c>
      <c r="F51" s="10" t="s">
        <v>1827</v>
      </c>
      <c r="G51" s="10" t="s">
        <v>1827</v>
      </c>
      <c r="H51" s="10" t="s">
        <v>1827</v>
      </c>
      <c r="I51" s="111">
        <f>I49+1</f>
        <v>46191</v>
      </c>
      <c r="J51" s="10"/>
      <c r="K51" s="10" t="s">
        <v>1006</v>
      </c>
      <c r="L51" s="10"/>
      <c r="M51" s="1107"/>
    </row>
    <row r="52" spans="1:13" ht="15.5">
      <c r="A52" s="10">
        <v>48</v>
      </c>
      <c r="B52" s="10">
        <v>48</v>
      </c>
      <c r="C52" s="908" t="s">
        <v>471</v>
      </c>
      <c r="D52" s="1287" t="str">
        <f>VLOOKUP(C52,Erection!$C$5:$D$311,2,0)</f>
        <v>DA+1.5</v>
      </c>
      <c r="E52" s="10" t="s">
        <v>1827</v>
      </c>
      <c r="F52" s="10" t="s">
        <v>1827</v>
      </c>
      <c r="G52" s="10" t="s">
        <v>1827</v>
      </c>
      <c r="H52" s="10" t="s">
        <v>1827</v>
      </c>
      <c r="I52" s="111">
        <v>46191</v>
      </c>
      <c r="J52" s="10"/>
      <c r="K52" s="10" t="s">
        <v>1006</v>
      </c>
      <c r="L52" s="10"/>
      <c r="M52" s="1107"/>
    </row>
    <row r="53" spans="1:13" ht="15.5">
      <c r="A53" s="10">
        <v>49</v>
      </c>
      <c r="B53" s="10">
        <v>49</v>
      </c>
      <c r="C53" s="908" t="s">
        <v>472</v>
      </c>
      <c r="D53" s="1287" t="str">
        <f>VLOOKUP(C53,Erection!$C$5:$D$311,2,0)</f>
        <v>DA+3</v>
      </c>
      <c r="E53" s="10" t="s">
        <v>1827</v>
      </c>
      <c r="F53" s="10" t="s">
        <v>1827</v>
      </c>
      <c r="G53" s="10" t="s">
        <v>1827</v>
      </c>
      <c r="H53" s="10" t="s">
        <v>1827</v>
      </c>
      <c r="I53" s="111">
        <v>46191</v>
      </c>
      <c r="J53" s="10"/>
      <c r="K53" s="10" t="s">
        <v>1006</v>
      </c>
      <c r="L53" s="10"/>
      <c r="M53" s="1107"/>
    </row>
    <row r="54" spans="1:13" ht="15.5">
      <c r="A54" s="10">
        <v>50</v>
      </c>
      <c r="B54" s="10">
        <v>50</v>
      </c>
      <c r="C54" s="908" t="s">
        <v>473</v>
      </c>
      <c r="D54" s="1287" t="str">
        <f>VLOOKUP(C54,Erection!$C$5:$D$311,2,0)</f>
        <v>DA+6</v>
      </c>
      <c r="E54" s="10" t="s">
        <v>1827</v>
      </c>
      <c r="F54" s="10" t="s">
        <v>1827</v>
      </c>
      <c r="G54" s="10" t="s">
        <v>1827</v>
      </c>
      <c r="H54" s="10" t="s">
        <v>1827</v>
      </c>
      <c r="I54" s="111">
        <v>46191</v>
      </c>
      <c r="J54" s="10"/>
      <c r="K54" s="10" t="s">
        <v>1006</v>
      </c>
      <c r="L54" s="10"/>
      <c r="M54" s="1107"/>
    </row>
    <row r="55" spans="1:13" ht="15.5">
      <c r="A55" s="10">
        <v>51</v>
      </c>
      <c r="B55" s="10">
        <v>51</v>
      </c>
      <c r="C55" s="908" t="s">
        <v>474</v>
      </c>
      <c r="D55" s="1287" t="str">
        <f>VLOOKUP(C55,Erection!$C$5:$D$311,2,0)</f>
        <v>DA+1.5</v>
      </c>
      <c r="E55" s="10" t="s">
        <v>1827</v>
      </c>
      <c r="F55" s="10" t="s">
        <v>1827</v>
      </c>
      <c r="G55" s="10" t="s">
        <v>1827</v>
      </c>
      <c r="H55" s="10" t="s">
        <v>1827</v>
      </c>
      <c r="I55" s="111">
        <v>46191</v>
      </c>
      <c r="J55" s="10"/>
      <c r="K55" s="10" t="s">
        <v>1006</v>
      </c>
      <c r="L55" s="10"/>
      <c r="M55" s="1107"/>
    </row>
    <row r="56" spans="1:13" ht="15.5">
      <c r="A56" s="10">
        <v>52</v>
      </c>
      <c r="B56" s="10">
        <v>52</v>
      </c>
      <c r="C56" s="908" t="s">
        <v>475</v>
      </c>
      <c r="D56" s="1287" t="str">
        <f>VLOOKUP(C56,Erection!$C$5:$D$311,2,0)</f>
        <v>DA-1.5</v>
      </c>
      <c r="E56" s="10" t="s">
        <v>1827</v>
      </c>
      <c r="F56" s="10" t="s">
        <v>1827</v>
      </c>
      <c r="G56" s="10" t="s">
        <v>1827</v>
      </c>
      <c r="H56" s="10" t="s">
        <v>1827</v>
      </c>
      <c r="I56" s="111">
        <v>46191</v>
      </c>
      <c r="J56" s="10"/>
      <c r="K56" s="10" t="s">
        <v>1006</v>
      </c>
      <c r="L56" s="10"/>
      <c r="M56" s="1107"/>
    </row>
    <row r="57" spans="1:13" ht="15.5">
      <c r="A57" s="10">
        <v>53</v>
      </c>
      <c r="B57" s="10">
        <v>53</v>
      </c>
      <c r="C57" s="908" t="s">
        <v>490</v>
      </c>
      <c r="D57" s="1287" t="str">
        <f>VLOOKUP(C57,Erection!$C$5:$D$311,2,0)</f>
        <v>DA+1.5</v>
      </c>
      <c r="E57" s="10" t="s">
        <v>1827</v>
      </c>
      <c r="F57" s="10" t="s">
        <v>1827</v>
      </c>
      <c r="G57" s="10" t="s">
        <v>1827</v>
      </c>
      <c r="H57" s="10" t="s">
        <v>1827</v>
      </c>
      <c r="I57" s="111">
        <v>46191</v>
      </c>
      <c r="J57" s="10"/>
      <c r="K57" s="10" t="s">
        <v>1006</v>
      </c>
      <c r="L57" s="10"/>
      <c r="M57" s="1107"/>
    </row>
    <row r="58" spans="1:13" ht="15.5">
      <c r="A58" s="10">
        <v>54</v>
      </c>
      <c r="B58" s="10">
        <v>54</v>
      </c>
      <c r="C58" s="908" t="s">
        <v>261</v>
      </c>
      <c r="D58" s="1287" t="str">
        <f>VLOOKUP(C58,Erection!$C$5:$D$311,2,0)</f>
        <v>DB2+0</v>
      </c>
      <c r="E58" s="10" t="s">
        <v>1827</v>
      </c>
      <c r="F58" s="10" t="s">
        <v>1827</v>
      </c>
      <c r="G58" s="10" t="s">
        <v>1827</v>
      </c>
      <c r="H58" s="10" t="s">
        <v>1827</v>
      </c>
      <c r="I58" s="111">
        <v>46191</v>
      </c>
      <c r="J58" s="10"/>
      <c r="K58" s="10" t="s">
        <v>1006</v>
      </c>
      <c r="L58" s="10"/>
      <c r="M58" s="1107"/>
    </row>
    <row r="59" spans="1:13" ht="15.5">
      <c r="A59" s="10">
        <v>55</v>
      </c>
      <c r="B59" s="10">
        <v>55</v>
      </c>
      <c r="C59" s="908" t="s">
        <v>476</v>
      </c>
      <c r="D59" s="1287" t="str">
        <f>VLOOKUP(C59,Erection!$C$5:$D$311,2,0)</f>
        <v>DA-3</v>
      </c>
      <c r="E59" s="10" t="s">
        <v>1827</v>
      </c>
      <c r="F59" s="10" t="s">
        <v>1827</v>
      </c>
      <c r="G59" s="10" t="s">
        <v>1827</v>
      </c>
      <c r="H59" s="10" t="s">
        <v>1827</v>
      </c>
      <c r="I59" s="111">
        <v>46191</v>
      </c>
      <c r="J59" s="10"/>
      <c r="K59" s="10" t="s">
        <v>1006</v>
      </c>
      <c r="L59" s="10"/>
      <c r="M59" s="1107"/>
    </row>
    <row r="60" spans="1:13" ht="15.5">
      <c r="A60" s="10">
        <v>56</v>
      </c>
      <c r="B60" s="10">
        <v>56</v>
      </c>
      <c r="C60" s="908" t="s">
        <v>477</v>
      </c>
      <c r="D60" s="1287" t="str">
        <f>VLOOKUP(C60,Erection!$C$5:$D$311,2,0)</f>
        <v>DA+6</v>
      </c>
      <c r="E60" s="10" t="s">
        <v>1827</v>
      </c>
      <c r="F60" s="10" t="s">
        <v>1827</v>
      </c>
      <c r="G60" s="10" t="s">
        <v>1827</v>
      </c>
      <c r="H60" s="10" t="s">
        <v>1827</v>
      </c>
      <c r="I60" s="111">
        <v>46191</v>
      </c>
      <c r="J60" s="10"/>
      <c r="K60" s="10" t="s">
        <v>1006</v>
      </c>
      <c r="L60" s="10"/>
      <c r="M60" s="1107"/>
    </row>
    <row r="61" spans="1:13" ht="15.5">
      <c r="A61" s="10">
        <v>57</v>
      </c>
      <c r="B61" s="10">
        <v>57</v>
      </c>
      <c r="C61" s="908" t="s">
        <v>478</v>
      </c>
      <c r="D61" s="1287" t="str">
        <f>VLOOKUP(C61,Erection!$C$5:$D$311,2,0)</f>
        <v>DA+9</v>
      </c>
      <c r="E61" s="10" t="s">
        <v>1827</v>
      </c>
      <c r="F61" s="10" t="s">
        <v>1827</v>
      </c>
      <c r="G61" s="10" t="s">
        <v>1827</v>
      </c>
      <c r="H61" s="10" t="s">
        <v>1827</v>
      </c>
      <c r="I61" s="111">
        <v>46191</v>
      </c>
      <c r="J61" s="10"/>
      <c r="K61" s="10" t="s">
        <v>1006</v>
      </c>
      <c r="L61" s="10"/>
      <c r="M61" s="1107"/>
    </row>
    <row r="62" spans="1:13" ht="15.5">
      <c r="A62" s="10">
        <v>58</v>
      </c>
      <c r="B62" s="10">
        <v>58</v>
      </c>
      <c r="C62" s="908" t="s">
        <v>479</v>
      </c>
      <c r="D62" s="1287" t="str">
        <f>VLOOKUP(C62,Erection!$C$5:$D$311,2,0)</f>
        <v>DA+6</v>
      </c>
      <c r="E62" s="10" t="s">
        <v>1827</v>
      </c>
      <c r="F62" s="10" t="s">
        <v>1827</v>
      </c>
      <c r="G62" s="10" t="s">
        <v>1827</v>
      </c>
      <c r="H62" s="10" t="s">
        <v>1827</v>
      </c>
      <c r="I62" s="111">
        <v>46191</v>
      </c>
      <c r="J62" s="10"/>
      <c r="K62" s="10" t="s">
        <v>1006</v>
      </c>
      <c r="L62" s="10"/>
      <c r="M62" s="1107"/>
    </row>
    <row r="63" spans="1:13" ht="15.5">
      <c r="A63" s="10">
        <v>59</v>
      </c>
      <c r="B63" s="10">
        <v>59</v>
      </c>
      <c r="C63" s="908" t="s">
        <v>480</v>
      </c>
      <c r="D63" s="1287" t="str">
        <f>VLOOKUP(C63,Erection!$C$5:$D$311,2,0)</f>
        <v>DA+6</v>
      </c>
      <c r="E63" s="10" t="s">
        <v>1827</v>
      </c>
      <c r="F63" s="10" t="s">
        <v>1827</v>
      </c>
      <c r="G63" s="10" t="s">
        <v>1827</v>
      </c>
      <c r="H63" s="10" t="s">
        <v>1827</v>
      </c>
      <c r="I63" s="111">
        <v>46191</v>
      </c>
      <c r="J63" s="10"/>
      <c r="K63" s="10" t="s">
        <v>1006</v>
      </c>
      <c r="L63" s="10"/>
      <c r="M63" s="1107"/>
    </row>
    <row r="64" spans="1:13" ht="15.5">
      <c r="A64" s="10">
        <v>60</v>
      </c>
      <c r="B64" s="10">
        <v>60</v>
      </c>
      <c r="C64" s="908" t="s">
        <v>481</v>
      </c>
      <c r="D64" s="1287" t="str">
        <f>VLOOKUP(C64,Erection!$C$5:$D$311,2,0)</f>
        <v>DA-1.5</v>
      </c>
      <c r="E64" s="10" t="s">
        <v>1827</v>
      </c>
      <c r="F64" s="10" t="s">
        <v>1827</v>
      </c>
      <c r="G64" s="10" t="s">
        <v>1827</v>
      </c>
      <c r="H64" s="10" t="s">
        <v>1827</v>
      </c>
      <c r="I64" s="111">
        <v>46191</v>
      </c>
      <c r="J64" s="10"/>
      <c r="K64" s="10" t="s">
        <v>1006</v>
      </c>
      <c r="L64" s="10"/>
      <c r="M64" s="1107"/>
    </row>
    <row r="65" spans="1:13" ht="15.5">
      <c r="A65" s="10">
        <v>61</v>
      </c>
      <c r="B65" s="10">
        <v>61</v>
      </c>
      <c r="C65" s="908" t="s">
        <v>491</v>
      </c>
      <c r="D65" s="1287" t="str">
        <f>VLOOKUP(C65,Erection!$C$5:$D$311,2,0)</f>
        <v>DB1+6</v>
      </c>
      <c r="E65" s="10" t="s">
        <v>1827</v>
      </c>
      <c r="F65" s="10" t="s">
        <v>1827</v>
      </c>
      <c r="G65" s="10" t="s">
        <v>1827</v>
      </c>
      <c r="H65" s="10" t="s">
        <v>1827</v>
      </c>
      <c r="I65" s="111">
        <v>46191</v>
      </c>
      <c r="J65" s="10"/>
      <c r="K65" s="10" t="s">
        <v>1006</v>
      </c>
      <c r="L65" s="10"/>
      <c r="M65" s="1107"/>
    </row>
    <row r="66" spans="1:13" ht="15.5">
      <c r="A66" s="10">
        <v>62</v>
      </c>
      <c r="B66" s="10">
        <v>62</v>
      </c>
      <c r="C66" s="908" t="s">
        <v>492</v>
      </c>
      <c r="D66" s="1287" t="str">
        <f>VLOOKUP(C66,Erection!$C$5:$D$311,2,0)</f>
        <v>DA+1.5</v>
      </c>
      <c r="E66" s="10" t="s">
        <v>1827</v>
      </c>
      <c r="F66" s="10" t="s">
        <v>1827</v>
      </c>
      <c r="G66" s="10" t="s">
        <v>1827</v>
      </c>
      <c r="H66" s="10" t="s">
        <v>1827</v>
      </c>
      <c r="I66" s="111">
        <v>46191</v>
      </c>
      <c r="J66" s="10"/>
      <c r="K66" s="10" t="s">
        <v>1006</v>
      </c>
      <c r="L66" s="10"/>
      <c r="M66" s="1107"/>
    </row>
    <row r="67" spans="1:13" ht="15.5">
      <c r="A67" s="10">
        <v>63</v>
      </c>
      <c r="B67" s="10">
        <v>63</v>
      </c>
      <c r="C67" s="908" t="s">
        <v>493</v>
      </c>
      <c r="D67" s="1287" t="str">
        <f>VLOOKUP(C67,Erection!$C$5:$D$311,2,0)</f>
        <v>DA+3</v>
      </c>
      <c r="E67" s="10" t="s">
        <v>1827</v>
      </c>
      <c r="F67" s="10" t="s">
        <v>1827</v>
      </c>
      <c r="G67" s="10" t="s">
        <v>1827</v>
      </c>
      <c r="H67" s="10" t="s">
        <v>1827</v>
      </c>
      <c r="I67" s="111">
        <v>46191</v>
      </c>
      <c r="J67" s="10"/>
      <c r="K67" s="10" t="s">
        <v>1006</v>
      </c>
      <c r="L67" s="10"/>
      <c r="M67" s="1107"/>
    </row>
    <row r="68" spans="1:13" ht="15.5">
      <c r="A68" s="10">
        <v>64</v>
      </c>
      <c r="B68" s="10">
        <v>64</v>
      </c>
      <c r="C68" s="908" t="s">
        <v>494</v>
      </c>
      <c r="D68" s="1287" t="str">
        <f>VLOOKUP(C68,Erection!$C$5:$D$311,2,0)</f>
        <v>DA+3</v>
      </c>
      <c r="E68" s="10" t="s">
        <v>1827</v>
      </c>
      <c r="F68" s="10" t="s">
        <v>1827</v>
      </c>
      <c r="G68" s="10" t="s">
        <v>1827</v>
      </c>
      <c r="H68" s="10" t="s">
        <v>1827</v>
      </c>
      <c r="I68" s="111">
        <v>46191</v>
      </c>
      <c r="J68" s="10"/>
      <c r="K68" s="10" t="s">
        <v>1006</v>
      </c>
      <c r="L68" s="10"/>
      <c r="M68" s="1107"/>
    </row>
    <row r="69" spans="1:13" ht="15.5">
      <c r="A69" s="10">
        <v>65</v>
      </c>
      <c r="B69" s="10">
        <v>65</v>
      </c>
      <c r="C69" s="908" t="s">
        <v>495</v>
      </c>
      <c r="D69" s="1287" t="str">
        <f>VLOOKUP(C69,Erection!$C$5:$D$311,2,0)</f>
        <v>DA+3</v>
      </c>
      <c r="E69" s="10" t="s">
        <v>1827</v>
      </c>
      <c r="F69" s="10" t="s">
        <v>1827</v>
      </c>
      <c r="G69" s="10" t="s">
        <v>1827</v>
      </c>
      <c r="H69" s="10" t="s">
        <v>1827</v>
      </c>
      <c r="I69" s="111">
        <v>46191</v>
      </c>
      <c r="J69" s="10"/>
      <c r="K69" s="10" t="s">
        <v>1006</v>
      </c>
      <c r="L69" s="10"/>
      <c r="M69" s="1107"/>
    </row>
    <row r="70" spans="1:13" ht="15.5">
      <c r="A70" s="10">
        <v>66</v>
      </c>
      <c r="B70" s="10">
        <v>66</v>
      </c>
      <c r="C70" s="908" t="s">
        <v>496</v>
      </c>
      <c r="D70" s="1287" t="str">
        <f>VLOOKUP(C70,Erection!$C$5:$D$311,2,0)</f>
        <v>DA+3</v>
      </c>
      <c r="E70" s="10" t="s">
        <v>1827</v>
      </c>
      <c r="F70" s="10" t="s">
        <v>1827</v>
      </c>
      <c r="G70" s="10" t="s">
        <v>1827</v>
      </c>
      <c r="H70" s="10" t="s">
        <v>1827</v>
      </c>
      <c r="I70" s="111">
        <v>46191</v>
      </c>
      <c r="J70" s="10"/>
      <c r="K70" s="10" t="s">
        <v>1006</v>
      </c>
      <c r="L70" s="10"/>
      <c r="M70" s="1107"/>
    </row>
    <row r="71" spans="1:13" ht="15.5">
      <c r="A71" s="10">
        <v>67</v>
      </c>
      <c r="B71" s="10">
        <v>67</v>
      </c>
      <c r="C71" s="908" t="s">
        <v>262</v>
      </c>
      <c r="D71" s="1287" t="str">
        <f>VLOOKUP(C71,Erection!$C$5:$D$311,2,0)</f>
        <v>DB1+0</v>
      </c>
      <c r="E71" s="10" t="s">
        <v>1827</v>
      </c>
      <c r="F71" s="10" t="s">
        <v>1827</v>
      </c>
      <c r="G71" s="10" t="s">
        <v>1827</v>
      </c>
      <c r="H71" s="10" t="s">
        <v>1827</v>
      </c>
      <c r="I71" s="111">
        <v>46191</v>
      </c>
      <c r="J71" s="10"/>
      <c r="K71" s="10" t="s">
        <v>1006</v>
      </c>
      <c r="L71" s="10"/>
      <c r="M71" s="1107"/>
    </row>
    <row r="72" spans="1:13" ht="15.5">
      <c r="A72" s="10">
        <v>68</v>
      </c>
      <c r="B72" s="10">
        <v>68</v>
      </c>
      <c r="C72" s="908" t="s">
        <v>390</v>
      </c>
      <c r="D72" s="1287" t="str">
        <f>VLOOKUP(C72,Erection!$C$5:$D$311,2,0)</f>
        <v>DA-3</v>
      </c>
      <c r="E72" s="10" t="s">
        <v>1827</v>
      </c>
      <c r="F72" s="10" t="s">
        <v>1827</v>
      </c>
      <c r="G72" s="10" t="s">
        <v>1827</v>
      </c>
      <c r="H72" s="10" t="s">
        <v>1827</v>
      </c>
      <c r="I72" s="111">
        <v>46191</v>
      </c>
      <c r="J72" s="10"/>
      <c r="K72" s="10" t="s">
        <v>1006</v>
      </c>
      <c r="L72" s="10"/>
      <c r="M72" s="1107"/>
    </row>
    <row r="73" spans="1:13" ht="15.5">
      <c r="A73" s="10">
        <v>69</v>
      </c>
      <c r="B73" s="10">
        <v>69</v>
      </c>
      <c r="C73" s="908" t="s">
        <v>391</v>
      </c>
      <c r="D73" s="1287" t="str">
        <f>VLOOKUP(C73,Erection!$C$5:$D$311,2,0)</f>
        <v>DA+6</v>
      </c>
      <c r="E73" s="10" t="s">
        <v>1827</v>
      </c>
      <c r="F73" s="10" t="s">
        <v>1827</v>
      </c>
      <c r="G73" s="10" t="s">
        <v>1827</v>
      </c>
      <c r="H73" s="10" t="s">
        <v>1827</v>
      </c>
      <c r="I73" s="111">
        <v>46191</v>
      </c>
      <c r="J73" s="10"/>
      <c r="K73" s="10" t="s">
        <v>1006</v>
      </c>
      <c r="L73" s="10"/>
      <c r="M73" s="1107"/>
    </row>
    <row r="74" spans="1:13" ht="15.5">
      <c r="A74" s="10">
        <v>70</v>
      </c>
      <c r="B74" s="10">
        <v>70</v>
      </c>
      <c r="C74" s="908" t="s">
        <v>392</v>
      </c>
      <c r="D74" s="1287" t="str">
        <f>VLOOKUP(C74,Erection!$C$5:$D$311,2,0)</f>
        <v>DA+9</v>
      </c>
      <c r="E74" s="10" t="s">
        <v>1827</v>
      </c>
      <c r="F74" s="10" t="s">
        <v>1827</v>
      </c>
      <c r="G74" s="10" t="s">
        <v>1827</v>
      </c>
      <c r="H74" s="10" t="s">
        <v>1827</v>
      </c>
      <c r="I74" s="111">
        <v>46191</v>
      </c>
      <c r="J74" s="10"/>
      <c r="K74" s="10" t="s">
        <v>1006</v>
      </c>
      <c r="L74" s="10"/>
      <c r="M74" s="1107"/>
    </row>
    <row r="75" spans="1:13" ht="15.5">
      <c r="A75" s="10">
        <v>71</v>
      </c>
      <c r="B75" s="10">
        <v>71</v>
      </c>
      <c r="C75" s="908" t="s">
        <v>393</v>
      </c>
      <c r="D75" s="1287" t="str">
        <f>VLOOKUP(C75,Erection!$C$5:$D$311,2,0)</f>
        <v>DA+6</v>
      </c>
      <c r="E75" s="10" t="s">
        <v>1827</v>
      </c>
      <c r="F75" s="10" t="s">
        <v>1827</v>
      </c>
      <c r="G75" s="10" t="s">
        <v>1827</v>
      </c>
      <c r="H75" s="10" t="s">
        <v>1827</v>
      </c>
      <c r="I75" s="111">
        <v>46191</v>
      </c>
      <c r="J75" s="10"/>
      <c r="K75" s="10" t="s">
        <v>1006</v>
      </c>
      <c r="L75" s="10"/>
      <c r="M75" s="1107"/>
    </row>
    <row r="76" spans="1:13" ht="15.5">
      <c r="A76" s="10">
        <v>72</v>
      </c>
      <c r="B76" s="10">
        <v>72</v>
      </c>
      <c r="C76" s="908" t="s">
        <v>394</v>
      </c>
      <c r="D76" s="1287" t="str">
        <f>VLOOKUP(C76,Erection!$C$5:$D$311,2,0)</f>
        <v>DA+9</v>
      </c>
      <c r="E76" s="10" t="s">
        <v>1827</v>
      </c>
      <c r="F76" s="10" t="s">
        <v>1827</v>
      </c>
      <c r="G76" s="10" t="s">
        <v>1827</v>
      </c>
      <c r="H76" s="10" t="s">
        <v>1827</v>
      </c>
      <c r="I76" s="111">
        <v>46191</v>
      </c>
      <c r="J76" s="10"/>
      <c r="K76" s="10" t="s">
        <v>1006</v>
      </c>
      <c r="L76" s="10"/>
      <c r="M76" s="1107"/>
    </row>
    <row r="77" spans="1:13" ht="15.5">
      <c r="A77" s="10">
        <v>73</v>
      </c>
      <c r="B77" s="10">
        <v>73</v>
      </c>
      <c r="C77" s="908" t="s">
        <v>395</v>
      </c>
      <c r="D77" s="1287" t="str">
        <f>VLOOKUP(C77,Erection!$C$5:$D$311,2,0)</f>
        <v>DA+3</v>
      </c>
      <c r="E77" s="10" t="s">
        <v>1827</v>
      </c>
      <c r="F77" s="10" t="s">
        <v>1827</v>
      </c>
      <c r="G77" s="10" t="s">
        <v>1827</v>
      </c>
      <c r="H77" s="10" t="s">
        <v>1827</v>
      </c>
      <c r="I77" s="111">
        <v>46191</v>
      </c>
      <c r="J77" s="10"/>
      <c r="K77" s="10" t="s">
        <v>1006</v>
      </c>
      <c r="L77" s="10"/>
      <c r="M77" s="1107"/>
    </row>
    <row r="78" spans="1:13" ht="15.5">
      <c r="A78" s="10">
        <v>74</v>
      </c>
      <c r="B78" s="10">
        <v>74</v>
      </c>
      <c r="C78" s="908" t="s">
        <v>396</v>
      </c>
      <c r="D78" s="1287" t="str">
        <f>VLOOKUP(C78,Erection!$C$5:$D$311,2,0)</f>
        <v>DA+3</v>
      </c>
      <c r="E78" s="10" t="s">
        <v>1827</v>
      </c>
      <c r="F78" s="10" t="s">
        <v>1827</v>
      </c>
      <c r="G78" s="10" t="s">
        <v>1827</v>
      </c>
      <c r="H78" s="10" t="s">
        <v>1827</v>
      </c>
      <c r="I78" s="111">
        <v>46191</v>
      </c>
      <c r="J78" s="10"/>
      <c r="K78" s="10" t="s">
        <v>1006</v>
      </c>
      <c r="L78" s="10"/>
      <c r="M78" s="1107"/>
    </row>
    <row r="79" spans="1:13" ht="15.5">
      <c r="A79" s="10">
        <v>75</v>
      </c>
      <c r="B79" s="10">
        <v>75</v>
      </c>
      <c r="C79" s="908" t="s">
        <v>397</v>
      </c>
      <c r="D79" s="1287" t="str">
        <f>VLOOKUP(C79,Erection!$C$5:$D$311,2,0)</f>
        <v>DA+9</v>
      </c>
      <c r="E79" s="10" t="s">
        <v>1827</v>
      </c>
      <c r="F79" s="10" t="s">
        <v>1827</v>
      </c>
      <c r="G79" s="10" t="s">
        <v>1827</v>
      </c>
      <c r="H79" s="10" t="s">
        <v>1827</v>
      </c>
      <c r="I79" s="111">
        <v>46191</v>
      </c>
      <c r="J79" s="10"/>
      <c r="K79" s="10" t="s">
        <v>1006</v>
      </c>
      <c r="L79" s="10"/>
      <c r="M79" s="1107"/>
    </row>
    <row r="80" spans="1:13" ht="15.5">
      <c r="A80" s="10">
        <v>76</v>
      </c>
      <c r="B80" s="10">
        <v>76</v>
      </c>
      <c r="C80" s="908" t="s">
        <v>398</v>
      </c>
      <c r="D80" s="1287" t="str">
        <f>VLOOKUP(C80,Erection!$C$5:$D$311,2,0)</f>
        <v>DA+3</v>
      </c>
      <c r="E80" s="10" t="s">
        <v>1827</v>
      </c>
      <c r="F80" s="10" t="s">
        <v>1827</v>
      </c>
      <c r="G80" s="10" t="s">
        <v>1827</v>
      </c>
      <c r="H80" s="10" t="s">
        <v>1827</v>
      </c>
      <c r="I80" s="111">
        <v>46192</v>
      </c>
      <c r="J80" s="10"/>
      <c r="K80" s="10" t="s">
        <v>1006</v>
      </c>
      <c r="L80" s="10"/>
      <c r="M80" s="1107"/>
    </row>
    <row r="81" spans="1:13" ht="15.5">
      <c r="A81" s="10">
        <v>77</v>
      </c>
      <c r="B81" s="10">
        <v>77</v>
      </c>
      <c r="C81" s="908" t="s">
        <v>399</v>
      </c>
      <c r="D81" s="1287" t="str">
        <f>VLOOKUP(C81,Erection!$C$5:$D$311,2,0)</f>
        <v>DA+0</v>
      </c>
      <c r="E81" s="10" t="s">
        <v>1827</v>
      </c>
      <c r="F81" s="10" t="s">
        <v>1827</v>
      </c>
      <c r="G81" s="10" t="s">
        <v>1827</v>
      </c>
      <c r="H81" s="10" t="s">
        <v>1827</v>
      </c>
      <c r="I81" s="111">
        <v>46192</v>
      </c>
      <c r="J81" s="10"/>
      <c r="K81" s="10" t="s">
        <v>1006</v>
      </c>
      <c r="L81" s="10"/>
      <c r="M81" s="1107"/>
    </row>
    <row r="82" spans="1:13" ht="15.5">
      <c r="A82" s="10">
        <v>78</v>
      </c>
      <c r="B82" s="10">
        <v>78</v>
      </c>
      <c r="C82" s="908" t="s">
        <v>400</v>
      </c>
      <c r="D82" s="1287" t="str">
        <f>VLOOKUP(C82,Erection!$C$5:$D$311,2,0)</f>
        <v>DA+9</v>
      </c>
      <c r="E82" s="10" t="s">
        <v>1827</v>
      </c>
      <c r="F82" s="10" t="s">
        <v>1827</v>
      </c>
      <c r="G82" s="10" t="s">
        <v>1827</v>
      </c>
      <c r="H82" s="10" t="s">
        <v>1827</v>
      </c>
      <c r="I82" s="111">
        <v>46192</v>
      </c>
      <c r="J82" s="10"/>
      <c r="K82" s="10" t="s">
        <v>1006</v>
      </c>
      <c r="L82" s="10"/>
      <c r="M82" s="1107"/>
    </row>
    <row r="83" spans="1:13" ht="15.5">
      <c r="A83" s="10">
        <v>79</v>
      </c>
      <c r="B83" s="10">
        <v>79</v>
      </c>
      <c r="C83" s="908" t="s">
        <v>482</v>
      </c>
      <c r="D83" s="1287" t="str">
        <f>VLOOKUP(C83,Erection!$C$5:$D$311,2,0)</f>
        <v>DB1+12</v>
      </c>
      <c r="E83" s="10" t="s">
        <v>1827</v>
      </c>
      <c r="F83" s="10" t="s">
        <v>1827</v>
      </c>
      <c r="G83" s="10" t="s">
        <v>1827</v>
      </c>
      <c r="H83" s="10" t="s">
        <v>1827</v>
      </c>
      <c r="I83" s="111">
        <v>46192</v>
      </c>
      <c r="J83" s="10"/>
      <c r="K83" s="10" t="s">
        <v>1006</v>
      </c>
      <c r="L83" s="10"/>
      <c r="M83" s="1107"/>
    </row>
    <row r="84" spans="1:13" ht="15.5">
      <c r="A84" s="10">
        <v>80</v>
      </c>
      <c r="B84" s="10">
        <v>80</v>
      </c>
      <c r="C84" s="908" t="s">
        <v>402</v>
      </c>
      <c r="D84" s="1287" t="str">
        <f>VLOOKUP(C84,Erection!$C$5:$D$311,2,0)</f>
        <v>DA+3</v>
      </c>
      <c r="E84" s="10" t="s">
        <v>1827</v>
      </c>
      <c r="F84" s="10" t="s">
        <v>1827</v>
      </c>
      <c r="G84" s="10" t="s">
        <v>1827</v>
      </c>
      <c r="H84" s="10" t="s">
        <v>1827</v>
      </c>
      <c r="I84" s="111">
        <v>46192</v>
      </c>
      <c r="J84" s="10"/>
      <c r="K84" s="10" t="s">
        <v>1006</v>
      </c>
      <c r="L84" s="10"/>
      <c r="M84" s="1107"/>
    </row>
    <row r="85" spans="1:13" ht="15.5">
      <c r="A85" s="10">
        <v>81</v>
      </c>
      <c r="B85" s="10">
        <v>81</v>
      </c>
      <c r="C85" s="908" t="s">
        <v>404</v>
      </c>
      <c r="D85" s="1287" t="str">
        <f>VLOOKUP(C85,Erection!$C$5:$D$311,2,0)</f>
        <v>DA+3</v>
      </c>
      <c r="E85" s="10" t="s">
        <v>1827</v>
      </c>
      <c r="F85" s="10" t="s">
        <v>1827</v>
      </c>
      <c r="G85" s="10" t="s">
        <v>1827</v>
      </c>
      <c r="H85" s="10" t="s">
        <v>1827</v>
      </c>
      <c r="I85" s="111">
        <v>46192</v>
      </c>
      <c r="J85" s="10"/>
      <c r="K85" s="10" t="s">
        <v>1006</v>
      </c>
      <c r="L85" s="10"/>
      <c r="M85" s="1107"/>
    </row>
    <row r="86" spans="1:13" ht="15.5">
      <c r="A86" s="10">
        <v>82</v>
      </c>
      <c r="B86" s="10">
        <v>82</v>
      </c>
      <c r="C86" s="908" t="s">
        <v>405</v>
      </c>
      <c r="D86" s="1287" t="str">
        <f>VLOOKUP(C86,Erection!$C$5:$D$311,2,0)</f>
        <v>DA+0</v>
      </c>
      <c r="E86" s="10" t="s">
        <v>1827</v>
      </c>
      <c r="F86" s="10" t="s">
        <v>1827</v>
      </c>
      <c r="G86" s="10" t="s">
        <v>1827</v>
      </c>
      <c r="H86" s="10" t="s">
        <v>1827</v>
      </c>
      <c r="I86" s="111">
        <v>46192</v>
      </c>
      <c r="J86" s="10"/>
      <c r="K86" s="10" t="s">
        <v>1006</v>
      </c>
      <c r="L86" s="10"/>
      <c r="M86" s="1107"/>
    </row>
    <row r="87" spans="1:13" ht="15.5">
      <c r="A87" s="10">
        <v>83</v>
      </c>
      <c r="B87" s="10">
        <v>83</v>
      </c>
      <c r="C87" s="908" t="s">
        <v>368</v>
      </c>
      <c r="D87" s="1287" t="str">
        <f>VLOOKUP(C87,Erection!$C$5:$D$311,2,0)</f>
        <v>DA+6</v>
      </c>
      <c r="E87" s="10" t="s">
        <v>1827</v>
      </c>
      <c r="F87" s="10" t="s">
        <v>1827</v>
      </c>
      <c r="G87" s="10" t="s">
        <v>1827</v>
      </c>
      <c r="H87" s="10" t="s">
        <v>1827</v>
      </c>
      <c r="I87" s="111">
        <v>46192</v>
      </c>
      <c r="J87" s="10"/>
      <c r="K87" s="10" t="s">
        <v>1006</v>
      </c>
      <c r="L87" s="10"/>
      <c r="M87" s="1107"/>
    </row>
    <row r="88" spans="1:13" ht="15.5">
      <c r="A88" s="10">
        <v>84</v>
      </c>
      <c r="B88" s="10">
        <v>84</v>
      </c>
      <c r="C88" s="908" t="s">
        <v>369</v>
      </c>
      <c r="D88" s="1287" t="str">
        <f>VLOOKUP(C88,Erection!$C$5:$D$311,2,0)</f>
        <v>DA+3</v>
      </c>
      <c r="E88" s="10" t="s">
        <v>1827</v>
      </c>
      <c r="F88" s="10" t="s">
        <v>1827</v>
      </c>
      <c r="G88" s="10" t="s">
        <v>1827</v>
      </c>
      <c r="H88" s="10" t="s">
        <v>1827</v>
      </c>
      <c r="I88" s="111">
        <v>46192</v>
      </c>
      <c r="J88" s="10"/>
      <c r="K88" s="10" t="s">
        <v>1006</v>
      </c>
      <c r="L88" s="10"/>
      <c r="M88" s="1107"/>
    </row>
    <row r="89" spans="1:13" ht="15.5">
      <c r="A89" s="10">
        <v>85</v>
      </c>
      <c r="B89" s="10">
        <v>85</v>
      </c>
      <c r="C89" s="908" t="s">
        <v>370</v>
      </c>
      <c r="D89" s="1287" t="str">
        <f>VLOOKUP(C89,Erection!$C$5:$D$311,2,0)</f>
        <v>DA+3</v>
      </c>
      <c r="E89" s="10" t="s">
        <v>1827</v>
      </c>
      <c r="F89" s="10" t="s">
        <v>1827</v>
      </c>
      <c r="G89" s="10" t="s">
        <v>1827</v>
      </c>
      <c r="H89" s="10" t="s">
        <v>1827</v>
      </c>
      <c r="I89" s="111">
        <v>46192</v>
      </c>
      <c r="J89" s="10"/>
      <c r="K89" s="10" t="s">
        <v>1006</v>
      </c>
      <c r="L89" s="10"/>
      <c r="M89" s="1107"/>
    </row>
    <row r="90" spans="1:13" ht="15.5">
      <c r="A90" s="10">
        <v>86</v>
      </c>
      <c r="B90" s="10">
        <v>86</v>
      </c>
      <c r="C90" s="908" t="s">
        <v>406</v>
      </c>
      <c r="D90" s="1287" t="str">
        <f>VLOOKUP(C90,Erection!$C$5:$D$311,2,0)</f>
        <v>DA+9</v>
      </c>
      <c r="E90" s="10" t="s">
        <v>1827</v>
      </c>
      <c r="F90" s="10" t="s">
        <v>1827</v>
      </c>
      <c r="G90" s="10" t="s">
        <v>1827</v>
      </c>
      <c r="H90" s="10" t="s">
        <v>1827</v>
      </c>
      <c r="I90" s="111">
        <v>46192</v>
      </c>
      <c r="J90" s="10"/>
      <c r="K90" s="10" t="s">
        <v>1006</v>
      </c>
      <c r="L90" s="10"/>
      <c r="M90" s="1107"/>
    </row>
    <row r="91" spans="1:13" ht="15.5">
      <c r="A91" s="10">
        <v>87</v>
      </c>
      <c r="B91" s="10">
        <v>87</v>
      </c>
      <c r="C91" s="908" t="s">
        <v>407</v>
      </c>
      <c r="D91" s="1287" t="str">
        <f>VLOOKUP(C91,Erection!$C$5:$D$311,2,0)</f>
        <v>DA+0</v>
      </c>
      <c r="E91" s="10" t="s">
        <v>1827</v>
      </c>
      <c r="F91" s="10" t="s">
        <v>1827</v>
      </c>
      <c r="G91" s="10" t="s">
        <v>1827</v>
      </c>
      <c r="H91" s="10" t="s">
        <v>1827</v>
      </c>
      <c r="I91" s="111">
        <v>46192</v>
      </c>
      <c r="J91" s="10"/>
      <c r="K91" s="10" t="s">
        <v>1006</v>
      </c>
      <c r="L91" s="10"/>
      <c r="M91" s="1107"/>
    </row>
    <row r="92" spans="1:13" ht="15.5">
      <c r="A92" s="10">
        <v>88</v>
      </c>
      <c r="B92" s="10">
        <v>88</v>
      </c>
      <c r="C92" s="908" t="s">
        <v>408</v>
      </c>
      <c r="D92" s="1287" t="str">
        <f>VLOOKUP(C92,Erection!$C$5:$D$311,2,0)</f>
        <v>DA+0</v>
      </c>
      <c r="E92" s="10" t="s">
        <v>1827</v>
      </c>
      <c r="F92" s="10" t="s">
        <v>1827</v>
      </c>
      <c r="G92" s="10" t="s">
        <v>1827</v>
      </c>
      <c r="H92" s="10" t="s">
        <v>1827</v>
      </c>
      <c r="I92" s="111">
        <v>46192</v>
      </c>
      <c r="J92" s="10"/>
      <c r="K92" s="10" t="s">
        <v>1006</v>
      </c>
      <c r="L92" s="10"/>
      <c r="M92" s="1107"/>
    </row>
    <row r="93" spans="1:13" ht="15.5">
      <c r="A93" s="10">
        <v>89</v>
      </c>
      <c r="B93" s="10">
        <v>89</v>
      </c>
      <c r="C93" s="908" t="s">
        <v>409</v>
      </c>
      <c r="D93" s="1287" t="str">
        <f>VLOOKUP(C93,Erection!$C$5:$D$311,2,0)</f>
        <v>DA+3</v>
      </c>
      <c r="E93" s="10" t="s">
        <v>1827</v>
      </c>
      <c r="F93" s="10" t="s">
        <v>1827</v>
      </c>
      <c r="G93" s="10" t="s">
        <v>1827</v>
      </c>
      <c r="H93" s="10" t="s">
        <v>1827</v>
      </c>
      <c r="I93" s="111">
        <v>46192</v>
      </c>
      <c r="J93" s="10"/>
      <c r="K93" s="10" t="s">
        <v>1006</v>
      </c>
      <c r="L93" s="10"/>
      <c r="M93" s="1107"/>
    </row>
    <row r="94" spans="1:13" ht="15.5">
      <c r="A94" s="10">
        <v>90</v>
      </c>
      <c r="B94" s="10">
        <v>90</v>
      </c>
      <c r="C94" s="908" t="s">
        <v>410</v>
      </c>
      <c r="D94" s="1287" t="str">
        <f>VLOOKUP(C94,Erection!$C$5:$D$311,2,0)</f>
        <v>DA+3</v>
      </c>
      <c r="E94" s="10" t="s">
        <v>1827</v>
      </c>
      <c r="F94" s="10" t="s">
        <v>1827</v>
      </c>
      <c r="G94" s="10" t="s">
        <v>1827</v>
      </c>
      <c r="H94" s="10" t="s">
        <v>1827</v>
      </c>
      <c r="I94" s="111">
        <v>46192</v>
      </c>
      <c r="J94" s="10"/>
      <c r="K94" s="10" t="s">
        <v>1006</v>
      </c>
      <c r="L94" s="10"/>
      <c r="M94" s="1107"/>
    </row>
    <row r="95" spans="1:13" ht="15.5">
      <c r="A95" s="10">
        <v>91</v>
      </c>
      <c r="B95" s="10">
        <v>91</v>
      </c>
      <c r="C95" s="908" t="s">
        <v>411</v>
      </c>
      <c r="D95" s="1287" t="str">
        <f>VLOOKUP(C95,Erection!$C$5:$D$311,2,0)</f>
        <v>DA+3</v>
      </c>
      <c r="E95" s="10" t="s">
        <v>1827</v>
      </c>
      <c r="F95" s="10" t="s">
        <v>1827</v>
      </c>
      <c r="G95" s="10" t="s">
        <v>1827</v>
      </c>
      <c r="H95" s="10" t="s">
        <v>1827</v>
      </c>
      <c r="I95" s="111">
        <v>46192</v>
      </c>
      <c r="J95" s="10"/>
      <c r="K95" s="10" t="s">
        <v>1006</v>
      </c>
      <c r="L95" s="10"/>
      <c r="M95" s="1107"/>
    </row>
    <row r="96" spans="1:13" ht="15.5">
      <c r="A96" s="10">
        <v>92</v>
      </c>
      <c r="B96" s="10">
        <v>92</v>
      </c>
      <c r="C96" s="908" t="s">
        <v>412</v>
      </c>
      <c r="D96" s="1287" t="str">
        <f>VLOOKUP(C96,Erection!$C$5:$D$311,2,0)</f>
        <v>DA+3</v>
      </c>
      <c r="E96" s="10" t="s">
        <v>1827</v>
      </c>
      <c r="F96" s="10" t="s">
        <v>1827</v>
      </c>
      <c r="G96" s="10" t="s">
        <v>1827</v>
      </c>
      <c r="H96" s="10" t="s">
        <v>1827</v>
      </c>
      <c r="I96" s="111">
        <v>46192</v>
      </c>
      <c r="J96" s="10"/>
      <c r="K96" s="10" t="s">
        <v>1006</v>
      </c>
      <c r="L96" s="10"/>
      <c r="M96" s="1107"/>
    </row>
    <row r="97" spans="1:13" ht="15.5">
      <c r="A97" s="10">
        <v>93</v>
      </c>
      <c r="B97" s="10">
        <v>93</v>
      </c>
      <c r="C97" s="908" t="s">
        <v>267</v>
      </c>
      <c r="D97" s="1287" t="str">
        <f>VLOOKUP(C97,Erection!$C$5:$D$311,2,0)</f>
        <v>DD60+9</v>
      </c>
      <c r="E97" s="10" t="s">
        <v>1827</v>
      </c>
      <c r="F97" s="10" t="s">
        <v>1827</v>
      </c>
      <c r="G97" s="10" t="s">
        <v>1827</v>
      </c>
      <c r="H97" s="10" t="s">
        <v>1827</v>
      </c>
      <c r="I97" s="111">
        <v>46192</v>
      </c>
      <c r="J97" s="10"/>
      <c r="K97" s="10" t="s">
        <v>1006</v>
      </c>
      <c r="L97" s="10"/>
      <c r="M97" s="1107"/>
    </row>
    <row r="98" spans="1:13" ht="15.5">
      <c r="A98" s="10">
        <v>94</v>
      </c>
      <c r="B98" s="10">
        <v>94</v>
      </c>
      <c r="C98" s="908" t="s">
        <v>483</v>
      </c>
      <c r="D98" s="1287" t="str">
        <f>VLOOKUP(C98,Erection!$C$5:$D$311,2,0)</f>
        <v>DB1+9</v>
      </c>
      <c r="E98" s="10" t="s">
        <v>1827</v>
      </c>
      <c r="F98" s="10" t="s">
        <v>1827</v>
      </c>
      <c r="G98" s="10" t="s">
        <v>1827</v>
      </c>
      <c r="H98" s="10" t="s">
        <v>1827</v>
      </c>
      <c r="I98" s="111">
        <v>46192</v>
      </c>
      <c r="J98" s="10"/>
      <c r="K98" s="10" t="s">
        <v>1006</v>
      </c>
      <c r="L98" s="10"/>
      <c r="M98" s="1107"/>
    </row>
    <row r="99" spans="1:13" ht="15.5">
      <c r="A99" s="10">
        <v>95</v>
      </c>
      <c r="B99" s="10">
        <v>95</v>
      </c>
      <c r="C99" s="908" t="s">
        <v>11</v>
      </c>
      <c r="D99" s="1287" t="str">
        <f>VLOOKUP(C99,Erection!$C$5:$D$311,2,0)</f>
        <v>DD60+18</v>
      </c>
      <c r="E99" s="10" t="s">
        <v>1827</v>
      </c>
      <c r="F99" s="10" t="s">
        <v>1827</v>
      </c>
      <c r="G99" s="10" t="s">
        <v>1827</v>
      </c>
      <c r="H99" s="10" t="s">
        <v>1827</v>
      </c>
      <c r="I99" s="111">
        <v>46192</v>
      </c>
      <c r="J99" s="10"/>
      <c r="K99" s="10" t="s">
        <v>1006</v>
      </c>
      <c r="L99" s="10"/>
      <c r="M99" s="1107"/>
    </row>
    <row r="100" spans="1:13" ht="15.5">
      <c r="A100" s="10">
        <v>96</v>
      </c>
      <c r="B100" s="10">
        <v>96</v>
      </c>
      <c r="C100" s="908" t="s">
        <v>167</v>
      </c>
      <c r="D100" s="1287" t="str">
        <f>VLOOKUP(C100,Erection!$C$5:$D$311,2,0)</f>
        <v>DD60+25</v>
      </c>
      <c r="E100" s="10" t="s">
        <v>1827</v>
      </c>
      <c r="F100" s="10" t="s">
        <v>1827</v>
      </c>
      <c r="G100" s="10" t="s">
        <v>1827</v>
      </c>
      <c r="H100" s="10" t="s">
        <v>1827</v>
      </c>
      <c r="I100" s="111">
        <v>46192</v>
      </c>
      <c r="J100" s="10"/>
      <c r="K100" s="10" t="s">
        <v>1006</v>
      </c>
      <c r="L100" s="10"/>
      <c r="M100" s="1107"/>
    </row>
    <row r="101" spans="1:13" ht="15.5">
      <c r="A101" s="10">
        <v>97</v>
      </c>
      <c r="B101" s="10">
        <v>97</v>
      </c>
      <c r="C101" s="908" t="s">
        <v>308</v>
      </c>
      <c r="D101" s="1287" t="str">
        <f>VLOOKUP(C101,Erection!$C$5:$D$311,2,0)</f>
        <v>DA+6</v>
      </c>
      <c r="E101" s="10" t="s">
        <v>1827</v>
      </c>
      <c r="F101" s="10" t="s">
        <v>1827</v>
      </c>
      <c r="G101" s="10" t="s">
        <v>1827</v>
      </c>
      <c r="H101" s="10" t="s">
        <v>1827</v>
      </c>
      <c r="I101" s="111">
        <v>46192</v>
      </c>
      <c r="J101" s="10"/>
      <c r="K101" s="10" t="s">
        <v>1006</v>
      </c>
      <c r="L101" s="10"/>
      <c r="M101" s="1107"/>
    </row>
    <row r="102" spans="1:13" ht="15.5">
      <c r="A102" s="10">
        <v>98</v>
      </c>
      <c r="B102" s="10">
        <v>98</v>
      </c>
      <c r="C102" s="908" t="s">
        <v>413</v>
      </c>
      <c r="D102" s="1287" t="str">
        <f>VLOOKUP(C102,Erection!$C$5:$D$311,2,0)</f>
        <v>DA+3</v>
      </c>
      <c r="E102" s="10" t="s">
        <v>1827</v>
      </c>
      <c r="F102" s="10" t="s">
        <v>1827</v>
      </c>
      <c r="G102" s="10" t="s">
        <v>1827</v>
      </c>
      <c r="H102" s="10" t="s">
        <v>1827</v>
      </c>
      <c r="I102" s="111">
        <v>46192</v>
      </c>
      <c r="J102" s="10"/>
      <c r="K102" s="10" t="s">
        <v>1006</v>
      </c>
      <c r="L102" s="10"/>
      <c r="M102" s="1107"/>
    </row>
    <row r="103" spans="1:13" ht="15.5">
      <c r="A103" s="10">
        <v>99</v>
      </c>
      <c r="B103" s="10">
        <v>99</v>
      </c>
      <c r="C103" s="908" t="s">
        <v>414</v>
      </c>
      <c r="D103" s="1287" t="str">
        <f>VLOOKUP(C103,Erection!$C$5:$D$311,2,0)</f>
        <v>DA+3</v>
      </c>
      <c r="E103" s="10" t="s">
        <v>1827</v>
      </c>
      <c r="F103" s="10" t="s">
        <v>1827</v>
      </c>
      <c r="G103" s="10" t="s">
        <v>1827</v>
      </c>
      <c r="H103" s="10" t="s">
        <v>1827</v>
      </c>
      <c r="I103" s="111">
        <v>46193</v>
      </c>
      <c r="J103" s="10"/>
      <c r="K103" s="10" t="s">
        <v>1006</v>
      </c>
      <c r="L103" s="10"/>
      <c r="M103" s="1107"/>
    </row>
    <row r="104" spans="1:13" ht="15.5">
      <c r="A104" s="10">
        <v>100</v>
      </c>
      <c r="B104" s="10">
        <v>100</v>
      </c>
      <c r="C104" s="908" t="s">
        <v>415</v>
      </c>
      <c r="D104" s="1287" t="str">
        <f>VLOOKUP(C104,Erection!$C$5:$D$311,2,0)</f>
        <v>DA+6</v>
      </c>
      <c r="E104" s="10" t="s">
        <v>1827</v>
      </c>
      <c r="F104" s="10" t="s">
        <v>1827</v>
      </c>
      <c r="G104" s="10" t="s">
        <v>1827</v>
      </c>
      <c r="H104" s="10" t="s">
        <v>1827</v>
      </c>
      <c r="I104" s="111">
        <v>46193</v>
      </c>
      <c r="J104" s="10"/>
      <c r="K104" s="10" t="s">
        <v>1006</v>
      </c>
      <c r="L104" s="10"/>
      <c r="M104" s="1107"/>
    </row>
    <row r="105" spans="1:13" ht="15.5">
      <c r="A105" s="10">
        <v>101</v>
      </c>
      <c r="B105" s="10">
        <v>101</v>
      </c>
      <c r="C105" s="908" t="s">
        <v>416</v>
      </c>
      <c r="D105" s="1287" t="str">
        <f>VLOOKUP(C105,Erection!$C$5:$D$311,2,0)</f>
        <v>DA+3</v>
      </c>
      <c r="E105" s="10" t="s">
        <v>1827</v>
      </c>
      <c r="F105" s="10" t="s">
        <v>1827</v>
      </c>
      <c r="G105" s="10" t="s">
        <v>1827</v>
      </c>
      <c r="H105" s="10" t="s">
        <v>1827</v>
      </c>
      <c r="I105" s="111">
        <v>46193</v>
      </c>
      <c r="J105" s="10"/>
      <c r="K105" s="10" t="s">
        <v>1006</v>
      </c>
      <c r="L105" s="10"/>
      <c r="M105" s="1107"/>
    </row>
    <row r="106" spans="1:13" ht="15.5">
      <c r="A106" s="10">
        <v>102</v>
      </c>
      <c r="B106" s="10">
        <v>102</v>
      </c>
      <c r="C106" s="908" t="s">
        <v>417</v>
      </c>
      <c r="D106" s="1287" t="str">
        <f>VLOOKUP(C106,Erection!$C$5:$D$311,2,0)</f>
        <v>DA+9</v>
      </c>
      <c r="E106" s="10" t="s">
        <v>1827</v>
      </c>
      <c r="F106" s="10" t="s">
        <v>1827</v>
      </c>
      <c r="G106" s="10" t="s">
        <v>1827</v>
      </c>
      <c r="H106" s="10" t="s">
        <v>1827</v>
      </c>
      <c r="I106" s="111">
        <v>46193</v>
      </c>
      <c r="J106" s="10"/>
      <c r="K106" s="10" t="s">
        <v>1006</v>
      </c>
      <c r="L106" s="10"/>
      <c r="M106" s="1107"/>
    </row>
    <row r="107" spans="1:13" ht="15.5">
      <c r="A107" s="10">
        <v>103</v>
      </c>
      <c r="B107" s="10">
        <v>103</v>
      </c>
      <c r="C107" s="908" t="s">
        <v>418</v>
      </c>
      <c r="D107" s="1287" t="str">
        <f>VLOOKUP(C107,Erection!$C$5:$D$311,2,0)</f>
        <v>DA+0</v>
      </c>
      <c r="E107" s="10" t="s">
        <v>1827</v>
      </c>
      <c r="F107" s="10" t="s">
        <v>1827</v>
      </c>
      <c r="G107" s="10" t="s">
        <v>1827</v>
      </c>
      <c r="H107" s="10" t="s">
        <v>1827</v>
      </c>
      <c r="I107" s="111">
        <v>46193</v>
      </c>
      <c r="J107" s="10"/>
      <c r="K107" s="10" t="s">
        <v>1006</v>
      </c>
      <c r="L107" s="10"/>
      <c r="M107" s="1107"/>
    </row>
    <row r="108" spans="1:13" ht="15.5">
      <c r="A108" s="10">
        <v>104</v>
      </c>
      <c r="B108" s="10">
        <v>104</v>
      </c>
      <c r="C108" s="908" t="s">
        <v>419</v>
      </c>
      <c r="D108" s="1287" t="str">
        <f>VLOOKUP(C108,Erection!$C$5:$D$311,2,0)</f>
        <v>DA+1.5</v>
      </c>
      <c r="E108" s="10" t="s">
        <v>1827</v>
      </c>
      <c r="F108" s="10" t="s">
        <v>1827</v>
      </c>
      <c r="G108" s="10" t="s">
        <v>1827</v>
      </c>
      <c r="H108" s="10" t="s">
        <v>1827</v>
      </c>
      <c r="I108" s="111">
        <v>46193</v>
      </c>
      <c r="J108" s="10"/>
      <c r="K108" s="10" t="s">
        <v>1006</v>
      </c>
      <c r="L108" s="10"/>
      <c r="M108" s="1107"/>
    </row>
    <row r="109" spans="1:13" ht="15.5">
      <c r="A109" s="10">
        <v>105</v>
      </c>
      <c r="B109" s="10">
        <v>105</v>
      </c>
      <c r="C109" s="908" t="s">
        <v>420</v>
      </c>
      <c r="D109" s="1287" t="str">
        <f>VLOOKUP(C109,Erection!$C$5:$D$311,2,0)</f>
        <v>DA+0</v>
      </c>
      <c r="E109" s="10" t="s">
        <v>1827</v>
      </c>
      <c r="F109" s="10" t="s">
        <v>1827</v>
      </c>
      <c r="G109" s="10" t="s">
        <v>1827</v>
      </c>
      <c r="H109" s="10" t="s">
        <v>1827</v>
      </c>
      <c r="I109" s="111">
        <v>46193</v>
      </c>
      <c r="J109" s="10"/>
      <c r="K109" s="10" t="s">
        <v>1006</v>
      </c>
      <c r="L109" s="10"/>
      <c r="M109" s="1107"/>
    </row>
    <row r="110" spans="1:13" ht="15.5">
      <c r="A110" s="10">
        <v>106</v>
      </c>
      <c r="B110" s="10">
        <v>106</v>
      </c>
      <c r="C110" s="908" t="s">
        <v>421</v>
      </c>
      <c r="D110" s="1287" t="str">
        <f>VLOOKUP(C110,Erection!$C$5:$D$311,2,0)</f>
        <v>DA-1.5</v>
      </c>
      <c r="E110" s="10" t="s">
        <v>1827</v>
      </c>
      <c r="F110" s="10" t="s">
        <v>1827</v>
      </c>
      <c r="G110" s="10" t="s">
        <v>1827</v>
      </c>
      <c r="H110" s="10" t="s">
        <v>1827</v>
      </c>
      <c r="I110" s="111">
        <v>46193</v>
      </c>
      <c r="J110" s="10"/>
      <c r="K110" s="10" t="s">
        <v>1006</v>
      </c>
      <c r="L110" s="10"/>
      <c r="M110" s="1107"/>
    </row>
    <row r="111" spans="1:13" ht="15.5">
      <c r="A111" s="10">
        <v>107</v>
      </c>
      <c r="B111" s="10">
        <v>107</v>
      </c>
      <c r="C111" s="908" t="s">
        <v>422</v>
      </c>
      <c r="D111" s="1287" t="str">
        <f>VLOOKUP(C111,Erection!$C$5:$D$311,2,0)</f>
        <v>DA+0</v>
      </c>
      <c r="E111" s="10" t="s">
        <v>1827</v>
      </c>
      <c r="F111" s="10" t="s">
        <v>1827</v>
      </c>
      <c r="G111" s="10" t="s">
        <v>1827</v>
      </c>
      <c r="H111" s="10" t="s">
        <v>1827</v>
      </c>
      <c r="I111" s="111">
        <v>46193</v>
      </c>
      <c r="J111" s="10"/>
      <c r="K111" s="10" t="s">
        <v>1006</v>
      </c>
      <c r="L111" s="10"/>
      <c r="M111" s="1107"/>
    </row>
    <row r="112" spans="1:13" ht="15.5">
      <c r="A112" s="10">
        <v>108</v>
      </c>
      <c r="B112" s="10">
        <v>108</v>
      </c>
      <c r="C112" s="908" t="s">
        <v>423</v>
      </c>
      <c r="D112" s="1287" t="str">
        <f>VLOOKUP(C112,Erection!$C$5:$D$311,2,0)</f>
        <v>DA+6</v>
      </c>
      <c r="E112" s="10" t="s">
        <v>1827</v>
      </c>
      <c r="F112" s="10" t="s">
        <v>1827</v>
      </c>
      <c r="G112" s="10" t="s">
        <v>1827</v>
      </c>
      <c r="H112" s="10" t="s">
        <v>1827</v>
      </c>
      <c r="I112" s="111">
        <v>46193</v>
      </c>
      <c r="J112" s="10"/>
      <c r="K112" s="10" t="s">
        <v>1006</v>
      </c>
      <c r="L112" s="10"/>
      <c r="M112" s="1107"/>
    </row>
    <row r="113" spans="1:13" ht="15.5">
      <c r="A113" s="10">
        <v>109</v>
      </c>
      <c r="B113" s="10">
        <v>109</v>
      </c>
      <c r="C113" s="908" t="s">
        <v>13</v>
      </c>
      <c r="D113" s="1287" t="str">
        <f>VLOOKUP(C113,Erection!$C$5:$D$311,2,0)</f>
        <v>DC1+3</v>
      </c>
      <c r="E113" s="10" t="s">
        <v>1827</v>
      </c>
      <c r="F113" s="10" t="s">
        <v>1827</v>
      </c>
      <c r="G113" s="10" t="s">
        <v>1827</v>
      </c>
      <c r="H113" s="10" t="s">
        <v>1827</v>
      </c>
      <c r="I113" s="111">
        <v>46193</v>
      </c>
      <c r="J113" s="10"/>
      <c r="K113" s="10" t="s">
        <v>1006</v>
      </c>
      <c r="L113" s="10"/>
      <c r="M113" s="1107"/>
    </row>
    <row r="114" spans="1:13" ht="15.5">
      <c r="A114" s="10">
        <v>110</v>
      </c>
      <c r="B114" s="10">
        <v>110</v>
      </c>
      <c r="C114" s="908" t="s">
        <v>51</v>
      </c>
      <c r="D114" s="1287" t="str">
        <f>VLOOKUP(C114,Erection!$C$5:$D$311,2,0)</f>
        <v>DB2+6</v>
      </c>
      <c r="E114" s="10" t="s">
        <v>1827</v>
      </c>
      <c r="F114" s="10" t="s">
        <v>1827</v>
      </c>
      <c r="G114" s="10" t="s">
        <v>1827</v>
      </c>
      <c r="H114" s="10" t="s">
        <v>1827</v>
      </c>
      <c r="I114" s="111">
        <v>46193</v>
      </c>
      <c r="J114" s="10"/>
      <c r="K114" s="10" t="s">
        <v>1006</v>
      </c>
      <c r="L114" s="10"/>
      <c r="M114" s="1107"/>
    </row>
    <row r="115" spans="1:13" ht="15.5">
      <c r="A115" s="10">
        <v>111</v>
      </c>
      <c r="B115" s="10">
        <v>111</v>
      </c>
      <c r="C115" s="908" t="s">
        <v>192</v>
      </c>
      <c r="D115" s="1287" t="str">
        <f>VLOOKUP(C115,Erection!$C$5:$D$311,2,0)</f>
        <v>DA+3</v>
      </c>
      <c r="E115" s="10" t="s">
        <v>1827</v>
      </c>
      <c r="F115" s="10" t="s">
        <v>1827</v>
      </c>
      <c r="G115" s="10" t="s">
        <v>1827</v>
      </c>
      <c r="H115" s="10" t="s">
        <v>1827</v>
      </c>
      <c r="I115" s="111">
        <v>46193</v>
      </c>
      <c r="J115" s="10"/>
      <c r="K115" s="10" t="s">
        <v>1006</v>
      </c>
      <c r="L115" s="10"/>
      <c r="M115" s="1107"/>
    </row>
    <row r="116" spans="1:13" ht="15.5">
      <c r="A116" s="10">
        <v>112</v>
      </c>
      <c r="B116" s="10">
        <v>112</v>
      </c>
      <c r="C116" s="908" t="s">
        <v>193</v>
      </c>
      <c r="D116" s="1287" t="str">
        <f>VLOOKUP(C116,Erection!$C$5:$D$311,2,0)</f>
        <v>DA+1.5</v>
      </c>
      <c r="E116" s="10" t="s">
        <v>1827</v>
      </c>
      <c r="F116" s="10" t="s">
        <v>1827</v>
      </c>
      <c r="G116" s="10" t="s">
        <v>1827</v>
      </c>
      <c r="H116" s="10" t="s">
        <v>1827</v>
      </c>
      <c r="I116" s="111">
        <v>46194</v>
      </c>
      <c r="J116" s="10"/>
      <c r="K116" s="10" t="s">
        <v>1006</v>
      </c>
      <c r="L116" s="10"/>
      <c r="M116" s="1107"/>
    </row>
    <row r="117" spans="1:13" ht="15.5">
      <c r="A117" s="10">
        <v>113</v>
      </c>
      <c r="B117" s="10">
        <v>113</v>
      </c>
      <c r="C117" s="908" t="s">
        <v>254</v>
      </c>
      <c r="D117" s="1287" t="str">
        <f>VLOOKUP(C117,Erection!$C$5:$D$311,2,0)</f>
        <v>DA+6</v>
      </c>
      <c r="E117" s="10" t="s">
        <v>1827</v>
      </c>
      <c r="F117" s="10" t="s">
        <v>1827</v>
      </c>
      <c r="G117" s="10" t="s">
        <v>1827</v>
      </c>
      <c r="H117" s="10" t="s">
        <v>1827</v>
      </c>
      <c r="I117" s="111">
        <v>46194</v>
      </c>
      <c r="J117" s="10"/>
      <c r="K117" s="10" t="s">
        <v>1006</v>
      </c>
      <c r="L117" s="10"/>
      <c r="M117" s="1107"/>
    </row>
    <row r="118" spans="1:13" ht="15.5">
      <c r="A118" s="10">
        <v>114</v>
      </c>
      <c r="B118" s="10">
        <v>114</v>
      </c>
      <c r="C118" s="908" t="s">
        <v>253</v>
      </c>
      <c r="D118" s="1287" t="str">
        <f>VLOOKUP(C118,Erection!$C$5:$D$311,2,0)</f>
        <v>DA-3</v>
      </c>
      <c r="E118" s="10" t="s">
        <v>1827</v>
      </c>
      <c r="F118" s="10" t="s">
        <v>1827</v>
      </c>
      <c r="G118" s="10" t="s">
        <v>1827</v>
      </c>
      <c r="H118" s="10" t="s">
        <v>1827</v>
      </c>
      <c r="I118" s="111">
        <v>46194</v>
      </c>
      <c r="J118" s="10"/>
      <c r="K118" s="10" t="s">
        <v>1006</v>
      </c>
      <c r="L118" s="10"/>
      <c r="M118" s="1107"/>
    </row>
    <row r="119" spans="1:13" ht="15.5">
      <c r="A119" s="10">
        <v>115</v>
      </c>
      <c r="B119" s="10">
        <v>115</v>
      </c>
      <c r="C119" s="908" t="s">
        <v>252</v>
      </c>
      <c r="D119" s="1287" t="str">
        <f>VLOOKUP(C119,Erection!$C$5:$D$311,2,0)</f>
        <v>DA+0</v>
      </c>
      <c r="E119" s="10" t="s">
        <v>1827</v>
      </c>
      <c r="F119" s="10" t="s">
        <v>1827</v>
      </c>
      <c r="G119" s="10" t="s">
        <v>1827</v>
      </c>
      <c r="H119" s="10" t="s">
        <v>1827</v>
      </c>
      <c r="I119" s="111">
        <v>46194</v>
      </c>
      <c r="J119" s="10"/>
      <c r="K119" s="10" t="s">
        <v>1006</v>
      </c>
      <c r="L119" s="10"/>
      <c r="M119" s="1107"/>
    </row>
    <row r="120" spans="1:13" ht="15.5">
      <c r="A120" s="10">
        <v>116</v>
      </c>
      <c r="B120" s="10">
        <v>116</v>
      </c>
      <c r="C120" s="908" t="s">
        <v>251</v>
      </c>
      <c r="D120" s="1287" t="str">
        <f>VLOOKUP(C120,Erection!$C$5:$D$311,2,0)</f>
        <v>DA+9</v>
      </c>
      <c r="E120" s="10" t="s">
        <v>1827</v>
      </c>
      <c r="F120" s="10" t="s">
        <v>1827</v>
      </c>
      <c r="G120" s="10" t="s">
        <v>1827</v>
      </c>
      <c r="H120" s="10" t="s">
        <v>1827</v>
      </c>
      <c r="I120" s="111">
        <v>46194</v>
      </c>
      <c r="J120" s="10"/>
      <c r="K120" s="10" t="s">
        <v>1006</v>
      </c>
      <c r="L120" s="10"/>
      <c r="M120" s="1107"/>
    </row>
    <row r="121" spans="1:13" ht="15.5">
      <c r="A121" s="10">
        <v>117</v>
      </c>
      <c r="B121" s="10">
        <v>117</v>
      </c>
      <c r="C121" s="908" t="s">
        <v>424</v>
      </c>
      <c r="D121" s="1287" t="str">
        <f>VLOOKUP(C121,Erection!$C$5:$D$311,2,0)</f>
        <v>DA+1.5</v>
      </c>
      <c r="E121" s="10" t="s">
        <v>1827</v>
      </c>
      <c r="F121" s="10" t="s">
        <v>1827</v>
      </c>
      <c r="G121" s="10" t="s">
        <v>1827</v>
      </c>
      <c r="H121" s="10" t="s">
        <v>1827</v>
      </c>
      <c r="I121" s="111">
        <v>46194</v>
      </c>
      <c r="J121" s="10"/>
      <c r="K121" s="10" t="s">
        <v>1006</v>
      </c>
      <c r="L121" s="10"/>
      <c r="M121" s="1107"/>
    </row>
    <row r="122" spans="1:13" ht="15.5">
      <c r="A122" s="10">
        <v>118</v>
      </c>
      <c r="B122" s="10">
        <v>118</v>
      </c>
      <c r="C122" s="908" t="s">
        <v>52</v>
      </c>
      <c r="D122" s="1287" t="str">
        <f>VLOOKUP(C122,Erection!$C$5:$D$311,2,0)</f>
        <v>DD60+3</v>
      </c>
      <c r="E122" s="10" t="s">
        <v>1827</v>
      </c>
      <c r="F122" s="10" t="s">
        <v>1827</v>
      </c>
      <c r="G122" s="10" t="s">
        <v>1827</v>
      </c>
      <c r="H122" s="10" t="s">
        <v>1827</v>
      </c>
      <c r="I122" s="111">
        <v>46194</v>
      </c>
      <c r="J122" s="10"/>
      <c r="K122" s="10" t="s">
        <v>1006</v>
      </c>
      <c r="L122" s="10"/>
      <c r="M122" s="1107"/>
    </row>
    <row r="123" spans="1:13" ht="15.5">
      <c r="A123" s="10">
        <v>119</v>
      </c>
      <c r="B123" s="10">
        <v>119</v>
      </c>
      <c r="C123" s="908" t="s">
        <v>53</v>
      </c>
      <c r="D123" s="1287" t="str">
        <f>VLOOKUP(C123,Erection!$C$5:$D$311,2,0)</f>
        <v>DD60+3</v>
      </c>
      <c r="E123" s="10" t="s">
        <v>1827</v>
      </c>
      <c r="F123" s="10" t="s">
        <v>1827</v>
      </c>
      <c r="G123" s="10" t="s">
        <v>1827</v>
      </c>
      <c r="H123" s="10" t="s">
        <v>1827</v>
      </c>
      <c r="I123" s="111">
        <v>46194</v>
      </c>
      <c r="J123" s="10"/>
      <c r="K123" s="10" t="s">
        <v>1006</v>
      </c>
      <c r="L123" s="10"/>
      <c r="M123" s="1107"/>
    </row>
    <row r="124" spans="1:13" ht="15.5">
      <c r="A124" s="10">
        <v>120</v>
      </c>
      <c r="B124" s="10">
        <v>120</v>
      </c>
      <c r="C124" s="908" t="s">
        <v>174</v>
      </c>
      <c r="D124" s="1287" t="str">
        <f>VLOOKUP(C124,Erection!$C$5:$D$311,2,0)</f>
        <v>DA-3</v>
      </c>
      <c r="E124" s="10" t="s">
        <v>1827</v>
      </c>
      <c r="F124" s="10" t="s">
        <v>1827</v>
      </c>
      <c r="G124" s="10" t="s">
        <v>1827</v>
      </c>
      <c r="H124" s="10" t="s">
        <v>1827</v>
      </c>
      <c r="I124" s="111">
        <v>46194</v>
      </c>
      <c r="J124" s="10"/>
      <c r="K124" s="10" t="s">
        <v>1006</v>
      </c>
      <c r="L124" s="10"/>
      <c r="M124" s="1107"/>
    </row>
    <row r="125" spans="1:13" ht="15.5">
      <c r="A125" s="10">
        <v>121</v>
      </c>
      <c r="B125" s="10">
        <v>121</v>
      </c>
      <c r="C125" s="908" t="s">
        <v>175</v>
      </c>
      <c r="D125" s="1287" t="str">
        <f>VLOOKUP(C125,Erection!$C$5:$D$311,2,0)</f>
        <v>DA-3</v>
      </c>
      <c r="E125" s="10" t="s">
        <v>1827</v>
      </c>
      <c r="F125" s="10" t="s">
        <v>1827</v>
      </c>
      <c r="G125" s="10" t="s">
        <v>1827</v>
      </c>
      <c r="H125" s="10" t="s">
        <v>1827</v>
      </c>
      <c r="I125" s="111">
        <v>46195</v>
      </c>
      <c r="J125" s="10"/>
      <c r="K125" s="10" t="s">
        <v>1006</v>
      </c>
      <c r="L125" s="10"/>
      <c r="M125" s="1107"/>
    </row>
    <row r="126" spans="1:13" ht="15.5">
      <c r="A126" s="10">
        <v>122</v>
      </c>
      <c r="B126" s="10">
        <v>122</v>
      </c>
      <c r="C126" s="908" t="s">
        <v>176</v>
      </c>
      <c r="D126" s="1287" t="str">
        <f>VLOOKUP(C126,Erection!$C$5:$D$311,2,0)</f>
        <v>DA+1.5</v>
      </c>
      <c r="E126" s="10" t="s">
        <v>1827</v>
      </c>
      <c r="F126" s="10" t="s">
        <v>1827</v>
      </c>
      <c r="G126" s="10" t="s">
        <v>1827</v>
      </c>
      <c r="H126" s="10" t="s">
        <v>1827</v>
      </c>
      <c r="I126" s="111">
        <v>46195</v>
      </c>
      <c r="J126" s="10"/>
      <c r="K126" s="10" t="s">
        <v>1006</v>
      </c>
      <c r="L126" s="10"/>
      <c r="M126" s="1107"/>
    </row>
    <row r="127" spans="1:13" ht="15.5">
      <c r="A127" s="10">
        <v>123</v>
      </c>
      <c r="B127" s="10">
        <v>123</v>
      </c>
      <c r="C127" s="908" t="s">
        <v>177</v>
      </c>
      <c r="D127" s="1287" t="str">
        <f>VLOOKUP(C127,Erection!$C$5:$D$311,2,0)</f>
        <v>DA+3</v>
      </c>
      <c r="E127" s="10" t="s">
        <v>1827</v>
      </c>
      <c r="F127" s="10" t="s">
        <v>1827</v>
      </c>
      <c r="G127" s="10" t="s">
        <v>1827</v>
      </c>
      <c r="H127" s="10" t="s">
        <v>1827</v>
      </c>
      <c r="I127" s="111">
        <v>46195</v>
      </c>
      <c r="J127" s="10"/>
      <c r="K127" s="10" t="s">
        <v>1006</v>
      </c>
      <c r="L127" s="10"/>
      <c r="M127" s="1107"/>
    </row>
    <row r="128" spans="1:13" ht="15.5">
      <c r="A128" s="10">
        <v>124</v>
      </c>
      <c r="B128" s="10">
        <v>124</v>
      </c>
      <c r="C128" s="908" t="s">
        <v>425</v>
      </c>
      <c r="D128" s="1287" t="str">
        <f>VLOOKUP(C128,Erection!$C$5:$D$311,2,0)</f>
        <v>DA+0</v>
      </c>
      <c r="E128" s="10" t="s">
        <v>1827</v>
      </c>
      <c r="F128" s="10" t="s">
        <v>1827</v>
      </c>
      <c r="G128" s="10" t="s">
        <v>1827</v>
      </c>
      <c r="H128" s="10" t="s">
        <v>1827</v>
      </c>
      <c r="I128" s="111">
        <v>46195</v>
      </c>
      <c r="J128" s="10"/>
      <c r="K128" s="10" t="s">
        <v>1006</v>
      </c>
      <c r="L128" s="10"/>
      <c r="M128" s="1107"/>
    </row>
    <row r="129" spans="1:13" ht="15.5">
      <c r="A129" s="10">
        <v>125</v>
      </c>
      <c r="B129" s="10">
        <v>125</v>
      </c>
      <c r="C129" s="908" t="s">
        <v>426</v>
      </c>
      <c r="D129" s="1287" t="str">
        <f>VLOOKUP(C129,Erection!$C$5:$D$311,2,0)</f>
        <v>DA-3</v>
      </c>
      <c r="E129" s="10" t="s">
        <v>1827</v>
      </c>
      <c r="F129" s="10" t="s">
        <v>1827</v>
      </c>
      <c r="G129" s="10" t="s">
        <v>1827</v>
      </c>
      <c r="H129" s="10" t="s">
        <v>1827</v>
      </c>
      <c r="I129" s="111">
        <v>46195</v>
      </c>
      <c r="J129" s="10"/>
      <c r="K129" s="10" t="s">
        <v>1006</v>
      </c>
      <c r="L129" s="10"/>
      <c r="M129" s="1107"/>
    </row>
    <row r="130" spans="1:13" ht="15.5">
      <c r="A130" s="10">
        <v>126</v>
      </c>
      <c r="B130" s="10">
        <v>126</v>
      </c>
      <c r="C130" s="908" t="s">
        <v>179</v>
      </c>
      <c r="D130" s="1287" t="str">
        <f>VLOOKUP(C130,Erection!$C$5:$D$311,2,0)</f>
        <v>DA+0</v>
      </c>
      <c r="E130" s="10" t="s">
        <v>1827</v>
      </c>
      <c r="F130" s="10" t="s">
        <v>1827</v>
      </c>
      <c r="G130" s="10" t="s">
        <v>1827</v>
      </c>
      <c r="H130" s="10" t="s">
        <v>1827</v>
      </c>
      <c r="I130" s="111">
        <v>46195</v>
      </c>
      <c r="J130" s="10"/>
      <c r="K130" s="10" t="s">
        <v>1006</v>
      </c>
      <c r="L130" s="10"/>
      <c r="M130" s="1107"/>
    </row>
    <row r="131" spans="1:13" ht="15.5">
      <c r="A131" s="10">
        <v>127</v>
      </c>
      <c r="B131" s="10">
        <v>127</v>
      </c>
      <c r="C131" s="908" t="s">
        <v>180</v>
      </c>
      <c r="D131" s="1287" t="str">
        <f>VLOOKUP(C131,Erection!$C$5:$D$311,2,0)</f>
        <v>DA+6</v>
      </c>
      <c r="E131" s="10" t="s">
        <v>1827</v>
      </c>
      <c r="F131" s="10" t="s">
        <v>1827</v>
      </c>
      <c r="G131" s="10" t="s">
        <v>1827</v>
      </c>
      <c r="H131" s="10" t="s">
        <v>1827</v>
      </c>
      <c r="I131" s="111">
        <v>46195</v>
      </c>
      <c r="J131" s="10"/>
      <c r="K131" s="10" t="s">
        <v>1006</v>
      </c>
      <c r="L131" s="10"/>
      <c r="M131" s="1107"/>
    </row>
    <row r="132" spans="1:13" ht="15.5">
      <c r="A132" s="10">
        <v>128</v>
      </c>
      <c r="B132" s="10">
        <v>128</v>
      </c>
      <c r="C132" s="908" t="s">
        <v>181</v>
      </c>
      <c r="D132" s="1287" t="str">
        <f>VLOOKUP(C132,Erection!$C$5:$D$311,2,0)</f>
        <v>DA+6</v>
      </c>
      <c r="E132" s="10" t="s">
        <v>1827</v>
      </c>
      <c r="F132" s="10" t="s">
        <v>1827</v>
      </c>
      <c r="G132" s="10" t="s">
        <v>1827</v>
      </c>
      <c r="H132" s="10" t="s">
        <v>1827</v>
      </c>
      <c r="I132" s="111">
        <v>46195</v>
      </c>
      <c r="J132" s="10"/>
      <c r="K132" s="10" t="s">
        <v>1006</v>
      </c>
      <c r="L132" s="10"/>
      <c r="M132" s="1107"/>
    </row>
    <row r="133" spans="1:13" ht="15.5">
      <c r="A133" s="10">
        <v>129</v>
      </c>
      <c r="B133" s="10">
        <v>129</v>
      </c>
      <c r="C133" s="908" t="s">
        <v>182</v>
      </c>
      <c r="D133" s="1287" t="str">
        <f>VLOOKUP(C133,Erection!$C$5:$D$311,2,0)</f>
        <v>DA+0</v>
      </c>
      <c r="E133" s="10" t="s">
        <v>1827</v>
      </c>
      <c r="F133" s="10" t="s">
        <v>1827</v>
      </c>
      <c r="G133" s="10" t="s">
        <v>1827</v>
      </c>
      <c r="H133" s="10" t="s">
        <v>1827</v>
      </c>
      <c r="I133" s="111">
        <v>46195</v>
      </c>
      <c r="J133" s="10"/>
      <c r="K133" s="10" t="s">
        <v>1006</v>
      </c>
      <c r="L133" s="10"/>
      <c r="M133" s="1107"/>
    </row>
    <row r="134" spans="1:13" ht="15.5">
      <c r="A134" s="10">
        <v>130</v>
      </c>
      <c r="B134" s="10">
        <v>130</v>
      </c>
      <c r="C134" s="908" t="s">
        <v>427</v>
      </c>
      <c r="D134" s="1287" t="str">
        <f>VLOOKUP(C134,Erection!$C$5:$D$311,2,0)</f>
        <v>DA+0</v>
      </c>
      <c r="E134" s="10" t="s">
        <v>1827</v>
      </c>
      <c r="F134" s="10" t="s">
        <v>1827</v>
      </c>
      <c r="G134" s="10" t="s">
        <v>1827</v>
      </c>
      <c r="H134" s="10" t="s">
        <v>1827</v>
      </c>
      <c r="I134" s="111">
        <v>46195</v>
      </c>
      <c r="J134" s="10"/>
      <c r="K134" s="10" t="s">
        <v>1006</v>
      </c>
      <c r="L134" s="10"/>
      <c r="M134" s="1107"/>
    </row>
    <row r="135" spans="1:13" ht="15.5">
      <c r="A135" s="10">
        <v>131</v>
      </c>
      <c r="B135" s="10">
        <v>131</v>
      </c>
      <c r="C135" s="908" t="s">
        <v>55</v>
      </c>
      <c r="D135" s="1287" t="str">
        <f>VLOOKUP(C135,Erection!$C$5:$D$311,2,0)</f>
        <v>DC2+15</v>
      </c>
      <c r="E135" s="10" t="s">
        <v>1827</v>
      </c>
      <c r="F135" s="10" t="s">
        <v>1827</v>
      </c>
      <c r="G135" s="10" t="s">
        <v>1827</v>
      </c>
      <c r="H135" s="10" t="s">
        <v>1827</v>
      </c>
      <c r="I135" s="111">
        <v>46195</v>
      </c>
      <c r="J135" s="10"/>
      <c r="K135" s="10" t="s">
        <v>1006</v>
      </c>
      <c r="L135" s="10"/>
      <c r="M135" s="1107"/>
    </row>
    <row r="136" spans="1:13" ht="15.5">
      <c r="A136" s="10">
        <v>132</v>
      </c>
      <c r="B136" s="10">
        <v>132</v>
      </c>
      <c r="C136" s="908" t="s">
        <v>56</v>
      </c>
      <c r="D136" s="1287" t="str">
        <f>VLOOKUP(C136,Erection!$C$5:$D$311,2,0)</f>
        <v>DB2+9</v>
      </c>
      <c r="E136" s="10" t="s">
        <v>1827</v>
      </c>
      <c r="F136" s="10" t="s">
        <v>1827</v>
      </c>
      <c r="G136" s="10" t="s">
        <v>1827</v>
      </c>
      <c r="H136" s="10" t="s">
        <v>1827</v>
      </c>
      <c r="I136" s="111">
        <v>46195</v>
      </c>
      <c r="J136" s="10"/>
      <c r="K136" s="10" t="s">
        <v>1006</v>
      </c>
      <c r="L136" s="10"/>
      <c r="M136" s="1107"/>
    </row>
    <row r="137" spans="1:13" ht="15.5">
      <c r="A137" s="10">
        <v>133</v>
      </c>
      <c r="B137" s="10">
        <v>133</v>
      </c>
      <c r="C137" s="908" t="s">
        <v>674</v>
      </c>
      <c r="D137" s="1287" t="str">
        <f>VLOOKUP(C137,Erection!$C$5:$D$311,2,0)</f>
        <v>DB1+9</v>
      </c>
      <c r="E137" s="10" t="s">
        <v>1827</v>
      </c>
      <c r="F137" s="10" t="s">
        <v>1827</v>
      </c>
      <c r="G137" s="10" t="s">
        <v>1827</v>
      </c>
      <c r="H137" s="10" t="s">
        <v>1827</v>
      </c>
      <c r="I137" s="111">
        <v>46195</v>
      </c>
      <c r="J137" s="10"/>
      <c r="K137" s="10" t="s">
        <v>1006</v>
      </c>
      <c r="L137" s="10"/>
      <c r="M137" s="1107"/>
    </row>
    <row r="138" spans="1:13" ht="15.5">
      <c r="A138" s="10">
        <v>134</v>
      </c>
      <c r="B138" s="10">
        <v>134</v>
      </c>
      <c r="C138" s="908" t="s">
        <v>57</v>
      </c>
      <c r="D138" s="1287" t="str">
        <f>VLOOKUP(C138,Erection!$C$5:$D$311,2,0)</f>
        <v>DD60+18</v>
      </c>
      <c r="E138" s="10" t="s">
        <v>1827</v>
      </c>
      <c r="F138" s="10" t="s">
        <v>1827</v>
      </c>
      <c r="G138" s="10" t="s">
        <v>1827</v>
      </c>
      <c r="H138" s="10" t="s">
        <v>1827</v>
      </c>
      <c r="I138" s="111">
        <v>46195</v>
      </c>
      <c r="J138" s="10"/>
      <c r="K138" s="10" t="s">
        <v>1006</v>
      </c>
      <c r="L138" s="10"/>
      <c r="M138" s="1107"/>
    </row>
    <row r="139" spans="1:13" ht="15.5">
      <c r="A139" s="10">
        <v>135</v>
      </c>
      <c r="B139" s="10">
        <v>135</v>
      </c>
      <c r="C139" s="908" t="s">
        <v>58</v>
      </c>
      <c r="D139" s="1287" t="str">
        <f>VLOOKUP(C139,Erection!$C$5:$D$311,2,0)</f>
        <v>DD60+18</v>
      </c>
      <c r="E139" s="10" t="s">
        <v>1827</v>
      </c>
      <c r="F139" s="10" t="s">
        <v>1827</v>
      </c>
      <c r="G139" s="10" t="s">
        <v>1827</v>
      </c>
      <c r="H139" s="10" t="s">
        <v>1827</v>
      </c>
      <c r="I139" s="111">
        <v>46196</v>
      </c>
      <c r="J139" s="10"/>
      <c r="K139" s="10" t="s">
        <v>1006</v>
      </c>
      <c r="L139" s="10"/>
      <c r="M139" s="1107"/>
    </row>
    <row r="140" spans="1:13" ht="15.5">
      <c r="A140" s="10">
        <v>136</v>
      </c>
      <c r="B140" s="10">
        <v>136</v>
      </c>
      <c r="C140" s="908" t="s">
        <v>59</v>
      </c>
      <c r="D140" s="1287" t="str">
        <f>VLOOKUP(C140,Erection!$C$5:$D$311,2,0)</f>
        <v>DD60+35</v>
      </c>
      <c r="E140" s="10" t="s">
        <v>1827</v>
      </c>
      <c r="F140" s="10" t="s">
        <v>1827</v>
      </c>
      <c r="G140" s="10" t="s">
        <v>1827</v>
      </c>
      <c r="H140" s="10" t="s">
        <v>1827</v>
      </c>
      <c r="I140" s="111">
        <v>46196</v>
      </c>
      <c r="J140" s="10"/>
      <c r="K140" s="10" t="s">
        <v>1006</v>
      </c>
      <c r="L140" s="10"/>
      <c r="M140" s="1107"/>
    </row>
    <row r="141" spans="1:13" ht="15.5">
      <c r="A141" s="10">
        <v>137</v>
      </c>
      <c r="B141" s="10">
        <v>137</v>
      </c>
      <c r="C141" s="908" t="s">
        <v>60</v>
      </c>
      <c r="D141" s="1287" t="str">
        <f>VLOOKUP(C141,Erection!$C$5:$D$311,2,0)</f>
        <v>DD60+35</v>
      </c>
      <c r="E141" s="10" t="s">
        <v>1827</v>
      </c>
      <c r="F141" s="10" t="s">
        <v>1827</v>
      </c>
      <c r="G141" s="10" t="s">
        <v>1827</v>
      </c>
      <c r="H141" s="10" t="s">
        <v>1827</v>
      </c>
      <c r="I141" s="111">
        <v>46196</v>
      </c>
      <c r="J141" s="10"/>
      <c r="K141" s="10" t="s">
        <v>1006</v>
      </c>
      <c r="L141" s="10"/>
      <c r="M141" s="1107"/>
    </row>
    <row r="142" spans="1:13" ht="15.5">
      <c r="A142" s="10">
        <v>138</v>
      </c>
      <c r="B142" s="10">
        <v>138</v>
      </c>
      <c r="C142" s="908" t="s">
        <v>62</v>
      </c>
      <c r="D142" s="1287" t="str">
        <f>VLOOKUP(C142,Erection!$C$5:$D$311,2,0)</f>
        <v>DA-1.5</v>
      </c>
      <c r="E142" s="10" t="s">
        <v>1827</v>
      </c>
      <c r="F142" s="10" t="s">
        <v>1827</v>
      </c>
      <c r="G142" s="10" t="s">
        <v>1827</v>
      </c>
      <c r="H142" s="10" t="s">
        <v>1827</v>
      </c>
      <c r="I142" s="111">
        <v>46196</v>
      </c>
      <c r="J142" s="10"/>
      <c r="K142" s="10" t="s">
        <v>1006</v>
      </c>
      <c r="L142" s="10"/>
      <c r="M142" s="1107"/>
    </row>
    <row r="143" spans="1:13" ht="15.5">
      <c r="A143" s="10">
        <v>139</v>
      </c>
      <c r="B143" s="10">
        <v>139</v>
      </c>
      <c r="C143" s="908" t="s">
        <v>153</v>
      </c>
      <c r="D143" s="1287" t="str">
        <f>VLOOKUP(C143,Erection!$C$5:$D$311,2,0)</f>
        <v>DA+1.5</v>
      </c>
      <c r="E143" s="10" t="s">
        <v>1827</v>
      </c>
      <c r="F143" s="10" t="s">
        <v>1827</v>
      </c>
      <c r="G143" s="10" t="s">
        <v>1827</v>
      </c>
      <c r="H143" s="10" t="s">
        <v>1827</v>
      </c>
      <c r="I143" s="111">
        <v>46196</v>
      </c>
      <c r="J143" s="10"/>
      <c r="K143" s="10" t="s">
        <v>1006</v>
      </c>
      <c r="L143" s="10"/>
      <c r="M143" s="1107"/>
    </row>
    <row r="144" spans="1:13" ht="15.5">
      <c r="A144" s="10">
        <v>140</v>
      </c>
      <c r="B144" s="10">
        <v>140</v>
      </c>
      <c r="C144" s="908" t="s">
        <v>155</v>
      </c>
      <c r="D144" s="1287" t="str">
        <f>VLOOKUP(C144,Erection!$C$5:$D$311,2,0)</f>
        <v>DA+1.5</v>
      </c>
      <c r="E144" s="10" t="s">
        <v>1827</v>
      </c>
      <c r="F144" s="10" t="s">
        <v>1827</v>
      </c>
      <c r="G144" s="10" t="s">
        <v>1827</v>
      </c>
      <c r="H144" s="10" t="s">
        <v>1827</v>
      </c>
      <c r="I144" s="111">
        <v>46196</v>
      </c>
      <c r="J144" s="10"/>
      <c r="K144" s="10" t="s">
        <v>1006</v>
      </c>
      <c r="L144" s="10"/>
      <c r="M144" s="1107"/>
    </row>
    <row r="145" spans="1:13" ht="15.5">
      <c r="A145" s="10">
        <v>141</v>
      </c>
      <c r="B145" s="10">
        <v>141</v>
      </c>
      <c r="C145" s="908" t="s">
        <v>162</v>
      </c>
      <c r="D145" s="1287" t="str">
        <f>VLOOKUP(C145,Erection!$C$5:$D$311,2,0)</f>
        <v>DA-3</v>
      </c>
      <c r="E145" s="10" t="s">
        <v>1827</v>
      </c>
      <c r="F145" s="10" t="s">
        <v>1827</v>
      </c>
      <c r="G145" s="10" t="s">
        <v>1827</v>
      </c>
      <c r="H145" s="10" t="s">
        <v>1827</v>
      </c>
      <c r="I145" s="111">
        <v>46196</v>
      </c>
      <c r="J145" s="10"/>
      <c r="K145" s="10" t="s">
        <v>1006</v>
      </c>
      <c r="L145" s="10"/>
      <c r="M145" s="1107"/>
    </row>
    <row r="146" spans="1:13" ht="15.5">
      <c r="A146" s="10">
        <v>142</v>
      </c>
      <c r="B146" s="10">
        <v>142</v>
      </c>
      <c r="C146" s="908" t="s">
        <v>63</v>
      </c>
      <c r="D146" s="1287" t="str">
        <f>VLOOKUP(C146,Erection!$C$5:$D$311,2,0)</f>
        <v>DC2-3</v>
      </c>
      <c r="E146" s="10" t="s">
        <v>1827</v>
      </c>
      <c r="F146" s="10" t="s">
        <v>1827</v>
      </c>
      <c r="G146" s="10" t="s">
        <v>1827</v>
      </c>
      <c r="H146" s="10" t="s">
        <v>1827</v>
      </c>
      <c r="I146" s="111">
        <v>46197</v>
      </c>
      <c r="J146" s="10"/>
      <c r="K146" s="10" t="s">
        <v>1006</v>
      </c>
      <c r="L146" s="10"/>
      <c r="M146" s="1107"/>
    </row>
    <row r="147" spans="1:13" ht="15.5">
      <c r="A147" s="10">
        <v>143</v>
      </c>
      <c r="B147" s="10">
        <v>143</v>
      </c>
      <c r="C147" s="908" t="s">
        <v>64</v>
      </c>
      <c r="D147" s="1287" t="str">
        <f>VLOOKUP(C147,Erection!$C$5:$D$311,2,0)</f>
        <v>DC1+0</v>
      </c>
      <c r="E147" s="10" t="s">
        <v>1827</v>
      </c>
      <c r="F147" s="10" t="s">
        <v>1827</v>
      </c>
      <c r="G147" s="10" t="s">
        <v>1827</v>
      </c>
      <c r="H147" s="10" t="s">
        <v>1827</v>
      </c>
      <c r="I147" s="111">
        <v>46197</v>
      </c>
      <c r="J147" s="10"/>
      <c r="K147" s="10" t="s">
        <v>1006</v>
      </c>
      <c r="L147" s="10"/>
      <c r="M147" s="1107"/>
    </row>
    <row r="148" spans="1:13" ht="15.5">
      <c r="A148" s="10">
        <v>144</v>
      </c>
      <c r="B148" s="10">
        <v>144</v>
      </c>
      <c r="C148" s="908" t="s">
        <v>430</v>
      </c>
      <c r="D148" s="1287" t="str">
        <f>VLOOKUP(C148,Erection!$C$5:$D$311,2,0)</f>
        <v>DA+6</v>
      </c>
      <c r="E148" s="10" t="s">
        <v>1827</v>
      </c>
      <c r="F148" s="10" t="s">
        <v>1827</v>
      </c>
      <c r="G148" s="10" t="s">
        <v>1827</v>
      </c>
      <c r="H148" s="10" t="s">
        <v>1827</v>
      </c>
      <c r="I148" s="111">
        <v>46197</v>
      </c>
      <c r="J148" s="10"/>
      <c r="K148" s="10" t="s">
        <v>1006</v>
      </c>
      <c r="L148" s="10"/>
      <c r="M148" s="1107"/>
    </row>
    <row r="149" spans="1:13" ht="15.5">
      <c r="A149" s="10">
        <v>145</v>
      </c>
      <c r="B149" s="10">
        <v>145</v>
      </c>
      <c r="C149" s="908" t="s">
        <v>431</v>
      </c>
      <c r="D149" s="1287" t="str">
        <f>VLOOKUP(C149,Erection!$C$5:$D$311,2,0)</f>
        <v>DA+0</v>
      </c>
      <c r="E149" s="10" t="s">
        <v>1827</v>
      </c>
      <c r="F149" s="10" t="s">
        <v>1827</v>
      </c>
      <c r="G149" s="10" t="s">
        <v>1827</v>
      </c>
      <c r="H149" s="10" t="s">
        <v>1827</v>
      </c>
      <c r="I149" s="111">
        <v>46197</v>
      </c>
      <c r="J149" s="10"/>
      <c r="K149" s="10" t="s">
        <v>1006</v>
      </c>
      <c r="L149" s="10"/>
      <c r="M149" s="1107"/>
    </row>
    <row r="150" spans="1:13" ht="15.5">
      <c r="A150" s="10">
        <v>146</v>
      </c>
      <c r="B150" s="10">
        <v>146</v>
      </c>
      <c r="C150" s="908" t="s">
        <v>432</v>
      </c>
      <c r="D150" s="1287" t="str">
        <f>VLOOKUP(C150,Erection!$C$5:$D$311,2,0)</f>
        <v>DA+0</v>
      </c>
      <c r="E150" s="10" t="s">
        <v>1827</v>
      </c>
      <c r="F150" s="10" t="s">
        <v>1827</v>
      </c>
      <c r="G150" s="10" t="s">
        <v>1827</v>
      </c>
      <c r="H150" s="10" t="s">
        <v>1827</v>
      </c>
      <c r="I150" s="111">
        <v>46197</v>
      </c>
      <c r="J150" s="10"/>
      <c r="K150" s="10" t="s">
        <v>1006</v>
      </c>
      <c r="L150" s="10"/>
      <c r="M150" s="1107"/>
    </row>
    <row r="151" spans="1:13" ht="15.5">
      <c r="A151" s="10">
        <v>147</v>
      </c>
      <c r="B151" s="10">
        <v>147</v>
      </c>
      <c r="C151" s="908" t="s">
        <v>433</v>
      </c>
      <c r="D151" s="1287" t="str">
        <f>VLOOKUP(C151,Erection!$C$5:$D$311,2,0)</f>
        <v>DA+3</v>
      </c>
      <c r="E151" s="10" t="s">
        <v>1827</v>
      </c>
      <c r="F151" s="10" t="s">
        <v>1827</v>
      </c>
      <c r="G151" s="10" t="s">
        <v>1827</v>
      </c>
      <c r="H151" s="10" t="s">
        <v>1827</v>
      </c>
      <c r="I151" s="111">
        <v>46197</v>
      </c>
      <c r="J151" s="10"/>
      <c r="K151" s="10" t="s">
        <v>1006</v>
      </c>
      <c r="L151" s="10"/>
      <c r="M151" s="1107"/>
    </row>
    <row r="152" spans="1:13" ht="15.5">
      <c r="A152" s="10">
        <v>148</v>
      </c>
      <c r="B152" s="10">
        <v>148</v>
      </c>
      <c r="C152" s="908" t="s">
        <v>434</v>
      </c>
      <c r="D152" s="1287" t="str">
        <f>VLOOKUP(C152,Erection!$C$5:$D$311,2,0)</f>
        <v>DA+0</v>
      </c>
      <c r="E152" s="10" t="s">
        <v>1827</v>
      </c>
      <c r="F152" s="10" t="s">
        <v>1827</v>
      </c>
      <c r="G152" s="10" t="s">
        <v>1827</v>
      </c>
      <c r="H152" s="10" t="s">
        <v>1827</v>
      </c>
      <c r="I152" s="111">
        <v>46197</v>
      </c>
      <c r="J152" s="10"/>
      <c r="K152" s="10" t="s">
        <v>1006</v>
      </c>
      <c r="L152" s="10"/>
      <c r="M152" s="1107"/>
    </row>
    <row r="153" spans="1:13" ht="15.5">
      <c r="A153" s="10">
        <v>149</v>
      </c>
      <c r="B153" s="10">
        <v>149</v>
      </c>
      <c r="C153" s="908" t="s">
        <v>899</v>
      </c>
      <c r="D153" s="1287" t="str">
        <f>VLOOKUP(C153,Erection!$C$5:$D$311,2,0)</f>
        <v>DA+6</v>
      </c>
      <c r="E153" s="10" t="s">
        <v>1827</v>
      </c>
      <c r="F153" s="10" t="s">
        <v>1827</v>
      </c>
      <c r="G153" s="10" t="s">
        <v>1827</v>
      </c>
      <c r="H153" s="10" t="s">
        <v>1827</v>
      </c>
      <c r="I153" s="111">
        <v>46197</v>
      </c>
      <c r="J153" s="10"/>
      <c r="K153" s="10" t="s">
        <v>1006</v>
      </c>
      <c r="L153" s="10"/>
      <c r="M153" s="1107"/>
    </row>
    <row r="154" spans="1:13" ht="15.5">
      <c r="A154" s="10">
        <v>150</v>
      </c>
      <c r="B154" s="10">
        <v>150</v>
      </c>
      <c r="C154" s="908" t="s">
        <v>900</v>
      </c>
      <c r="D154" s="1287" t="str">
        <f>VLOOKUP(C154,Erection!$C$5:$D$311,2,0)</f>
        <v>DA+6</v>
      </c>
      <c r="E154" s="10" t="s">
        <v>1827</v>
      </c>
      <c r="F154" s="10" t="s">
        <v>1827</v>
      </c>
      <c r="G154" s="10" t="s">
        <v>1827</v>
      </c>
      <c r="H154" s="10" t="s">
        <v>1827</v>
      </c>
      <c r="I154" s="111">
        <v>46197</v>
      </c>
      <c r="J154" s="10"/>
      <c r="K154" s="10" t="s">
        <v>1006</v>
      </c>
      <c r="L154" s="10"/>
      <c r="M154" s="1107"/>
    </row>
    <row r="155" spans="1:13" ht="15.5">
      <c r="A155" s="10">
        <v>151</v>
      </c>
      <c r="B155" s="10">
        <v>151</v>
      </c>
      <c r="C155" s="908" t="s">
        <v>901</v>
      </c>
      <c r="D155" s="1287" t="str">
        <f>VLOOKUP(C155,Erection!$C$5:$D$311,2,0)</f>
        <v>DA+6</v>
      </c>
      <c r="E155" s="10" t="s">
        <v>1827</v>
      </c>
      <c r="F155" s="10" t="s">
        <v>1827</v>
      </c>
      <c r="G155" s="10" t="s">
        <v>1827</v>
      </c>
      <c r="H155" s="10" t="s">
        <v>1827</v>
      </c>
      <c r="I155" s="111">
        <v>46197</v>
      </c>
      <c r="J155" s="10"/>
      <c r="K155" s="10" t="s">
        <v>1006</v>
      </c>
      <c r="L155" s="10"/>
      <c r="M155" s="1107"/>
    </row>
    <row r="156" spans="1:13" ht="15.5">
      <c r="A156" s="10">
        <v>152</v>
      </c>
      <c r="B156" s="10">
        <v>152</v>
      </c>
      <c r="C156" s="908" t="s">
        <v>902</v>
      </c>
      <c r="D156" s="1287" t="str">
        <f>VLOOKUP(C156,Erection!$C$5:$D$311,2,0)</f>
        <v>DA+3</v>
      </c>
      <c r="E156" s="10" t="s">
        <v>1827</v>
      </c>
      <c r="F156" s="10" t="s">
        <v>1827</v>
      </c>
      <c r="G156" s="10" t="s">
        <v>1827</v>
      </c>
      <c r="H156" s="10" t="s">
        <v>1827</v>
      </c>
      <c r="I156" s="111">
        <v>46197</v>
      </c>
      <c r="J156" s="10"/>
      <c r="K156" s="10" t="s">
        <v>1006</v>
      </c>
      <c r="L156" s="10"/>
      <c r="M156" s="1107"/>
    </row>
    <row r="157" spans="1:13" ht="15.5">
      <c r="A157" s="10">
        <v>153</v>
      </c>
      <c r="B157" s="10">
        <v>153</v>
      </c>
      <c r="C157" s="908" t="s">
        <v>903</v>
      </c>
      <c r="D157" s="1287" t="str">
        <f>VLOOKUP(C157,Erection!$C$5:$D$311,2,0)</f>
        <v>DA+6</v>
      </c>
      <c r="E157" s="10" t="s">
        <v>1827</v>
      </c>
      <c r="F157" s="10" t="s">
        <v>1827</v>
      </c>
      <c r="G157" s="10" t="s">
        <v>1827</v>
      </c>
      <c r="H157" s="10" t="s">
        <v>1827</v>
      </c>
      <c r="I157" s="111">
        <v>46197</v>
      </c>
      <c r="J157" s="10"/>
      <c r="K157" s="10" t="s">
        <v>1006</v>
      </c>
      <c r="L157" s="10"/>
      <c r="M157" s="1107"/>
    </row>
    <row r="158" spans="1:13" ht="15.5">
      <c r="A158" s="10">
        <v>154</v>
      </c>
      <c r="B158" s="10">
        <v>154</v>
      </c>
      <c r="C158" s="908" t="s">
        <v>904</v>
      </c>
      <c r="D158" s="1287" t="str">
        <f>VLOOKUP(C158,Erection!$C$5:$D$311,2,0)</f>
        <v>DA+9</v>
      </c>
      <c r="E158" s="10" t="s">
        <v>1827</v>
      </c>
      <c r="F158" s="10" t="s">
        <v>1827</v>
      </c>
      <c r="G158" s="10" t="s">
        <v>1827</v>
      </c>
      <c r="H158" s="10" t="s">
        <v>1827</v>
      </c>
      <c r="I158" s="111">
        <v>46197</v>
      </c>
      <c r="J158" s="10"/>
      <c r="K158" s="10" t="s">
        <v>1006</v>
      </c>
      <c r="L158" s="10"/>
      <c r="M158" s="1107"/>
    </row>
    <row r="159" spans="1:13" ht="15.5">
      <c r="A159" s="10">
        <v>155</v>
      </c>
      <c r="B159" s="10">
        <v>155</v>
      </c>
      <c r="C159" s="908" t="s">
        <v>26</v>
      </c>
      <c r="D159" s="1287" t="str">
        <f>VLOOKUP(C159,Erection!$C$5:$D$311,2,0)</f>
        <v>DA+0</v>
      </c>
      <c r="E159" s="10" t="s">
        <v>1827</v>
      </c>
      <c r="F159" s="10" t="s">
        <v>1827</v>
      </c>
      <c r="G159" s="10" t="s">
        <v>1827</v>
      </c>
      <c r="H159" s="10" t="s">
        <v>1827</v>
      </c>
      <c r="I159" s="111">
        <v>46197</v>
      </c>
      <c r="J159" s="10"/>
      <c r="K159" s="10" t="s">
        <v>1006</v>
      </c>
      <c r="L159" s="10"/>
      <c r="M159" s="1107"/>
    </row>
    <row r="160" spans="1:13" ht="15.5">
      <c r="A160" s="10">
        <v>156</v>
      </c>
      <c r="B160" s="10">
        <v>156</v>
      </c>
      <c r="C160" s="908" t="s">
        <v>435</v>
      </c>
      <c r="D160" s="1287" t="str">
        <f>VLOOKUP(C160,Erection!$C$5:$D$311,2,0)</f>
        <v>DA+9</v>
      </c>
      <c r="E160" s="10" t="s">
        <v>1827</v>
      </c>
      <c r="F160" s="10" t="s">
        <v>1827</v>
      </c>
      <c r="G160" s="10" t="s">
        <v>1827</v>
      </c>
      <c r="H160" s="10" t="s">
        <v>1827</v>
      </c>
      <c r="I160" s="111">
        <v>46197</v>
      </c>
      <c r="J160" s="10"/>
      <c r="K160" s="10" t="s">
        <v>1006</v>
      </c>
      <c r="L160" s="10"/>
      <c r="M160" s="1107"/>
    </row>
    <row r="161" spans="1:13" ht="15.5">
      <c r="A161" s="10">
        <v>157</v>
      </c>
      <c r="B161" s="10">
        <v>157</v>
      </c>
      <c r="C161" s="908" t="s">
        <v>438</v>
      </c>
      <c r="D161" s="1287" t="str">
        <f>VLOOKUP(C161,Erection!$C$5:$D$311,2,0)</f>
        <v>DA+0</v>
      </c>
      <c r="E161" s="10" t="s">
        <v>1827</v>
      </c>
      <c r="F161" s="10" t="s">
        <v>1827</v>
      </c>
      <c r="G161" s="10" t="s">
        <v>1827</v>
      </c>
      <c r="H161" s="10" t="s">
        <v>1827</v>
      </c>
      <c r="I161" s="111">
        <v>46197</v>
      </c>
      <c r="J161" s="10"/>
      <c r="K161" s="10" t="s">
        <v>1006</v>
      </c>
      <c r="L161" s="10"/>
      <c r="M161" s="1107"/>
    </row>
    <row r="162" spans="1:13" ht="15.5">
      <c r="A162" s="10">
        <v>158</v>
      </c>
      <c r="B162" s="10">
        <v>158</v>
      </c>
      <c r="C162" s="908" t="s">
        <v>440</v>
      </c>
      <c r="D162" s="1287" t="str">
        <f>VLOOKUP(C162,Erection!$C$5:$D$311,2,0)</f>
        <v>DA-3</v>
      </c>
      <c r="E162" s="10" t="s">
        <v>1827</v>
      </c>
      <c r="F162" s="10" t="s">
        <v>1827</v>
      </c>
      <c r="G162" s="10" t="s">
        <v>1827</v>
      </c>
      <c r="H162" s="10" t="s">
        <v>1827</v>
      </c>
      <c r="I162" s="111">
        <v>46197</v>
      </c>
      <c r="J162" s="10"/>
      <c r="K162" s="10" t="s">
        <v>1006</v>
      </c>
      <c r="L162" s="10"/>
      <c r="M162" s="1107"/>
    </row>
    <row r="163" spans="1:13" ht="15.5">
      <c r="A163" s="10">
        <v>159</v>
      </c>
      <c r="B163" s="10">
        <v>159</v>
      </c>
      <c r="C163" s="908" t="s">
        <v>441</v>
      </c>
      <c r="D163" s="1287" t="str">
        <f>VLOOKUP(C163,Erection!$C$5:$D$311,2,0)</f>
        <v>DA+3</v>
      </c>
      <c r="E163" s="10" t="s">
        <v>1827</v>
      </c>
      <c r="F163" s="10" t="s">
        <v>1827</v>
      </c>
      <c r="G163" s="10" t="s">
        <v>1827</v>
      </c>
      <c r="H163" s="10" t="s">
        <v>1827</v>
      </c>
      <c r="I163" s="111">
        <v>46197</v>
      </c>
      <c r="J163" s="10"/>
      <c r="K163" s="10" t="s">
        <v>1006</v>
      </c>
      <c r="L163" s="10"/>
      <c r="M163" s="1107"/>
    </row>
    <row r="164" spans="1:13" ht="15.5">
      <c r="A164" s="10">
        <v>160</v>
      </c>
      <c r="B164" s="10">
        <v>160</v>
      </c>
      <c r="C164" s="908" t="s">
        <v>442</v>
      </c>
      <c r="D164" s="1287" t="str">
        <f>VLOOKUP(C164,Erection!$C$5:$D$311,2,0)</f>
        <v>DA-3</v>
      </c>
      <c r="E164" s="10" t="s">
        <v>1827</v>
      </c>
      <c r="F164" s="10" t="s">
        <v>1827</v>
      </c>
      <c r="G164" s="10" t="s">
        <v>1827</v>
      </c>
      <c r="H164" s="10" t="s">
        <v>1827</v>
      </c>
      <c r="I164" s="111">
        <v>46197</v>
      </c>
      <c r="J164" s="10"/>
      <c r="K164" s="10" t="s">
        <v>1006</v>
      </c>
      <c r="L164" s="10"/>
      <c r="M164" s="1107"/>
    </row>
    <row r="165" spans="1:13" ht="15.5">
      <c r="A165" s="10">
        <v>161</v>
      </c>
      <c r="B165" s="10">
        <v>161</v>
      </c>
      <c r="C165" s="908" t="s">
        <v>443</v>
      </c>
      <c r="D165" s="1287" t="str">
        <f>VLOOKUP(C165,Erection!$C$5:$D$311,2,0)</f>
        <v>DA+3</v>
      </c>
      <c r="E165" s="10" t="s">
        <v>1827</v>
      </c>
      <c r="F165" s="10" t="s">
        <v>1827</v>
      </c>
      <c r="G165" s="10" t="s">
        <v>1827</v>
      </c>
      <c r="H165" s="10" t="s">
        <v>1827</v>
      </c>
      <c r="I165" s="111">
        <v>46197</v>
      </c>
      <c r="J165" s="10"/>
      <c r="K165" s="10" t="s">
        <v>1006</v>
      </c>
      <c r="L165" s="10"/>
      <c r="M165" s="1107"/>
    </row>
    <row r="166" spans="1:13" ht="15.5">
      <c r="A166" s="10">
        <v>162</v>
      </c>
      <c r="B166" s="10">
        <v>162</v>
      </c>
      <c r="C166" s="908" t="s">
        <v>9</v>
      </c>
      <c r="D166" s="1287" t="str">
        <f>VLOOKUP(C166,Erection!$C$5:$D$311,2,0)</f>
        <v>DB1+0</v>
      </c>
      <c r="E166" s="10" t="s">
        <v>1827</v>
      </c>
      <c r="F166" s="10" t="s">
        <v>1827</v>
      </c>
      <c r="G166" s="10" t="s">
        <v>1827</v>
      </c>
      <c r="H166" s="10" t="s">
        <v>1827</v>
      </c>
      <c r="I166" s="111">
        <v>46197</v>
      </c>
      <c r="J166" s="10"/>
      <c r="K166" s="10" t="s">
        <v>1006</v>
      </c>
      <c r="L166" s="10"/>
      <c r="M166" s="1107"/>
    </row>
    <row r="167" spans="1:13" ht="15.5">
      <c r="A167" s="10">
        <v>163</v>
      </c>
      <c r="B167" s="10">
        <v>163</v>
      </c>
      <c r="C167" s="908" t="s">
        <v>82</v>
      </c>
      <c r="D167" s="1287" t="str">
        <f>VLOOKUP(C167,Erection!$C$5:$D$311,2,0)</f>
        <v>DA+3</v>
      </c>
      <c r="E167" s="10" t="s">
        <v>1827</v>
      </c>
      <c r="F167" s="10" t="s">
        <v>1827</v>
      </c>
      <c r="G167" s="10" t="s">
        <v>1827</v>
      </c>
      <c r="H167" s="10" t="s">
        <v>1827</v>
      </c>
      <c r="I167" s="111">
        <v>46197</v>
      </c>
      <c r="J167" s="10"/>
      <c r="K167" s="10" t="s">
        <v>1006</v>
      </c>
      <c r="L167" s="10"/>
      <c r="M167" s="1107"/>
    </row>
    <row r="168" spans="1:13" ht="15.5">
      <c r="A168" s="10">
        <v>164</v>
      </c>
      <c r="B168" s="10">
        <v>164</v>
      </c>
      <c r="C168" s="908" t="s">
        <v>163</v>
      </c>
      <c r="D168" s="1287" t="str">
        <f>VLOOKUP(C168,Erection!$C$5:$D$311,2,0)</f>
        <v>DA+1.5</v>
      </c>
      <c r="E168" s="10" t="s">
        <v>1827</v>
      </c>
      <c r="F168" s="10" t="s">
        <v>1827</v>
      </c>
      <c r="G168" s="10" t="s">
        <v>1827</v>
      </c>
      <c r="H168" s="10" t="s">
        <v>1827</v>
      </c>
      <c r="I168" s="111">
        <v>46197</v>
      </c>
      <c r="J168" s="10"/>
      <c r="K168" s="10" t="s">
        <v>1006</v>
      </c>
      <c r="L168" s="10"/>
      <c r="M168" s="1107"/>
    </row>
    <row r="169" spans="1:13" ht="15.5">
      <c r="A169" s="10">
        <v>165</v>
      </c>
      <c r="B169" s="10">
        <v>165</v>
      </c>
      <c r="C169" s="908" t="s">
        <v>164</v>
      </c>
      <c r="D169" s="1287" t="str">
        <f>VLOOKUP(C169,Erection!$C$5:$D$311,2,0)</f>
        <v>DA+3</v>
      </c>
      <c r="E169" s="10" t="s">
        <v>1827</v>
      </c>
      <c r="F169" s="10" t="s">
        <v>1827</v>
      </c>
      <c r="G169" s="10" t="s">
        <v>1827</v>
      </c>
      <c r="H169" s="10" t="s">
        <v>1827</v>
      </c>
      <c r="I169" s="111">
        <v>46198</v>
      </c>
      <c r="J169" s="10"/>
      <c r="K169" s="10" t="s">
        <v>1006</v>
      </c>
      <c r="L169" s="10"/>
      <c r="M169" s="1107"/>
    </row>
    <row r="170" spans="1:13" ht="15.5">
      <c r="A170" s="10">
        <v>166</v>
      </c>
      <c r="B170" s="10">
        <v>166</v>
      </c>
      <c r="C170" s="908" t="s">
        <v>444</v>
      </c>
      <c r="D170" s="1287" t="str">
        <f>VLOOKUP(C170,Erection!$C$5:$D$311,2,0)</f>
        <v>DA-1.5</v>
      </c>
      <c r="E170" s="10" t="s">
        <v>1827</v>
      </c>
      <c r="F170" s="10" t="s">
        <v>1827</v>
      </c>
      <c r="G170" s="10" t="s">
        <v>1827</v>
      </c>
      <c r="H170" s="10" t="s">
        <v>1827</v>
      </c>
      <c r="I170" s="111">
        <v>46198</v>
      </c>
      <c r="J170" s="10"/>
      <c r="K170" s="10" t="s">
        <v>1006</v>
      </c>
      <c r="L170" s="10"/>
      <c r="M170" s="1107"/>
    </row>
    <row r="171" spans="1:13" ht="15.5">
      <c r="A171" s="10">
        <v>167</v>
      </c>
      <c r="B171" s="10">
        <v>167</v>
      </c>
      <c r="C171" s="908" t="s">
        <v>445</v>
      </c>
      <c r="D171" s="1287" t="str">
        <f>VLOOKUP(C171,Erection!$C$5:$D$311,2,0)</f>
        <v>DA+6</v>
      </c>
      <c r="E171" s="10" t="s">
        <v>1827</v>
      </c>
      <c r="F171" s="10" t="s">
        <v>1827</v>
      </c>
      <c r="G171" s="10" t="s">
        <v>1827</v>
      </c>
      <c r="H171" s="10" t="s">
        <v>1827</v>
      </c>
      <c r="I171" s="111">
        <v>46198</v>
      </c>
      <c r="J171" s="10"/>
      <c r="K171" s="10" t="s">
        <v>1006</v>
      </c>
      <c r="L171" s="10"/>
      <c r="M171" s="1107"/>
    </row>
    <row r="172" spans="1:13" ht="15.5">
      <c r="A172" s="10">
        <v>168</v>
      </c>
      <c r="B172" s="10">
        <v>168</v>
      </c>
      <c r="C172" s="908" t="s">
        <v>446</v>
      </c>
      <c r="D172" s="1287" t="str">
        <f>VLOOKUP(C172,Erection!$C$5:$D$311,2,0)</f>
        <v>DA+9</v>
      </c>
      <c r="E172" s="10" t="s">
        <v>1827</v>
      </c>
      <c r="F172" s="10" t="s">
        <v>1827</v>
      </c>
      <c r="G172" s="10" t="s">
        <v>1827</v>
      </c>
      <c r="H172" s="10" t="s">
        <v>1827</v>
      </c>
      <c r="I172" s="111">
        <v>46198</v>
      </c>
      <c r="J172" s="10"/>
      <c r="K172" s="10" t="s">
        <v>1006</v>
      </c>
      <c r="L172" s="10"/>
      <c r="M172" s="1107"/>
    </row>
    <row r="173" spans="1:13" ht="15.5">
      <c r="A173" s="10">
        <v>169</v>
      </c>
      <c r="B173" s="10">
        <v>169</v>
      </c>
      <c r="C173" s="908" t="s">
        <v>447</v>
      </c>
      <c r="D173" s="1287" t="str">
        <f>VLOOKUP(C173,Erection!$C$5:$D$311,2,0)</f>
        <v>DA+0</v>
      </c>
      <c r="E173" s="10" t="s">
        <v>1827</v>
      </c>
      <c r="F173" s="10" t="s">
        <v>1827</v>
      </c>
      <c r="G173" s="10" t="s">
        <v>1827</v>
      </c>
      <c r="H173" s="10" t="s">
        <v>1827</v>
      </c>
      <c r="I173" s="111">
        <v>46198</v>
      </c>
      <c r="J173" s="10"/>
      <c r="K173" s="10" t="s">
        <v>1006</v>
      </c>
      <c r="L173" s="10"/>
      <c r="M173" s="1107"/>
    </row>
    <row r="174" spans="1:13" ht="15.5">
      <c r="A174" s="10">
        <v>170</v>
      </c>
      <c r="B174" s="10">
        <v>170</v>
      </c>
      <c r="C174" s="908" t="s">
        <v>448</v>
      </c>
      <c r="D174" s="1287" t="str">
        <f>VLOOKUP(C174,Erection!$C$5:$D$311,2,0)</f>
        <v>DA+0</v>
      </c>
      <c r="E174" s="10" t="s">
        <v>1827</v>
      </c>
      <c r="F174" s="10" t="s">
        <v>1827</v>
      </c>
      <c r="G174" s="10" t="s">
        <v>1827</v>
      </c>
      <c r="H174" s="10" t="s">
        <v>1827</v>
      </c>
      <c r="I174" s="111">
        <v>46198</v>
      </c>
      <c r="J174" s="10"/>
      <c r="K174" s="10" t="s">
        <v>1006</v>
      </c>
      <c r="L174" s="10"/>
      <c r="M174" s="1107"/>
    </row>
    <row r="175" spans="1:13" ht="15.5">
      <c r="A175" s="10">
        <v>171</v>
      </c>
      <c r="B175" s="10">
        <v>171</v>
      </c>
      <c r="C175" s="908" t="s">
        <v>449</v>
      </c>
      <c r="D175" s="1287" t="str">
        <f>VLOOKUP(C175,Erection!$C$5:$D$311,2,0)</f>
        <v>DA+1.5</v>
      </c>
      <c r="E175" s="10" t="s">
        <v>1827</v>
      </c>
      <c r="F175" s="10" t="s">
        <v>1827</v>
      </c>
      <c r="G175" s="10" t="s">
        <v>1827</v>
      </c>
      <c r="H175" s="10" t="s">
        <v>1827</v>
      </c>
      <c r="I175" s="111">
        <v>46198</v>
      </c>
      <c r="J175" s="10"/>
      <c r="K175" s="10" t="s">
        <v>1006</v>
      </c>
      <c r="L175" s="10"/>
      <c r="M175" s="1107"/>
    </row>
    <row r="176" spans="1:13" ht="15.5">
      <c r="A176" s="10">
        <v>172</v>
      </c>
      <c r="B176" s="10">
        <v>172</v>
      </c>
      <c r="C176" s="908" t="s">
        <v>450</v>
      </c>
      <c r="D176" s="1287" t="str">
        <f>VLOOKUP(C176,Erection!$C$5:$D$311,2,0)</f>
        <v>DA+4.5</v>
      </c>
      <c r="E176" s="10" t="s">
        <v>1827</v>
      </c>
      <c r="F176" s="10" t="s">
        <v>1827</v>
      </c>
      <c r="G176" s="10" t="s">
        <v>1827</v>
      </c>
      <c r="H176" s="10" t="s">
        <v>1827</v>
      </c>
      <c r="I176" s="111">
        <v>46198</v>
      </c>
      <c r="J176" s="10"/>
      <c r="K176" s="10" t="s">
        <v>1006</v>
      </c>
      <c r="L176" s="10"/>
      <c r="M176" s="1107"/>
    </row>
    <row r="177" spans="1:13" ht="15.5">
      <c r="A177" s="10">
        <v>173</v>
      </c>
      <c r="B177" s="10">
        <v>173</v>
      </c>
      <c r="C177" s="908" t="s">
        <v>10</v>
      </c>
      <c r="D177" s="1287" t="str">
        <f>VLOOKUP(C177,Erection!$C$5:$D$311,2,0)</f>
        <v>DB2+0</v>
      </c>
      <c r="E177" s="10" t="s">
        <v>1827</v>
      </c>
      <c r="F177" s="10" t="s">
        <v>1827</v>
      </c>
      <c r="G177" s="10" t="s">
        <v>1827</v>
      </c>
      <c r="H177" s="10" t="s">
        <v>1827</v>
      </c>
      <c r="I177" s="111">
        <v>46198</v>
      </c>
      <c r="J177" s="10"/>
      <c r="K177" s="10" t="s">
        <v>1006</v>
      </c>
      <c r="L177" s="10"/>
      <c r="M177" s="1107"/>
    </row>
    <row r="178" spans="1:13" ht="15.5">
      <c r="A178" s="10">
        <v>174</v>
      </c>
      <c r="B178" s="10">
        <v>174</v>
      </c>
      <c r="C178" s="908" t="s">
        <v>66</v>
      </c>
      <c r="D178" s="1287" t="str">
        <f>VLOOKUP(C178,Erection!$C$5:$D$311,2,0)</f>
        <v>DA+6</v>
      </c>
      <c r="E178" s="10" t="s">
        <v>1827</v>
      </c>
      <c r="F178" s="10" t="s">
        <v>1827</v>
      </c>
      <c r="G178" s="10" t="s">
        <v>1827</v>
      </c>
      <c r="H178" s="10" t="s">
        <v>1827</v>
      </c>
      <c r="I178" s="111">
        <v>46198</v>
      </c>
      <c r="J178" s="10"/>
      <c r="K178" s="10" t="s">
        <v>1006</v>
      </c>
      <c r="L178" s="10"/>
      <c r="M178" s="1107"/>
    </row>
    <row r="179" spans="1:13" ht="15.5">
      <c r="A179" s="10">
        <v>175</v>
      </c>
      <c r="B179" s="10">
        <v>175</v>
      </c>
      <c r="C179" s="908" t="s">
        <v>165</v>
      </c>
      <c r="D179" s="1287" t="str">
        <f>VLOOKUP(C179,Erection!$C$5:$D$311,2,0)</f>
        <v>DA+9</v>
      </c>
      <c r="E179" s="10" t="s">
        <v>1827</v>
      </c>
      <c r="F179" s="10" t="s">
        <v>1827</v>
      </c>
      <c r="G179" s="10" t="s">
        <v>1827</v>
      </c>
      <c r="H179" s="10" t="s">
        <v>1827</v>
      </c>
      <c r="I179" s="111">
        <v>46198</v>
      </c>
      <c r="J179" s="10"/>
      <c r="K179" s="10" t="s">
        <v>1006</v>
      </c>
      <c r="L179" s="10"/>
      <c r="M179" s="1107"/>
    </row>
    <row r="180" spans="1:13" ht="15.5">
      <c r="A180" s="10">
        <v>176</v>
      </c>
      <c r="B180" s="10">
        <v>176</v>
      </c>
      <c r="C180" s="908" t="s">
        <v>873</v>
      </c>
      <c r="D180" s="1287" t="str">
        <f>VLOOKUP(C180,Erection!$C$5:$D$311,2,0)</f>
        <v>DA+6</v>
      </c>
      <c r="E180" s="10" t="s">
        <v>1827</v>
      </c>
      <c r="F180" s="10" t="s">
        <v>1827</v>
      </c>
      <c r="G180" s="10" t="s">
        <v>1827</v>
      </c>
      <c r="H180" s="10" t="s">
        <v>1827</v>
      </c>
      <c r="I180" s="111">
        <v>46198</v>
      </c>
      <c r="J180" s="10"/>
      <c r="K180" s="10" t="s">
        <v>1006</v>
      </c>
      <c r="L180" s="10"/>
      <c r="M180" s="1107"/>
    </row>
    <row r="181" spans="1:13" ht="15.5">
      <c r="A181" s="10">
        <v>177</v>
      </c>
      <c r="B181" s="10">
        <v>177</v>
      </c>
      <c r="C181" s="908" t="s">
        <v>874</v>
      </c>
      <c r="D181" s="1287" t="str">
        <f>VLOOKUP(C181,Erection!$C$5:$D$311,2,0)</f>
        <v>DA+9</v>
      </c>
      <c r="E181" s="10" t="s">
        <v>1827</v>
      </c>
      <c r="F181" s="10" t="s">
        <v>1827</v>
      </c>
      <c r="G181" s="10" t="s">
        <v>1827</v>
      </c>
      <c r="H181" s="10" t="s">
        <v>1827</v>
      </c>
      <c r="I181" s="111">
        <v>46198</v>
      </c>
      <c r="J181" s="10"/>
      <c r="K181" s="10" t="s">
        <v>1006</v>
      </c>
      <c r="L181" s="10"/>
      <c r="M181" s="1107"/>
    </row>
    <row r="182" spans="1:13" ht="15.5">
      <c r="A182" s="10">
        <v>178</v>
      </c>
      <c r="B182" s="10">
        <v>178</v>
      </c>
      <c r="C182" s="908" t="s">
        <v>875</v>
      </c>
      <c r="D182" s="1287" t="str">
        <f>VLOOKUP(C182,Erection!$C$5:$D$311,2,0)</f>
        <v>DA+9</v>
      </c>
      <c r="E182" s="10" t="s">
        <v>1827</v>
      </c>
      <c r="F182" s="10" t="s">
        <v>1827</v>
      </c>
      <c r="G182" s="10" t="s">
        <v>1827</v>
      </c>
      <c r="H182" s="10" t="s">
        <v>1827</v>
      </c>
      <c r="I182" s="111">
        <v>46198</v>
      </c>
      <c r="J182" s="10"/>
      <c r="K182" s="10" t="s">
        <v>1006</v>
      </c>
      <c r="L182" s="10"/>
      <c r="M182" s="1107"/>
    </row>
    <row r="183" spans="1:13" ht="15.5">
      <c r="A183" s="10">
        <v>179</v>
      </c>
      <c r="B183" s="10">
        <v>179</v>
      </c>
      <c r="C183" s="908" t="s">
        <v>876</v>
      </c>
      <c r="D183" s="1287" t="str">
        <f>VLOOKUP(C183,Erection!$C$5:$D$311,2,0)</f>
        <v>DA+9</v>
      </c>
      <c r="E183" s="10" t="s">
        <v>1827</v>
      </c>
      <c r="F183" s="10" t="s">
        <v>1827</v>
      </c>
      <c r="G183" s="10" t="s">
        <v>1827</v>
      </c>
      <c r="H183" s="10" t="s">
        <v>1827</v>
      </c>
      <c r="I183" s="111">
        <v>46198</v>
      </c>
      <c r="J183" s="10"/>
      <c r="K183" s="10" t="s">
        <v>1006</v>
      </c>
      <c r="L183" s="10"/>
      <c r="M183" s="1107"/>
    </row>
    <row r="184" spans="1:13" ht="15.5">
      <c r="A184" s="10">
        <v>180</v>
      </c>
      <c r="B184" s="10">
        <v>180</v>
      </c>
      <c r="C184" s="908" t="s">
        <v>877</v>
      </c>
      <c r="D184" s="1287" t="str">
        <f>VLOOKUP(C184,Erection!$C$5:$D$311,2,0)</f>
        <v>DA+3</v>
      </c>
      <c r="E184" s="10" t="s">
        <v>1827</v>
      </c>
      <c r="F184" s="10" t="s">
        <v>1827</v>
      </c>
      <c r="G184" s="10" t="s">
        <v>1827</v>
      </c>
      <c r="H184" s="10" t="s">
        <v>1827</v>
      </c>
      <c r="I184" s="111">
        <v>46198</v>
      </c>
      <c r="J184" s="10"/>
      <c r="K184" s="10" t="s">
        <v>1006</v>
      </c>
      <c r="L184" s="10"/>
      <c r="M184" s="1107"/>
    </row>
    <row r="185" spans="1:13" ht="15.5">
      <c r="A185" s="10">
        <v>181</v>
      </c>
      <c r="B185" s="10">
        <v>181</v>
      </c>
      <c r="C185" s="908" t="s">
        <v>773</v>
      </c>
      <c r="D185" s="1287" t="str">
        <f>VLOOKUP(C185,Erection!$C$5:$D$311,2,0)</f>
        <v>DB1+9</v>
      </c>
      <c r="E185" s="10" t="s">
        <v>1827</v>
      </c>
      <c r="F185" s="10" t="s">
        <v>1827</v>
      </c>
      <c r="G185" s="10" t="s">
        <v>1827</v>
      </c>
      <c r="H185" s="10" t="s">
        <v>1827</v>
      </c>
      <c r="I185" s="111">
        <v>46198</v>
      </c>
      <c r="J185" s="10"/>
      <c r="K185" s="10" t="s">
        <v>1006</v>
      </c>
      <c r="L185" s="10"/>
      <c r="M185" s="1107"/>
    </row>
    <row r="186" spans="1:13" ht="15.5">
      <c r="A186" s="10">
        <v>182</v>
      </c>
      <c r="B186" s="10">
        <v>182</v>
      </c>
      <c r="C186" s="908" t="s">
        <v>67</v>
      </c>
      <c r="D186" s="1287" t="str">
        <f>VLOOKUP(C186,Erection!$C$5:$D$311,2,0)</f>
        <v>DB1+9</v>
      </c>
      <c r="E186" s="10" t="s">
        <v>1827</v>
      </c>
      <c r="F186" s="10" t="s">
        <v>1827</v>
      </c>
      <c r="G186" s="10" t="s">
        <v>1827</v>
      </c>
      <c r="H186" s="10" t="s">
        <v>1827</v>
      </c>
      <c r="I186" s="111">
        <v>46198</v>
      </c>
      <c r="J186" s="10"/>
      <c r="K186" s="10" t="s">
        <v>1006</v>
      </c>
      <c r="L186" s="10"/>
      <c r="M186" s="1107"/>
    </row>
    <row r="187" spans="1:13" ht="15.5">
      <c r="A187" s="10">
        <v>183</v>
      </c>
      <c r="B187" s="10">
        <v>183</v>
      </c>
      <c r="C187" s="908" t="s">
        <v>68</v>
      </c>
      <c r="D187" s="1287" t="str">
        <f>VLOOKUP(C187,Erection!$C$5:$D$311,2,0)</f>
        <v>DA+9</v>
      </c>
      <c r="E187" s="10" t="s">
        <v>1827</v>
      </c>
      <c r="F187" s="10" t="s">
        <v>1827</v>
      </c>
      <c r="G187" s="10" t="s">
        <v>1827</v>
      </c>
      <c r="H187" s="10" t="s">
        <v>1827</v>
      </c>
      <c r="I187" s="111">
        <v>46198</v>
      </c>
      <c r="J187" s="10"/>
      <c r="K187" s="10" t="s">
        <v>1006</v>
      </c>
      <c r="L187" s="10"/>
      <c r="M187" s="1107"/>
    </row>
    <row r="188" spans="1:13" ht="15.5">
      <c r="A188" s="10">
        <v>184</v>
      </c>
      <c r="B188" s="10">
        <v>184</v>
      </c>
      <c r="C188" s="908" t="s">
        <v>69</v>
      </c>
      <c r="D188" s="1287" t="str">
        <f>VLOOKUP(C188,Erection!$C$5:$D$311,2,0)</f>
        <v>DA+9</v>
      </c>
      <c r="E188" s="10" t="s">
        <v>1827</v>
      </c>
      <c r="F188" s="10" t="s">
        <v>1827</v>
      </c>
      <c r="G188" s="10" t="s">
        <v>1827</v>
      </c>
      <c r="H188" s="10" t="s">
        <v>1827</v>
      </c>
      <c r="I188" s="111">
        <v>46198</v>
      </c>
      <c r="J188" s="10"/>
      <c r="K188" s="10" t="s">
        <v>1006</v>
      </c>
      <c r="L188" s="10"/>
      <c r="M188" s="1107"/>
    </row>
    <row r="189" spans="1:13" ht="15.5">
      <c r="A189" s="10">
        <v>185</v>
      </c>
      <c r="B189" s="10">
        <v>185</v>
      </c>
      <c r="C189" s="908" t="s">
        <v>70</v>
      </c>
      <c r="D189" s="1287" t="str">
        <f>VLOOKUP(C189,Erection!$C$5:$D$311,2,0)</f>
        <v>DA+3</v>
      </c>
      <c r="E189" s="10" t="s">
        <v>1827</v>
      </c>
      <c r="F189" s="10" t="s">
        <v>1827</v>
      </c>
      <c r="G189" s="10" t="s">
        <v>1827</v>
      </c>
      <c r="H189" s="10" t="s">
        <v>1827</v>
      </c>
      <c r="I189" s="111">
        <v>46198</v>
      </c>
      <c r="J189" s="10"/>
      <c r="K189" s="10" t="s">
        <v>1006</v>
      </c>
      <c r="L189" s="10"/>
      <c r="M189" s="1107"/>
    </row>
    <row r="190" spans="1:13" ht="15.5">
      <c r="A190" s="10">
        <v>186</v>
      </c>
      <c r="B190" s="10">
        <v>186</v>
      </c>
      <c r="C190" s="908" t="s">
        <v>187</v>
      </c>
      <c r="D190" s="1287" t="str">
        <f>VLOOKUP(C190,Erection!$C$5:$D$311,2,0)</f>
        <v>DA+3</v>
      </c>
      <c r="E190" s="10" t="s">
        <v>1827</v>
      </c>
      <c r="F190" s="10" t="s">
        <v>1827</v>
      </c>
      <c r="G190" s="10" t="s">
        <v>1827</v>
      </c>
      <c r="H190" s="10" t="s">
        <v>1827</v>
      </c>
      <c r="I190" s="111">
        <v>46198</v>
      </c>
      <c r="J190" s="10"/>
      <c r="K190" s="10" t="s">
        <v>1006</v>
      </c>
      <c r="L190" s="10"/>
      <c r="M190" s="1107"/>
    </row>
    <row r="191" spans="1:13" ht="15.5">
      <c r="A191" s="10">
        <v>187</v>
      </c>
      <c r="B191" s="10">
        <v>187</v>
      </c>
      <c r="C191" s="908" t="s">
        <v>569</v>
      </c>
      <c r="D191" s="1287" t="str">
        <f>VLOOKUP(C191,Erection!$C$5:$D$311,2,0)</f>
        <v>DA+0</v>
      </c>
      <c r="E191" s="10" t="s">
        <v>1827</v>
      </c>
      <c r="F191" s="10" t="s">
        <v>1827</v>
      </c>
      <c r="G191" s="10" t="s">
        <v>1827</v>
      </c>
      <c r="H191" s="10" t="s">
        <v>1827</v>
      </c>
      <c r="I191" s="111">
        <v>46198</v>
      </c>
      <c r="J191" s="10"/>
      <c r="K191" s="10" t="s">
        <v>1006</v>
      </c>
      <c r="L191" s="10"/>
      <c r="M191" s="1107"/>
    </row>
    <row r="192" spans="1:13" ht="15.5">
      <c r="A192" s="10">
        <v>188</v>
      </c>
      <c r="B192" s="10">
        <v>188</v>
      </c>
      <c r="C192" s="908" t="s">
        <v>570</v>
      </c>
      <c r="D192" s="1287" t="str">
        <f>VLOOKUP(C192,Erection!$C$5:$D$311,2,0)</f>
        <v>DA+6</v>
      </c>
      <c r="E192" s="10" t="s">
        <v>1827</v>
      </c>
      <c r="F192" s="10" t="s">
        <v>1827</v>
      </c>
      <c r="G192" s="10" t="s">
        <v>1827</v>
      </c>
      <c r="H192" s="10" t="s">
        <v>1827</v>
      </c>
      <c r="I192" s="111">
        <v>46198</v>
      </c>
      <c r="J192" s="10"/>
      <c r="K192" s="10" t="s">
        <v>1006</v>
      </c>
      <c r="L192" s="10"/>
      <c r="M192" s="1107"/>
    </row>
    <row r="193" spans="1:13" ht="15.5">
      <c r="A193" s="10">
        <v>189</v>
      </c>
      <c r="B193" s="10">
        <v>189</v>
      </c>
      <c r="C193" s="908" t="s">
        <v>571</v>
      </c>
      <c r="D193" s="1287" t="str">
        <f>VLOOKUP(C193,Erection!$C$5:$D$311,2,0)</f>
        <v>DA+6</v>
      </c>
      <c r="E193" s="10" t="s">
        <v>1827</v>
      </c>
      <c r="F193" s="10" t="s">
        <v>1827</v>
      </c>
      <c r="G193" s="10" t="s">
        <v>1827</v>
      </c>
      <c r="H193" s="10" t="s">
        <v>1827</v>
      </c>
      <c r="I193" s="111">
        <v>46198</v>
      </c>
      <c r="J193" s="10"/>
      <c r="K193" s="10" t="s">
        <v>1006</v>
      </c>
      <c r="L193" s="10"/>
      <c r="M193" s="1107"/>
    </row>
    <row r="194" spans="1:13" ht="15.5">
      <c r="A194" s="10">
        <v>190</v>
      </c>
      <c r="B194" s="10">
        <v>190</v>
      </c>
      <c r="C194" s="908" t="s">
        <v>572</v>
      </c>
      <c r="D194" s="1287" t="str">
        <f>VLOOKUP(C194,Erection!$C$5:$D$311,2,0)</f>
        <v>DA+3</v>
      </c>
      <c r="E194" s="10" t="s">
        <v>1827</v>
      </c>
      <c r="F194" s="10" t="s">
        <v>1827</v>
      </c>
      <c r="G194" s="10" t="s">
        <v>1827</v>
      </c>
      <c r="H194" s="10" t="s">
        <v>1827</v>
      </c>
      <c r="I194" s="111">
        <v>46198</v>
      </c>
      <c r="J194" s="10"/>
      <c r="K194" s="10" t="s">
        <v>1006</v>
      </c>
      <c r="L194" s="10"/>
      <c r="M194" s="1107"/>
    </row>
    <row r="195" spans="1:13" ht="15.5">
      <c r="A195" s="10">
        <v>191</v>
      </c>
      <c r="B195" s="10">
        <v>191</v>
      </c>
      <c r="C195" s="908" t="s">
        <v>573</v>
      </c>
      <c r="D195" s="1287" t="str">
        <f>VLOOKUP(C195,Erection!$C$5:$D$311,2,0)</f>
        <v>DA+1.5</v>
      </c>
      <c r="E195" s="10" t="s">
        <v>1827</v>
      </c>
      <c r="F195" s="10" t="s">
        <v>1827</v>
      </c>
      <c r="G195" s="10" t="s">
        <v>1827</v>
      </c>
      <c r="H195" s="10" t="s">
        <v>1827</v>
      </c>
      <c r="I195" s="111">
        <v>46198</v>
      </c>
      <c r="J195" s="10"/>
      <c r="K195" s="10" t="s">
        <v>1006</v>
      </c>
      <c r="L195" s="10"/>
      <c r="M195" s="1107"/>
    </row>
    <row r="196" spans="1:13" ht="15.5">
      <c r="A196" s="10">
        <v>192</v>
      </c>
      <c r="B196" s="10">
        <v>192</v>
      </c>
      <c r="C196" s="908" t="s">
        <v>166</v>
      </c>
      <c r="D196" s="1287" t="str">
        <f>VLOOKUP(C196,Erection!$C$5:$D$311,2,0)</f>
        <v>DB1+6</v>
      </c>
      <c r="E196" s="10" t="s">
        <v>1827</v>
      </c>
      <c r="F196" s="10" t="s">
        <v>1827</v>
      </c>
      <c r="G196" s="10" t="s">
        <v>1827</v>
      </c>
      <c r="H196" s="10" t="s">
        <v>1827</v>
      </c>
      <c r="I196" s="111">
        <v>46198</v>
      </c>
      <c r="J196" s="10"/>
      <c r="K196" s="10" t="s">
        <v>1006</v>
      </c>
      <c r="L196" s="10"/>
      <c r="M196" s="1107"/>
    </row>
    <row r="197" spans="1:13" ht="15.5">
      <c r="A197" s="10">
        <v>193</v>
      </c>
      <c r="B197" s="10">
        <v>193</v>
      </c>
      <c r="C197" s="908" t="s">
        <v>575</v>
      </c>
      <c r="D197" s="1287" t="str">
        <f>VLOOKUP(C197,Erection!$C$5:$D$311,2,0)</f>
        <v>DA+9</v>
      </c>
      <c r="E197" s="10" t="s">
        <v>1827</v>
      </c>
      <c r="F197" s="10" t="s">
        <v>1827</v>
      </c>
      <c r="G197" s="10" t="s">
        <v>1827</v>
      </c>
      <c r="H197" s="10" t="s">
        <v>1827</v>
      </c>
      <c r="I197" s="111">
        <v>46198</v>
      </c>
      <c r="J197" s="10"/>
      <c r="K197" s="10" t="s">
        <v>1006</v>
      </c>
      <c r="L197" s="10"/>
      <c r="M197" s="1107"/>
    </row>
    <row r="198" spans="1:13" ht="15.5">
      <c r="A198" s="10">
        <v>194</v>
      </c>
      <c r="B198" s="10">
        <v>194</v>
      </c>
      <c r="C198" s="908" t="s">
        <v>576</v>
      </c>
      <c r="D198" s="1287" t="str">
        <f>VLOOKUP(C198,Erection!$C$5:$D$311,2,0)</f>
        <v>DA+9</v>
      </c>
      <c r="E198" s="10" t="s">
        <v>1827</v>
      </c>
      <c r="F198" s="10" t="s">
        <v>1827</v>
      </c>
      <c r="G198" s="10" t="s">
        <v>1827</v>
      </c>
      <c r="H198" s="10" t="s">
        <v>1827</v>
      </c>
      <c r="I198" s="111">
        <v>46198</v>
      </c>
      <c r="J198" s="10"/>
      <c r="K198" s="10" t="s">
        <v>1006</v>
      </c>
      <c r="L198" s="10"/>
      <c r="M198" s="1107"/>
    </row>
    <row r="199" spans="1:13" ht="15.5">
      <c r="A199" s="10">
        <v>195</v>
      </c>
      <c r="B199" s="10">
        <v>195</v>
      </c>
      <c r="C199" s="908" t="s">
        <v>577</v>
      </c>
      <c r="D199" s="1287" t="str">
        <f>VLOOKUP(C199,Erection!$C$5:$D$311,2,0)</f>
        <v>DA+1.5</v>
      </c>
      <c r="E199" s="10" t="s">
        <v>1827</v>
      </c>
      <c r="F199" s="10" t="s">
        <v>1827</v>
      </c>
      <c r="G199" s="10" t="s">
        <v>1827</v>
      </c>
      <c r="H199" s="10" t="s">
        <v>1827</v>
      </c>
      <c r="I199" s="111">
        <v>46198</v>
      </c>
      <c r="J199" s="10"/>
      <c r="K199" s="10" t="s">
        <v>1006</v>
      </c>
      <c r="L199" s="10"/>
      <c r="M199" s="1107"/>
    </row>
    <row r="200" spans="1:13" ht="15.5">
      <c r="A200" s="10">
        <v>196</v>
      </c>
      <c r="B200" s="10">
        <v>196</v>
      </c>
      <c r="C200" s="908" t="s">
        <v>578</v>
      </c>
      <c r="D200" s="1287" t="str">
        <f>VLOOKUP(C200,Erection!$C$5:$D$311,2,0)</f>
        <v>DA+6</v>
      </c>
      <c r="E200" s="10" t="s">
        <v>1827</v>
      </c>
      <c r="F200" s="10" t="s">
        <v>1827</v>
      </c>
      <c r="G200" s="10" t="s">
        <v>1827</v>
      </c>
      <c r="H200" s="10" t="s">
        <v>1827</v>
      </c>
      <c r="I200" s="111">
        <v>46198</v>
      </c>
      <c r="J200" s="10"/>
      <c r="K200" s="10" t="s">
        <v>1006</v>
      </c>
      <c r="L200" s="10"/>
      <c r="M200" s="1107"/>
    </row>
    <row r="201" spans="1:13" ht="15.5">
      <c r="A201" s="10">
        <v>197</v>
      </c>
      <c r="B201" s="10">
        <v>197</v>
      </c>
      <c r="C201" s="908" t="s">
        <v>579</v>
      </c>
      <c r="D201" s="1287" t="str">
        <f>VLOOKUP(C201,Erection!$C$5:$D$311,2,0)</f>
        <v>DA+9</v>
      </c>
      <c r="E201" s="10" t="s">
        <v>1827</v>
      </c>
      <c r="F201" s="10" t="s">
        <v>1827</v>
      </c>
      <c r="G201" s="10" t="s">
        <v>1827</v>
      </c>
      <c r="H201" s="10" t="s">
        <v>1827</v>
      </c>
      <c r="I201" s="111">
        <v>46198</v>
      </c>
      <c r="J201" s="10"/>
      <c r="K201" s="10" t="s">
        <v>1006</v>
      </c>
      <c r="L201" s="10"/>
      <c r="M201" s="1107"/>
    </row>
    <row r="202" spans="1:13" ht="15.5">
      <c r="A202" s="10">
        <v>198</v>
      </c>
      <c r="B202" s="10">
        <v>198</v>
      </c>
      <c r="C202" s="908" t="s">
        <v>580</v>
      </c>
      <c r="D202" s="1287" t="str">
        <f>VLOOKUP(C202,Erection!$C$5:$D$311,2,0)</f>
        <v>DA+3</v>
      </c>
      <c r="E202" s="10" t="s">
        <v>1827</v>
      </c>
      <c r="F202" s="10" t="s">
        <v>1827</v>
      </c>
      <c r="G202" s="10" t="s">
        <v>1827</v>
      </c>
      <c r="H202" s="10" t="s">
        <v>1827</v>
      </c>
      <c r="I202" s="111">
        <v>46198</v>
      </c>
      <c r="J202" s="10"/>
      <c r="K202" s="10" t="s">
        <v>1006</v>
      </c>
      <c r="L202" s="10"/>
      <c r="M202" s="1107"/>
    </row>
    <row r="203" spans="1:13" ht="15.5">
      <c r="A203" s="10">
        <v>199</v>
      </c>
      <c r="B203" s="10">
        <v>199</v>
      </c>
      <c r="C203" s="908" t="s">
        <v>582</v>
      </c>
      <c r="D203" s="1287" t="str">
        <f>VLOOKUP(C203,Erection!$C$5:$D$311,2,0)</f>
        <v>DA+0</v>
      </c>
      <c r="E203" s="10" t="s">
        <v>1827</v>
      </c>
      <c r="F203" s="10" t="s">
        <v>1827</v>
      </c>
      <c r="G203" s="10" t="s">
        <v>1827</v>
      </c>
      <c r="H203" s="10" t="s">
        <v>1827</v>
      </c>
      <c r="I203" s="111">
        <v>46198</v>
      </c>
      <c r="J203" s="10"/>
      <c r="K203" s="10" t="s">
        <v>1006</v>
      </c>
      <c r="L203" s="10"/>
      <c r="M203" s="1107"/>
    </row>
    <row r="204" spans="1:13" ht="15.5">
      <c r="A204" s="10">
        <v>200</v>
      </c>
      <c r="B204" s="10">
        <v>200</v>
      </c>
      <c r="C204" s="908" t="s">
        <v>583</v>
      </c>
      <c r="D204" s="1287" t="str">
        <f>VLOOKUP(C204,Erection!$C$5:$D$311,2,0)</f>
        <v>DA+1.5</v>
      </c>
      <c r="E204" s="10" t="s">
        <v>1827</v>
      </c>
      <c r="F204" s="10" t="s">
        <v>1827</v>
      </c>
      <c r="G204" s="10" t="s">
        <v>1827</v>
      </c>
      <c r="H204" s="10" t="s">
        <v>1827</v>
      </c>
      <c r="I204" s="111">
        <v>46198</v>
      </c>
      <c r="J204" s="10"/>
      <c r="K204" s="10" t="s">
        <v>1006</v>
      </c>
      <c r="L204" s="10"/>
      <c r="M204" s="1107"/>
    </row>
    <row r="205" spans="1:13" ht="15.5">
      <c r="A205" s="10">
        <v>201</v>
      </c>
      <c r="B205" s="10">
        <v>201</v>
      </c>
      <c r="C205" s="908" t="s">
        <v>584</v>
      </c>
      <c r="D205" s="1287" t="str">
        <f>VLOOKUP(C205,Erection!$C$5:$D$311,2,0)</f>
        <v>DA-3</v>
      </c>
      <c r="E205" s="10" t="s">
        <v>1827</v>
      </c>
      <c r="F205" s="10" t="s">
        <v>1827</v>
      </c>
      <c r="G205" s="10" t="s">
        <v>1827</v>
      </c>
      <c r="H205" s="10" t="s">
        <v>1827</v>
      </c>
      <c r="I205" s="111">
        <v>46198</v>
      </c>
      <c r="J205" s="10"/>
      <c r="K205" s="10" t="s">
        <v>1006</v>
      </c>
      <c r="L205" s="10"/>
      <c r="M205" s="1107"/>
    </row>
    <row r="206" spans="1:13" ht="15.5">
      <c r="A206" s="10">
        <v>202</v>
      </c>
      <c r="B206" s="10">
        <v>202</v>
      </c>
      <c r="C206" s="908" t="s">
        <v>585</v>
      </c>
      <c r="D206" s="1287" t="str">
        <f>VLOOKUP(C206,Erection!$C$5:$D$311,2,0)</f>
        <v>DA+1.5</v>
      </c>
      <c r="E206" s="10" t="s">
        <v>1827</v>
      </c>
      <c r="F206" s="10" t="s">
        <v>1827</v>
      </c>
      <c r="G206" s="10" t="s">
        <v>1827</v>
      </c>
      <c r="H206" s="10" t="s">
        <v>1827</v>
      </c>
      <c r="I206" s="111">
        <v>46198</v>
      </c>
      <c r="J206" s="10"/>
      <c r="K206" s="10" t="s">
        <v>1006</v>
      </c>
      <c r="L206" s="10"/>
      <c r="M206" s="1107"/>
    </row>
    <row r="207" spans="1:13" ht="15.5">
      <c r="A207" s="10">
        <v>203</v>
      </c>
      <c r="B207" s="10">
        <v>203</v>
      </c>
      <c r="C207" s="908" t="s">
        <v>586</v>
      </c>
      <c r="D207" s="1287" t="str">
        <f>VLOOKUP(C207,Erection!$C$5:$D$311,2,0)</f>
        <v>DA+3</v>
      </c>
      <c r="E207" s="10" t="s">
        <v>1827</v>
      </c>
      <c r="F207" s="10" t="s">
        <v>1827</v>
      </c>
      <c r="G207" s="10" t="s">
        <v>1827</v>
      </c>
      <c r="H207" s="10" t="s">
        <v>1827</v>
      </c>
      <c r="I207" s="111">
        <v>46198</v>
      </c>
      <c r="J207" s="10"/>
      <c r="K207" s="10" t="s">
        <v>1006</v>
      </c>
      <c r="L207" s="10"/>
      <c r="M207" s="1107"/>
    </row>
    <row r="208" spans="1:13" ht="15.5">
      <c r="A208" s="10">
        <v>204</v>
      </c>
      <c r="B208" s="10">
        <v>204</v>
      </c>
      <c r="C208" s="908" t="s">
        <v>71</v>
      </c>
      <c r="D208" s="1287" t="str">
        <f>VLOOKUP(C208,Erection!$C$5:$D$311,2,0)</f>
        <v>DB2+0</v>
      </c>
      <c r="E208" s="10" t="s">
        <v>1827</v>
      </c>
      <c r="F208" s="10" t="s">
        <v>1827</v>
      </c>
      <c r="G208" s="10" t="s">
        <v>1827</v>
      </c>
      <c r="H208" s="10" t="s">
        <v>1827</v>
      </c>
      <c r="I208" s="111">
        <v>46198</v>
      </c>
      <c r="J208" s="10"/>
      <c r="K208" s="10" t="s">
        <v>1006</v>
      </c>
      <c r="L208" s="10"/>
      <c r="M208" s="1107"/>
    </row>
    <row r="209" spans="1:13" ht="15.5">
      <c r="A209" s="10">
        <v>205</v>
      </c>
      <c r="B209" s="10">
        <v>205</v>
      </c>
      <c r="C209" s="908" t="s">
        <v>588</v>
      </c>
      <c r="D209" s="1287" t="str">
        <f>VLOOKUP(C209,Erection!$C$5:$D$311,2,0)</f>
        <v>DA+6</v>
      </c>
      <c r="E209" s="10" t="s">
        <v>1827</v>
      </c>
      <c r="F209" s="10" t="s">
        <v>1827</v>
      </c>
      <c r="G209" s="10" t="s">
        <v>1827</v>
      </c>
      <c r="H209" s="10" t="s">
        <v>1827</v>
      </c>
      <c r="I209" s="111">
        <v>46198</v>
      </c>
      <c r="J209" s="10"/>
      <c r="K209" s="10" t="s">
        <v>1006</v>
      </c>
      <c r="L209" s="10"/>
      <c r="M209" s="1107"/>
    </row>
    <row r="210" spans="1:13" ht="15.5">
      <c r="A210" s="10">
        <v>206</v>
      </c>
      <c r="B210" s="10">
        <v>206</v>
      </c>
      <c r="C210" s="908" t="s">
        <v>589</v>
      </c>
      <c r="D210" s="1287" t="str">
        <f>VLOOKUP(C210,Erection!$C$5:$D$311,2,0)</f>
        <v>DA+6</v>
      </c>
      <c r="E210" s="10" t="s">
        <v>1827</v>
      </c>
      <c r="F210" s="10" t="s">
        <v>1827</v>
      </c>
      <c r="G210" s="10" t="s">
        <v>1827</v>
      </c>
      <c r="H210" s="10" t="s">
        <v>1827</v>
      </c>
      <c r="I210" s="111">
        <v>46198</v>
      </c>
      <c r="J210" s="10"/>
      <c r="K210" s="10" t="s">
        <v>1006</v>
      </c>
      <c r="L210" s="10"/>
      <c r="M210" s="1107"/>
    </row>
    <row r="211" spans="1:13" ht="15.5">
      <c r="A211" s="10">
        <v>207</v>
      </c>
      <c r="B211" s="10">
        <v>207</v>
      </c>
      <c r="C211" s="908" t="s">
        <v>590</v>
      </c>
      <c r="D211" s="1287" t="str">
        <f>VLOOKUP(C211,Erection!$C$5:$D$311,2,0)</f>
        <v>DA-3</v>
      </c>
      <c r="E211" s="10" t="s">
        <v>1827</v>
      </c>
      <c r="F211" s="10" t="s">
        <v>1827</v>
      </c>
      <c r="G211" s="10" t="s">
        <v>1827</v>
      </c>
      <c r="H211" s="10" t="s">
        <v>1827</v>
      </c>
      <c r="I211" s="111">
        <v>46198</v>
      </c>
      <c r="J211" s="10"/>
      <c r="K211" s="10" t="s">
        <v>1006</v>
      </c>
      <c r="L211" s="10"/>
      <c r="M211" s="1107"/>
    </row>
    <row r="212" spans="1:13" ht="15.5">
      <c r="A212" s="10">
        <v>208</v>
      </c>
      <c r="B212" s="10">
        <v>208</v>
      </c>
      <c r="C212" s="908" t="s">
        <v>591</v>
      </c>
      <c r="D212" s="1287" t="str">
        <f>VLOOKUP(C212,Erection!$C$5:$D$311,2,0)</f>
        <v>DA+9</v>
      </c>
      <c r="E212" s="10" t="s">
        <v>1827</v>
      </c>
      <c r="F212" s="10" t="s">
        <v>1827</v>
      </c>
      <c r="G212" s="10" t="s">
        <v>1827</v>
      </c>
      <c r="H212" s="10" t="s">
        <v>1827</v>
      </c>
      <c r="I212" s="111">
        <v>46198</v>
      </c>
      <c r="J212" s="10"/>
      <c r="K212" s="10" t="s">
        <v>1006</v>
      </c>
      <c r="L212" s="10"/>
      <c r="M212" s="1107"/>
    </row>
    <row r="213" spans="1:13" ht="15.5">
      <c r="A213" s="10">
        <v>209</v>
      </c>
      <c r="B213" s="10">
        <v>209</v>
      </c>
      <c r="C213" s="908" t="s">
        <v>592</v>
      </c>
      <c r="D213" s="1287" t="str">
        <f>VLOOKUP(C213,Erection!$C$5:$D$311,2,0)</f>
        <v>DA+9</v>
      </c>
      <c r="E213" s="10" t="s">
        <v>1827</v>
      </c>
      <c r="F213" s="10" t="s">
        <v>1827</v>
      </c>
      <c r="G213" s="10" t="s">
        <v>1827</v>
      </c>
      <c r="H213" s="10" t="s">
        <v>1827</v>
      </c>
      <c r="I213" s="111">
        <v>46198</v>
      </c>
      <c r="J213" s="10"/>
      <c r="K213" s="10" t="s">
        <v>1006</v>
      </c>
      <c r="L213" s="10"/>
      <c r="M213" s="1107"/>
    </row>
    <row r="214" spans="1:13" ht="15.5">
      <c r="A214" s="10">
        <v>210</v>
      </c>
      <c r="B214" s="10">
        <v>210</v>
      </c>
      <c r="C214" s="908" t="s">
        <v>593</v>
      </c>
      <c r="D214" s="1287" t="str">
        <f>VLOOKUP(C214,Erection!$C$5:$D$311,2,0)</f>
        <v>DA+6</v>
      </c>
      <c r="E214" s="10" t="s">
        <v>1827</v>
      </c>
      <c r="F214" s="10" t="s">
        <v>1827</v>
      </c>
      <c r="G214" s="10" t="s">
        <v>1827</v>
      </c>
      <c r="H214" s="10" t="s">
        <v>1827</v>
      </c>
      <c r="I214" s="111">
        <v>46198</v>
      </c>
      <c r="J214" s="10"/>
      <c r="K214" s="10" t="s">
        <v>1006</v>
      </c>
      <c r="L214" s="10"/>
      <c r="M214" s="1107"/>
    </row>
    <row r="215" spans="1:13" ht="15.5">
      <c r="A215" s="10">
        <v>211</v>
      </c>
      <c r="B215" s="10">
        <v>211</v>
      </c>
      <c r="C215" s="908" t="s">
        <v>594</v>
      </c>
      <c r="D215" s="1287" t="str">
        <f>VLOOKUP(C215,Erection!$C$5:$D$311,2,0)</f>
        <v>DA+3</v>
      </c>
      <c r="E215" s="10" t="s">
        <v>1827</v>
      </c>
      <c r="F215" s="10" t="s">
        <v>1827</v>
      </c>
      <c r="G215" s="10" t="s">
        <v>1827</v>
      </c>
      <c r="H215" s="10" t="s">
        <v>1827</v>
      </c>
      <c r="I215" s="111">
        <v>46199</v>
      </c>
      <c r="J215" s="10"/>
      <c r="K215" s="10" t="s">
        <v>1006</v>
      </c>
      <c r="L215" s="10"/>
      <c r="M215" s="1107"/>
    </row>
    <row r="216" spans="1:13" ht="15.5">
      <c r="A216" s="10">
        <v>212</v>
      </c>
      <c r="B216" s="10">
        <v>212</v>
      </c>
      <c r="C216" s="908" t="s">
        <v>595</v>
      </c>
      <c r="D216" s="1287" t="str">
        <f>VLOOKUP(C216,Erection!$C$5:$D$311,2,0)</f>
        <v>DA+6</v>
      </c>
      <c r="E216" s="10" t="s">
        <v>1827</v>
      </c>
      <c r="F216" s="10" t="s">
        <v>1827</v>
      </c>
      <c r="G216" s="10" t="s">
        <v>1827</v>
      </c>
      <c r="H216" s="10" t="s">
        <v>1827</v>
      </c>
      <c r="I216" s="111">
        <v>46199</v>
      </c>
      <c r="J216" s="10"/>
      <c r="K216" s="10" t="s">
        <v>1006</v>
      </c>
      <c r="L216" s="10"/>
      <c r="M216" s="1107"/>
    </row>
    <row r="217" spans="1:13" ht="15.5">
      <c r="A217" s="10">
        <v>213</v>
      </c>
      <c r="B217" s="10">
        <v>213</v>
      </c>
      <c r="C217" s="908" t="s">
        <v>596</v>
      </c>
      <c r="D217" s="1287" t="str">
        <f>VLOOKUP(C217,Erection!$C$5:$D$311,2,0)</f>
        <v>DA+1.5</v>
      </c>
      <c r="E217" s="10" t="s">
        <v>1827</v>
      </c>
      <c r="F217" s="10" t="s">
        <v>1827</v>
      </c>
      <c r="G217" s="10" t="s">
        <v>1827</v>
      </c>
      <c r="H217" s="10" t="s">
        <v>1827</v>
      </c>
      <c r="I217" s="111">
        <v>46199</v>
      </c>
      <c r="J217" s="10"/>
      <c r="K217" s="10" t="s">
        <v>1006</v>
      </c>
      <c r="L217" s="10"/>
      <c r="M217" s="1107"/>
    </row>
    <row r="218" spans="1:13" ht="15.5">
      <c r="A218" s="10">
        <v>214</v>
      </c>
      <c r="B218" s="10">
        <v>214</v>
      </c>
      <c r="C218" s="908" t="s">
        <v>597</v>
      </c>
      <c r="D218" s="1287" t="str">
        <f>VLOOKUP(C218,Erection!$C$5:$D$311,2,0)</f>
        <v>DA+3</v>
      </c>
      <c r="E218" s="10" t="s">
        <v>1827</v>
      </c>
      <c r="F218" s="10" t="s">
        <v>1827</v>
      </c>
      <c r="G218" s="10" t="s">
        <v>1827</v>
      </c>
      <c r="H218" s="10" t="s">
        <v>1827</v>
      </c>
      <c r="I218" s="111">
        <v>46199</v>
      </c>
      <c r="J218" s="10"/>
      <c r="K218" s="10" t="s">
        <v>1006</v>
      </c>
      <c r="L218" s="10"/>
      <c r="M218" s="1107"/>
    </row>
    <row r="219" spans="1:13" ht="15.5">
      <c r="A219" s="10">
        <v>215</v>
      </c>
      <c r="B219" s="10">
        <v>215</v>
      </c>
      <c r="C219" s="908" t="s">
        <v>598</v>
      </c>
      <c r="D219" s="1287" t="str">
        <f>VLOOKUP(C219,Erection!$C$5:$D$311,2,0)</f>
        <v>DA+3</v>
      </c>
      <c r="E219" s="10" t="s">
        <v>1827</v>
      </c>
      <c r="F219" s="10" t="s">
        <v>1827</v>
      </c>
      <c r="G219" s="10" t="s">
        <v>1827</v>
      </c>
      <c r="H219" s="10" t="s">
        <v>1827</v>
      </c>
      <c r="I219" s="111">
        <v>46199</v>
      </c>
      <c r="J219" s="10"/>
      <c r="K219" s="10" t="s">
        <v>1006</v>
      </c>
      <c r="L219" s="10"/>
      <c r="M219" s="1107"/>
    </row>
    <row r="220" spans="1:13" ht="15.5">
      <c r="A220" s="10">
        <v>216</v>
      </c>
      <c r="B220" s="10">
        <v>216</v>
      </c>
      <c r="C220" s="908" t="s">
        <v>8</v>
      </c>
      <c r="D220" s="1287" t="str">
        <f>VLOOKUP(C220,Erection!$C$5:$D$311,2,0)</f>
        <v>DB2+3</v>
      </c>
      <c r="E220" s="10" t="s">
        <v>1827</v>
      </c>
      <c r="F220" s="10" t="s">
        <v>1827</v>
      </c>
      <c r="G220" s="10" t="s">
        <v>1827</v>
      </c>
      <c r="H220" s="10" t="s">
        <v>1827</v>
      </c>
      <c r="I220" s="111">
        <v>46199</v>
      </c>
      <c r="J220" s="10"/>
      <c r="K220" s="10" t="s">
        <v>1006</v>
      </c>
      <c r="L220" s="10"/>
      <c r="M220" s="1107"/>
    </row>
    <row r="221" spans="1:13" ht="15.5">
      <c r="A221" s="10">
        <v>217</v>
      </c>
      <c r="B221" s="10">
        <v>217</v>
      </c>
      <c r="C221" s="908" t="s">
        <v>1069</v>
      </c>
      <c r="D221" s="1287" t="str">
        <f>VLOOKUP(C221,Erection!$C$5:$D$311,2,0)</f>
        <v>DB1+9</v>
      </c>
      <c r="E221" s="10" t="s">
        <v>1827</v>
      </c>
      <c r="F221" s="10" t="s">
        <v>1827</v>
      </c>
      <c r="G221" s="10" t="s">
        <v>1827</v>
      </c>
      <c r="H221" s="10" t="s">
        <v>1827</v>
      </c>
      <c r="I221" s="111">
        <v>46199</v>
      </c>
      <c r="J221" s="10"/>
      <c r="K221" s="10" t="s">
        <v>1006</v>
      </c>
      <c r="L221" s="10"/>
      <c r="M221" s="1107"/>
    </row>
    <row r="222" spans="1:13" ht="15.5">
      <c r="A222" s="10">
        <v>218</v>
      </c>
      <c r="B222" s="10">
        <v>218</v>
      </c>
      <c r="C222" s="908" t="s">
        <v>1070</v>
      </c>
      <c r="D222" s="1287" t="str">
        <f>VLOOKUP(C222,Erection!$C$5:$D$311,2,0)</f>
        <v>DA+3</v>
      </c>
      <c r="E222" s="10" t="s">
        <v>1827</v>
      </c>
      <c r="F222" s="10" t="s">
        <v>1827</v>
      </c>
      <c r="G222" s="10" t="s">
        <v>1827</v>
      </c>
      <c r="H222" s="10" t="s">
        <v>1827</v>
      </c>
      <c r="I222" s="111">
        <v>46199</v>
      </c>
      <c r="J222" s="10"/>
      <c r="K222" s="10" t="s">
        <v>1006</v>
      </c>
      <c r="L222" s="10"/>
      <c r="M222" s="1107"/>
    </row>
    <row r="223" spans="1:13" ht="15.5">
      <c r="A223" s="10">
        <v>219</v>
      </c>
      <c r="B223" s="10">
        <v>219</v>
      </c>
      <c r="C223" s="908" t="s">
        <v>603</v>
      </c>
      <c r="D223" s="1287" t="str">
        <f>VLOOKUP(C223,Erection!$C$5:$D$311,2,0)</f>
        <v>DA-1.5</v>
      </c>
      <c r="E223" s="10" t="s">
        <v>1827</v>
      </c>
      <c r="F223" s="10" t="s">
        <v>1827</v>
      </c>
      <c r="G223" s="10" t="s">
        <v>1827</v>
      </c>
      <c r="H223" s="10" t="s">
        <v>1827</v>
      </c>
      <c r="I223" s="111">
        <v>46199</v>
      </c>
      <c r="J223" s="10"/>
      <c r="K223" s="10" t="s">
        <v>1006</v>
      </c>
      <c r="L223" s="10"/>
      <c r="M223" s="1107"/>
    </row>
    <row r="224" spans="1:13" ht="15.5">
      <c r="A224" s="10">
        <v>220</v>
      </c>
      <c r="B224" s="10">
        <v>220</v>
      </c>
      <c r="C224" s="908" t="s">
        <v>604</v>
      </c>
      <c r="D224" s="1287" t="str">
        <f>VLOOKUP(C224,Erection!$C$5:$D$311,2,0)</f>
        <v>DA+9</v>
      </c>
      <c r="E224" s="10" t="s">
        <v>1827</v>
      </c>
      <c r="F224" s="10" t="s">
        <v>1827</v>
      </c>
      <c r="G224" s="10" t="s">
        <v>1827</v>
      </c>
      <c r="H224" s="10" t="s">
        <v>1827</v>
      </c>
      <c r="I224" s="111">
        <v>46199</v>
      </c>
      <c r="J224" s="10"/>
      <c r="K224" s="10" t="s">
        <v>1006</v>
      </c>
      <c r="L224" s="10"/>
      <c r="M224" s="1107"/>
    </row>
    <row r="225" spans="1:13" ht="15.5">
      <c r="A225" s="10">
        <v>221</v>
      </c>
      <c r="B225" s="10">
        <v>221</v>
      </c>
      <c r="C225" s="908" t="s">
        <v>605</v>
      </c>
      <c r="D225" s="1287" t="str">
        <f>VLOOKUP(C225,Erection!$C$5:$D$311,2,0)</f>
        <v>DA+3</v>
      </c>
      <c r="E225" s="10" t="s">
        <v>1827</v>
      </c>
      <c r="F225" s="10" t="s">
        <v>1827</v>
      </c>
      <c r="G225" s="10" t="s">
        <v>1827</v>
      </c>
      <c r="H225" s="10" t="s">
        <v>1827</v>
      </c>
      <c r="I225" s="111">
        <v>46200</v>
      </c>
      <c r="J225" s="10"/>
      <c r="K225" s="10" t="s">
        <v>1006</v>
      </c>
      <c r="L225" s="10"/>
      <c r="M225" s="1107"/>
    </row>
    <row r="226" spans="1:13" ht="15.5">
      <c r="A226" s="10">
        <v>222</v>
      </c>
      <c r="B226" s="10">
        <v>222</v>
      </c>
      <c r="C226" s="908" t="s">
        <v>775</v>
      </c>
      <c r="D226" s="1287" t="str">
        <f>VLOOKUP(C226,Erection!$C$5:$D$311,2,0)</f>
        <v>DB1+0</v>
      </c>
      <c r="E226" s="10" t="s">
        <v>1827</v>
      </c>
      <c r="F226" s="10" t="s">
        <v>1827</v>
      </c>
      <c r="G226" s="10" t="s">
        <v>1827</v>
      </c>
      <c r="H226" s="10" t="s">
        <v>1827</v>
      </c>
      <c r="I226" s="111">
        <v>46200</v>
      </c>
      <c r="J226" s="10"/>
      <c r="K226" s="10" t="s">
        <v>1006</v>
      </c>
      <c r="L226" s="10"/>
      <c r="M226" s="1107"/>
    </row>
    <row r="227" spans="1:13" ht="15.5">
      <c r="A227" s="10">
        <v>223</v>
      </c>
      <c r="B227" s="10">
        <v>223</v>
      </c>
      <c r="C227" s="908" t="s">
        <v>776</v>
      </c>
      <c r="D227" s="1287" t="str">
        <f>VLOOKUP(C227,Erection!$C$5:$D$311,2,0)</f>
        <v>DA+3</v>
      </c>
      <c r="E227" s="10" t="s">
        <v>1827</v>
      </c>
      <c r="F227" s="10" t="s">
        <v>1827</v>
      </c>
      <c r="G227" s="10" t="s">
        <v>1827</v>
      </c>
      <c r="H227" s="10" t="s">
        <v>1827</v>
      </c>
      <c r="I227" s="111">
        <v>46200</v>
      </c>
      <c r="J227" s="10"/>
      <c r="K227" s="10" t="s">
        <v>1006</v>
      </c>
      <c r="L227" s="10"/>
      <c r="M227" s="1107"/>
    </row>
    <row r="228" spans="1:13" ht="15.5">
      <c r="A228" s="10">
        <v>224</v>
      </c>
      <c r="B228" s="10">
        <v>224</v>
      </c>
      <c r="C228" s="908" t="s">
        <v>777</v>
      </c>
      <c r="D228" s="1287" t="str">
        <f>VLOOKUP(C228,Erection!$C$5:$D$311,2,0)</f>
        <v>DA+1.5</v>
      </c>
      <c r="E228" s="10" t="s">
        <v>1827</v>
      </c>
      <c r="F228" s="10" t="s">
        <v>1827</v>
      </c>
      <c r="G228" s="10" t="s">
        <v>1827</v>
      </c>
      <c r="H228" s="10" t="s">
        <v>1827</v>
      </c>
      <c r="I228" s="111">
        <v>46200</v>
      </c>
      <c r="J228" s="10"/>
      <c r="K228" s="10" t="s">
        <v>1006</v>
      </c>
      <c r="L228" s="10"/>
      <c r="M228" s="1107"/>
    </row>
    <row r="229" spans="1:13" ht="15.5">
      <c r="A229" s="10">
        <v>225</v>
      </c>
      <c r="B229" s="10">
        <v>225</v>
      </c>
      <c r="C229" s="908" t="s">
        <v>778</v>
      </c>
      <c r="D229" s="1287" t="str">
        <f>VLOOKUP(C229,Erection!$C$5:$D$311,2,0)</f>
        <v>DA+3</v>
      </c>
      <c r="E229" s="10" t="s">
        <v>1827</v>
      </c>
      <c r="F229" s="10" t="s">
        <v>1827</v>
      </c>
      <c r="G229" s="10" t="s">
        <v>1827</v>
      </c>
      <c r="H229" s="10" t="s">
        <v>1827</v>
      </c>
      <c r="I229" s="111">
        <v>46200</v>
      </c>
      <c r="J229" s="10"/>
      <c r="K229" s="10" t="s">
        <v>1006</v>
      </c>
      <c r="L229" s="10"/>
      <c r="M229" s="1107"/>
    </row>
    <row r="230" spans="1:13" ht="15.5">
      <c r="A230" s="10">
        <v>226</v>
      </c>
      <c r="B230" s="10">
        <v>226</v>
      </c>
      <c r="C230" s="908" t="s">
        <v>781</v>
      </c>
      <c r="D230" s="1287" t="str">
        <f>VLOOKUP(C230,Erection!$C$5:$D$311,2,0)</f>
        <v>DA+3</v>
      </c>
      <c r="E230" s="10" t="s">
        <v>1827</v>
      </c>
      <c r="F230" s="10" t="s">
        <v>1827</v>
      </c>
      <c r="G230" s="10" t="s">
        <v>1827</v>
      </c>
      <c r="H230" s="10" t="s">
        <v>1827</v>
      </c>
      <c r="I230" s="111">
        <v>46200</v>
      </c>
      <c r="J230" s="10"/>
      <c r="K230" s="10" t="s">
        <v>1006</v>
      </c>
      <c r="L230" s="10"/>
      <c r="M230" s="1107"/>
    </row>
    <row r="231" spans="1:13" ht="15.5">
      <c r="A231" s="10">
        <v>227</v>
      </c>
      <c r="B231" s="10">
        <v>227</v>
      </c>
      <c r="C231" s="908" t="s">
        <v>72</v>
      </c>
      <c r="D231" s="1287" t="str">
        <f>VLOOKUP(C231,Erection!$C$5:$D$311,2,0)</f>
        <v>DB1+3</v>
      </c>
      <c r="E231" s="10" t="s">
        <v>1827</v>
      </c>
      <c r="F231" s="10" t="s">
        <v>1827</v>
      </c>
      <c r="G231" s="10" t="s">
        <v>1827</v>
      </c>
      <c r="H231" s="10" t="s">
        <v>1827</v>
      </c>
      <c r="I231" s="111">
        <v>46200</v>
      </c>
      <c r="J231" s="10"/>
      <c r="K231" s="10" t="s">
        <v>1006</v>
      </c>
      <c r="L231" s="10"/>
      <c r="M231" s="1107"/>
    </row>
    <row r="232" spans="1:13" ht="15.5">
      <c r="A232" s="10">
        <v>228</v>
      </c>
      <c r="B232" s="10">
        <v>228</v>
      </c>
      <c r="C232" s="908" t="s">
        <v>608</v>
      </c>
      <c r="D232" s="1287" t="str">
        <f>VLOOKUP(C232,Erection!$C$5:$D$311,2,0)</f>
        <v>DA+0</v>
      </c>
      <c r="E232" s="10" t="s">
        <v>1827</v>
      </c>
      <c r="F232" s="10" t="s">
        <v>1827</v>
      </c>
      <c r="G232" s="10" t="s">
        <v>1827</v>
      </c>
      <c r="H232" s="10" t="s">
        <v>1827</v>
      </c>
      <c r="I232" s="111">
        <v>46200</v>
      </c>
      <c r="J232" s="10"/>
      <c r="K232" s="10" t="s">
        <v>1006</v>
      </c>
      <c r="L232" s="10"/>
      <c r="M232" s="1107"/>
    </row>
    <row r="233" spans="1:13" ht="15.5">
      <c r="A233" s="10">
        <v>229</v>
      </c>
      <c r="B233" s="10">
        <v>229</v>
      </c>
      <c r="C233" s="908" t="s">
        <v>609</v>
      </c>
      <c r="D233" s="1287" t="str">
        <f>VLOOKUP(C233,Erection!$C$5:$D$311,2,0)</f>
        <v>DA+3</v>
      </c>
      <c r="E233" s="10" t="s">
        <v>1827</v>
      </c>
      <c r="F233" s="10" t="s">
        <v>1827</v>
      </c>
      <c r="G233" s="10" t="s">
        <v>1827</v>
      </c>
      <c r="H233" s="10" t="s">
        <v>1827</v>
      </c>
      <c r="I233" s="111">
        <v>46200</v>
      </c>
      <c r="J233" s="10"/>
      <c r="K233" s="10" t="s">
        <v>1006</v>
      </c>
      <c r="L233" s="10"/>
      <c r="M233" s="1107"/>
    </row>
    <row r="234" spans="1:13" ht="15.5">
      <c r="A234" s="10">
        <v>230</v>
      </c>
      <c r="B234" s="10">
        <v>230</v>
      </c>
      <c r="C234" s="908" t="s">
        <v>620</v>
      </c>
      <c r="D234" s="1287" t="str">
        <f>VLOOKUP(C234,Erection!$C$5:$D$311,2,0)</f>
        <v>DA+1.5</v>
      </c>
      <c r="E234" s="10" t="s">
        <v>1827</v>
      </c>
      <c r="F234" s="10" t="s">
        <v>1827</v>
      </c>
      <c r="G234" s="10" t="s">
        <v>1827</v>
      </c>
      <c r="H234" s="10" t="s">
        <v>1827</v>
      </c>
      <c r="I234" s="111">
        <v>46200</v>
      </c>
      <c r="J234" s="10"/>
      <c r="K234" s="10" t="s">
        <v>1006</v>
      </c>
      <c r="L234" s="10"/>
      <c r="M234" s="1107"/>
    </row>
    <row r="235" spans="1:13" ht="15.5">
      <c r="A235" s="10">
        <v>231</v>
      </c>
      <c r="B235" s="10">
        <v>231</v>
      </c>
      <c r="C235" s="908" t="s">
        <v>621</v>
      </c>
      <c r="D235" s="1287" t="str">
        <f>VLOOKUP(C235,Erection!$C$5:$D$311,2,0)</f>
        <v>DA+3</v>
      </c>
      <c r="E235" s="10" t="s">
        <v>1827</v>
      </c>
      <c r="F235" s="10" t="s">
        <v>1827</v>
      </c>
      <c r="G235" s="10" t="s">
        <v>1827</v>
      </c>
      <c r="H235" s="10" t="s">
        <v>1827</v>
      </c>
      <c r="I235" s="111">
        <v>46200</v>
      </c>
      <c r="J235" s="10"/>
      <c r="K235" s="10" t="s">
        <v>1006</v>
      </c>
      <c r="L235" s="10"/>
      <c r="M235" s="1107"/>
    </row>
    <row r="236" spans="1:13" ht="15.5">
      <c r="A236" s="10">
        <v>232</v>
      </c>
      <c r="B236" s="10">
        <v>232</v>
      </c>
      <c r="C236" s="908" t="s">
        <v>622</v>
      </c>
      <c r="D236" s="1287" t="str">
        <f>VLOOKUP(C236,Erection!$C$5:$D$311,2,0)</f>
        <v>DA+1.5</v>
      </c>
      <c r="E236" s="10" t="s">
        <v>1827</v>
      </c>
      <c r="F236" s="10" t="s">
        <v>1827</v>
      </c>
      <c r="G236" s="10" t="s">
        <v>1827</v>
      </c>
      <c r="H236" s="10" t="s">
        <v>1827</v>
      </c>
      <c r="I236" s="111">
        <v>46200</v>
      </c>
      <c r="J236" s="10"/>
      <c r="K236" s="10" t="s">
        <v>1006</v>
      </c>
      <c r="L236" s="10"/>
      <c r="M236" s="1107"/>
    </row>
    <row r="237" spans="1:13" ht="15.5">
      <c r="A237" s="10">
        <v>233</v>
      </c>
      <c r="B237" s="10">
        <v>233</v>
      </c>
      <c r="C237" s="908" t="s">
        <v>623</v>
      </c>
      <c r="D237" s="1287" t="str">
        <f>VLOOKUP(C237,Erection!$C$5:$D$311,2,0)</f>
        <v>DA+1.5</v>
      </c>
      <c r="E237" s="10" t="s">
        <v>1827</v>
      </c>
      <c r="F237" s="10" t="s">
        <v>1827</v>
      </c>
      <c r="G237" s="10" t="s">
        <v>1827</v>
      </c>
      <c r="H237" s="10" t="s">
        <v>1827</v>
      </c>
      <c r="I237" s="111">
        <v>46200</v>
      </c>
      <c r="J237" s="10"/>
      <c r="K237" s="10" t="s">
        <v>1006</v>
      </c>
      <c r="L237" s="10"/>
      <c r="M237" s="1107"/>
    </row>
    <row r="238" spans="1:13" ht="15.5">
      <c r="A238" s="10">
        <v>234</v>
      </c>
      <c r="B238" s="10">
        <v>234</v>
      </c>
      <c r="C238" s="908" t="s">
        <v>624</v>
      </c>
      <c r="D238" s="1287" t="str">
        <f>VLOOKUP(C238,Erection!$C$5:$D$311,2,0)</f>
        <v>DA+3</v>
      </c>
      <c r="E238" s="10" t="s">
        <v>1827</v>
      </c>
      <c r="F238" s="10" t="s">
        <v>1827</v>
      </c>
      <c r="G238" s="10" t="s">
        <v>1827</v>
      </c>
      <c r="H238" s="10" t="s">
        <v>1827</v>
      </c>
      <c r="I238" s="111">
        <v>46200</v>
      </c>
      <c r="J238" s="10"/>
      <c r="K238" s="10" t="s">
        <v>1006</v>
      </c>
      <c r="L238" s="10"/>
      <c r="M238" s="1107"/>
    </row>
    <row r="239" spans="1:13" ht="15.5">
      <c r="A239" s="10">
        <v>235</v>
      </c>
      <c r="B239" s="10">
        <v>235</v>
      </c>
      <c r="C239" s="908" t="s">
        <v>625</v>
      </c>
      <c r="D239" s="1287" t="str">
        <f>VLOOKUP(C239,Erection!$C$5:$D$311,2,0)</f>
        <v>DA+1.5</v>
      </c>
      <c r="E239" s="10" t="s">
        <v>1827</v>
      </c>
      <c r="F239" s="10" t="s">
        <v>1827</v>
      </c>
      <c r="G239" s="10" t="s">
        <v>1827</v>
      </c>
      <c r="H239" s="10" t="s">
        <v>1827</v>
      </c>
      <c r="I239" s="111">
        <v>46200</v>
      </c>
      <c r="J239" s="10"/>
      <c r="K239" s="10" t="s">
        <v>1006</v>
      </c>
      <c r="L239" s="10"/>
      <c r="M239" s="1107"/>
    </row>
    <row r="240" spans="1:13" ht="15.5">
      <c r="A240" s="10">
        <v>236</v>
      </c>
      <c r="B240" s="10">
        <v>236</v>
      </c>
      <c r="C240" s="908" t="s">
        <v>626</v>
      </c>
      <c r="D240" s="1287" t="str">
        <f>VLOOKUP(C240,Erection!$C$5:$D$311,2,0)</f>
        <v>DA+6</v>
      </c>
      <c r="E240" s="10" t="s">
        <v>1827</v>
      </c>
      <c r="F240" s="10" t="s">
        <v>1827</v>
      </c>
      <c r="G240" s="10" t="s">
        <v>1827</v>
      </c>
      <c r="H240" s="10" t="s">
        <v>1827</v>
      </c>
      <c r="I240" s="111">
        <v>46200</v>
      </c>
      <c r="J240" s="10"/>
      <c r="K240" s="10" t="s">
        <v>1006</v>
      </c>
      <c r="L240" s="10"/>
      <c r="M240" s="1107"/>
    </row>
    <row r="241" spans="1:13" ht="15.5">
      <c r="A241" s="10">
        <v>237</v>
      </c>
      <c r="B241" s="10">
        <v>237</v>
      </c>
      <c r="C241" s="908" t="s">
        <v>627</v>
      </c>
      <c r="D241" s="1287" t="str">
        <f>VLOOKUP(C241,Erection!$C$5:$D$311,2,0)</f>
        <v>DA+3</v>
      </c>
      <c r="E241" s="10" t="s">
        <v>1827</v>
      </c>
      <c r="F241" s="10" t="s">
        <v>1827</v>
      </c>
      <c r="G241" s="10" t="s">
        <v>1827</v>
      </c>
      <c r="H241" s="10" t="s">
        <v>1827</v>
      </c>
      <c r="I241" s="111">
        <v>46200</v>
      </c>
      <c r="J241" s="10"/>
      <c r="K241" s="10" t="s">
        <v>1006</v>
      </c>
      <c r="L241" s="10"/>
      <c r="M241" s="1107"/>
    </row>
    <row r="242" spans="1:13" ht="15.5">
      <c r="A242" s="10">
        <v>238</v>
      </c>
      <c r="B242" s="10">
        <v>238</v>
      </c>
      <c r="C242" s="908" t="s">
        <v>628</v>
      </c>
      <c r="D242" s="1287" t="str">
        <f>VLOOKUP(C242,Erection!$C$5:$D$311,2,0)</f>
        <v>DA+6</v>
      </c>
      <c r="E242" s="10" t="s">
        <v>1827</v>
      </c>
      <c r="F242" s="10" t="s">
        <v>1827</v>
      </c>
      <c r="G242" s="10" t="s">
        <v>1827</v>
      </c>
      <c r="H242" s="10" t="s">
        <v>1827</v>
      </c>
      <c r="I242" s="111">
        <v>46200</v>
      </c>
      <c r="J242" s="10"/>
      <c r="K242" s="10" t="s">
        <v>1006</v>
      </c>
      <c r="L242" s="10"/>
      <c r="M242" s="1107"/>
    </row>
    <row r="243" spans="1:13" ht="15.5">
      <c r="A243" s="10">
        <v>239</v>
      </c>
      <c r="B243" s="10">
        <v>239</v>
      </c>
      <c r="C243" s="908" t="s">
        <v>74</v>
      </c>
      <c r="D243" s="1287" t="str">
        <f>VLOOKUP(C243,Erection!$C$5:$D$311,2,0)</f>
        <v>DB1+6</v>
      </c>
      <c r="E243" s="10" t="s">
        <v>1827</v>
      </c>
      <c r="F243" s="10" t="s">
        <v>1827</v>
      </c>
      <c r="G243" s="10" t="s">
        <v>1827</v>
      </c>
      <c r="H243" s="10" t="s">
        <v>1827</v>
      </c>
      <c r="I243" s="111">
        <v>46200</v>
      </c>
      <c r="J243" s="10"/>
      <c r="K243" s="10" t="s">
        <v>1006</v>
      </c>
      <c r="L243" s="10"/>
      <c r="M243" s="1107"/>
    </row>
    <row r="244" spans="1:13" ht="15.5">
      <c r="A244" s="10">
        <v>240</v>
      </c>
      <c r="B244" s="10">
        <v>240</v>
      </c>
      <c r="C244" s="908" t="s">
        <v>206</v>
      </c>
      <c r="D244" s="1287" t="str">
        <f>VLOOKUP(C244,Erection!$C$5:$D$311,2,0)</f>
        <v>DA+9</v>
      </c>
      <c r="E244" s="10" t="s">
        <v>1827</v>
      </c>
      <c r="F244" s="10" t="s">
        <v>1827</v>
      </c>
      <c r="G244" s="10" t="s">
        <v>1827</v>
      </c>
      <c r="H244" s="10" t="s">
        <v>1827</v>
      </c>
      <c r="I244" s="111">
        <v>46200</v>
      </c>
      <c r="J244" s="10"/>
      <c r="K244" s="10" t="s">
        <v>1006</v>
      </c>
      <c r="L244" s="10"/>
      <c r="M244" s="1107"/>
    </row>
    <row r="245" spans="1:13" ht="15.5">
      <c r="A245" s="10">
        <v>241</v>
      </c>
      <c r="B245" s="10">
        <v>241</v>
      </c>
      <c r="C245" s="908" t="s">
        <v>207</v>
      </c>
      <c r="D245" s="1287" t="str">
        <f>VLOOKUP(C245,Erection!$C$5:$D$311,2,0)</f>
        <v>DA+6</v>
      </c>
      <c r="E245" s="10" t="s">
        <v>1827</v>
      </c>
      <c r="F245" s="10" t="s">
        <v>1827</v>
      </c>
      <c r="G245" s="10" t="s">
        <v>1827</v>
      </c>
      <c r="H245" s="10" t="s">
        <v>1827</v>
      </c>
      <c r="I245" s="111">
        <v>46200</v>
      </c>
      <c r="J245" s="10"/>
      <c r="K245" s="10" t="s">
        <v>1006</v>
      </c>
      <c r="L245" s="10"/>
      <c r="M245" s="1107"/>
    </row>
    <row r="246" spans="1:13" ht="15.5">
      <c r="A246" s="10">
        <v>242</v>
      </c>
      <c r="B246" s="10">
        <v>242</v>
      </c>
      <c r="C246" s="908" t="s">
        <v>5</v>
      </c>
      <c r="D246" s="1287" t="str">
        <f>VLOOKUP(C246,Erection!$C$5:$D$311,2,0)</f>
        <v>DA+3</v>
      </c>
      <c r="E246" s="10" t="s">
        <v>1827</v>
      </c>
      <c r="F246" s="10" t="s">
        <v>1827</v>
      </c>
      <c r="G246" s="10" t="s">
        <v>1827</v>
      </c>
      <c r="H246" s="10" t="s">
        <v>1827</v>
      </c>
      <c r="I246" s="111">
        <v>46201</v>
      </c>
      <c r="J246" s="10"/>
      <c r="K246" s="10" t="s">
        <v>1006</v>
      </c>
      <c r="L246" s="10"/>
      <c r="M246" s="1107"/>
    </row>
    <row r="247" spans="1:13" ht="15.5">
      <c r="A247" s="10">
        <v>243</v>
      </c>
      <c r="B247" s="10">
        <v>243</v>
      </c>
      <c r="C247" s="908" t="s">
        <v>6</v>
      </c>
      <c r="D247" s="1287" t="str">
        <f>VLOOKUP(C247,Erection!$C$5:$D$311,2,0)</f>
        <v>DA+6</v>
      </c>
      <c r="E247" s="10" t="s">
        <v>1827</v>
      </c>
      <c r="F247" s="10" t="s">
        <v>1827</v>
      </c>
      <c r="G247" s="10" t="s">
        <v>1827</v>
      </c>
      <c r="H247" s="10" t="s">
        <v>1827</v>
      </c>
      <c r="I247" s="111">
        <v>46201</v>
      </c>
      <c r="J247" s="10"/>
      <c r="K247" s="10" t="s">
        <v>1006</v>
      </c>
      <c r="L247" s="10"/>
      <c r="M247" s="1107"/>
    </row>
    <row r="248" spans="1:13" ht="15.5">
      <c r="A248" s="10">
        <v>244</v>
      </c>
      <c r="B248" s="10">
        <v>244</v>
      </c>
      <c r="C248" s="908" t="s">
        <v>630</v>
      </c>
      <c r="D248" s="1287" t="str">
        <f>VLOOKUP(C248,Erection!$C$5:$D$311,2,0)</f>
        <v>DA+9</v>
      </c>
      <c r="E248" s="10" t="s">
        <v>1827</v>
      </c>
      <c r="F248" s="10" t="s">
        <v>1827</v>
      </c>
      <c r="G248" s="10" t="s">
        <v>1827</v>
      </c>
      <c r="H248" s="10" t="s">
        <v>1827</v>
      </c>
      <c r="I248" s="111">
        <v>46201</v>
      </c>
      <c r="J248" s="10"/>
      <c r="K248" s="10" t="s">
        <v>1006</v>
      </c>
      <c r="L248" s="10"/>
      <c r="M248" s="1107"/>
    </row>
    <row r="249" spans="1:13" ht="15.5">
      <c r="A249" s="10">
        <v>245</v>
      </c>
      <c r="B249" s="10">
        <v>245</v>
      </c>
      <c r="C249" s="908" t="s">
        <v>631</v>
      </c>
      <c r="D249" s="1287" t="str">
        <f>VLOOKUP(C249,Erection!$C$5:$D$311,2,0)</f>
        <v>DA+9</v>
      </c>
      <c r="E249" s="10" t="s">
        <v>1827</v>
      </c>
      <c r="F249" s="10" t="s">
        <v>1827</v>
      </c>
      <c r="G249" s="10" t="s">
        <v>1827</v>
      </c>
      <c r="H249" s="10" t="s">
        <v>1827</v>
      </c>
      <c r="I249" s="111">
        <v>46201</v>
      </c>
      <c r="J249" s="10"/>
      <c r="K249" s="10" t="s">
        <v>1006</v>
      </c>
      <c r="L249" s="10"/>
      <c r="M249" s="1107"/>
    </row>
    <row r="250" spans="1:13" ht="15.5">
      <c r="A250" s="10">
        <v>246</v>
      </c>
      <c r="B250" s="10">
        <v>246</v>
      </c>
      <c r="C250" s="908" t="s">
        <v>632</v>
      </c>
      <c r="D250" s="1287" t="str">
        <f>VLOOKUP(C250,Erection!$C$5:$D$311,2,0)</f>
        <v>DA+3</v>
      </c>
      <c r="E250" s="10" t="s">
        <v>1827</v>
      </c>
      <c r="F250" s="10" t="s">
        <v>1827</v>
      </c>
      <c r="G250" s="10" t="s">
        <v>1827</v>
      </c>
      <c r="H250" s="10" t="s">
        <v>1827</v>
      </c>
      <c r="I250" s="111">
        <v>46201</v>
      </c>
      <c r="J250" s="10"/>
      <c r="K250" s="10" t="s">
        <v>1006</v>
      </c>
      <c r="L250" s="10"/>
      <c r="M250" s="1107"/>
    </row>
    <row r="251" spans="1:13" ht="15.5">
      <c r="A251" s="10">
        <v>247</v>
      </c>
      <c r="B251" s="10">
        <v>247</v>
      </c>
      <c r="C251" s="908" t="s">
        <v>634</v>
      </c>
      <c r="D251" s="1287" t="str">
        <f>VLOOKUP(C251,Erection!$C$5:$D$311,2,0)</f>
        <v>DA+9</v>
      </c>
      <c r="E251" s="10" t="s">
        <v>1827</v>
      </c>
      <c r="F251" s="10" t="s">
        <v>1827</v>
      </c>
      <c r="G251" s="10" t="s">
        <v>1827</v>
      </c>
      <c r="H251" s="10" t="s">
        <v>1827</v>
      </c>
      <c r="I251" s="111">
        <v>46201</v>
      </c>
      <c r="J251" s="10"/>
      <c r="K251" s="10" t="s">
        <v>1006</v>
      </c>
      <c r="L251" s="10"/>
      <c r="M251" s="1107"/>
    </row>
  </sheetData>
  <autoFilter ref="A4:M251" xr:uid="{00000000-0001-0000-0D00-000000000000}"/>
  <mergeCells count="3">
    <mergeCell ref="A1:M1"/>
    <mergeCell ref="A2:M2"/>
    <mergeCell ref="A3:L3"/>
  </mergeCells>
  <phoneticPr fontId="46" type="noConversion"/>
  <conditionalFormatting sqref="C1:C4 C252:C65494">
    <cfRule type="expression" dxfId="84" priority="4635" stopIfTrue="1">
      <formula>AND(COUNTIF($C$14:$C$65494, C1)+COUNTIF($C$1:$C$12, C1)&gt;1,NOT(ISBLANK(C1)))</formula>
    </cfRule>
  </conditionalFormatting>
  <conditionalFormatting sqref="C1:C1048576">
    <cfRule type="duplicateValues" dxfId="83" priority="1"/>
  </conditionalFormatting>
  <conditionalFormatting sqref="C5:C18">
    <cfRule type="duplicateValues" dxfId="82" priority="5"/>
    <cfRule type="duplicateValues" dxfId="81" priority="6"/>
    <cfRule type="duplicateValues" dxfId="80" priority="7"/>
    <cfRule type="duplicateValues" dxfId="79" priority="8"/>
  </conditionalFormatting>
  <conditionalFormatting sqref="C5:C251">
    <cfRule type="duplicateValues" dxfId="78" priority="4640"/>
    <cfRule type="duplicateValues" dxfId="77" priority="4641"/>
    <cfRule type="duplicateValues" dxfId="76" priority="4642"/>
  </conditionalFormatting>
  <conditionalFormatting sqref="C252:C65494">
    <cfRule type="duplicateValues" dxfId="75" priority="4638"/>
  </conditionalFormatting>
  <conditionalFormatting sqref="C252:C1048576 C1:C4">
    <cfRule type="duplicateValues" dxfId="74" priority="206"/>
  </conditionalFormatting>
  <pageMargins left="0.7" right="0.7" top="0.75" bottom="0.75" header="0.3" footer="0.3"/>
  <pageSetup orientation="portrait" horizontalDpi="360" verticalDpi="36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1">
    <tabColor rgb="FF00B0F0"/>
  </sheetPr>
  <dimension ref="B1:N25"/>
  <sheetViews>
    <sheetView topLeftCell="A14" workbookViewId="0">
      <selection activeCell="K23" sqref="K23"/>
    </sheetView>
  </sheetViews>
  <sheetFormatPr defaultColWidth="9.1796875" defaultRowHeight="14.5"/>
  <cols>
    <col min="1" max="1" width="2.1796875" style="2" customWidth="1"/>
    <col min="2" max="2" width="7.7265625" style="2" customWidth="1"/>
    <col min="3" max="3" width="8.1796875" style="2" customWidth="1"/>
    <col min="4" max="4" width="9.1796875" style="2"/>
    <col min="5" max="6" width="9.54296875" style="2" customWidth="1"/>
    <col min="7" max="7" width="11.7265625" style="2" customWidth="1"/>
    <col min="8" max="8" width="10.81640625" style="2" bestFit="1" customWidth="1"/>
    <col min="9" max="11" width="11.7265625" style="2" customWidth="1"/>
    <col min="12" max="12" width="17" style="2" customWidth="1"/>
    <col min="13" max="13" width="14.7265625" style="2" customWidth="1"/>
    <col min="14" max="14" width="31.1796875" style="2" customWidth="1"/>
    <col min="15" max="16384" width="9.1796875" style="2"/>
  </cols>
  <sheetData>
    <row r="1" spans="2:14" ht="7.5" customHeight="1" thickBot="1"/>
    <row r="2" spans="2:14" ht="16" thickBot="1">
      <c r="B2" s="1609" t="str">
        <f>Stringing!A1</f>
        <v>KEC International Limited</v>
      </c>
      <c r="C2" s="1610"/>
      <c r="D2" s="1610"/>
      <c r="E2" s="1610"/>
      <c r="F2" s="1610"/>
      <c r="G2" s="1610"/>
      <c r="H2" s="1610"/>
      <c r="I2" s="1610"/>
      <c r="J2" s="1610"/>
      <c r="K2" s="1610"/>
      <c r="L2" s="1610"/>
      <c r="M2" s="1611"/>
      <c r="N2" s="1141"/>
    </row>
    <row r="3" spans="2:14" ht="16" thickBot="1">
      <c r="B3" s="1609" t="str">
        <f>Stringing!A2</f>
        <v xml:space="preserve"> TA413 : 765 KV D/C Bikaner III - Neemrana II TL02</v>
      </c>
      <c r="C3" s="1610"/>
      <c r="D3" s="1610"/>
      <c r="E3" s="1610"/>
      <c r="F3" s="1610"/>
      <c r="G3" s="1610"/>
      <c r="H3" s="1610"/>
      <c r="I3" s="1610"/>
      <c r="J3" s="1610"/>
      <c r="K3" s="1610"/>
      <c r="L3" s="1610"/>
      <c r="M3" s="1610"/>
      <c r="N3" s="1611"/>
    </row>
    <row r="4" spans="2:14" ht="16" thickBot="1">
      <c r="B4" s="1612" t="s">
        <v>108</v>
      </c>
      <c r="C4" s="1613"/>
      <c r="D4" s="1613"/>
      <c r="E4" s="1613"/>
      <c r="F4" s="1613"/>
      <c r="G4" s="1613"/>
      <c r="H4" s="1613"/>
      <c r="I4" s="1613"/>
      <c r="J4" s="1613"/>
      <c r="K4" s="1613"/>
      <c r="L4" s="1613"/>
      <c r="M4" s="1137"/>
      <c r="N4" s="1138" t="str">
        <f>TA413_PBNTL!M1</f>
        <v>17.07.2026</v>
      </c>
    </row>
    <row r="5" spans="2:14" ht="15.65" customHeight="1">
      <c r="B5" s="1614" t="s">
        <v>109</v>
      </c>
      <c r="C5" s="1615" t="s">
        <v>110</v>
      </c>
      <c r="D5" s="1617" t="s">
        <v>94</v>
      </c>
      <c r="E5" s="1618"/>
      <c r="F5" s="1618"/>
      <c r="G5" s="1618"/>
      <c r="H5" s="1619"/>
      <c r="I5" s="1620" t="s">
        <v>102</v>
      </c>
      <c r="J5" s="1620" t="s">
        <v>103</v>
      </c>
      <c r="K5" s="1620" t="s">
        <v>1645</v>
      </c>
      <c r="L5" s="1621" t="s">
        <v>87</v>
      </c>
      <c r="M5" s="1622" t="s">
        <v>1</v>
      </c>
      <c r="N5" s="1607" t="s">
        <v>1642</v>
      </c>
    </row>
    <row r="6" spans="2:14" ht="40" customHeight="1" thickBot="1">
      <c r="B6" s="1614"/>
      <c r="C6" s="1616"/>
      <c r="D6" s="6" t="s">
        <v>95</v>
      </c>
      <c r="E6" s="5" t="s">
        <v>96</v>
      </c>
      <c r="F6" s="6" t="s">
        <v>112</v>
      </c>
      <c r="G6" s="6" t="s">
        <v>113</v>
      </c>
      <c r="H6" s="6" t="s">
        <v>114</v>
      </c>
      <c r="I6" s="1620"/>
      <c r="J6" s="1620"/>
      <c r="K6" s="1620"/>
      <c r="L6" s="1621"/>
      <c r="M6" s="1622"/>
      <c r="N6" s="1608"/>
    </row>
    <row r="7" spans="2:14" ht="24.5" customHeight="1">
      <c r="B7" s="24">
        <v>1</v>
      </c>
      <c r="C7" s="25">
        <v>1</v>
      </c>
      <c r="D7" s="54" t="s">
        <v>166</v>
      </c>
      <c r="E7" s="1185" t="s">
        <v>586</v>
      </c>
      <c r="F7" s="25">
        <v>4.5469999999999997</v>
      </c>
      <c r="G7" s="950">
        <v>4.7190000000000003</v>
      </c>
      <c r="H7" s="25">
        <f>F7</f>
        <v>4.5469999999999997</v>
      </c>
      <c r="I7" s="1139">
        <v>45766</v>
      </c>
      <c r="J7" s="1139">
        <v>45766</v>
      </c>
      <c r="K7" s="1139">
        <v>45766</v>
      </c>
      <c r="L7" s="25" t="s">
        <v>1437</v>
      </c>
      <c r="M7" s="1140" t="s">
        <v>962</v>
      </c>
      <c r="N7" s="1263"/>
    </row>
    <row r="8" spans="2:14" ht="24.5" customHeight="1">
      <c r="B8" s="4">
        <v>2</v>
      </c>
      <c r="C8" s="3">
        <v>2</v>
      </c>
      <c r="D8" s="1016" t="s">
        <v>775</v>
      </c>
      <c r="E8" s="1016" t="s">
        <v>611</v>
      </c>
      <c r="F8" s="3">
        <v>4.4550000000000001</v>
      </c>
      <c r="G8" s="26">
        <v>4.6660000000000004</v>
      </c>
      <c r="H8" s="3">
        <f t="shared" ref="H8:H22" si="0">F8+H7</f>
        <v>9.0019999999999989</v>
      </c>
      <c r="I8" s="35">
        <v>45768</v>
      </c>
      <c r="J8" s="35">
        <v>45768</v>
      </c>
      <c r="K8" s="35">
        <v>45768</v>
      </c>
      <c r="L8" s="3" t="s">
        <v>1437</v>
      </c>
      <c r="M8" s="1050" t="s">
        <v>962</v>
      </c>
      <c r="N8" s="1112"/>
    </row>
    <row r="9" spans="2:14" ht="24.5" customHeight="1">
      <c r="B9" s="4">
        <v>3</v>
      </c>
      <c r="C9" s="3">
        <v>3</v>
      </c>
      <c r="D9" s="1016" t="s">
        <v>611</v>
      </c>
      <c r="E9" s="661" t="s">
        <v>623</v>
      </c>
      <c r="F9" s="26">
        <v>4.6100000000000003</v>
      </c>
      <c r="G9" s="26">
        <v>5</v>
      </c>
      <c r="H9" s="3">
        <f t="shared" si="0"/>
        <v>13.611999999999998</v>
      </c>
      <c r="I9" s="35">
        <v>45771</v>
      </c>
      <c r="J9" s="35">
        <v>45771</v>
      </c>
      <c r="K9" s="35">
        <v>45771</v>
      </c>
      <c r="L9" s="3" t="s">
        <v>1437</v>
      </c>
      <c r="M9" s="1050" t="s">
        <v>962</v>
      </c>
      <c r="N9" s="1112"/>
    </row>
    <row r="10" spans="2:14" ht="24.5" customHeight="1">
      <c r="B10" s="14">
        <v>4</v>
      </c>
      <c r="C10" s="10">
        <v>4</v>
      </c>
      <c r="D10" s="1016" t="s">
        <v>491</v>
      </c>
      <c r="E10" s="114" t="s">
        <v>395</v>
      </c>
      <c r="F10" s="112">
        <v>4.5999999999999996</v>
      </c>
      <c r="G10" s="112">
        <v>5</v>
      </c>
      <c r="H10" s="10">
        <f t="shared" si="0"/>
        <v>18.211999999999996</v>
      </c>
      <c r="I10" s="111">
        <v>45954</v>
      </c>
      <c r="J10" s="111">
        <v>45955</v>
      </c>
      <c r="K10" s="111">
        <v>45956</v>
      </c>
      <c r="L10" s="10" t="s">
        <v>1437</v>
      </c>
      <c r="M10" s="1107" t="s">
        <v>962</v>
      </c>
      <c r="N10" s="1112" t="s">
        <v>1648</v>
      </c>
    </row>
    <row r="11" spans="2:14" ht="24.5" customHeight="1">
      <c r="B11" s="4">
        <v>5</v>
      </c>
      <c r="C11" s="3">
        <v>1</v>
      </c>
      <c r="D11" s="1016" t="s">
        <v>472</v>
      </c>
      <c r="E11" s="1130" t="s">
        <v>491</v>
      </c>
      <c r="F11" s="3">
        <f>4505/1000</f>
        <v>4.5049999999999999</v>
      </c>
      <c r="G11" s="3">
        <f>4723/1000</f>
        <v>4.7229999999999999</v>
      </c>
      <c r="H11" s="10">
        <f t="shared" si="0"/>
        <v>22.716999999999995</v>
      </c>
      <c r="I11" s="35">
        <v>46027</v>
      </c>
      <c r="J11" s="35">
        <v>46029</v>
      </c>
      <c r="K11" s="35">
        <f>J11+1</f>
        <v>46030</v>
      </c>
      <c r="L11" s="10" t="s">
        <v>1437</v>
      </c>
      <c r="M11" s="1107" t="s">
        <v>962</v>
      </c>
      <c r="N11" s="1112"/>
    </row>
    <row r="12" spans="2:14" s="13" customFormat="1" ht="29" customHeight="1">
      <c r="B12" s="14">
        <v>6</v>
      </c>
      <c r="C12" s="10">
        <v>2</v>
      </c>
      <c r="D12" s="661" t="s">
        <v>464</v>
      </c>
      <c r="E12" s="661" t="s">
        <v>472</v>
      </c>
      <c r="F12" s="10">
        <f>4775/1000</f>
        <v>4.7750000000000004</v>
      </c>
      <c r="G12" s="112">
        <f>5000/1000</f>
        <v>5</v>
      </c>
      <c r="H12" s="10">
        <f t="shared" si="0"/>
        <v>27.491999999999997</v>
      </c>
      <c r="I12" s="111">
        <v>46031</v>
      </c>
      <c r="J12" s="111">
        <v>46034</v>
      </c>
      <c r="K12" s="111">
        <v>46035</v>
      </c>
      <c r="L12" s="10" t="s">
        <v>1437</v>
      </c>
      <c r="M12" s="1107" t="s">
        <v>962</v>
      </c>
      <c r="N12" s="1199" t="s">
        <v>1650</v>
      </c>
    </row>
    <row r="13" spans="2:14" ht="24.5" customHeight="1">
      <c r="B13" s="14">
        <v>7</v>
      </c>
      <c r="C13" s="10">
        <v>3</v>
      </c>
      <c r="D13" s="1016" t="s">
        <v>893</v>
      </c>
      <c r="E13" s="114" t="s">
        <v>464</v>
      </c>
      <c r="F13" s="112">
        <f>4665/1000</f>
        <v>4.665</v>
      </c>
      <c r="G13" s="112">
        <f>5000/1000</f>
        <v>5</v>
      </c>
      <c r="H13" s="10">
        <f t="shared" si="0"/>
        <v>32.156999999999996</v>
      </c>
      <c r="I13" s="111">
        <v>46036</v>
      </c>
      <c r="J13" s="111">
        <v>46038</v>
      </c>
      <c r="K13" s="111">
        <v>46039</v>
      </c>
      <c r="L13" s="10" t="s">
        <v>1437</v>
      </c>
      <c r="M13" s="1107" t="s">
        <v>962</v>
      </c>
      <c r="N13" s="1112"/>
    </row>
    <row r="14" spans="2:14" ht="24.5" customHeight="1">
      <c r="B14" s="14">
        <v>8</v>
      </c>
      <c r="C14" s="10">
        <v>4</v>
      </c>
      <c r="D14" s="1016" t="s">
        <v>1260</v>
      </c>
      <c r="E14" s="114" t="s">
        <v>893</v>
      </c>
      <c r="F14" s="112">
        <f>4645.7/1000</f>
        <v>4.6456999999999997</v>
      </c>
      <c r="G14" s="112">
        <f>5000/1000</f>
        <v>5</v>
      </c>
      <c r="H14" s="10">
        <f t="shared" si="0"/>
        <v>36.802699999999994</v>
      </c>
      <c r="I14" s="111">
        <v>46040</v>
      </c>
      <c r="J14" s="111">
        <v>46041</v>
      </c>
      <c r="K14" s="111">
        <v>46043</v>
      </c>
      <c r="L14" s="10" t="s">
        <v>1437</v>
      </c>
      <c r="M14" s="1107" t="s">
        <v>962</v>
      </c>
      <c r="N14" s="1112" t="s">
        <v>1681</v>
      </c>
    </row>
    <row r="15" spans="2:14" ht="24.5" customHeight="1">
      <c r="B15" s="14">
        <v>9</v>
      </c>
      <c r="C15" s="10">
        <v>1</v>
      </c>
      <c r="D15" s="1016" t="s">
        <v>774</v>
      </c>
      <c r="E15" s="114" t="s">
        <v>166</v>
      </c>
      <c r="F15" s="112">
        <f>4488.203/1000</f>
        <v>4.4882030000000004</v>
      </c>
      <c r="G15" s="112">
        <v>4.7089999999999996</v>
      </c>
      <c r="H15" s="10">
        <f t="shared" si="0"/>
        <v>41.290902999999993</v>
      </c>
      <c r="I15" s="111">
        <v>46062</v>
      </c>
      <c r="J15" s="111">
        <v>46062</v>
      </c>
      <c r="K15" s="111">
        <v>46062</v>
      </c>
      <c r="L15" s="10" t="s">
        <v>1437</v>
      </c>
      <c r="M15" s="1107" t="s">
        <v>962</v>
      </c>
      <c r="N15" s="1112" t="s">
        <v>1643</v>
      </c>
    </row>
    <row r="16" spans="2:14" ht="24.5" customHeight="1">
      <c r="B16" s="14">
        <v>10</v>
      </c>
      <c r="C16" s="10">
        <v>2</v>
      </c>
      <c r="D16" s="1016" t="s">
        <v>449</v>
      </c>
      <c r="E16" s="114" t="s">
        <v>774</v>
      </c>
      <c r="F16" s="112">
        <v>4.4470000000000001</v>
      </c>
      <c r="G16" s="112">
        <v>4.665</v>
      </c>
      <c r="H16" s="10">
        <f t="shared" si="0"/>
        <v>45.737902999999996</v>
      </c>
      <c r="I16" s="111">
        <v>46064</v>
      </c>
      <c r="J16" s="111">
        <v>46065</v>
      </c>
      <c r="K16" s="111">
        <f>J16+1</f>
        <v>46066</v>
      </c>
      <c r="L16" s="10" t="s">
        <v>1437</v>
      </c>
      <c r="M16" s="1107" t="s">
        <v>962</v>
      </c>
      <c r="N16" s="1112" t="s">
        <v>1644</v>
      </c>
    </row>
    <row r="17" spans="2:14" ht="24.5" customHeight="1">
      <c r="B17" s="14">
        <v>11</v>
      </c>
      <c r="C17" s="10">
        <v>3</v>
      </c>
      <c r="D17" s="1016" t="s">
        <v>441</v>
      </c>
      <c r="E17" s="114" t="s">
        <v>449</v>
      </c>
      <c r="F17" s="112">
        <f>4740/1000</f>
        <v>4.74</v>
      </c>
      <c r="G17" s="112">
        <f>5000/1000</f>
        <v>5</v>
      </c>
      <c r="H17" s="10">
        <f t="shared" si="0"/>
        <v>50.477902999999998</v>
      </c>
      <c r="I17" s="111">
        <v>46067</v>
      </c>
      <c r="J17" s="111">
        <f>I17+1</f>
        <v>46068</v>
      </c>
      <c r="K17" s="111">
        <f>J17+1</f>
        <v>46069</v>
      </c>
      <c r="L17" s="10" t="s">
        <v>1437</v>
      </c>
      <c r="M17" s="1107" t="s">
        <v>962</v>
      </c>
      <c r="N17" s="1112" t="s">
        <v>1647</v>
      </c>
    </row>
    <row r="18" spans="2:14" ht="24.5" customHeight="1">
      <c r="B18" s="14">
        <v>12</v>
      </c>
      <c r="C18" s="10">
        <v>4</v>
      </c>
      <c r="D18" s="1016" t="s">
        <v>901</v>
      </c>
      <c r="E18" s="114" t="s">
        <v>441</v>
      </c>
      <c r="F18" s="112">
        <f>4450.001/1000</f>
        <v>4.4500010000000003</v>
      </c>
      <c r="G18" s="112">
        <f>4669/1000</f>
        <v>4.6689999999999996</v>
      </c>
      <c r="H18" s="10">
        <f t="shared" si="0"/>
        <v>54.927903999999998</v>
      </c>
      <c r="I18" s="111">
        <v>46069</v>
      </c>
      <c r="J18" s="111">
        <v>46070</v>
      </c>
      <c r="K18" s="111">
        <v>46071</v>
      </c>
      <c r="L18" s="10" t="s">
        <v>1437</v>
      </c>
      <c r="M18" s="1107" t="s">
        <v>962</v>
      </c>
      <c r="N18" s="1112"/>
    </row>
    <row r="19" spans="2:14" ht="24.5" customHeight="1">
      <c r="B19" s="14">
        <v>13</v>
      </c>
      <c r="C19" s="10">
        <v>5</v>
      </c>
      <c r="D19" s="1016" t="s">
        <v>1646</v>
      </c>
      <c r="E19" s="114" t="s">
        <v>1260</v>
      </c>
      <c r="F19" s="112">
        <f>4834.216/1000</f>
        <v>4.8342160000000005</v>
      </c>
      <c r="G19" s="112">
        <v>5</v>
      </c>
      <c r="H19" s="10">
        <f t="shared" si="0"/>
        <v>59.762119999999996</v>
      </c>
      <c r="I19" s="111">
        <v>46073</v>
      </c>
      <c r="J19" s="111">
        <v>46074</v>
      </c>
      <c r="K19" s="111">
        <v>46075</v>
      </c>
      <c r="L19" s="10" t="s">
        <v>1437</v>
      </c>
      <c r="M19" s="1107" t="s">
        <v>962</v>
      </c>
      <c r="N19" s="1112" t="s">
        <v>1680</v>
      </c>
    </row>
    <row r="20" spans="2:14" ht="24.5" customHeight="1">
      <c r="B20" s="1292">
        <v>14</v>
      </c>
      <c r="C20" s="1246">
        <v>1</v>
      </c>
      <c r="D20" s="1293" t="s">
        <v>369</v>
      </c>
      <c r="E20" s="1294" t="s">
        <v>267</v>
      </c>
      <c r="F20" s="1295">
        <v>4.4980000000000002</v>
      </c>
      <c r="G20" s="1295">
        <f>4632/1000</f>
        <v>4.6319999999999997</v>
      </c>
      <c r="H20" s="10">
        <f t="shared" si="0"/>
        <v>64.260120000000001</v>
      </c>
      <c r="I20" s="1251">
        <v>46197</v>
      </c>
      <c r="J20" s="1251">
        <v>46197</v>
      </c>
      <c r="K20" s="1251">
        <v>46198</v>
      </c>
      <c r="L20" s="10" t="s">
        <v>1437</v>
      </c>
      <c r="M20" s="1296" t="s">
        <v>962</v>
      </c>
      <c r="N20" s="1297"/>
    </row>
    <row r="21" spans="2:14" ht="24.5" customHeight="1">
      <c r="B21" s="1292">
        <v>15</v>
      </c>
      <c r="C21" s="1246">
        <v>2</v>
      </c>
      <c r="D21" s="1293" t="s">
        <v>395</v>
      </c>
      <c r="E21" s="1294" t="s">
        <v>369</v>
      </c>
      <c r="F21" s="1295">
        <v>4.8</v>
      </c>
      <c r="G21" s="112">
        <v>5</v>
      </c>
      <c r="H21" s="10">
        <f t="shared" si="0"/>
        <v>69.060119999999998</v>
      </c>
      <c r="I21" s="1251">
        <v>46199</v>
      </c>
      <c r="J21" s="1251">
        <f>I21+1</f>
        <v>46200</v>
      </c>
      <c r="K21" s="1251">
        <f>J21+1</f>
        <v>46201</v>
      </c>
      <c r="L21" s="10" t="s">
        <v>1437</v>
      </c>
      <c r="M21" s="1296" t="s">
        <v>962</v>
      </c>
      <c r="N21" s="1297"/>
    </row>
    <row r="22" spans="2:14" s="13" customFormat="1" ht="24.5" customHeight="1">
      <c r="B22" s="1292">
        <v>16</v>
      </c>
      <c r="C22" s="1246">
        <v>3</v>
      </c>
      <c r="D22" s="1389" t="s">
        <v>586</v>
      </c>
      <c r="E22" s="1130" t="s">
        <v>598</v>
      </c>
      <c r="F22" s="1390">
        <v>4.7750000000000004</v>
      </c>
      <c r="G22" s="1295">
        <v>5</v>
      </c>
      <c r="H22" s="10">
        <f t="shared" si="0"/>
        <v>73.835120000000003</v>
      </c>
      <c r="I22" s="1251">
        <v>46208</v>
      </c>
      <c r="J22" s="1251">
        <f>I22+1</f>
        <v>46209</v>
      </c>
      <c r="K22" s="1251">
        <f>J22+1</f>
        <v>46210</v>
      </c>
      <c r="L22" s="1246" t="s">
        <v>1437</v>
      </c>
      <c r="M22" s="1296" t="s">
        <v>962</v>
      </c>
      <c r="N22" s="1297"/>
    </row>
    <row r="23" spans="2:14" s="13" customFormat="1" ht="21" customHeight="1" thickBot="1">
      <c r="B23" s="19"/>
      <c r="C23" s="17"/>
      <c r="D23" s="1143"/>
      <c r="E23" s="1143"/>
      <c r="F23" s="1144"/>
      <c r="G23" s="1145"/>
      <c r="H23" s="1145"/>
      <c r="I23" s="1146"/>
      <c r="J23" s="1146"/>
      <c r="K23" s="1146"/>
      <c r="L23" s="17"/>
      <c r="M23" s="17"/>
      <c r="N23" s="1147"/>
    </row>
    <row r="25" spans="2:14">
      <c r="F25" s="177">
        <f>+SUM(F7:F22)</f>
        <v>73.835120000000003</v>
      </c>
      <c r="G25" s="177">
        <f>+SUM(G7:G23)</f>
        <v>77.783000000000001</v>
      </c>
    </row>
  </sheetData>
  <mergeCells count="12">
    <mergeCell ref="N5:N6"/>
    <mergeCell ref="B3:N3"/>
    <mergeCell ref="B2:M2"/>
    <mergeCell ref="B4:L4"/>
    <mergeCell ref="B5:B6"/>
    <mergeCell ref="C5:C6"/>
    <mergeCell ref="D5:H5"/>
    <mergeCell ref="I5:I6"/>
    <mergeCell ref="J5:J6"/>
    <mergeCell ref="K5:K6"/>
    <mergeCell ref="L5:L6"/>
    <mergeCell ref="M5:M6"/>
  </mergeCells>
  <conditionalFormatting sqref="E7:E10 E12:E22">
    <cfRule type="expression" dxfId="73" priority="197" stopIfTrue="1">
      <formula>AND(COUNTIF($E$13:$F$13, E7)+COUNTIF($E$12:$E$12, E7)+COUNTIF($E$7:$E$10, E7)&gt;1,NOT(ISBLANK(E7)))</formula>
    </cfRule>
  </conditionalFormatting>
  <conditionalFormatting sqref="E10">
    <cfRule type="duplicateValues" dxfId="72" priority="194"/>
  </conditionalFormatting>
  <conditionalFormatting sqref="E11">
    <cfRule type="duplicateValues" dxfId="71" priority="193"/>
  </conditionalFormatting>
  <conditionalFormatting sqref="E13:E22">
    <cfRule type="duplicateValues" dxfId="70" priority="1"/>
  </conditionalFormatting>
  <pageMargins left="0.7" right="0.7" top="0.75" bottom="0.75" header="0.3" footer="0.3"/>
  <pageSetup orientation="portrait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 filterMode="1">
    <tabColor rgb="FFFF0000"/>
    <pageSetUpPr fitToPage="1"/>
  </sheetPr>
  <dimension ref="A1:R558"/>
  <sheetViews>
    <sheetView showGridLines="0" zoomScaleNormal="100" zoomScaleSheetLayoutView="95" workbookViewId="0">
      <pane xSplit="5" ySplit="4" topLeftCell="F5" activePane="bottomRight" state="frozen"/>
      <selection activeCell="A4" sqref="A4:XFD4"/>
      <selection pane="topRight" activeCell="A4" sqref="A4:XFD4"/>
      <selection pane="bottomLeft" activeCell="A4" sqref="A4:XFD4"/>
      <selection pane="bottomRight" activeCell="C186" activeCellId="1" sqref="A1:Q1048576 C186 C194 C200 C205 C211 C220 C226 C234 C236 C260 C264 C267:C268 C270 C273:C274 C277 C280 C283 C285 C287 C291 C295 C300 C304:C305 C311:C312 C363:C1048576"/>
    </sheetView>
  </sheetViews>
  <sheetFormatPr defaultColWidth="9.1796875" defaultRowHeight="14.5"/>
  <cols>
    <col min="1" max="1" width="7.54296875" style="2" customWidth="1"/>
    <col min="2" max="2" width="10.26953125" style="2" customWidth="1"/>
    <col min="3" max="3" width="9.1796875" style="20" customWidth="1"/>
    <col min="4" max="4" width="15.54296875" style="2" customWidth="1"/>
    <col min="5" max="5" width="13.453125" style="2" customWidth="1"/>
    <col min="6" max="6" width="12.453125" style="2" customWidth="1"/>
    <col min="7" max="7" width="14.54296875" style="2" customWidth="1"/>
    <col min="8" max="8" width="28.26953125" style="2" customWidth="1"/>
    <col min="9" max="9" width="12.7265625" style="2" customWidth="1"/>
    <col min="10" max="10" width="9.7265625" style="2" customWidth="1"/>
    <col min="11" max="11" width="10.7265625" style="2" bestFit="1" customWidth="1"/>
    <col min="12" max="13" width="8.453125" style="2" customWidth="1"/>
    <col min="14" max="14" width="10.26953125" style="2" customWidth="1"/>
    <col min="15" max="15" width="16.1796875" style="2" customWidth="1"/>
    <col min="16" max="16" width="21.26953125" style="2" customWidth="1"/>
    <col min="17" max="17" width="21.1796875" style="2" customWidth="1"/>
    <col min="18" max="16384" width="9.1796875" style="13"/>
  </cols>
  <sheetData>
    <row r="1" spans="1:18" s="2" customFormat="1" ht="15.5">
      <c r="A1" s="1623" t="s">
        <v>120</v>
      </c>
      <c r="B1" s="1624"/>
      <c r="C1" s="1624"/>
      <c r="D1" s="1624"/>
      <c r="E1" s="1624"/>
      <c r="F1" s="1624"/>
      <c r="G1" s="1624"/>
      <c r="H1" s="1624"/>
      <c r="I1" s="1624"/>
      <c r="J1" s="1624"/>
      <c r="K1" s="1624"/>
      <c r="L1" s="1624"/>
      <c r="M1" s="1624"/>
      <c r="N1" s="1624"/>
      <c r="O1" s="1624"/>
      <c r="P1" s="1624"/>
      <c r="Q1" s="1625"/>
    </row>
    <row r="2" spans="1:18" s="2" customFormat="1" ht="15.5">
      <c r="A2" s="1626" t="str">
        <f>TA413_PBNTL!A1</f>
        <v xml:space="preserve"> TA413 : 765 KV D/C Bikaner III - Neemrana II TL02</v>
      </c>
      <c r="B2" s="1627"/>
      <c r="C2" s="1627"/>
      <c r="D2" s="1627"/>
      <c r="E2" s="1627"/>
      <c r="F2" s="1627"/>
      <c r="G2" s="1627"/>
      <c r="H2" s="1627"/>
      <c r="I2" s="1627"/>
      <c r="J2" s="1627"/>
      <c r="K2" s="1627"/>
      <c r="L2" s="1627"/>
      <c r="M2" s="1627"/>
      <c r="N2" s="1627"/>
      <c r="O2" s="1627"/>
      <c r="P2" s="1627"/>
      <c r="Q2" s="1628"/>
    </row>
    <row r="3" spans="1:18" s="2" customFormat="1" ht="16" thickBot="1">
      <c r="A3" s="666" t="s">
        <v>106</v>
      </c>
      <c r="B3" s="171"/>
      <c r="C3" s="171"/>
      <c r="D3" s="171"/>
      <c r="E3" s="171"/>
      <c r="F3" s="171"/>
      <c r="G3" s="171"/>
      <c r="H3" s="171"/>
      <c r="I3" s="1019">
        <f>SUBTOTAL(9,I5:I317)</f>
        <v>11161.390000000001</v>
      </c>
      <c r="J3" s="1019">
        <f t="shared" ref="J3:N3" si="0">SUBTOTAL(9,J5:J317)</f>
        <v>142.41</v>
      </c>
      <c r="K3" s="1019">
        <f t="shared" si="0"/>
        <v>1625.4499999999996</v>
      </c>
      <c r="L3" s="1019">
        <f>SUBTOTAL(9,L5:L320)</f>
        <v>86.131999999999991</v>
      </c>
      <c r="M3" s="1019">
        <f t="shared" si="0"/>
        <v>36.034602</v>
      </c>
      <c r="N3" s="1019">
        <f t="shared" si="0"/>
        <v>312.24999999999994</v>
      </c>
      <c r="O3" s="172"/>
      <c r="P3" s="150"/>
      <c r="Q3" s="309" t="str">
        <f>TA413_PBNTL!M1</f>
        <v>17.07.2026</v>
      </c>
    </row>
    <row r="4" spans="1:18" s="2" customFormat="1" ht="29.5" thickBot="1">
      <c r="A4" s="47" t="s">
        <v>41</v>
      </c>
      <c r="B4" s="48" t="s">
        <v>42</v>
      </c>
      <c r="C4" s="963" t="s">
        <v>43</v>
      </c>
      <c r="D4" s="48" t="s">
        <v>44</v>
      </c>
      <c r="E4" s="48" t="s">
        <v>45</v>
      </c>
      <c r="F4" s="964" t="s">
        <v>46</v>
      </c>
      <c r="G4" s="964" t="s">
        <v>47</v>
      </c>
      <c r="H4" s="48" t="s">
        <v>87</v>
      </c>
      <c r="I4" s="48" t="s">
        <v>29</v>
      </c>
      <c r="J4" s="48" t="s">
        <v>281</v>
      </c>
      <c r="K4" s="48" t="s">
        <v>282</v>
      </c>
      <c r="L4" s="48" t="s">
        <v>100</v>
      </c>
      <c r="M4" s="48" t="s">
        <v>273</v>
      </c>
      <c r="N4" s="48" t="s">
        <v>664</v>
      </c>
      <c r="O4" s="48" t="s">
        <v>48</v>
      </c>
      <c r="P4" s="48" t="s">
        <v>667</v>
      </c>
      <c r="Q4" s="52" t="s">
        <v>1</v>
      </c>
    </row>
    <row r="5" spans="1:18" ht="21.75" hidden="1" customHeight="1">
      <c r="A5" s="53">
        <f>SUBTOTAL(103,$C$5:C5)</f>
        <v>0</v>
      </c>
      <c r="B5" s="54">
        <v>1</v>
      </c>
      <c r="C5" s="965" t="s">
        <v>368</v>
      </c>
      <c r="D5" s="966" t="str">
        <f>VLOOKUP(C5,'Location Summary'!$C$4:$D$603,2,0)</f>
        <v>DA+6</v>
      </c>
      <c r="E5" s="966" t="s">
        <v>403</v>
      </c>
      <c r="F5" s="967">
        <v>45441</v>
      </c>
      <c r="G5" s="967">
        <v>45449</v>
      </c>
      <c r="H5" s="968" t="s">
        <v>502</v>
      </c>
      <c r="I5" s="966">
        <f t="shared" ref="I5:I36" si="1">VLOOKUP($D5,$D$323:$M$362,6,FALSE)</f>
        <v>289.83999999999997</v>
      </c>
      <c r="J5" s="54">
        <f t="shared" ref="J5:J36" si="2">VLOOKUP($D5,$D$323:$M$362,7,FALSE)</f>
        <v>3.61</v>
      </c>
      <c r="K5" s="54">
        <f t="shared" ref="K5:K36" si="3">VLOOKUP($D5,$D$323:$M$362,8,FALSE)</f>
        <v>37.299999999999997</v>
      </c>
      <c r="L5" s="54">
        <f t="shared" ref="L5:L36" si="4">VLOOKUP($D5,$D$323:$M$362,9,FALSE)</f>
        <v>2.093</v>
      </c>
      <c r="M5" s="54">
        <f t="shared" ref="M5:M36" si="5">VLOOKUP($D5,$D$323:$M$362,10,FALSE)</f>
        <v>0.86599999999999999</v>
      </c>
      <c r="N5" s="969">
        <f t="shared" ref="N5:N36" si="6">ROUND((I5*230.35+J5*10150.5+K5*11591.45+L5*93958.18+M5*7677.44)/10^5,2)</f>
        <v>7.39</v>
      </c>
      <c r="O5" s="970" t="s">
        <v>659</v>
      </c>
      <c r="P5" s="971" t="s">
        <v>668</v>
      </c>
      <c r="Q5" s="972" t="s">
        <v>255</v>
      </c>
      <c r="R5" s="13">
        <f>(J5*4.4)+(K5*8)</f>
        <v>314.28399999999999</v>
      </c>
    </row>
    <row r="6" spans="1:18" ht="21.75" hidden="1" customHeight="1">
      <c r="A6" s="14">
        <f>SUBTOTAL(103,$C$5:C6)</f>
        <v>0</v>
      </c>
      <c r="B6" s="10">
        <v>2</v>
      </c>
      <c r="C6" s="114" t="s">
        <v>411</v>
      </c>
      <c r="D6" s="62" t="str">
        <f>VLOOKUP(C6,'Location Summary'!$C$4:$D$603,2,0)</f>
        <v>DA+3</v>
      </c>
      <c r="E6" s="62" t="s">
        <v>403</v>
      </c>
      <c r="F6" s="107">
        <v>45442</v>
      </c>
      <c r="G6" s="107">
        <v>45450</v>
      </c>
      <c r="H6" s="60" t="s">
        <v>503</v>
      </c>
      <c r="I6" s="760">
        <f t="shared" si="1"/>
        <v>289.83999999999997</v>
      </c>
      <c r="J6" s="10">
        <f t="shared" si="2"/>
        <v>3.61</v>
      </c>
      <c r="K6" s="10">
        <f t="shared" si="3"/>
        <v>37.299999999999997</v>
      </c>
      <c r="L6" s="10">
        <f t="shared" si="4"/>
        <v>2.093</v>
      </c>
      <c r="M6" s="10">
        <f t="shared" si="5"/>
        <v>0.86599999999999999</v>
      </c>
      <c r="N6" s="448">
        <f t="shared" si="6"/>
        <v>7.39</v>
      </c>
      <c r="O6" s="112" t="s">
        <v>451</v>
      </c>
      <c r="P6" s="554" t="s">
        <v>668</v>
      </c>
      <c r="Q6" s="973" t="s">
        <v>255</v>
      </c>
      <c r="R6" s="13">
        <f t="shared" ref="R6:R69" si="7">(J6*4.4)+(K6*8)</f>
        <v>314.28399999999999</v>
      </c>
    </row>
    <row r="7" spans="1:18" ht="21.75" hidden="1" customHeight="1">
      <c r="A7" s="14">
        <f>SUBTOTAL(103,$C$5:C7)</f>
        <v>0</v>
      </c>
      <c r="B7" s="10">
        <v>3</v>
      </c>
      <c r="C7" s="114" t="s">
        <v>412</v>
      </c>
      <c r="D7" s="62" t="str">
        <f>VLOOKUP(C7,'Location Summary'!$C$4:$D$603,2,0)</f>
        <v>DA+3</v>
      </c>
      <c r="E7" s="62" t="s">
        <v>403</v>
      </c>
      <c r="F7" s="107">
        <v>45450</v>
      </c>
      <c r="G7" s="107">
        <v>45452</v>
      </c>
      <c r="H7" s="60" t="s">
        <v>503</v>
      </c>
      <c r="I7" s="62">
        <f t="shared" si="1"/>
        <v>289.83999999999997</v>
      </c>
      <c r="J7" s="10">
        <f t="shared" si="2"/>
        <v>3.61</v>
      </c>
      <c r="K7" s="10">
        <f t="shared" si="3"/>
        <v>37.299999999999997</v>
      </c>
      <c r="L7" s="10">
        <f t="shared" si="4"/>
        <v>2.093</v>
      </c>
      <c r="M7" s="10">
        <f t="shared" si="5"/>
        <v>0.86599999999999999</v>
      </c>
      <c r="N7" s="448">
        <f t="shared" si="6"/>
        <v>7.39</v>
      </c>
      <c r="O7" s="112" t="s">
        <v>451</v>
      </c>
      <c r="P7" s="554" t="s">
        <v>668</v>
      </c>
      <c r="Q7" s="973" t="s">
        <v>255</v>
      </c>
      <c r="R7" s="13">
        <f t="shared" si="7"/>
        <v>314.28399999999999</v>
      </c>
    </row>
    <row r="8" spans="1:18" ht="21.75" hidden="1" customHeight="1">
      <c r="A8" s="14">
        <f>SUBTOTAL(103,$C$5:C8)</f>
        <v>0</v>
      </c>
      <c r="B8" s="10">
        <v>4</v>
      </c>
      <c r="C8" s="114" t="s">
        <v>410</v>
      </c>
      <c r="D8" s="62" t="str">
        <f>VLOOKUP(C8,'Location Summary'!$C$4:$D$603,2,0)</f>
        <v>DA+3</v>
      </c>
      <c r="E8" s="62" t="s">
        <v>403</v>
      </c>
      <c r="F8" s="107">
        <v>45452</v>
      </c>
      <c r="G8" s="107">
        <v>45454</v>
      </c>
      <c r="H8" s="60" t="s">
        <v>503</v>
      </c>
      <c r="I8" s="62">
        <f t="shared" si="1"/>
        <v>289.83999999999997</v>
      </c>
      <c r="J8" s="10">
        <f t="shared" si="2"/>
        <v>3.61</v>
      </c>
      <c r="K8" s="10">
        <f t="shared" si="3"/>
        <v>37.299999999999997</v>
      </c>
      <c r="L8" s="10">
        <f t="shared" si="4"/>
        <v>2.093</v>
      </c>
      <c r="M8" s="10">
        <f t="shared" si="5"/>
        <v>0.86599999999999999</v>
      </c>
      <c r="N8" s="448">
        <f t="shared" si="6"/>
        <v>7.39</v>
      </c>
      <c r="O8" s="112" t="s">
        <v>451</v>
      </c>
      <c r="P8" s="554" t="s">
        <v>668</v>
      </c>
      <c r="Q8" s="973" t="s">
        <v>255</v>
      </c>
      <c r="R8" s="13">
        <f t="shared" si="7"/>
        <v>314.28399999999999</v>
      </c>
    </row>
    <row r="9" spans="1:18" ht="21.75" hidden="1" customHeight="1">
      <c r="A9" s="14">
        <f>SUBTOTAL(103,$C$5:C9)</f>
        <v>0</v>
      </c>
      <c r="B9" s="10">
        <v>5</v>
      </c>
      <c r="C9" s="114" t="s">
        <v>369</v>
      </c>
      <c r="D9" s="62" t="str">
        <f>VLOOKUP(C9,'Location Summary'!$C$4:$D$603,2,0)</f>
        <v>DA+3</v>
      </c>
      <c r="E9" s="62" t="s">
        <v>403</v>
      </c>
      <c r="F9" s="107">
        <v>45455</v>
      </c>
      <c r="G9" s="107">
        <v>45460</v>
      </c>
      <c r="H9" s="60" t="s">
        <v>502</v>
      </c>
      <c r="I9" s="62">
        <f t="shared" si="1"/>
        <v>289.83999999999997</v>
      </c>
      <c r="J9" s="10">
        <f t="shared" si="2"/>
        <v>3.61</v>
      </c>
      <c r="K9" s="10">
        <f t="shared" si="3"/>
        <v>37.299999999999997</v>
      </c>
      <c r="L9" s="10">
        <f t="shared" si="4"/>
        <v>2.093</v>
      </c>
      <c r="M9" s="10">
        <f t="shared" si="5"/>
        <v>0.86599999999999999</v>
      </c>
      <c r="N9" s="448">
        <f t="shared" si="6"/>
        <v>7.39</v>
      </c>
      <c r="O9" s="112" t="s">
        <v>659</v>
      </c>
      <c r="P9" s="554" t="s">
        <v>678</v>
      </c>
      <c r="Q9" s="973" t="s">
        <v>255</v>
      </c>
      <c r="R9" s="13">
        <f t="shared" si="7"/>
        <v>314.28399999999999</v>
      </c>
    </row>
    <row r="10" spans="1:18" ht="21.75" hidden="1" customHeight="1">
      <c r="A10" s="14">
        <f>SUBTOTAL(103,$C$5:C10)</f>
        <v>0</v>
      </c>
      <c r="B10" s="10">
        <v>6</v>
      </c>
      <c r="C10" s="114" t="s">
        <v>413</v>
      </c>
      <c r="D10" s="62" t="str">
        <f>VLOOKUP(C10,'Location Summary'!$C$4:$D$603,2,0)</f>
        <v>DA+3</v>
      </c>
      <c r="E10" s="62" t="s">
        <v>403</v>
      </c>
      <c r="F10" s="107">
        <v>45456</v>
      </c>
      <c r="G10" s="107">
        <v>45460</v>
      </c>
      <c r="H10" s="60" t="s">
        <v>503</v>
      </c>
      <c r="I10" s="62">
        <f t="shared" si="1"/>
        <v>289.83999999999997</v>
      </c>
      <c r="J10" s="10">
        <f t="shared" si="2"/>
        <v>3.61</v>
      </c>
      <c r="K10" s="10">
        <f t="shared" si="3"/>
        <v>37.299999999999997</v>
      </c>
      <c r="L10" s="10">
        <f t="shared" si="4"/>
        <v>2.093</v>
      </c>
      <c r="M10" s="10">
        <f t="shared" si="5"/>
        <v>0.86599999999999999</v>
      </c>
      <c r="N10" s="448">
        <f t="shared" si="6"/>
        <v>7.39</v>
      </c>
      <c r="O10" s="112" t="s">
        <v>451</v>
      </c>
      <c r="P10" s="554" t="s">
        <v>678</v>
      </c>
      <c r="Q10" s="973" t="s">
        <v>255</v>
      </c>
      <c r="R10" s="13">
        <f t="shared" si="7"/>
        <v>314.28399999999999</v>
      </c>
    </row>
    <row r="11" spans="1:18" ht="21.75" hidden="1" customHeight="1">
      <c r="A11" s="14">
        <f>SUBTOTAL(103,$C$5:C11)</f>
        <v>0</v>
      </c>
      <c r="B11" s="10">
        <v>7</v>
      </c>
      <c r="C11" s="114" t="s">
        <v>414</v>
      </c>
      <c r="D11" s="62" t="str">
        <f>VLOOKUP(C11,'Location Summary'!$C$4:$D$603,2,0)</f>
        <v>DA+3</v>
      </c>
      <c r="E11" s="62" t="s">
        <v>403</v>
      </c>
      <c r="F11" s="107">
        <v>45459</v>
      </c>
      <c r="G11" s="107">
        <v>45461</v>
      </c>
      <c r="H11" s="60" t="s">
        <v>503</v>
      </c>
      <c r="I11" s="62">
        <f t="shared" si="1"/>
        <v>289.83999999999997</v>
      </c>
      <c r="J11" s="10">
        <f t="shared" si="2"/>
        <v>3.61</v>
      </c>
      <c r="K11" s="10">
        <f t="shared" si="3"/>
        <v>37.299999999999997</v>
      </c>
      <c r="L11" s="10">
        <f t="shared" si="4"/>
        <v>2.093</v>
      </c>
      <c r="M11" s="10">
        <f t="shared" si="5"/>
        <v>0.86599999999999999</v>
      </c>
      <c r="N11" s="448">
        <f t="shared" si="6"/>
        <v>7.39</v>
      </c>
      <c r="O11" s="112" t="s">
        <v>451</v>
      </c>
      <c r="P11" s="554" t="s">
        <v>678</v>
      </c>
      <c r="Q11" s="973" t="s">
        <v>255</v>
      </c>
      <c r="R11" s="13">
        <f t="shared" si="7"/>
        <v>314.28399999999999</v>
      </c>
    </row>
    <row r="12" spans="1:18" ht="21.75" hidden="1" customHeight="1">
      <c r="A12" s="14">
        <f>SUBTOTAL(103,$C$5:C12)</f>
        <v>0</v>
      </c>
      <c r="B12" s="10">
        <v>8</v>
      </c>
      <c r="C12" s="114" t="s">
        <v>415</v>
      </c>
      <c r="D12" s="62" t="str">
        <f>VLOOKUP(C12,'Location Summary'!$C$4:$D$603,2,0)</f>
        <v>DA+6</v>
      </c>
      <c r="E12" s="62" t="s">
        <v>403</v>
      </c>
      <c r="F12" s="107">
        <v>45461</v>
      </c>
      <c r="G12" s="107">
        <v>45464</v>
      </c>
      <c r="H12" s="60" t="s">
        <v>503</v>
      </c>
      <c r="I12" s="62">
        <f t="shared" si="1"/>
        <v>289.83999999999997</v>
      </c>
      <c r="J12" s="10">
        <f t="shared" si="2"/>
        <v>3.61</v>
      </c>
      <c r="K12" s="10">
        <f t="shared" si="3"/>
        <v>37.299999999999997</v>
      </c>
      <c r="L12" s="10">
        <f t="shared" si="4"/>
        <v>2.093</v>
      </c>
      <c r="M12" s="10">
        <f t="shared" si="5"/>
        <v>0.86599999999999999</v>
      </c>
      <c r="N12" s="448">
        <f t="shared" si="6"/>
        <v>7.39</v>
      </c>
      <c r="O12" s="112" t="s">
        <v>451</v>
      </c>
      <c r="P12" s="554" t="s">
        <v>678</v>
      </c>
      <c r="Q12" s="973" t="s">
        <v>255</v>
      </c>
      <c r="R12" s="13">
        <f t="shared" si="7"/>
        <v>314.28399999999999</v>
      </c>
    </row>
    <row r="13" spans="1:18" ht="21.75" hidden="1" customHeight="1">
      <c r="A13" s="14">
        <f>SUBTOTAL(103,$C$5:C13)</f>
        <v>0</v>
      </c>
      <c r="B13" s="10">
        <v>9</v>
      </c>
      <c r="C13" s="114" t="s">
        <v>405</v>
      </c>
      <c r="D13" s="62" t="str">
        <f>VLOOKUP(C13,'Location Summary'!$C$4:$D$603,2,0)</f>
        <v>DA+0</v>
      </c>
      <c r="E13" s="62" t="s">
        <v>403</v>
      </c>
      <c r="F13" s="107">
        <v>45461</v>
      </c>
      <c r="G13" s="107">
        <v>45466</v>
      </c>
      <c r="H13" s="60" t="s">
        <v>502</v>
      </c>
      <c r="I13" s="62">
        <f t="shared" si="1"/>
        <v>271.04000000000002</v>
      </c>
      <c r="J13" s="10">
        <f t="shared" si="2"/>
        <v>3.36</v>
      </c>
      <c r="K13" s="10">
        <f t="shared" si="3"/>
        <v>34.15</v>
      </c>
      <c r="L13" s="10">
        <f t="shared" si="4"/>
        <v>1.599</v>
      </c>
      <c r="M13" s="10">
        <f t="shared" si="5"/>
        <v>0.86599999999999999</v>
      </c>
      <c r="N13" s="448">
        <f t="shared" si="6"/>
        <v>6.49</v>
      </c>
      <c r="O13" s="112" t="s">
        <v>659</v>
      </c>
      <c r="P13" s="554" t="s">
        <v>678</v>
      </c>
      <c r="Q13" s="973" t="s">
        <v>255</v>
      </c>
      <c r="R13" s="13">
        <f t="shared" si="7"/>
        <v>287.98399999999998</v>
      </c>
    </row>
    <row r="14" spans="1:18" ht="21.75" hidden="1" customHeight="1">
      <c r="A14" s="14">
        <f>SUBTOTAL(103,$C$5:C14)</f>
        <v>0</v>
      </c>
      <c r="B14" s="10">
        <v>10</v>
      </c>
      <c r="C14" s="114" t="s">
        <v>416</v>
      </c>
      <c r="D14" s="62" t="str">
        <f>VLOOKUP(C14,'Location Summary'!$C$4:$D$603,2,0)</f>
        <v>DA+3</v>
      </c>
      <c r="E14" s="62" t="s">
        <v>403</v>
      </c>
      <c r="F14" s="107">
        <v>45464</v>
      </c>
      <c r="G14" s="107">
        <v>45467</v>
      </c>
      <c r="H14" s="60" t="s">
        <v>503</v>
      </c>
      <c r="I14" s="62">
        <f t="shared" si="1"/>
        <v>289.83999999999997</v>
      </c>
      <c r="J14" s="10">
        <f t="shared" si="2"/>
        <v>3.61</v>
      </c>
      <c r="K14" s="10">
        <f t="shared" si="3"/>
        <v>37.299999999999997</v>
      </c>
      <c r="L14" s="10">
        <f t="shared" si="4"/>
        <v>2.093</v>
      </c>
      <c r="M14" s="10">
        <f t="shared" si="5"/>
        <v>0.86599999999999999</v>
      </c>
      <c r="N14" s="448">
        <f t="shared" si="6"/>
        <v>7.39</v>
      </c>
      <c r="O14" s="112" t="s">
        <v>451</v>
      </c>
      <c r="P14" s="554" t="s">
        <v>678</v>
      </c>
      <c r="Q14" s="973" t="s">
        <v>255</v>
      </c>
      <c r="R14" s="13">
        <f t="shared" si="7"/>
        <v>314.28399999999999</v>
      </c>
    </row>
    <row r="15" spans="1:18" ht="21.75" hidden="1" customHeight="1">
      <c r="A15" s="14">
        <f>SUBTOTAL(103,$C$5:C15)</f>
        <v>0</v>
      </c>
      <c r="B15" s="10">
        <v>11</v>
      </c>
      <c r="C15" s="114" t="s">
        <v>394</v>
      </c>
      <c r="D15" s="62" t="str">
        <f>VLOOKUP(C15,'Location Summary'!$C$4:$D$603,2,0)</f>
        <v>DA+9</v>
      </c>
      <c r="E15" s="62" t="s">
        <v>403</v>
      </c>
      <c r="F15" s="107">
        <v>45460</v>
      </c>
      <c r="G15" s="107">
        <v>45469</v>
      </c>
      <c r="H15" s="60" t="s">
        <v>693</v>
      </c>
      <c r="I15" s="62">
        <f t="shared" si="1"/>
        <v>289.83999999999997</v>
      </c>
      <c r="J15" s="10">
        <f t="shared" si="2"/>
        <v>3.61</v>
      </c>
      <c r="K15" s="10">
        <f t="shared" si="3"/>
        <v>37.299999999999997</v>
      </c>
      <c r="L15" s="10">
        <f t="shared" si="4"/>
        <v>2.093</v>
      </c>
      <c r="M15" s="10">
        <f t="shared" si="5"/>
        <v>0.86599999999999999</v>
      </c>
      <c r="N15" s="448">
        <f t="shared" si="6"/>
        <v>7.39</v>
      </c>
      <c r="O15" s="112" t="s">
        <v>660</v>
      </c>
      <c r="P15" s="554" t="s">
        <v>678</v>
      </c>
      <c r="Q15" s="973" t="s">
        <v>255</v>
      </c>
      <c r="R15" s="13">
        <f t="shared" si="7"/>
        <v>314.28399999999999</v>
      </c>
    </row>
    <row r="16" spans="1:18" ht="21.75" hidden="1" customHeight="1">
      <c r="A16" s="14">
        <f>SUBTOTAL(103,$C$5:C16)</f>
        <v>0</v>
      </c>
      <c r="B16" s="10">
        <v>12</v>
      </c>
      <c r="C16" s="114" t="s">
        <v>417</v>
      </c>
      <c r="D16" s="62" t="str">
        <f>VLOOKUP(C16,'Location Summary'!$C$4:$D$603,2,0)</f>
        <v>DA+9</v>
      </c>
      <c r="E16" s="62" t="s">
        <v>403</v>
      </c>
      <c r="F16" s="107">
        <v>45467</v>
      </c>
      <c r="G16" s="107">
        <v>45470</v>
      </c>
      <c r="H16" s="60" t="s">
        <v>503</v>
      </c>
      <c r="I16" s="62">
        <f t="shared" si="1"/>
        <v>289.83999999999997</v>
      </c>
      <c r="J16" s="10">
        <f t="shared" si="2"/>
        <v>3.61</v>
      </c>
      <c r="K16" s="10">
        <f t="shared" si="3"/>
        <v>37.299999999999997</v>
      </c>
      <c r="L16" s="10">
        <f t="shared" si="4"/>
        <v>2.093</v>
      </c>
      <c r="M16" s="10">
        <f t="shared" si="5"/>
        <v>0.86599999999999999</v>
      </c>
      <c r="N16" s="448">
        <f t="shared" si="6"/>
        <v>7.39</v>
      </c>
      <c r="O16" s="112" t="s">
        <v>451</v>
      </c>
      <c r="P16" s="554" t="s">
        <v>678</v>
      </c>
      <c r="Q16" s="973" t="s">
        <v>255</v>
      </c>
      <c r="R16" s="13">
        <f t="shared" si="7"/>
        <v>314.28399999999999</v>
      </c>
    </row>
    <row r="17" spans="1:18" ht="21.75" hidden="1" customHeight="1">
      <c r="A17" s="14">
        <f>SUBTOTAL(103,$C$5:C17)</f>
        <v>0</v>
      </c>
      <c r="B17" s="10">
        <v>13</v>
      </c>
      <c r="C17" s="114" t="s">
        <v>409</v>
      </c>
      <c r="D17" s="62" t="str">
        <f>VLOOKUP(C17,'Location Summary'!$C$4:$D$603,2,0)</f>
        <v>DA+3</v>
      </c>
      <c r="E17" s="62" t="s">
        <v>403</v>
      </c>
      <c r="F17" s="107">
        <v>45466</v>
      </c>
      <c r="G17" s="107">
        <v>45471</v>
      </c>
      <c r="H17" s="60" t="s">
        <v>692</v>
      </c>
      <c r="I17" s="62">
        <f t="shared" si="1"/>
        <v>289.83999999999997</v>
      </c>
      <c r="J17" s="10">
        <f t="shared" si="2"/>
        <v>3.61</v>
      </c>
      <c r="K17" s="10">
        <f t="shared" si="3"/>
        <v>37.299999999999997</v>
      </c>
      <c r="L17" s="10">
        <f t="shared" si="4"/>
        <v>2.093</v>
      </c>
      <c r="M17" s="10">
        <f t="shared" si="5"/>
        <v>0.86599999999999999</v>
      </c>
      <c r="N17" s="448">
        <f t="shared" si="6"/>
        <v>7.39</v>
      </c>
      <c r="O17" s="112" t="s">
        <v>660</v>
      </c>
      <c r="P17" s="554" t="s">
        <v>678</v>
      </c>
      <c r="Q17" s="973" t="s">
        <v>255</v>
      </c>
      <c r="R17" s="13">
        <f t="shared" si="7"/>
        <v>314.28399999999999</v>
      </c>
    </row>
    <row r="18" spans="1:18" ht="21.75" hidden="1" customHeight="1">
      <c r="A18" s="14">
        <f>SUBTOTAL(103,$C$5:C18)</f>
        <v>0</v>
      </c>
      <c r="B18" s="10">
        <v>14</v>
      </c>
      <c r="C18" s="114" t="s">
        <v>404</v>
      </c>
      <c r="D18" s="62" t="str">
        <f>VLOOKUP(C18,'Location Summary'!$C$4:$D$603,2,0)</f>
        <v>DA+3</v>
      </c>
      <c r="E18" s="62" t="s">
        <v>403</v>
      </c>
      <c r="F18" s="107">
        <v>45468</v>
      </c>
      <c r="G18" s="107">
        <v>45472</v>
      </c>
      <c r="H18" s="60" t="s">
        <v>502</v>
      </c>
      <c r="I18" s="62">
        <f t="shared" si="1"/>
        <v>289.83999999999997</v>
      </c>
      <c r="J18" s="10">
        <f t="shared" si="2"/>
        <v>3.61</v>
      </c>
      <c r="K18" s="10">
        <f t="shared" si="3"/>
        <v>37.299999999999997</v>
      </c>
      <c r="L18" s="10">
        <f t="shared" si="4"/>
        <v>2.093</v>
      </c>
      <c r="M18" s="10">
        <f t="shared" si="5"/>
        <v>0.86599999999999999</v>
      </c>
      <c r="N18" s="448">
        <f t="shared" si="6"/>
        <v>7.39</v>
      </c>
      <c r="O18" s="112" t="s">
        <v>659</v>
      </c>
      <c r="P18" s="554" t="s">
        <v>678</v>
      </c>
      <c r="Q18" s="973" t="s">
        <v>255</v>
      </c>
      <c r="R18" s="13">
        <f t="shared" si="7"/>
        <v>314.28399999999999</v>
      </c>
    </row>
    <row r="19" spans="1:18" ht="21.75" hidden="1" customHeight="1">
      <c r="A19" s="14">
        <f>SUBTOTAL(103,$C$5:C19)</f>
        <v>0</v>
      </c>
      <c r="B19" s="10">
        <v>1</v>
      </c>
      <c r="C19" s="114" t="s">
        <v>420</v>
      </c>
      <c r="D19" s="62" t="str">
        <f>VLOOKUP(C19,'Location Summary'!$C$4:$D$603,2,0)</f>
        <v>DA+0</v>
      </c>
      <c r="E19" s="62" t="s">
        <v>403</v>
      </c>
      <c r="F19" s="107">
        <v>45470</v>
      </c>
      <c r="G19" s="107">
        <v>45476</v>
      </c>
      <c r="H19" s="60" t="s">
        <v>503</v>
      </c>
      <c r="I19" s="62">
        <f t="shared" si="1"/>
        <v>271.04000000000002</v>
      </c>
      <c r="J19" s="10">
        <f t="shared" si="2"/>
        <v>3.36</v>
      </c>
      <c r="K19" s="10">
        <f t="shared" si="3"/>
        <v>34.15</v>
      </c>
      <c r="L19" s="10">
        <f t="shared" si="4"/>
        <v>1.599</v>
      </c>
      <c r="M19" s="10">
        <f t="shared" si="5"/>
        <v>0.86599999999999999</v>
      </c>
      <c r="N19" s="448">
        <f t="shared" si="6"/>
        <v>6.49</v>
      </c>
      <c r="O19" s="112" t="s">
        <v>451</v>
      </c>
      <c r="P19" s="554" t="s">
        <v>743</v>
      </c>
      <c r="Q19" s="973" t="s">
        <v>255</v>
      </c>
      <c r="R19" s="13">
        <f t="shared" si="7"/>
        <v>287.98399999999998</v>
      </c>
    </row>
    <row r="20" spans="1:18" ht="21.75" hidden="1" customHeight="1">
      <c r="A20" s="14">
        <f>SUBTOTAL(103,$C$5:C20)</f>
        <v>0</v>
      </c>
      <c r="B20" s="10">
        <v>2</v>
      </c>
      <c r="C20" s="114" t="s">
        <v>395</v>
      </c>
      <c r="D20" s="62" t="str">
        <f>VLOOKUP(C20,'Location Summary'!$C$4:$D$603,2,0)</f>
        <v>DA+3</v>
      </c>
      <c r="E20" s="62" t="s">
        <v>403</v>
      </c>
      <c r="F20" s="107">
        <v>45471</v>
      </c>
      <c r="G20" s="107">
        <v>45476</v>
      </c>
      <c r="H20" s="60" t="s">
        <v>693</v>
      </c>
      <c r="I20" s="62">
        <f t="shared" si="1"/>
        <v>289.83999999999997</v>
      </c>
      <c r="J20" s="10">
        <f t="shared" si="2"/>
        <v>3.61</v>
      </c>
      <c r="K20" s="10">
        <f t="shared" si="3"/>
        <v>37.299999999999997</v>
      </c>
      <c r="L20" s="10">
        <f t="shared" si="4"/>
        <v>2.093</v>
      </c>
      <c r="M20" s="10">
        <f t="shared" si="5"/>
        <v>0.86599999999999999</v>
      </c>
      <c r="N20" s="448">
        <f t="shared" si="6"/>
        <v>7.39</v>
      </c>
      <c r="O20" s="112" t="s">
        <v>660</v>
      </c>
      <c r="P20" s="554" t="s">
        <v>765</v>
      </c>
      <c r="Q20" s="973" t="s">
        <v>255</v>
      </c>
      <c r="R20" s="13">
        <f t="shared" si="7"/>
        <v>314.28399999999999</v>
      </c>
    </row>
    <row r="21" spans="1:18" ht="21.75" hidden="1" customHeight="1">
      <c r="A21" s="14">
        <f>SUBTOTAL(103,$C$5:C21)</f>
        <v>0</v>
      </c>
      <c r="B21" s="10">
        <v>3</v>
      </c>
      <c r="C21" s="114" t="s">
        <v>419</v>
      </c>
      <c r="D21" s="62" t="str">
        <f>VLOOKUP(C21,'Location Summary'!$C$4:$D$603,2,0)</f>
        <v>DA+1.5</v>
      </c>
      <c r="E21" s="62" t="s">
        <v>403</v>
      </c>
      <c r="F21" s="107">
        <v>45476</v>
      </c>
      <c r="G21" s="107">
        <v>45479</v>
      </c>
      <c r="H21" s="60" t="s">
        <v>503</v>
      </c>
      <c r="I21" s="62">
        <f t="shared" si="1"/>
        <v>289.83999999999997</v>
      </c>
      <c r="J21" s="10">
        <f t="shared" si="2"/>
        <v>3.61</v>
      </c>
      <c r="K21" s="10">
        <f t="shared" si="3"/>
        <v>37.299999999999997</v>
      </c>
      <c r="L21" s="10">
        <f t="shared" si="4"/>
        <v>2.093</v>
      </c>
      <c r="M21" s="10">
        <f t="shared" si="5"/>
        <v>0.86599999999999999</v>
      </c>
      <c r="N21" s="448">
        <f t="shared" si="6"/>
        <v>7.39</v>
      </c>
      <c r="O21" s="112" t="s">
        <v>451</v>
      </c>
      <c r="P21" s="554" t="s">
        <v>764</v>
      </c>
      <c r="Q21" s="973" t="s">
        <v>255</v>
      </c>
      <c r="R21" s="13">
        <f t="shared" si="7"/>
        <v>314.28399999999999</v>
      </c>
    </row>
    <row r="22" spans="1:18" ht="21.75" hidden="1" customHeight="1">
      <c r="A22" s="14">
        <f>SUBTOTAL(103,$C$5:C22)</f>
        <v>0</v>
      </c>
      <c r="B22" s="10">
        <v>4</v>
      </c>
      <c r="C22" s="114" t="s">
        <v>449</v>
      </c>
      <c r="D22" s="62" t="str">
        <f>VLOOKUP(C22,'Location Summary'!$C$4:$D$603,2,0)</f>
        <v>DA+1.5</v>
      </c>
      <c r="E22" s="62" t="s">
        <v>403</v>
      </c>
      <c r="F22" s="107">
        <v>45477</v>
      </c>
      <c r="G22" s="107">
        <v>45479</v>
      </c>
      <c r="H22" s="60" t="s">
        <v>692</v>
      </c>
      <c r="I22" s="62">
        <f t="shared" si="1"/>
        <v>289.83999999999997</v>
      </c>
      <c r="J22" s="10">
        <f t="shared" si="2"/>
        <v>3.61</v>
      </c>
      <c r="K22" s="10">
        <f t="shared" si="3"/>
        <v>37.299999999999997</v>
      </c>
      <c r="L22" s="10">
        <f t="shared" si="4"/>
        <v>2.093</v>
      </c>
      <c r="M22" s="10">
        <f t="shared" si="5"/>
        <v>0.86599999999999999</v>
      </c>
      <c r="N22" s="448">
        <f t="shared" si="6"/>
        <v>7.39</v>
      </c>
      <c r="O22" s="112" t="s">
        <v>759</v>
      </c>
      <c r="P22" s="554" t="s">
        <v>766</v>
      </c>
      <c r="Q22" s="973" t="s">
        <v>255</v>
      </c>
      <c r="R22" s="13">
        <f t="shared" si="7"/>
        <v>314.28399999999999</v>
      </c>
    </row>
    <row r="23" spans="1:18" ht="21.75" hidden="1" customHeight="1">
      <c r="A23" s="14">
        <f>SUBTOTAL(103,$C$5:C23)</f>
        <v>0</v>
      </c>
      <c r="B23" s="10">
        <v>5</v>
      </c>
      <c r="C23" s="114" t="s">
        <v>396</v>
      </c>
      <c r="D23" s="62" t="str">
        <f>VLOOKUP(C23,'Location Summary'!$C$4:$D$603,2,0)</f>
        <v>DA+3</v>
      </c>
      <c r="E23" s="62" t="s">
        <v>403</v>
      </c>
      <c r="F23" s="107">
        <v>45477</v>
      </c>
      <c r="G23" s="107">
        <v>45482</v>
      </c>
      <c r="H23" s="60" t="s">
        <v>693</v>
      </c>
      <c r="I23" s="62">
        <f t="shared" si="1"/>
        <v>289.83999999999997</v>
      </c>
      <c r="J23" s="10">
        <f t="shared" si="2"/>
        <v>3.61</v>
      </c>
      <c r="K23" s="10">
        <f t="shared" si="3"/>
        <v>37.299999999999997</v>
      </c>
      <c r="L23" s="10">
        <f t="shared" si="4"/>
        <v>2.093</v>
      </c>
      <c r="M23" s="10">
        <f t="shared" si="5"/>
        <v>0.86599999999999999</v>
      </c>
      <c r="N23" s="448">
        <f t="shared" si="6"/>
        <v>7.39</v>
      </c>
      <c r="O23" s="112" t="s">
        <v>660</v>
      </c>
      <c r="P23" s="554" t="s">
        <v>764</v>
      </c>
      <c r="Q23" s="973" t="s">
        <v>255</v>
      </c>
      <c r="R23" s="13">
        <f t="shared" si="7"/>
        <v>314.28399999999999</v>
      </c>
    </row>
    <row r="24" spans="1:18" ht="21.75" hidden="1" customHeight="1">
      <c r="A24" s="14">
        <f>SUBTOTAL(103,$C$5:C24)</f>
        <v>0</v>
      </c>
      <c r="B24" s="10">
        <v>6</v>
      </c>
      <c r="C24" s="114" t="s">
        <v>402</v>
      </c>
      <c r="D24" s="62" t="str">
        <f>VLOOKUP(C24,'Location Summary'!$C$4:$D$603,2,0)</f>
        <v>DA+3</v>
      </c>
      <c r="E24" s="62" t="s">
        <v>403</v>
      </c>
      <c r="F24" s="107">
        <v>45475</v>
      </c>
      <c r="G24" s="107">
        <v>45483</v>
      </c>
      <c r="H24" s="60" t="s">
        <v>502</v>
      </c>
      <c r="I24" s="62">
        <f t="shared" si="1"/>
        <v>289.83999999999997</v>
      </c>
      <c r="J24" s="10">
        <f t="shared" si="2"/>
        <v>3.61</v>
      </c>
      <c r="K24" s="10">
        <f t="shared" si="3"/>
        <v>37.299999999999997</v>
      </c>
      <c r="L24" s="10">
        <f t="shared" si="4"/>
        <v>2.093</v>
      </c>
      <c r="M24" s="10">
        <f t="shared" si="5"/>
        <v>0.86599999999999999</v>
      </c>
      <c r="N24" s="448">
        <f t="shared" si="6"/>
        <v>7.39</v>
      </c>
      <c r="O24" s="112" t="s">
        <v>659</v>
      </c>
      <c r="P24" s="554" t="s">
        <v>753</v>
      </c>
      <c r="Q24" s="973" t="s">
        <v>255</v>
      </c>
      <c r="R24" s="13">
        <f t="shared" si="7"/>
        <v>314.28399999999999</v>
      </c>
    </row>
    <row r="25" spans="1:18" ht="21.75" hidden="1" customHeight="1">
      <c r="A25" s="14">
        <f>SUBTOTAL(103,$C$5:C25)</f>
        <v>0</v>
      </c>
      <c r="B25" s="10">
        <v>7</v>
      </c>
      <c r="C25" s="114" t="s">
        <v>448</v>
      </c>
      <c r="D25" s="62" t="str">
        <f>VLOOKUP(C25,'Location Summary'!$C$4:$D$603,2,0)</f>
        <v>DA+0</v>
      </c>
      <c r="E25" s="62" t="s">
        <v>403</v>
      </c>
      <c r="F25" s="107">
        <v>45479</v>
      </c>
      <c r="G25" s="107">
        <v>45483</v>
      </c>
      <c r="H25" s="60" t="s">
        <v>692</v>
      </c>
      <c r="I25" s="62">
        <f t="shared" si="1"/>
        <v>271.04000000000002</v>
      </c>
      <c r="J25" s="10">
        <f t="shared" si="2"/>
        <v>3.36</v>
      </c>
      <c r="K25" s="10">
        <f t="shared" si="3"/>
        <v>34.15</v>
      </c>
      <c r="L25" s="10">
        <f t="shared" si="4"/>
        <v>1.599</v>
      </c>
      <c r="M25" s="10">
        <f t="shared" si="5"/>
        <v>0.86599999999999999</v>
      </c>
      <c r="N25" s="448">
        <f t="shared" si="6"/>
        <v>6.49</v>
      </c>
      <c r="O25" s="112" t="s">
        <v>759</v>
      </c>
      <c r="P25" s="554" t="s">
        <v>766</v>
      </c>
      <c r="Q25" s="973" t="s">
        <v>255</v>
      </c>
      <c r="R25" s="13">
        <f t="shared" si="7"/>
        <v>287.98399999999998</v>
      </c>
    </row>
    <row r="26" spans="1:18" ht="21.75" hidden="1" customHeight="1">
      <c r="A26" s="14">
        <f>SUBTOTAL(103,$C$5:C26)</f>
        <v>0</v>
      </c>
      <c r="B26" s="10">
        <v>8</v>
      </c>
      <c r="C26" s="114" t="s">
        <v>421</v>
      </c>
      <c r="D26" s="62" t="str">
        <f>VLOOKUP(C26,'Location Summary'!$C$4:$D$603,2,0)</f>
        <v>DA-1.5</v>
      </c>
      <c r="E26" s="62" t="s">
        <v>403</v>
      </c>
      <c r="F26" s="107">
        <v>45480</v>
      </c>
      <c r="G26" s="107">
        <v>45483</v>
      </c>
      <c r="H26" s="60" t="s">
        <v>503</v>
      </c>
      <c r="I26" s="62">
        <f t="shared" si="1"/>
        <v>271.04000000000002</v>
      </c>
      <c r="J26" s="10">
        <f t="shared" si="2"/>
        <v>3.36</v>
      </c>
      <c r="K26" s="10">
        <f t="shared" si="3"/>
        <v>34.15</v>
      </c>
      <c r="L26" s="10">
        <f t="shared" si="4"/>
        <v>1.599</v>
      </c>
      <c r="M26" s="10">
        <f t="shared" si="5"/>
        <v>0.86599999999999999</v>
      </c>
      <c r="N26" s="448">
        <f t="shared" si="6"/>
        <v>6.49</v>
      </c>
      <c r="O26" s="112" t="s">
        <v>451</v>
      </c>
      <c r="P26" s="554" t="s">
        <v>765</v>
      </c>
      <c r="Q26" s="973" t="s">
        <v>255</v>
      </c>
      <c r="R26" s="13">
        <f t="shared" si="7"/>
        <v>287.98399999999998</v>
      </c>
    </row>
    <row r="27" spans="1:18" ht="21.75" hidden="1" customHeight="1">
      <c r="A27" s="14">
        <f>SUBTOTAL(103,$C$5:C27)</f>
        <v>0</v>
      </c>
      <c r="B27" s="10">
        <v>9</v>
      </c>
      <c r="C27" s="114" t="s">
        <v>418</v>
      </c>
      <c r="D27" s="62" t="str">
        <f>VLOOKUP(C27,'Location Summary'!$C$4:$D$603,2,0)</f>
        <v>DA+0</v>
      </c>
      <c r="E27" s="62" t="s">
        <v>403</v>
      </c>
      <c r="F27" s="107">
        <v>45470</v>
      </c>
      <c r="G27" s="107">
        <v>45484</v>
      </c>
      <c r="H27" s="60" t="s">
        <v>503</v>
      </c>
      <c r="I27" s="62">
        <f t="shared" si="1"/>
        <v>271.04000000000002</v>
      </c>
      <c r="J27" s="10">
        <f t="shared" si="2"/>
        <v>3.36</v>
      </c>
      <c r="K27" s="10">
        <f t="shared" si="3"/>
        <v>34.15</v>
      </c>
      <c r="L27" s="10">
        <f t="shared" si="4"/>
        <v>1.599</v>
      </c>
      <c r="M27" s="10">
        <f t="shared" si="5"/>
        <v>0.86599999999999999</v>
      </c>
      <c r="N27" s="448">
        <f t="shared" si="6"/>
        <v>6.49</v>
      </c>
      <c r="O27" s="112" t="s">
        <v>451</v>
      </c>
      <c r="P27" s="554" t="s">
        <v>742</v>
      </c>
      <c r="Q27" s="973" t="s">
        <v>255</v>
      </c>
      <c r="R27" s="13">
        <f t="shared" si="7"/>
        <v>287.98399999999998</v>
      </c>
    </row>
    <row r="28" spans="1:18" ht="21.75" hidden="1" customHeight="1">
      <c r="A28" s="14">
        <f>SUBTOTAL(103,$C$5:C28)</f>
        <v>0</v>
      </c>
      <c r="B28" s="10">
        <v>10</v>
      </c>
      <c r="C28" s="114" t="s">
        <v>447</v>
      </c>
      <c r="D28" s="62" t="str">
        <f>VLOOKUP(C28,'Location Summary'!$C$4:$D$603,2,0)</f>
        <v>DA+0</v>
      </c>
      <c r="E28" s="62" t="s">
        <v>403</v>
      </c>
      <c r="F28" s="107">
        <v>45484</v>
      </c>
      <c r="G28" s="107">
        <v>45488</v>
      </c>
      <c r="H28" s="60" t="s">
        <v>692</v>
      </c>
      <c r="I28" s="62">
        <f t="shared" si="1"/>
        <v>271.04000000000002</v>
      </c>
      <c r="J28" s="10">
        <f t="shared" si="2"/>
        <v>3.36</v>
      </c>
      <c r="K28" s="10">
        <f t="shared" si="3"/>
        <v>34.15</v>
      </c>
      <c r="L28" s="10">
        <f t="shared" si="4"/>
        <v>1.599</v>
      </c>
      <c r="M28" s="10">
        <f t="shared" si="5"/>
        <v>0.86599999999999999</v>
      </c>
      <c r="N28" s="448">
        <f t="shared" si="6"/>
        <v>6.49</v>
      </c>
      <c r="O28" s="112" t="s">
        <v>659</v>
      </c>
      <c r="P28" s="554" t="s">
        <v>765</v>
      </c>
      <c r="Q28" s="973" t="s">
        <v>255</v>
      </c>
      <c r="R28" s="13">
        <f t="shared" si="7"/>
        <v>287.98399999999998</v>
      </c>
    </row>
    <row r="29" spans="1:18" ht="21.75" hidden="1" customHeight="1">
      <c r="A29" s="14">
        <f>SUBTOTAL(103,$C$5:C29)</f>
        <v>0</v>
      </c>
      <c r="B29" s="10">
        <v>11</v>
      </c>
      <c r="C29" s="114" t="s">
        <v>422</v>
      </c>
      <c r="D29" s="62" t="str">
        <f>VLOOKUP(C29,'Location Summary'!$C$4:$D$603,2,0)</f>
        <v>DA+0</v>
      </c>
      <c r="E29" s="62" t="s">
        <v>403</v>
      </c>
      <c r="F29" s="107">
        <v>45484</v>
      </c>
      <c r="G29" s="107">
        <v>45491</v>
      </c>
      <c r="H29" s="60" t="s">
        <v>503</v>
      </c>
      <c r="I29" s="62">
        <f t="shared" si="1"/>
        <v>271.04000000000002</v>
      </c>
      <c r="J29" s="10">
        <f t="shared" si="2"/>
        <v>3.36</v>
      </c>
      <c r="K29" s="10">
        <f t="shared" si="3"/>
        <v>34.15</v>
      </c>
      <c r="L29" s="10">
        <f t="shared" si="4"/>
        <v>1.599</v>
      </c>
      <c r="M29" s="10">
        <f t="shared" si="5"/>
        <v>0.86599999999999999</v>
      </c>
      <c r="N29" s="448">
        <f t="shared" si="6"/>
        <v>6.49</v>
      </c>
      <c r="O29" s="112" t="s">
        <v>451</v>
      </c>
      <c r="P29" s="554" t="s">
        <v>788</v>
      </c>
      <c r="Q29" s="973" t="s">
        <v>255</v>
      </c>
      <c r="R29" s="13">
        <f t="shared" si="7"/>
        <v>287.98399999999998</v>
      </c>
    </row>
    <row r="30" spans="1:18" ht="21.75" hidden="1" customHeight="1">
      <c r="A30" s="14">
        <f>SUBTOTAL(103,$C$5:C30)</f>
        <v>0</v>
      </c>
      <c r="B30" s="10">
        <v>12</v>
      </c>
      <c r="C30" s="114" t="s">
        <v>397</v>
      </c>
      <c r="D30" s="62" t="str">
        <f>VLOOKUP(C30,'Location Summary'!$C$4:$D$603,2,0)</f>
        <v>DA+9</v>
      </c>
      <c r="E30" s="62" t="s">
        <v>403</v>
      </c>
      <c r="F30" s="107">
        <v>45483</v>
      </c>
      <c r="G30" s="107">
        <v>45492</v>
      </c>
      <c r="H30" s="60" t="s">
        <v>693</v>
      </c>
      <c r="I30" s="62">
        <f t="shared" si="1"/>
        <v>289.83999999999997</v>
      </c>
      <c r="J30" s="10">
        <f t="shared" si="2"/>
        <v>3.61</v>
      </c>
      <c r="K30" s="10">
        <f t="shared" si="3"/>
        <v>37.299999999999997</v>
      </c>
      <c r="L30" s="10">
        <f t="shared" si="4"/>
        <v>2.093</v>
      </c>
      <c r="M30" s="10">
        <f t="shared" si="5"/>
        <v>0.86599999999999999</v>
      </c>
      <c r="N30" s="448">
        <f t="shared" si="6"/>
        <v>7.39</v>
      </c>
      <c r="O30" s="112" t="s">
        <v>660</v>
      </c>
      <c r="P30" s="554" t="s">
        <v>789</v>
      </c>
      <c r="Q30" s="973" t="s">
        <v>255</v>
      </c>
      <c r="R30" s="13">
        <f t="shared" si="7"/>
        <v>314.28399999999999</v>
      </c>
    </row>
    <row r="31" spans="1:18" ht="21.75" hidden="1" customHeight="1">
      <c r="A31" s="14">
        <f>SUBTOTAL(103,$C$5:C31)</f>
        <v>0</v>
      </c>
      <c r="B31" s="10">
        <v>13</v>
      </c>
      <c r="C31" s="114" t="s">
        <v>390</v>
      </c>
      <c r="D31" s="62" t="str">
        <f>VLOOKUP(C31,'Location Summary'!$C$4:$D$603,2,0)</f>
        <v>DA-3</v>
      </c>
      <c r="E31" s="62" t="s">
        <v>403</v>
      </c>
      <c r="F31" s="107">
        <v>45488</v>
      </c>
      <c r="G31" s="107">
        <v>45493</v>
      </c>
      <c r="H31" s="60" t="s">
        <v>799</v>
      </c>
      <c r="I31" s="62">
        <f t="shared" si="1"/>
        <v>271.04000000000002</v>
      </c>
      <c r="J31" s="10">
        <f t="shared" si="2"/>
        <v>3.36</v>
      </c>
      <c r="K31" s="10">
        <f t="shared" si="3"/>
        <v>34.15</v>
      </c>
      <c r="L31" s="10">
        <f t="shared" si="4"/>
        <v>1.599</v>
      </c>
      <c r="M31" s="10">
        <f t="shared" si="5"/>
        <v>0.86599999999999999</v>
      </c>
      <c r="N31" s="448">
        <f t="shared" si="6"/>
        <v>6.49</v>
      </c>
      <c r="O31" s="112" t="s">
        <v>791</v>
      </c>
      <c r="P31" s="554" t="s">
        <v>789</v>
      </c>
      <c r="Q31" s="973" t="s">
        <v>255</v>
      </c>
      <c r="R31" s="13">
        <f t="shared" si="7"/>
        <v>287.98399999999998</v>
      </c>
    </row>
    <row r="32" spans="1:18" ht="21.75" hidden="1" customHeight="1">
      <c r="A32" s="14">
        <f>SUBTOTAL(103,$C$5:C32)</f>
        <v>0</v>
      </c>
      <c r="B32" s="10">
        <v>14</v>
      </c>
      <c r="C32" s="114" t="s">
        <v>446</v>
      </c>
      <c r="D32" s="62" t="str">
        <f>VLOOKUP(C32,'Location Summary'!$C$4:$D$603,2,0)</f>
        <v>DA+9</v>
      </c>
      <c r="E32" s="62" t="s">
        <v>403</v>
      </c>
      <c r="F32" s="107">
        <v>45489</v>
      </c>
      <c r="G32" s="107">
        <v>45495</v>
      </c>
      <c r="H32" s="60" t="s">
        <v>692</v>
      </c>
      <c r="I32" s="62">
        <f t="shared" si="1"/>
        <v>289.83999999999997</v>
      </c>
      <c r="J32" s="10">
        <f t="shared" si="2"/>
        <v>3.61</v>
      </c>
      <c r="K32" s="10">
        <f t="shared" si="3"/>
        <v>37.299999999999997</v>
      </c>
      <c r="L32" s="10">
        <f t="shared" si="4"/>
        <v>2.093</v>
      </c>
      <c r="M32" s="10">
        <f t="shared" si="5"/>
        <v>0.86599999999999999</v>
      </c>
      <c r="N32" s="448">
        <f t="shared" si="6"/>
        <v>7.39</v>
      </c>
      <c r="O32" s="112" t="s">
        <v>659</v>
      </c>
      <c r="P32" s="554" t="s">
        <v>789</v>
      </c>
      <c r="Q32" s="973" t="s">
        <v>255</v>
      </c>
      <c r="R32" s="13">
        <f t="shared" si="7"/>
        <v>314.28399999999999</v>
      </c>
    </row>
    <row r="33" spans="1:18" ht="21.75" hidden="1" customHeight="1">
      <c r="A33" s="14">
        <f>SUBTOTAL(103,$C$5:C33)</f>
        <v>0</v>
      </c>
      <c r="B33" s="10">
        <v>15</v>
      </c>
      <c r="C33" s="114" t="s">
        <v>433</v>
      </c>
      <c r="D33" s="62" t="str">
        <f>VLOOKUP(C33,'Location Summary'!$C$4:$D$603,2,0)</f>
        <v>DA+3</v>
      </c>
      <c r="E33" s="62" t="s">
        <v>403</v>
      </c>
      <c r="F33" s="107">
        <v>45493</v>
      </c>
      <c r="G33" s="107">
        <v>45497</v>
      </c>
      <c r="H33" s="60" t="s">
        <v>503</v>
      </c>
      <c r="I33" s="62">
        <f t="shared" si="1"/>
        <v>289.83999999999997</v>
      </c>
      <c r="J33" s="10">
        <f t="shared" si="2"/>
        <v>3.61</v>
      </c>
      <c r="K33" s="10">
        <f t="shared" si="3"/>
        <v>37.299999999999997</v>
      </c>
      <c r="L33" s="10">
        <f t="shared" si="4"/>
        <v>2.093</v>
      </c>
      <c r="M33" s="10">
        <f t="shared" si="5"/>
        <v>0.86599999999999999</v>
      </c>
      <c r="N33" s="448">
        <f t="shared" si="6"/>
        <v>7.39</v>
      </c>
      <c r="O33" s="112" t="s">
        <v>451</v>
      </c>
      <c r="P33" s="554" t="s">
        <v>765</v>
      </c>
      <c r="Q33" s="973" t="s">
        <v>255</v>
      </c>
      <c r="R33" s="13">
        <f t="shared" si="7"/>
        <v>314.28399999999999</v>
      </c>
    </row>
    <row r="34" spans="1:18" ht="21.75" hidden="1" customHeight="1">
      <c r="A34" s="14">
        <f>SUBTOTAL(103,$C$5:C34)</f>
        <v>0</v>
      </c>
      <c r="B34" s="10">
        <v>16</v>
      </c>
      <c r="C34" s="114" t="s">
        <v>398</v>
      </c>
      <c r="D34" s="62" t="str">
        <f>VLOOKUP(C34,'Location Summary'!$C$4:$D$603,2,0)</f>
        <v>DA+3</v>
      </c>
      <c r="E34" s="62" t="s">
        <v>403</v>
      </c>
      <c r="F34" s="107">
        <v>45493</v>
      </c>
      <c r="G34" s="107">
        <v>45498</v>
      </c>
      <c r="H34" s="60" t="s">
        <v>693</v>
      </c>
      <c r="I34" s="62">
        <f t="shared" si="1"/>
        <v>289.83999999999997</v>
      </c>
      <c r="J34" s="10">
        <f t="shared" si="2"/>
        <v>3.61</v>
      </c>
      <c r="K34" s="10">
        <f t="shared" si="3"/>
        <v>37.299999999999997</v>
      </c>
      <c r="L34" s="10">
        <f t="shared" si="4"/>
        <v>2.093</v>
      </c>
      <c r="M34" s="10">
        <f t="shared" si="5"/>
        <v>0.86599999999999999</v>
      </c>
      <c r="N34" s="448">
        <f t="shared" si="6"/>
        <v>7.39</v>
      </c>
      <c r="O34" s="112" t="s">
        <v>660</v>
      </c>
      <c r="P34" s="554" t="s">
        <v>789</v>
      </c>
      <c r="Q34" s="973" t="s">
        <v>255</v>
      </c>
      <c r="R34" s="13">
        <f t="shared" si="7"/>
        <v>314.28399999999999</v>
      </c>
    </row>
    <row r="35" spans="1:18" ht="21.75" hidden="1" customHeight="1">
      <c r="A35" s="14">
        <f>SUBTOTAL(103,$C$5:C35)</f>
        <v>0</v>
      </c>
      <c r="B35" s="10">
        <v>17</v>
      </c>
      <c r="C35" s="114" t="s">
        <v>391</v>
      </c>
      <c r="D35" s="62" t="str">
        <f>VLOOKUP(C35,'Location Summary'!$C$4:$D$603,2,0)</f>
        <v>DA+6</v>
      </c>
      <c r="E35" s="62" t="s">
        <v>403</v>
      </c>
      <c r="F35" s="107">
        <v>45494</v>
      </c>
      <c r="G35" s="107">
        <v>45498</v>
      </c>
      <c r="H35" s="60" t="s">
        <v>799</v>
      </c>
      <c r="I35" s="62">
        <f t="shared" si="1"/>
        <v>289.83999999999997</v>
      </c>
      <c r="J35" s="10">
        <f t="shared" si="2"/>
        <v>3.61</v>
      </c>
      <c r="K35" s="10">
        <f t="shared" si="3"/>
        <v>37.299999999999997</v>
      </c>
      <c r="L35" s="10">
        <f t="shared" si="4"/>
        <v>2.093</v>
      </c>
      <c r="M35" s="10">
        <f t="shared" si="5"/>
        <v>0.86599999999999999</v>
      </c>
      <c r="N35" s="448">
        <f t="shared" si="6"/>
        <v>7.39</v>
      </c>
      <c r="O35" s="112" t="s">
        <v>791</v>
      </c>
      <c r="P35" s="554" t="s">
        <v>789</v>
      </c>
      <c r="Q35" s="973" t="s">
        <v>255</v>
      </c>
      <c r="R35" s="13">
        <f t="shared" si="7"/>
        <v>314.28399999999999</v>
      </c>
    </row>
    <row r="36" spans="1:18" ht="21.75" hidden="1" customHeight="1">
      <c r="A36" s="14">
        <f>SUBTOTAL(103,$C$5:C36)</f>
        <v>0</v>
      </c>
      <c r="B36" s="10">
        <v>18</v>
      </c>
      <c r="C36" s="114" t="s">
        <v>450</v>
      </c>
      <c r="D36" s="62" t="str">
        <f>VLOOKUP(C36,'Location Summary'!$C$4:$D$603,2,0)</f>
        <v>DA+4.5</v>
      </c>
      <c r="E36" s="62" t="s">
        <v>403</v>
      </c>
      <c r="F36" s="107">
        <v>45497</v>
      </c>
      <c r="G36" s="107">
        <v>45501</v>
      </c>
      <c r="H36" s="60" t="s">
        <v>692</v>
      </c>
      <c r="I36" s="62">
        <f t="shared" si="1"/>
        <v>289.83999999999997</v>
      </c>
      <c r="J36" s="10">
        <f t="shared" si="2"/>
        <v>3.61</v>
      </c>
      <c r="K36" s="10">
        <f t="shared" si="3"/>
        <v>37.299999999999997</v>
      </c>
      <c r="L36" s="10">
        <f t="shared" si="4"/>
        <v>2.093</v>
      </c>
      <c r="M36" s="10">
        <f t="shared" si="5"/>
        <v>0.86599999999999999</v>
      </c>
      <c r="N36" s="448">
        <f t="shared" si="6"/>
        <v>7.39</v>
      </c>
      <c r="O36" s="112" t="s">
        <v>846</v>
      </c>
      <c r="P36" s="554" t="s">
        <v>765</v>
      </c>
      <c r="Q36" s="973" t="s">
        <v>255</v>
      </c>
      <c r="R36" s="13">
        <f t="shared" si="7"/>
        <v>314.28399999999999</v>
      </c>
    </row>
    <row r="37" spans="1:18" ht="21.75" hidden="1" customHeight="1">
      <c r="A37" s="14">
        <f>SUBTOTAL(103,$C$5:C37)</f>
        <v>0</v>
      </c>
      <c r="B37" s="10">
        <v>19</v>
      </c>
      <c r="C37" s="114" t="s">
        <v>432</v>
      </c>
      <c r="D37" s="62" t="str">
        <f>VLOOKUP(C37,'Location Summary'!$C$4:$D$603,2,0)</f>
        <v>DA+0</v>
      </c>
      <c r="E37" s="62" t="s">
        <v>403</v>
      </c>
      <c r="F37" s="107">
        <v>45497</v>
      </c>
      <c r="G37" s="107">
        <v>45502</v>
      </c>
      <c r="H37" s="60" t="s">
        <v>503</v>
      </c>
      <c r="I37" s="62">
        <f t="shared" ref="I37:I68" si="8">VLOOKUP($D37,$D$323:$M$362,6,FALSE)</f>
        <v>271.04000000000002</v>
      </c>
      <c r="J37" s="10">
        <f t="shared" ref="J37:J68" si="9">VLOOKUP($D37,$D$323:$M$362,7,FALSE)</f>
        <v>3.36</v>
      </c>
      <c r="K37" s="10">
        <f t="shared" ref="K37:K68" si="10">VLOOKUP($D37,$D$323:$M$362,8,FALSE)</f>
        <v>34.15</v>
      </c>
      <c r="L37" s="10">
        <f t="shared" ref="L37:L68" si="11">VLOOKUP($D37,$D$323:$M$362,9,FALSE)</f>
        <v>1.599</v>
      </c>
      <c r="M37" s="10">
        <f t="shared" ref="M37:M68" si="12">VLOOKUP($D37,$D$323:$M$362,10,FALSE)</f>
        <v>0.86599999999999999</v>
      </c>
      <c r="N37" s="448">
        <f t="shared" ref="N37:N68" si="13">ROUND((I37*230.35+J37*10150.5+K37*11591.45+L37*93958.18+M37*7677.44)/10^5,2)</f>
        <v>6.49</v>
      </c>
      <c r="O37" s="112" t="s">
        <v>451</v>
      </c>
      <c r="P37" s="554" t="s">
        <v>847</v>
      </c>
      <c r="Q37" s="973" t="s">
        <v>255</v>
      </c>
      <c r="R37" s="13">
        <f t="shared" si="7"/>
        <v>287.98399999999998</v>
      </c>
    </row>
    <row r="38" spans="1:18" ht="21.75" hidden="1" customHeight="1">
      <c r="A38" s="14">
        <f>SUBTOTAL(103,$C$5:C38)</f>
        <v>0</v>
      </c>
      <c r="B38" s="10">
        <v>20</v>
      </c>
      <c r="C38" s="114" t="s">
        <v>164</v>
      </c>
      <c r="D38" s="62" t="str">
        <f>VLOOKUP(C38,'Location Summary'!$C$4:$D$603,2,0)</f>
        <v>DA+3</v>
      </c>
      <c r="E38" s="62" t="s">
        <v>403</v>
      </c>
      <c r="F38" s="107">
        <v>45502</v>
      </c>
      <c r="G38" s="107">
        <v>45504</v>
      </c>
      <c r="H38" s="60" t="s">
        <v>692</v>
      </c>
      <c r="I38" s="62">
        <f t="shared" si="8"/>
        <v>289.83999999999997</v>
      </c>
      <c r="J38" s="10">
        <f t="shared" si="9"/>
        <v>3.61</v>
      </c>
      <c r="K38" s="10">
        <f t="shared" si="10"/>
        <v>37.299999999999997</v>
      </c>
      <c r="L38" s="10">
        <f t="shared" si="11"/>
        <v>2.093</v>
      </c>
      <c r="M38" s="10">
        <f t="shared" si="12"/>
        <v>0.86599999999999999</v>
      </c>
      <c r="N38" s="448">
        <f t="shared" si="13"/>
        <v>7.39</v>
      </c>
      <c r="O38" s="112" t="s">
        <v>791</v>
      </c>
      <c r="P38" s="554" t="s">
        <v>766</v>
      </c>
      <c r="Q38" s="973" t="s">
        <v>255</v>
      </c>
      <c r="R38" s="13">
        <f t="shared" si="7"/>
        <v>314.28399999999999</v>
      </c>
    </row>
    <row r="39" spans="1:18" ht="21.75" hidden="1" customHeight="1">
      <c r="A39" s="14">
        <f>SUBTOTAL(103,$C$5:C39)</f>
        <v>0</v>
      </c>
      <c r="B39" s="10">
        <v>1</v>
      </c>
      <c r="C39" s="114" t="s">
        <v>26</v>
      </c>
      <c r="D39" s="62" t="str">
        <f>VLOOKUP(C39,'Location Summary'!$C$4:$D$603,2,0)</f>
        <v>DA+0</v>
      </c>
      <c r="E39" s="62" t="s">
        <v>403</v>
      </c>
      <c r="F39" s="107">
        <v>45494</v>
      </c>
      <c r="G39" s="107">
        <v>45505</v>
      </c>
      <c r="H39" s="60" t="s">
        <v>854</v>
      </c>
      <c r="I39" s="62">
        <f t="shared" si="8"/>
        <v>271.04000000000002</v>
      </c>
      <c r="J39" s="10">
        <f t="shared" si="9"/>
        <v>3.36</v>
      </c>
      <c r="K39" s="10">
        <f t="shared" si="10"/>
        <v>34.15</v>
      </c>
      <c r="L39" s="10">
        <f t="shared" si="11"/>
        <v>1.599</v>
      </c>
      <c r="M39" s="10">
        <f t="shared" si="12"/>
        <v>0.86599999999999999</v>
      </c>
      <c r="N39" s="448">
        <f t="shared" si="13"/>
        <v>6.49</v>
      </c>
      <c r="O39" s="112" t="s">
        <v>451</v>
      </c>
      <c r="P39" s="554" t="s">
        <v>847</v>
      </c>
      <c r="Q39" s="973" t="s">
        <v>255</v>
      </c>
      <c r="R39" s="13">
        <f t="shared" si="7"/>
        <v>287.98399999999998</v>
      </c>
    </row>
    <row r="40" spans="1:18" ht="21.75" hidden="1" customHeight="1">
      <c r="A40" s="14">
        <f>SUBTOTAL(103,$C$5:C40)</f>
        <v>0</v>
      </c>
      <c r="B40" s="10">
        <v>2</v>
      </c>
      <c r="C40" s="114" t="s">
        <v>82</v>
      </c>
      <c r="D40" s="62" t="str">
        <f>VLOOKUP(C40,'Location Summary'!$C$4:$D$603,2,0)</f>
        <v>DA+3</v>
      </c>
      <c r="E40" s="62" t="s">
        <v>403</v>
      </c>
      <c r="F40" s="107">
        <v>45504</v>
      </c>
      <c r="G40" s="107">
        <v>45507</v>
      </c>
      <c r="H40" s="60" t="s">
        <v>692</v>
      </c>
      <c r="I40" s="62">
        <f t="shared" si="8"/>
        <v>289.83999999999997</v>
      </c>
      <c r="J40" s="10">
        <f t="shared" si="9"/>
        <v>3.61</v>
      </c>
      <c r="K40" s="10">
        <f t="shared" si="10"/>
        <v>37.299999999999997</v>
      </c>
      <c r="L40" s="10">
        <f t="shared" si="11"/>
        <v>2.093</v>
      </c>
      <c r="M40" s="10">
        <f t="shared" si="12"/>
        <v>0.86599999999999999</v>
      </c>
      <c r="N40" s="448">
        <f t="shared" si="13"/>
        <v>7.39</v>
      </c>
      <c r="O40" s="112" t="s">
        <v>791</v>
      </c>
      <c r="P40" s="554" t="s">
        <v>766</v>
      </c>
      <c r="Q40" s="973" t="s">
        <v>255</v>
      </c>
      <c r="R40" s="13">
        <f t="shared" si="7"/>
        <v>314.28399999999999</v>
      </c>
    </row>
    <row r="41" spans="1:18" ht="21.75" hidden="1" customHeight="1">
      <c r="A41" s="14">
        <f>SUBTOTAL(103,$C$5:C41)</f>
        <v>0</v>
      </c>
      <c r="B41" s="10">
        <v>3</v>
      </c>
      <c r="C41" s="114" t="s">
        <v>434</v>
      </c>
      <c r="D41" s="62" t="str">
        <f>VLOOKUP(C41,'Location Summary'!$C$4:$D$603,2,0)</f>
        <v>DA+0</v>
      </c>
      <c r="E41" s="62" t="s">
        <v>403</v>
      </c>
      <c r="F41" s="107">
        <v>45504</v>
      </c>
      <c r="G41" s="107">
        <v>45507</v>
      </c>
      <c r="H41" s="60" t="s">
        <v>503</v>
      </c>
      <c r="I41" s="62">
        <f t="shared" si="8"/>
        <v>271.04000000000002</v>
      </c>
      <c r="J41" s="10">
        <f t="shared" si="9"/>
        <v>3.36</v>
      </c>
      <c r="K41" s="10">
        <f t="shared" si="10"/>
        <v>34.15</v>
      </c>
      <c r="L41" s="10">
        <f t="shared" si="11"/>
        <v>1.599</v>
      </c>
      <c r="M41" s="10">
        <f t="shared" si="12"/>
        <v>0.86599999999999999</v>
      </c>
      <c r="N41" s="448">
        <f t="shared" si="13"/>
        <v>6.49</v>
      </c>
      <c r="O41" s="112" t="s">
        <v>451</v>
      </c>
      <c r="P41" s="554" t="s">
        <v>766</v>
      </c>
      <c r="Q41" s="973" t="s">
        <v>255</v>
      </c>
      <c r="R41" s="13">
        <f t="shared" si="7"/>
        <v>287.98399999999998</v>
      </c>
    </row>
    <row r="42" spans="1:18" ht="21.75" hidden="1" customHeight="1">
      <c r="A42" s="14">
        <f>SUBTOTAL(103,$C$5:C42)</f>
        <v>0</v>
      </c>
      <c r="B42" s="10">
        <v>4</v>
      </c>
      <c r="C42" s="114" t="s">
        <v>459</v>
      </c>
      <c r="D42" s="62" t="str">
        <f>VLOOKUP(C42,'Location Summary'!$C$4:$D$603,2,0)</f>
        <v>DA+9</v>
      </c>
      <c r="E42" s="62" t="s">
        <v>403</v>
      </c>
      <c r="F42" s="107">
        <v>45502</v>
      </c>
      <c r="G42" s="107">
        <v>45512</v>
      </c>
      <c r="H42" s="60" t="s">
        <v>849</v>
      </c>
      <c r="I42" s="62">
        <f t="shared" si="8"/>
        <v>289.83999999999997</v>
      </c>
      <c r="J42" s="10">
        <f t="shared" si="9"/>
        <v>3.61</v>
      </c>
      <c r="K42" s="10">
        <f t="shared" si="10"/>
        <v>37.299999999999997</v>
      </c>
      <c r="L42" s="10">
        <f t="shared" si="11"/>
        <v>2.093</v>
      </c>
      <c r="M42" s="10">
        <f t="shared" si="12"/>
        <v>0.86599999999999999</v>
      </c>
      <c r="N42" s="448">
        <f t="shared" si="13"/>
        <v>7.39</v>
      </c>
      <c r="O42" s="112" t="s">
        <v>660</v>
      </c>
      <c r="P42" s="554" t="s">
        <v>789</v>
      </c>
      <c r="Q42" s="973" t="s">
        <v>255</v>
      </c>
      <c r="R42" s="13">
        <f t="shared" si="7"/>
        <v>314.28399999999999</v>
      </c>
    </row>
    <row r="43" spans="1:18" ht="21.75" hidden="1" customHeight="1">
      <c r="A43" s="14">
        <f>SUBTOTAL(103,$C$5:C43)</f>
        <v>0</v>
      </c>
      <c r="B43" s="10">
        <v>5</v>
      </c>
      <c r="C43" s="114" t="s">
        <v>900</v>
      </c>
      <c r="D43" s="62" t="str">
        <f>VLOOKUP(C43,'Location Summary'!$C$4:$D$603,2,0)</f>
        <v>DA+6</v>
      </c>
      <c r="E43" s="62" t="s">
        <v>403</v>
      </c>
      <c r="F43" s="107">
        <v>45508</v>
      </c>
      <c r="G43" s="107">
        <v>45512</v>
      </c>
      <c r="H43" s="60" t="s">
        <v>503</v>
      </c>
      <c r="I43" s="62">
        <f t="shared" si="8"/>
        <v>289.83999999999997</v>
      </c>
      <c r="J43" s="10">
        <f t="shared" si="9"/>
        <v>3.61</v>
      </c>
      <c r="K43" s="10">
        <f t="shared" si="10"/>
        <v>37.299999999999997</v>
      </c>
      <c r="L43" s="10">
        <f t="shared" si="11"/>
        <v>2.093</v>
      </c>
      <c r="M43" s="10">
        <f t="shared" si="12"/>
        <v>0.86599999999999999</v>
      </c>
      <c r="N43" s="448">
        <f t="shared" si="13"/>
        <v>7.39</v>
      </c>
      <c r="O43" s="112" t="s">
        <v>791</v>
      </c>
      <c r="P43" s="554" t="s">
        <v>766</v>
      </c>
      <c r="Q43" s="973" t="s">
        <v>255</v>
      </c>
      <c r="R43" s="13">
        <f t="shared" si="7"/>
        <v>314.28399999999999</v>
      </c>
    </row>
    <row r="44" spans="1:18" ht="21.75" hidden="1" customHeight="1">
      <c r="A44" s="14">
        <f>SUBTOTAL(103,$C$5:C44)</f>
        <v>0</v>
      </c>
      <c r="B44" s="10">
        <v>6</v>
      </c>
      <c r="C44" s="114" t="s">
        <v>476</v>
      </c>
      <c r="D44" s="62" t="str">
        <f>VLOOKUP(C44,'Location Summary'!$C$4:$D$603,2,0)</f>
        <v>DA-3</v>
      </c>
      <c r="E44" s="62" t="s">
        <v>403</v>
      </c>
      <c r="F44" s="107">
        <v>45501</v>
      </c>
      <c r="G44" s="107">
        <v>45514</v>
      </c>
      <c r="H44" s="60" t="s">
        <v>848</v>
      </c>
      <c r="I44" s="62">
        <f t="shared" si="8"/>
        <v>271.04000000000002</v>
      </c>
      <c r="J44" s="10">
        <f t="shared" si="9"/>
        <v>3.36</v>
      </c>
      <c r="K44" s="10">
        <f t="shared" si="10"/>
        <v>34.15</v>
      </c>
      <c r="L44" s="10">
        <f t="shared" si="11"/>
        <v>1.599</v>
      </c>
      <c r="M44" s="10">
        <f t="shared" si="12"/>
        <v>0.86599999999999999</v>
      </c>
      <c r="N44" s="448">
        <f t="shared" si="13"/>
        <v>6.49</v>
      </c>
      <c r="O44" s="112" t="s">
        <v>887</v>
      </c>
      <c r="P44" s="554" t="s">
        <v>789</v>
      </c>
      <c r="Q44" s="973" t="s">
        <v>255</v>
      </c>
      <c r="R44" s="13">
        <f t="shared" si="7"/>
        <v>287.98399999999998</v>
      </c>
    </row>
    <row r="45" spans="1:18" ht="21.75" hidden="1" customHeight="1">
      <c r="A45" s="14">
        <f>SUBTOTAL(103,$C$5:C45)</f>
        <v>0</v>
      </c>
      <c r="B45" s="10">
        <v>7</v>
      </c>
      <c r="C45" s="114" t="s">
        <v>399</v>
      </c>
      <c r="D45" s="62" t="str">
        <f>VLOOKUP(C45,'Location Summary'!$C$4:$D$603,2,0)</f>
        <v>DA+0</v>
      </c>
      <c r="E45" s="62" t="s">
        <v>403</v>
      </c>
      <c r="F45" s="107">
        <v>45513</v>
      </c>
      <c r="G45" s="107">
        <v>45517</v>
      </c>
      <c r="H45" s="60" t="s">
        <v>886</v>
      </c>
      <c r="I45" s="62">
        <f t="shared" si="8"/>
        <v>271.04000000000002</v>
      </c>
      <c r="J45" s="10">
        <f t="shared" si="9"/>
        <v>3.36</v>
      </c>
      <c r="K45" s="10">
        <f t="shared" si="10"/>
        <v>34.15</v>
      </c>
      <c r="L45" s="10">
        <f t="shared" si="11"/>
        <v>1.599</v>
      </c>
      <c r="M45" s="10">
        <f t="shared" si="12"/>
        <v>0.86599999999999999</v>
      </c>
      <c r="N45" s="448">
        <f t="shared" si="13"/>
        <v>6.49</v>
      </c>
      <c r="O45" s="112" t="s">
        <v>660</v>
      </c>
      <c r="P45" s="554" t="s">
        <v>789</v>
      </c>
      <c r="Q45" s="973" t="s">
        <v>255</v>
      </c>
      <c r="R45" s="13">
        <f t="shared" si="7"/>
        <v>287.98399999999998</v>
      </c>
    </row>
    <row r="46" spans="1:18" ht="21.75" hidden="1" customHeight="1">
      <c r="A46" s="14">
        <f>SUBTOTAL(103,$C$5:C46)</f>
        <v>0</v>
      </c>
      <c r="B46" s="10">
        <v>8</v>
      </c>
      <c r="C46" s="114" t="s">
        <v>899</v>
      </c>
      <c r="D46" s="62" t="str">
        <f>VLOOKUP(C46,'Location Summary'!$C$4:$D$603,2,0)</f>
        <v>DA+6</v>
      </c>
      <c r="E46" s="62" t="s">
        <v>403</v>
      </c>
      <c r="F46" s="107">
        <v>45513</v>
      </c>
      <c r="G46" s="107">
        <v>45518</v>
      </c>
      <c r="H46" s="60" t="s">
        <v>503</v>
      </c>
      <c r="I46" s="62">
        <f t="shared" si="8"/>
        <v>289.83999999999997</v>
      </c>
      <c r="J46" s="10">
        <f t="shared" si="9"/>
        <v>3.61</v>
      </c>
      <c r="K46" s="10">
        <f t="shared" si="10"/>
        <v>37.299999999999997</v>
      </c>
      <c r="L46" s="10">
        <f t="shared" si="11"/>
        <v>2.093</v>
      </c>
      <c r="M46" s="10">
        <f t="shared" si="12"/>
        <v>0.86599999999999999</v>
      </c>
      <c r="N46" s="448">
        <f t="shared" si="13"/>
        <v>7.39</v>
      </c>
      <c r="O46" s="112" t="s">
        <v>791</v>
      </c>
      <c r="P46" s="554" t="s">
        <v>766</v>
      </c>
      <c r="Q46" s="973" t="s">
        <v>255</v>
      </c>
      <c r="R46" s="13">
        <f t="shared" si="7"/>
        <v>314.28399999999999</v>
      </c>
    </row>
    <row r="47" spans="1:18" ht="21.75" hidden="1" customHeight="1">
      <c r="A47" s="14">
        <f>SUBTOTAL(103,$C$5:C47)</f>
        <v>0</v>
      </c>
      <c r="B47" s="10">
        <v>9</v>
      </c>
      <c r="C47" s="114" t="s">
        <v>155</v>
      </c>
      <c r="D47" s="62" t="str">
        <f>VLOOKUP(C47,'Location Summary'!$C$4:$D$603,2,0)</f>
        <v>DA+1.5</v>
      </c>
      <c r="E47" s="62" t="s">
        <v>403</v>
      </c>
      <c r="F47" s="107">
        <v>45513</v>
      </c>
      <c r="G47" s="107">
        <v>45520</v>
      </c>
      <c r="H47" s="60" t="s">
        <v>854</v>
      </c>
      <c r="I47" s="62">
        <f t="shared" si="8"/>
        <v>289.83999999999997</v>
      </c>
      <c r="J47" s="10">
        <f t="shared" si="9"/>
        <v>3.61</v>
      </c>
      <c r="K47" s="10">
        <f t="shared" si="10"/>
        <v>37.299999999999997</v>
      </c>
      <c r="L47" s="10">
        <f t="shared" si="11"/>
        <v>2.093</v>
      </c>
      <c r="M47" s="10">
        <f t="shared" si="12"/>
        <v>0.86599999999999999</v>
      </c>
      <c r="N47" s="448">
        <f t="shared" si="13"/>
        <v>7.39</v>
      </c>
      <c r="O47" s="112" t="s">
        <v>451</v>
      </c>
      <c r="P47" s="554" t="s">
        <v>912</v>
      </c>
      <c r="Q47" s="973" t="s">
        <v>255</v>
      </c>
      <c r="R47" s="13">
        <f t="shared" si="7"/>
        <v>314.28399999999999</v>
      </c>
    </row>
    <row r="48" spans="1:18" ht="21.75" hidden="1" customHeight="1">
      <c r="A48" s="14">
        <f>SUBTOTAL(103,$C$5:C48)</f>
        <v>0</v>
      </c>
      <c r="B48" s="10">
        <v>10</v>
      </c>
      <c r="C48" s="114" t="s">
        <v>496</v>
      </c>
      <c r="D48" s="62" t="str">
        <f>VLOOKUP(C48,'Location Summary'!$C$4:$D$603,2,0)</f>
        <v>DA+3</v>
      </c>
      <c r="E48" s="62" t="s">
        <v>403</v>
      </c>
      <c r="F48" s="107">
        <v>45516</v>
      </c>
      <c r="G48" s="107">
        <v>45521</v>
      </c>
      <c r="H48" s="60" t="s">
        <v>886</v>
      </c>
      <c r="I48" s="62">
        <f t="shared" si="8"/>
        <v>289.83999999999997</v>
      </c>
      <c r="J48" s="10">
        <f t="shared" si="9"/>
        <v>3.61</v>
      </c>
      <c r="K48" s="10">
        <f t="shared" si="10"/>
        <v>37.299999999999997</v>
      </c>
      <c r="L48" s="10">
        <f t="shared" si="11"/>
        <v>2.093</v>
      </c>
      <c r="M48" s="10">
        <f t="shared" si="12"/>
        <v>0.86599999999999999</v>
      </c>
      <c r="N48" s="448">
        <f t="shared" si="13"/>
        <v>7.39</v>
      </c>
      <c r="O48" s="112" t="s">
        <v>659</v>
      </c>
      <c r="P48" s="554" t="s">
        <v>789</v>
      </c>
      <c r="Q48" s="973" t="s">
        <v>255</v>
      </c>
      <c r="R48" s="13">
        <f t="shared" si="7"/>
        <v>314.28399999999999</v>
      </c>
    </row>
    <row r="49" spans="1:18" ht="21.75" hidden="1" customHeight="1">
      <c r="A49" s="14">
        <f>SUBTOTAL(103,$C$5:C49)</f>
        <v>0</v>
      </c>
      <c r="B49" s="10">
        <v>11</v>
      </c>
      <c r="C49" s="114" t="s">
        <v>464</v>
      </c>
      <c r="D49" s="62" t="str">
        <f>VLOOKUP(C49,'Location Summary'!$C$4:$D$603,2,0)</f>
        <v>DA+6</v>
      </c>
      <c r="E49" s="62" t="s">
        <v>403</v>
      </c>
      <c r="F49" s="107">
        <v>45517</v>
      </c>
      <c r="G49" s="107">
        <v>45522</v>
      </c>
      <c r="H49" s="60" t="s">
        <v>888</v>
      </c>
      <c r="I49" s="62">
        <f t="shared" si="8"/>
        <v>289.83999999999997</v>
      </c>
      <c r="J49" s="10">
        <f t="shared" si="9"/>
        <v>3.61</v>
      </c>
      <c r="K49" s="10">
        <f t="shared" si="10"/>
        <v>37.299999999999997</v>
      </c>
      <c r="L49" s="10">
        <f t="shared" si="11"/>
        <v>2.093</v>
      </c>
      <c r="M49" s="10">
        <f t="shared" si="12"/>
        <v>0.86599999999999999</v>
      </c>
      <c r="N49" s="448">
        <f t="shared" si="13"/>
        <v>7.39</v>
      </c>
      <c r="O49" s="112" t="s">
        <v>846</v>
      </c>
      <c r="P49" s="554" t="s">
        <v>847</v>
      </c>
      <c r="Q49" s="973" t="s">
        <v>255</v>
      </c>
      <c r="R49" s="13">
        <f t="shared" si="7"/>
        <v>314.28399999999999</v>
      </c>
    </row>
    <row r="50" spans="1:18" ht="21.75" hidden="1" customHeight="1">
      <c r="A50" s="14">
        <f>SUBTOTAL(103,$C$5:C50)</f>
        <v>0</v>
      </c>
      <c r="B50" s="10">
        <v>12</v>
      </c>
      <c r="C50" s="114" t="s">
        <v>901</v>
      </c>
      <c r="D50" s="62" t="str">
        <f>VLOOKUP(C50,'Location Summary'!$C$4:$D$603,2,0)</f>
        <v>DA+6</v>
      </c>
      <c r="E50" s="62" t="s">
        <v>403</v>
      </c>
      <c r="F50" s="107">
        <v>45516</v>
      </c>
      <c r="G50" s="107">
        <v>45524</v>
      </c>
      <c r="H50" s="60" t="s">
        <v>972</v>
      </c>
      <c r="I50" s="62">
        <f t="shared" si="8"/>
        <v>289.83999999999997</v>
      </c>
      <c r="J50" s="10">
        <f t="shared" si="9"/>
        <v>3.61</v>
      </c>
      <c r="K50" s="10">
        <f t="shared" si="10"/>
        <v>37.299999999999997</v>
      </c>
      <c r="L50" s="10">
        <f t="shared" si="11"/>
        <v>2.093</v>
      </c>
      <c r="M50" s="10">
        <f t="shared" si="12"/>
        <v>0.86599999999999999</v>
      </c>
      <c r="N50" s="448">
        <f t="shared" si="13"/>
        <v>7.39</v>
      </c>
      <c r="O50" s="112" t="s">
        <v>791</v>
      </c>
      <c r="P50" s="554" t="s">
        <v>912</v>
      </c>
      <c r="Q50" s="973" t="s">
        <v>255</v>
      </c>
      <c r="R50" s="13">
        <f t="shared" si="7"/>
        <v>314.28399999999999</v>
      </c>
    </row>
    <row r="51" spans="1:18" ht="21.75" hidden="1" customHeight="1">
      <c r="A51" s="14">
        <f>SUBTOTAL(103,$C$5:C51)</f>
        <v>0</v>
      </c>
      <c r="B51" s="10">
        <v>13</v>
      </c>
      <c r="C51" s="114" t="s">
        <v>873</v>
      </c>
      <c r="D51" s="62" t="str">
        <f>VLOOKUP(C51,'Location Summary'!$C$4:$D$603,2,0)</f>
        <v>DA+6</v>
      </c>
      <c r="E51" s="62" t="s">
        <v>403</v>
      </c>
      <c r="F51" s="107">
        <v>45518</v>
      </c>
      <c r="G51" s="107">
        <v>45524</v>
      </c>
      <c r="H51" s="60" t="s">
        <v>692</v>
      </c>
      <c r="I51" s="62">
        <f t="shared" si="8"/>
        <v>289.83999999999997</v>
      </c>
      <c r="J51" s="10">
        <f t="shared" si="9"/>
        <v>3.61</v>
      </c>
      <c r="K51" s="10">
        <f t="shared" si="10"/>
        <v>37.299999999999997</v>
      </c>
      <c r="L51" s="10">
        <f t="shared" si="11"/>
        <v>2.093</v>
      </c>
      <c r="M51" s="10">
        <f t="shared" si="12"/>
        <v>0.86599999999999999</v>
      </c>
      <c r="N51" s="448">
        <f t="shared" si="13"/>
        <v>7.39</v>
      </c>
      <c r="O51" s="112" t="s">
        <v>451</v>
      </c>
      <c r="P51" s="554" t="s">
        <v>765</v>
      </c>
      <c r="Q51" s="973" t="s">
        <v>255</v>
      </c>
      <c r="R51" s="13">
        <f t="shared" si="7"/>
        <v>314.28399999999999</v>
      </c>
    </row>
    <row r="52" spans="1:18" ht="21.75" hidden="1" customHeight="1">
      <c r="A52" s="14">
        <f>SUBTOTAL(103,$C$5:C52)</f>
        <v>0</v>
      </c>
      <c r="B52" s="10">
        <v>14</v>
      </c>
      <c r="C52" s="114" t="s">
        <v>495</v>
      </c>
      <c r="D52" s="62" t="str">
        <f>VLOOKUP(C52,'Location Summary'!$C$4:$D$603,2,0)</f>
        <v>DA+3</v>
      </c>
      <c r="E52" s="62" t="s">
        <v>403</v>
      </c>
      <c r="F52" s="107">
        <v>45525</v>
      </c>
      <c r="G52" s="107">
        <v>45527</v>
      </c>
      <c r="H52" s="60" t="s">
        <v>886</v>
      </c>
      <c r="I52" s="62">
        <f t="shared" si="8"/>
        <v>289.83999999999997</v>
      </c>
      <c r="J52" s="10">
        <f t="shared" si="9"/>
        <v>3.61</v>
      </c>
      <c r="K52" s="10">
        <f t="shared" si="10"/>
        <v>37.299999999999997</v>
      </c>
      <c r="L52" s="10">
        <f t="shared" si="11"/>
        <v>2.093</v>
      </c>
      <c r="M52" s="10">
        <f t="shared" si="12"/>
        <v>0.86599999999999999</v>
      </c>
      <c r="N52" s="448">
        <f t="shared" si="13"/>
        <v>7.39</v>
      </c>
      <c r="O52" s="112" t="s">
        <v>659</v>
      </c>
      <c r="P52" s="554" t="s">
        <v>789</v>
      </c>
      <c r="Q52" s="973" t="s">
        <v>255</v>
      </c>
      <c r="R52" s="13">
        <f t="shared" si="7"/>
        <v>314.28399999999999</v>
      </c>
    </row>
    <row r="53" spans="1:18" ht="21.75" hidden="1" customHeight="1">
      <c r="A53" s="14">
        <f>SUBTOTAL(103,$C$5:C53)</f>
        <v>0</v>
      </c>
      <c r="B53" s="10">
        <v>15</v>
      </c>
      <c r="C53" s="114" t="s">
        <v>902</v>
      </c>
      <c r="D53" s="62" t="str">
        <f>VLOOKUP(C53,'Location Summary'!$C$4:$D$603,2,0)</f>
        <v>DA+3</v>
      </c>
      <c r="E53" s="62" t="s">
        <v>403</v>
      </c>
      <c r="F53" s="107">
        <v>45522</v>
      </c>
      <c r="G53" s="107">
        <v>45528</v>
      </c>
      <c r="H53" s="60" t="s">
        <v>972</v>
      </c>
      <c r="I53" s="62">
        <f t="shared" si="8"/>
        <v>289.83999999999997</v>
      </c>
      <c r="J53" s="10">
        <f t="shared" si="9"/>
        <v>3.61</v>
      </c>
      <c r="K53" s="10">
        <f t="shared" si="10"/>
        <v>37.299999999999997</v>
      </c>
      <c r="L53" s="10">
        <f t="shared" si="11"/>
        <v>2.093</v>
      </c>
      <c r="M53" s="10">
        <f t="shared" si="12"/>
        <v>0.86599999999999999</v>
      </c>
      <c r="N53" s="448">
        <f t="shared" si="13"/>
        <v>7.39</v>
      </c>
      <c r="O53" s="112" t="s">
        <v>791</v>
      </c>
      <c r="P53" s="554" t="s">
        <v>912</v>
      </c>
      <c r="Q53" s="973" t="s">
        <v>255</v>
      </c>
      <c r="R53" s="13">
        <f t="shared" si="7"/>
        <v>314.28399999999999</v>
      </c>
    </row>
    <row r="54" spans="1:18" ht="21.75" hidden="1" customHeight="1">
      <c r="A54" s="14">
        <f>SUBTOTAL(103,$C$5:C54)</f>
        <v>0</v>
      </c>
      <c r="B54" s="10">
        <v>16</v>
      </c>
      <c r="C54" s="114" t="s">
        <v>460</v>
      </c>
      <c r="D54" s="62" t="str">
        <f>VLOOKUP(C54,'Location Summary'!$C$4:$D$603,2,0)</f>
        <v>DA-1.5</v>
      </c>
      <c r="E54" s="62" t="s">
        <v>403</v>
      </c>
      <c r="F54" s="107">
        <v>45512</v>
      </c>
      <c r="G54" s="107">
        <v>45529</v>
      </c>
      <c r="H54" s="60" t="s">
        <v>849</v>
      </c>
      <c r="I54" s="62">
        <f t="shared" si="8"/>
        <v>271.04000000000002</v>
      </c>
      <c r="J54" s="10">
        <f t="shared" si="9"/>
        <v>3.36</v>
      </c>
      <c r="K54" s="10">
        <f t="shared" si="10"/>
        <v>34.15</v>
      </c>
      <c r="L54" s="10">
        <f t="shared" si="11"/>
        <v>1.599</v>
      </c>
      <c r="M54" s="10">
        <f t="shared" si="12"/>
        <v>0.86599999999999999</v>
      </c>
      <c r="N54" s="448">
        <f t="shared" si="13"/>
        <v>6.49</v>
      </c>
      <c r="O54" s="112" t="s">
        <v>660</v>
      </c>
      <c r="P54" s="554" t="s">
        <v>789</v>
      </c>
      <c r="Q54" s="973" t="s">
        <v>255</v>
      </c>
      <c r="R54" s="13">
        <f t="shared" si="7"/>
        <v>287.98399999999998</v>
      </c>
    </row>
    <row r="55" spans="1:18" ht="21.75" hidden="1" customHeight="1">
      <c r="A55" s="14">
        <f>SUBTOTAL(103,$C$5:C55)</f>
        <v>0</v>
      </c>
      <c r="B55" s="10">
        <v>17</v>
      </c>
      <c r="C55" s="114" t="s">
        <v>874</v>
      </c>
      <c r="D55" s="62" t="str">
        <f>VLOOKUP(C55,'Location Summary'!$C$4:$D$603,2,0)</f>
        <v>DA+9</v>
      </c>
      <c r="E55" s="62" t="s">
        <v>403</v>
      </c>
      <c r="F55" s="107">
        <v>45525</v>
      </c>
      <c r="G55" s="107">
        <v>45530</v>
      </c>
      <c r="H55" s="60" t="s">
        <v>692</v>
      </c>
      <c r="I55" s="62">
        <f t="shared" si="8"/>
        <v>289.83999999999997</v>
      </c>
      <c r="J55" s="10">
        <f t="shared" si="9"/>
        <v>3.61</v>
      </c>
      <c r="K55" s="10">
        <f t="shared" si="10"/>
        <v>37.299999999999997</v>
      </c>
      <c r="L55" s="10">
        <f t="shared" si="11"/>
        <v>2.093</v>
      </c>
      <c r="M55" s="10">
        <f t="shared" si="12"/>
        <v>0.86599999999999999</v>
      </c>
      <c r="N55" s="448">
        <f t="shared" si="13"/>
        <v>7.39</v>
      </c>
      <c r="O55" s="112" t="s">
        <v>660</v>
      </c>
      <c r="P55" s="554" t="s">
        <v>765</v>
      </c>
      <c r="Q55" s="973" t="s">
        <v>255</v>
      </c>
      <c r="R55" s="13">
        <f t="shared" si="7"/>
        <v>314.28399999999999</v>
      </c>
    </row>
    <row r="56" spans="1:18" ht="21.75" hidden="1" customHeight="1">
      <c r="A56" s="14">
        <f>SUBTOTAL(103,$C$5:C56)</f>
        <v>0</v>
      </c>
      <c r="B56" s="10">
        <v>18</v>
      </c>
      <c r="C56" s="114" t="s">
        <v>903</v>
      </c>
      <c r="D56" s="62" t="str">
        <f>VLOOKUP(C56,'Location Summary'!$C$4:$D$603,2,0)</f>
        <v>DA+6</v>
      </c>
      <c r="E56" s="62" t="s">
        <v>403</v>
      </c>
      <c r="F56" s="107">
        <v>45893</v>
      </c>
      <c r="G56" s="107">
        <v>45531</v>
      </c>
      <c r="H56" s="60" t="s">
        <v>972</v>
      </c>
      <c r="I56" s="62">
        <f t="shared" si="8"/>
        <v>289.83999999999997</v>
      </c>
      <c r="J56" s="10">
        <f t="shared" si="9"/>
        <v>3.61</v>
      </c>
      <c r="K56" s="10">
        <f t="shared" si="10"/>
        <v>37.299999999999997</v>
      </c>
      <c r="L56" s="10">
        <f t="shared" si="11"/>
        <v>2.093</v>
      </c>
      <c r="M56" s="10">
        <f t="shared" si="12"/>
        <v>0.86599999999999999</v>
      </c>
      <c r="N56" s="448">
        <f t="shared" si="13"/>
        <v>7.39</v>
      </c>
      <c r="O56" s="112" t="s">
        <v>791</v>
      </c>
      <c r="P56" s="554" t="s">
        <v>912</v>
      </c>
      <c r="Q56" s="973" t="s">
        <v>255</v>
      </c>
      <c r="R56" s="13">
        <f t="shared" si="7"/>
        <v>314.28399999999999</v>
      </c>
    </row>
    <row r="57" spans="1:18" ht="21.75" hidden="1" customHeight="1">
      <c r="A57" s="14">
        <f>SUBTOTAL(103,$C$5:C57)</f>
        <v>0</v>
      </c>
      <c r="B57" s="10">
        <v>19</v>
      </c>
      <c r="C57" s="114" t="s">
        <v>260</v>
      </c>
      <c r="D57" s="62" t="str">
        <f>VLOOKUP(C57,'Location Summary'!$C$4:$D$603,2,0)</f>
        <v>DA+6</v>
      </c>
      <c r="E57" s="62" t="s">
        <v>403</v>
      </c>
      <c r="F57" s="107">
        <v>45893</v>
      </c>
      <c r="G57" s="107">
        <v>45531</v>
      </c>
      <c r="H57" s="60" t="s">
        <v>886</v>
      </c>
      <c r="I57" s="62">
        <f t="shared" si="8"/>
        <v>289.83999999999997</v>
      </c>
      <c r="J57" s="10">
        <f t="shared" si="9"/>
        <v>3.61</v>
      </c>
      <c r="K57" s="10">
        <f t="shared" si="10"/>
        <v>37.299999999999997</v>
      </c>
      <c r="L57" s="10">
        <f t="shared" si="11"/>
        <v>2.093</v>
      </c>
      <c r="M57" s="10">
        <f t="shared" si="12"/>
        <v>0.86599999999999999</v>
      </c>
      <c r="N57" s="448">
        <f t="shared" si="13"/>
        <v>7.39</v>
      </c>
      <c r="O57" s="112" t="s">
        <v>659</v>
      </c>
      <c r="P57" s="554" t="s">
        <v>789</v>
      </c>
      <c r="Q57" s="973" t="s">
        <v>255</v>
      </c>
      <c r="R57" s="13">
        <f t="shared" si="7"/>
        <v>314.28399999999999</v>
      </c>
    </row>
    <row r="58" spans="1:18" ht="21.75" hidden="1" customHeight="1">
      <c r="A58" s="14">
        <f>SUBTOTAL(103,$C$5:C58)</f>
        <v>0</v>
      </c>
      <c r="B58" s="10">
        <v>20</v>
      </c>
      <c r="C58" s="114" t="s">
        <v>156</v>
      </c>
      <c r="D58" s="62" t="str">
        <f>VLOOKUP(C58,'Location Summary'!$C$4:$D$603,2,0)</f>
        <v>DA-1.5</v>
      </c>
      <c r="E58" s="62" t="s">
        <v>403</v>
      </c>
      <c r="F58" s="107">
        <v>45521</v>
      </c>
      <c r="G58" s="107">
        <v>45532</v>
      </c>
      <c r="H58" s="60" t="s">
        <v>854</v>
      </c>
      <c r="I58" s="62">
        <f t="shared" si="8"/>
        <v>271.04000000000002</v>
      </c>
      <c r="J58" s="10">
        <f t="shared" si="9"/>
        <v>3.36</v>
      </c>
      <c r="K58" s="10">
        <f t="shared" si="10"/>
        <v>34.15</v>
      </c>
      <c r="L58" s="10">
        <f t="shared" si="11"/>
        <v>1.599</v>
      </c>
      <c r="M58" s="10">
        <f t="shared" si="12"/>
        <v>0.86599999999999999</v>
      </c>
      <c r="N58" s="448">
        <f t="shared" si="13"/>
        <v>6.49</v>
      </c>
      <c r="O58" s="112" t="s">
        <v>912</v>
      </c>
      <c r="P58" s="554" t="s">
        <v>912</v>
      </c>
      <c r="Q58" s="973" t="s">
        <v>255</v>
      </c>
      <c r="R58" s="13">
        <f t="shared" si="7"/>
        <v>287.98399999999998</v>
      </c>
    </row>
    <row r="59" spans="1:18" ht="21.75" hidden="1" customHeight="1">
      <c r="A59" s="14">
        <f>SUBTOTAL(103,$C$5:C59)</f>
        <v>0</v>
      </c>
      <c r="B59" s="10">
        <v>21</v>
      </c>
      <c r="C59" s="114" t="s">
        <v>259</v>
      </c>
      <c r="D59" s="62" t="str">
        <f>VLOOKUP(C59,'Location Summary'!$C$4:$D$603,2,0)</f>
        <v>DA+9</v>
      </c>
      <c r="E59" s="62" t="s">
        <v>403</v>
      </c>
      <c r="F59" s="107">
        <v>45532</v>
      </c>
      <c r="G59" s="107">
        <v>45534</v>
      </c>
      <c r="H59" s="60" t="s">
        <v>886</v>
      </c>
      <c r="I59" s="62">
        <f t="shared" si="8"/>
        <v>289.83999999999997</v>
      </c>
      <c r="J59" s="10">
        <f t="shared" si="9"/>
        <v>3.61</v>
      </c>
      <c r="K59" s="10">
        <f t="shared" si="10"/>
        <v>37.299999999999997</v>
      </c>
      <c r="L59" s="10">
        <f t="shared" si="11"/>
        <v>2.093</v>
      </c>
      <c r="M59" s="10">
        <f t="shared" si="12"/>
        <v>0.86599999999999999</v>
      </c>
      <c r="N59" s="448">
        <f t="shared" si="13"/>
        <v>7.39</v>
      </c>
      <c r="O59" s="112" t="s">
        <v>659</v>
      </c>
      <c r="P59" s="554" t="s">
        <v>789</v>
      </c>
      <c r="Q59" s="973" t="s">
        <v>255</v>
      </c>
      <c r="R59" s="13">
        <f t="shared" si="7"/>
        <v>314.28399999999999</v>
      </c>
    </row>
    <row r="60" spans="1:18" ht="21.75" hidden="1" customHeight="1">
      <c r="A60" s="14">
        <f>SUBTOTAL(103,$C$5:C60)</f>
        <v>0</v>
      </c>
      <c r="B60" s="10">
        <v>22</v>
      </c>
      <c r="C60" s="114" t="s">
        <v>570</v>
      </c>
      <c r="D60" s="62" t="str">
        <f>VLOOKUP(C60,'Location Summary'!$C$4:$D$603,2,0)</f>
        <v>DA+6</v>
      </c>
      <c r="E60" s="62" t="s">
        <v>403</v>
      </c>
      <c r="F60" s="107">
        <v>45531</v>
      </c>
      <c r="G60" s="107">
        <v>45534</v>
      </c>
      <c r="H60" s="60" t="s">
        <v>692</v>
      </c>
      <c r="I60" s="62">
        <f t="shared" si="8"/>
        <v>289.83999999999997</v>
      </c>
      <c r="J60" s="10">
        <f t="shared" si="9"/>
        <v>3.61</v>
      </c>
      <c r="K60" s="10">
        <f t="shared" si="10"/>
        <v>37.299999999999997</v>
      </c>
      <c r="L60" s="10">
        <f t="shared" si="11"/>
        <v>2.093</v>
      </c>
      <c r="M60" s="10">
        <f t="shared" si="12"/>
        <v>0.86599999999999999</v>
      </c>
      <c r="N60" s="448">
        <f t="shared" si="13"/>
        <v>7.39</v>
      </c>
      <c r="O60" s="112" t="s">
        <v>660</v>
      </c>
      <c r="P60" s="554" t="s">
        <v>765</v>
      </c>
      <c r="Q60" s="973" t="s">
        <v>255</v>
      </c>
      <c r="R60" s="13">
        <f t="shared" si="7"/>
        <v>314.28399999999999</v>
      </c>
    </row>
    <row r="61" spans="1:18" ht="21.75" hidden="1" customHeight="1">
      <c r="A61" s="14">
        <f>SUBTOTAL(103,$C$5:C61)</f>
        <v>0</v>
      </c>
      <c r="B61" s="10">
        <v>23</v>
      </c>
      <c r="C61" s="114" t="s">
        <v>904</v>
      </c>
      <c r="D61" s="62" t="str">
        <f>VLOOKUP(C61,'Location Summary'!$C$4:$D$603,2,0)</f>
        <v>DA+9</v>
      </c>
      <c r="E61" s="62" t="s">
        <v>403</v>
      </c>
      <c r="F61" s="107">
        <v>45508</v>
      </c>
      <c r="G61" s="107">
        <v>45535</v>
      </c>
      <c r="H61" s="60" t="s">
        <v>854</v>
      </c>
      <c r="I61" s="62">
        <f t="shared" si="8"/>
        <v>289.83999999999997</v>
      </c>
      <c r="J61" s="10">
        <f t="shared" si="9"/>
        <v>3.61</v>
      </c>
      <c r="K61" s="10">
        <f t="shared" si="10"/>
        <v>37.299999999999997</v>
      </c>
      <c r="L61" s="10">
        <f t="shared" si="11"/>
        <v>2.093</v>
      </c>
      <c r="M61" s="10">
        <f t="shared" si="12"/>
        <v>0.86599999999999999</v>
      </c>
      <c r="N61" s="448">
        <f t="shared" si="13"/>
        <v>7.39</v>
      </c>
      <c r="O61" s="112" t="s">
        <v>791</v>
      </c>
      <c r="P61" s="554" t="s">
        <v>912</v>
      </c>
      <c r="Q61" s="973" t="s">
        <v>255</v>
      </c>
      <c r="R61" s="13">
        <f t="shared" si="7"/>
        <v>314.28399999999999</v>
      </c>
    </row>
    <row r="62" spans="1:18" ht="21.75" hidden="1" customHeight="1">
      <c r="A62" s="14">
        <f>SUBTOTAL(103,$C$5:C62)</f>
        <v>0</v>
      </c>
      <c r="B62" s="10">
        <v>1</v>
      </c>
      <c r="C62" s="114" t="s">
        <v>492</v>
      </c>
      <c r="D62" s="62" t="str">
        <f>VLOOKUP(C62,'Location Summary'!$C$4:$D$603,2,0)</f>
        <v>DA+1.5</v>
      </c>
      <c r="E62" s="62" t="s">
        <v>403</v>
      </c>
      <c r="F62" s="107">
        <v>45533</v>
      </c>
      <c r="G62" s="107">
        <v>45536</v>
      </c>
      <c r="H62" s="60" t="s">
        <v>972</v>
      </c>
      <c r="I62" s="62">
        <f t="shared" si="8"/>
        <v>289.83999999999997</v>
      </c>
      <c r="J62" s="10">
        <f t="shared" si="9"/>
        <v>3.61</v>
      </c>
      <c r="K62" s="10">
        <f t="shared" si="10"/>
        <v>37.299999999999997</v>
      </c>
      <c r="L62" s="10">
        <f t="shared" si="11"/>
        <v>2.093</v>
      </c>
      <c r="M62" s="10">
        <f t="shared" si="12"/>
        <v>0.86599999999999999</v>
      </c>
      <c r="N62" s="448">
        <f t="shared" si="13"/>
        <v>7.39</v>
      </c>
      <c r="O62" s="112" t="s">
        <v>659</v>
      </c>
      <c r="P62" s="554" t="s">
        <v>789</v>
      </c>
      <c r="Q62" s="973" t="s">
        <v>255</v>
      </c>
      <c r="R62" s="13">
        <f t="shared" si="7"/>
        <v>314.28399999999999</v>
      </c>
    </row>
    <row r="63" spans="1:18" ht="21.75" hidden="1" customHeight="1">
      <c r="A63" s="14">
        <f>SUBTOTAL(103,$C$5:C63)</f>
        <v>0</v>
      </c>
      <c r="B63" s="10">
        <v>2</v>
      </c>
      <c r="C63" s="114" t="s">
        <v>895</v>
      </c>
      <c r="D63" s="62" t="str">
        <f>VLOOKUP(C63,'Location Summary'!$C$4:$D$603,2,0)</f>
        <v>DA+9</v>
      </c>
      <c r="E63" s="62" t="s">
        <v>403</v>
      </c>
      <c r="F63" s="107">
        <v>45533</v>
      </c>
      <c r="G63" s="107">
        <v>45536</v>
      </c>
      <c r="H63" s="60" t="s">
        <v>989</v>
      </c>
      <c r="I63" s="62">
        <f t="shared" si="8"/>
        <v>289.83999999999997</v>
      </c>
      <c r="J63" s="10">
        <f t="shared" si="9"/>
        <v>3.61</v>
      </c>
      <c r="K63" s="10">
        <f t="shared" si="10"/>
        <v>37.299999999999997</v>
      </c>
      <c r="L63" s="10">
        <f t="shared" si="11"/>
        <v>2.093</v>
      </c>
      <c r="M63" s="10">
        <f t="shared" si="12"/>
        <v>0.86599999999999999</v>
      </c>
      <c r="N63" s="448">
        <f t="shared" si="13"/>
        <v>7.39</v>
      </c>
      <c r="O63" s="112" t="s">
        <v>846</v>
      </c>
      <c r="P63" s="554" t="s">
        <v>789</v>
      </c>
      <c r="Q63" s="973" t="s">
        <v>255</v>
      </c>
      <c r="R63" s="13">
        <f t="shared" si="7"/>
        <v>314.28399999999999</v>
      </c>
    </row>
    <row r="64" spans="1:18" ht="21.75" hidden="1" customHeight="1">
      <c r="A64" s="14">
        <f>SUBTOTAL(103,$C$5:C64)</f>
        <v>0</v>
      </c>
      <c r="B64" s="10">
        <v>3</v>
      </c>
      <c r="C64" s="114" t="s">
        <v>466</v>
      </c>
      <c r="D64" s="62" t="str">
        <f>VLOOKUP(C64,'Location Summary'!$C$4:$D$603,2,0)</f>
        <v>DA+9</v>
      </c>
      <c r="E64" s="62" t="s">
        <v>403</v>
      </c>
      <c r="F64" s="107">
        <v>45536</v>
      </c>
      <c r="G64" s="107">
        <v>45539</v>
      </c>
      <c r="H64" s="60" t="s">
        <v>886</v>
      </c>
      <c r="I64" s="62">
        <f t="shared" si="8"/>
        <v>289.83999999999997</v>
      </c>
      <c r="J64" s="10">
        <f t="shared" si="9"/>
        <v>3.61</v>
      </c>
      <c r="K64" s="10">
        <f t="shared" si="10"/>
        <v>37.299999999999997</v>
      </c>
      <c r="L64" s="10">
        <f t="shared" si="11"/>
        <v>2.093</v>
      </c>
      <c r="M64" s="10">
        <f t="shared" si="12"/>
        <v>0.86599999999999999</v>
      </c>
      <c r="N64" s="448">
        <f t="shared" si="13"/>
        <v>7.39</v>
      </c>
      <c r="O64" s="112" t="s">
        <v>659</v>
      </c>
      <c r="P64" s="554" t="s">
        <v>789</v>
      </c>
      <c r="Q64" s="973" t="s">
        <v>255</v>
      </c>
      <c r="R64" s="13">
        <f t="shared" si="7"/>
        <v>314.28399999999999</v>
      </c>
    </row>
    <row r="65" spans="1:18" ht="21.75" hidden="1" customHeight="1">
      <c r="A65" s="14">
        <f>SUBTOTAL(103,$C$5:C65)</f>
        <v>0</v>
      </c>
      <c r="B65" s="10">
        <v>4</v>
      </c>
      <c r="C65" s="114" t="s">
        <v>571</v>
      </c>
      <c r="D65" s="62" t="str">
        <f>VLOOKUP(C65,'Location Summary'!$C$4:$D$603,2,0)</f>
        <v>DA+6</v>
      </c>
      <c r="E65" s="62" t="s">
        <v>403</v>
      </c>
      <c r="F65" s="107">
        <v>45535</v>
      </c>
      <c r="G65" s="107">
        <v>45539</v>
      </c>
      <c r="H65" s="60" t="s">
        <v>692</v>
      </c>
      <c r="I65" s="62">
        <f t="shared" si="8"/>
        <v>289.83999999999997</v>
      </c>
      <c r="J65" s="10">
        <f t="shared" si="9"/>
        <v>3.61</v>
      </c>
      <c r="K65" s="10">
        <f t="shared" si="10"/>
        <v>37.299999999999997</v>
      </c>
      <c r="L65" s="10">
        <f t="shared" si="11"/>
        <v>2.093</v>
      </c>
      <c r="M65" s="10">
        <f t="shared" si="12"/>
        <v>0.86599999999999999</v>
      </c>
      <c r="N65" s="448">
        <f t="shared" si="13"/>
        <v>7.39</v>
      </c>
      <c r="O65" s="112" t="s">
        <v>660</v>
      </c>
      <c r="P65" s="554" t="s">
        <v>765</v>
      </c>
      <c r="Q65" s="973" t="s">
        <v>255</v>
      </c>
      <c r="R65" s="13">
        <f t="shared" si="7"/>
        <v>314.28399999999999</v>
      </c>
    </row>
    <row r="66" spans="1:18" ht="21.75" hidden="1" customHeight="1">
      <c r="A66" s="14">
        <f>SUBTOTAL(103,$C$5:C66)</f>
        <v>0</v>
      </c>
      <c r="B66" s="10">
        <v>5</v>
      </c>
      <c r="C66" s="114" t="s">
        <v>490</v>
      </c>
      <c r="D66" s="62" t="str">
        <f>VLOOKUP(C66,'Location Summary'!$C$4:$D$603,2,0)</f>
        <v>DA+1.5</v>
      </c>
      <c r="E66" s="62" t="s">
        <v>403</v>
      </c>
      <c r="F66" s="107">
        <v>45533</v>
      </c>
      <c r="G66" s="107">
        <v>45540</v>
      </c>
      <c r="H66" s="60" t="s">
        <v>988</v>
      </c>
      <c r="I66" s="62">
        <f t="shared" si="8"/>
        <v>289.83999999999997</v>
      </c>
      <c r="J66" s="10">
        <f t="shared" si="9"/>
        <v>3.61</v>
      </c>
      <c r="K66" s="10">
        <f t="shared" si="10"/>
        <v>37.299999999999997</v>
      </c>
      <c r="L66" s="10">
        <f t="shared" si="11"/>
        <v>2.093</v>
      </c>
      <c r="M66" s="10">
        <f t="shared" si="12"/>
        <v>0.86599999999999999</v>
      </c>
      <c r="N66" s="448">
        <f t="shared" si="13"/>
        <v>7.39</v>
      </c>
      <c r="O66" s="112" t="s">
        <v>887</v>
      </c>
      <c r="P66" s="554" t="s">
        <v>789</v>
      </c>
      <c r="Q66" s="973" t="s">
        <v>255</v>
      </c>
      <c r="R66" s="13">
        <f t="shared" si="7"/>
        <v>314.28399999999999</v>
      </c>
    </row>
    <row r="67" spans="1:18" ht="21.75" hidden="1" customHeight="1">
      <c r="A67" s="14">
        <f>SUBTOTAL(103,$C$5:C67)</f>
        <v>0</v>
      </c>
      <c r="B67" s="10">
        <v>6</v>
      </c>
      <c r="C67" s="114" t="s">
        <v>493</v>
      </c>
      <c r="D67" s="62" t="str">
        <f>VLOOKUP(C67,'Location Summary'!$C$4:$D$603,2,0)</f>
        <v>DA+3</v>
      </c>
      <c r="E67" s="62" t="s">
        <v>403</v>
      </c>
      <c r="F67" s="107">
        <v>45536</v>
      </c>
      <c r="G67" s="107">
        <v>45541</v>
      </c>
      <c r="H67" s="60" t="s">
        <v>972</v>
      </c>
      <c r="I67" s="62">
        <f t="shared" si="8"/>
        <v>289.83999999999997</v>
      </c>
      <c r="J67" s="10">
        <f t="shared" si="9"/>
        <v>3.61</v>
      </c>
      <c r="K67" s="10">
        <f t="shared" si="10"/>
        <v>37.299999999999997</v>
      </c>
      <c r="L67" s="10">
        <f t="shared" si="11"/>
        <v>2.093</v>
      </c>
      <c r="M67" s="10">
        <f t="shared" si="12"/>
        <v>0.86599999999999999</v>
      </c>
      <c r="N67" s="448">
        <f t="shared" si="13"/>
        <v>7.39</v>
      </c>
      <c r="O67" s="112" t="s">
        <v>846</v>
      </c>
      <c r="P67" s="554" t="s">
        <v>789</v>
      </c>
      <c r="Q67" s="973" t="s">
        <v>255</v>
      </c>
      <c r="R67" s="13">
        <f t="shared" si="7"/>
        <v>314.28399999999999</v>
      </c>
    </row>
    <row r="68" spans="1:18" ht="21.75" hidden="1" customHeight="1">
      <c r="A68" s="14">
        <f>SUBTOTAL(103,$C$5:C68)</f>
        <v>0</v>
      </c>
      <c r="B68" s="10">
        <v>7</v>
      </c>
      <c r="C68" s="114" t="s">
        <v>894</v>
      </c>
      <c r="D68" s="62" t="str">
        <f>VLOOKUP(C68,'Location Summary'!$C$4:$D$603,2,0)</f>
        <v>DA+6</v>
      </c>
      <c r="E68" s="62" t="s">
        <v>403</v>
      </c>
      <c r="F68" s="107">
        <v>45536</v>
      </c>
      <c r="G68" s="107">
        <v>45541</v>
      </c>
      <c r="H68" s="60" t="s">
        <v>989</v>
      </c>
      <c r="I68" s="62">
        <f t="shared" si="8"/>
        <v>289.83999999999997</v>
      </c>
      <c r="J68" s="10">
        <f t="shared" si="9"/>
        <v>3.61</v>
      </c>
      <c r="K68" s="10">
        <f t="shared" si="10"/>
        <v>37.299999999999997</v>
      </c>
      <c r="L68" s="10">
        <f t="shared" si="11"/>
        <v>2.093</v>
      </c>
      <c r="M68" s="10">
        <f t="shared" si="12"/>
        <v>0.86599999999999999</v>
      </c>
      <c r="N68" s="448">
        <f t="shared" si="13"/>
        <v>7.39</v>
      </c>
      <c r="O68" s="112" t="s">
        <v>993</v>
      </c>
      <c r="P68" s="554" t="s">
        <v>789</v>
      </c>
      <c r="Q68" s="973" t="s">
        <v>255</v>
      </c>
      <c r="R68" s="13">
        <f t="shared" si="7"/>
        <v>314.28399999999999</v>
      </c>
    </row>
    <row r="69" spans="1:18" ht="21.75" hidden="1" customHeight="1">
      <c r="A69" s="14">
        <f>SUBTOTAL(103,$C$5:C69)</f>
        <v>0</v>
      </c>
      <c r="B69" s="10">
        <v>8</v>
      </c>
      <c r="C69" s="114" t="s">
        <v>467</v>
      </c>
      <c r="D69" s="62" t="str">
        <f>VLOOKUP(C69,'Location Summary'!$C$4:$D$603,2,0)</f>
        <v>DA+3</v>
      </c>
      <c r="E69" s="62" t="s">
        <v>403</v>
      </c>
      <c r="F69" s="107">
        <v>45539</v>
      </c>
      <c r="G69" s="107">
        <v>45542</v>
      </c>
      <c r="H69" s="60" t="s">
        <v>886</v>
      </c>
      <c r="I69" s="62">
        <f t="shared" ref="I69:I132" si="14">VLOOKUP($D69,$D$323:$M$362,6,FALSE)</f>
        <v>289.83999999999997</v>
      </c>
      <c r="J69" s="10">
        <f t="shared" ref="J69:J132" si="15">VLOOKUP($D69,$D$323:$M$362,7,FALSE)</f>
        <v>3.61</v>
      </c>
      <c r="K69" s="10">
        <f t="shared" ref="K69:K132" si="16">VLOOKUP($D69,$D$323:$M$362,8,FALSE)</f>
        <v>37.299999999999997</v>
      </c>
      <c r="L69" s="10">
        <f t="shared" ref="L69:L132" si="17">VLOOKUP($D69,$D$323:$M$362,9,FALSE)</f>
        <v>2.093</v>
      </c>
      <c r="M69" s="10">
        <f t="shared" ref="M69:M132" si="18">VLOOKUP($D69,$D$323:$M$362,10,FALSE)</f>
        <v>0.86599999999999999</v>
      </c>
      <c r="N69" s="448">
        <f t="shared" ref="N69:N100" si="19">ROUND((I69*230.35+J69*10150.5+K69*11591.45+L69*93958.18+M69*7677.44)/10^5,2)</f>
        <v>7.39</v>
      </c>
      <c r="O69" s="112" t="s">
        <v>659</v>
      </c>
      <c r="P69" s="554" t="s">
        <v>789</v>
      </c>
      <c r="Q69" s="973" t="s">
        <v>255</v>
      </c>
      <c r="R69" s="13">
        <f t="shared" si="7"/>
        <v>314.28399999999999</v>
      </c>
    </row>
    <row r="70" spans="1:18" ht="21.75" hidden="1" customHeight="1">
      <c r="A70" s="14">
        <f>SUBTOTAL(103,$C$5:C70)</f>
        <v>0</v>
      </c>
      <c r="B70" s="10">
        <v>9</v>
      </c>
      <c r="C70" s="114" t="s">
        <v>187</v>
      </c>
      <c r="D70" s="62" t="str">
        <f>VLOOKUP(C70,'Location Summary'!$C$4:$D$603,2,0)</f>
        <v>DA+3</v>
      </c>
      <c r="E70" s="62" t="s">
        <v>403</v>
      </c>
      <c r="F70" s="107">
        <v>45539</v>
      </c>
      <c r="G70" s="107">
        <v>45544</v>
      </c>
      <c r="H70" s="60" t="s">
        <v>692</v>
      </c>
      <c r="I70" s="62">
        <f t="shared" si="14"/>
        <v>289.83999999999997</v>
      </c>
      <c r="J70" s="10">
        <f t="shared" si="15"/>
        <v>3.61</v>
      </c>
      <c r="K70" s="10">
        <f t="shared" si="16"/>
        <v>37.299999999999997</v>
      </c>
      <c r="L70" s="10">
        <f t="shared" si="17"/>
        <v>2.093</v>
      </c>
      <c r="M70" s="10">
        <f t="shared" si="18"/>
        <v>0.86599999999999999</v>
      </c>
      <c r="N70" s="448">
        <f t="shared" si="19"/>
        <v>7.39</v>
      </c>
      <c r="O70" s="112" t="s">
        <v>660</v>
      </c>
      <c r="P70" s="554" t="s">
        <v>765</v>
      </c>
      <c r="Q70" s="973" t="s">
        <v>255</v>
      </c>
      <c r="R70" s="13">
        <f t="shared" ref="R70:R133" si="20">(J70*4.4)+(K70*8)</f>
        <v>314.28399999999999</v>
      </c>
    </row>
    <row r="71" spans="1:18" ht="21.75" hidden="1" customHeight="1">
      <c r="A71" s="14">
        <f>SUBTOTAL(103,$C$5:C71)</f>
        <v>0</v>
      </c>
      <c r="B71" s="10">
        <v>10</v>
      </c>
      <c r="C71" s="114" t="s">
        <v>893</v>
      </c>
      <c r="D71" s="62" t="str">
        <f>VLOOKUP(C71,'Location Summary'!$C$4:$D$603,2,0)</f>
        <v>DA+9</v>
      </c>
      <c r="E71" s="62" t="s">
        <v>403</v>
      </c>
      <c r="F71" s="107">
        <v>45542</v>
      </c>
      <c r="G71" s="107">
        <v>45544</v>
      </c>
      <c r="H71" s="60" t="s">
        <v>989</v>
      </c>
      <c r="I71" s="62">
        <f t="shared" si="14"/>
        <v>289.83999999999997</v>
      </c>
      <c r="J71" s="10">
        <f t="shared" si="15"/>
        <v>3.61</v>
      </c>
      <c r="K71" s="10">
        <f t="shared" si="16"/>
        <v>37.299999999999997</v>
      </c>
      <c r="L71" s="10">
        <f t="shared" si="17"/>
        <v>2.093</v>
      </c>
      <c r="M71" s="10">
        <f t="shared" si="18"/>
        <v>0.86599999999999999</v>
      </c>
      <c r="N71" s="448">
        <f t="shared" si="19"/>
        <v>7.39</v>
      </c>
      <c r="O71" s="112" t="s">
        <v>993</v>
      </c>
      <c r="P71" s="554" t="s">
        <v>789</v>
      </c>
      <c r="Q71" s="973" t="s">
        <v>255</v>
      </c>
      <c r="R71" s="13">
        <f t="shared" si="20"/>
        <v>314.28399999999999</v>
      </c>
    </row>
    <row r="72" spans="1:18" ht="21.75" hidden="1" customHeight="1">
      <c r="A72" s="14">
        <f>SUBTOTAL(103,$C$5:C72)</f>
        <v>0</v>
      </c>
      <c r="B72" s="10">
        <v>11</v>
      </c>
      <c r="C72" s="114" t="s">
        <v>494</v>
      </c>
      <c r="D72" s="62" t="str">
        <f>VLOOKUP(C72,'Location Summary'!$C$4:$D$603,2,0)</f>
        <v>DA+3</v>
      </c>
      <c r="E72" s="62" t="s">
        <v>403</v>
      </c>
      <c r="F72" s="107">
        <v>45543</v>
      </c>
      <c r="G72" s="107">
        <v>45545</v>
      </c>
      <c r="H72" s="60" t="s">
        <v>972</v>
      </c>
      <c r="I72" s="62">
        <f t="shared" si="14"/>
        <v>289.83999999999997</v>
      </c>
      <c r="J72" s="10">
        <f t="shared" si="15"/>
        <v>3.61</v>
      </c>
      <c r="K72" s="10">
        <f t="shared" si="16"/>
        <v>37.299999999999997</v>
      </c>
      <c r="L72" s="10">
        <f t="shared" si="17"/>
        <v>2.093</v>
      </c>
      <c r="M72" s="10">
        <f t="shared" si="18"/>
        <v>0.86599999999999999</v>
      </c>
      <c r="N72" s="448">
        <f t="shared" si="19"/>
        <v>7.39</v>
      </c>
      <c r="O72" s="112" t="s">
        <v>846</v>
      </c>
      <c r="P72" s="554" t="s">
        <v>789</v>
      </c>
      <c r="Q72" s="973" t="s">
        <v>255</v>
      </c>
      <c r="R72" s="13">
        <f t="shared" si="20"/>
        <v>314.28399999999999</v>
      </c>
    </row>
    <row r="73" spans="1:18" ht="21.75" hidden="1" customHeight="1">
      <c r="A73" s="14">
        <f>SUBTOTAL(103,$C$5:C73)</f>
        <v>0</v>
      </c>
      <c r="B73" s="10">
        <v>12</v>
      </c>
      <c r="C73" s="114" t="s">
        <v>430</v>
      </c>
      <c r="D73" s="62" t="str">
        <f>VLOOKUP(C73,'Location Summary'!$C$4:$D$603,2,0)</f>
        <v>DA+6</v>
      </c>
      <c r="E73" s="62" t="s">
        <v>403</v>
      </c>
      <c r="F73" s="107">
        <v>45537</v>
      </c>
      <c r="G73" s="107">
        <v>45545</v>
      </c>
      <c r="H73" s="60" t="s">
        <v>854</v>
      </c>
      <c r="I73" s="62">
        <f t="shared" si="14"/>
        <v>289.83999999999997</v>
      </c>
      <c r="J73" s="10">
        <f t="shared" si="15"/>
        <v>3.61</v>
      </c>
      <c r="K73" s="10">
        <f t="shared" si="16"/>
        <v>37.299999999999997</v>
      </c>
      <c r="L73" s="10">
        <f t="shared" si="17"/>
        <v>2.093</v>
      </c>
      <c r="M73" s="10">
        <f t="shared" si="18"/>
        <v>0.86599999999999999</v>
      </c>
      <c r="N73" s="448">
        <f t="shared" si="19"/>
        <v>7.39</v>
      </c>
      <c r="O73" s="112" t="s">
        <v>660</v>
      </c>
      <c r="P73" s="554" t="s">
        <v>912</v>
      </c>
      <c r="Q73" s="973" t="s">
        <v>255</v>
      </c>
      <c r="R73" s="13">
        <f t="shared" si="20"/>
        <v>314.28399999999999</v>
      </c>
    </row>
    <row r="74" spans="1:18" ht="21.75" hidden="1" customHeight="1">
      <c r="A74" s="14">
        <f>SUBTOTAL(103,$C$5:C74)</f>
        <v>0</v>
      </c>
      <c r="B74" s="10">
        <v>13</v>
      </c>
      <c r="C74" s="114" t="s">
        <v>896</v>
      </c>
      <c r="D74" s="62" t="str">
        <f>VLOOKUP(C74,'Location Summary'!$C$4:$D$603,2,0)</f>
        <v>DA+9</v>
      </c>
      <c r="E74" s="62" t="s">
        <v>403</v>
      </c>
      <c r="F74" s="107">
        <v>45544</v>
      </c>
      <c r="G74" s="107">
        <v>45547</v>
      </c>
      <c r="H74" s="60" t="s">
        <v>989</v>
      </c>
      <c r="I74" s="62">
        <f t="shared" si="14"/>
        <v>289.83999999999997</v>
      </c>
      <c r="J74" s="10">
        <f t="shared" si="15"/>
        <v>3.61</v>
      </c>
      <c r="K74" s="10">
        <f t="shared" si="16"/>
        <v>37.299999999999997</v>
      </c>
      <c r="L74" s="10">
        <f t="shared" si="17"/>
        <v>2.093</v>
      </c>
      <c r="M74" s="10">
        <f t="shared" si="18"/>
        <v>0.86599999999999999</v>
      </c>
      <c r="N74" s="448">
        <f t="shared" si="19"/>
        <v>7.39</v>
      </c>
      <c r="O74" s="112" t="s">
        <v>993</v>
      </c>
      <c r="P74" s="554" t="s">
        <v>912</v>
      </c>
      <c r="Q74" s="973" t="s">
        <v>255</v>
      </c>
      <c r="R74" s="13">
        <f t="shared" si="20"/>
        <v>314.28399999999999</v>
      </c>
    </row>
    <row r="75" spans="1:18" ht="21.75" hidden="1" customHeight="1">
      <c r="A75" s="14">
        <f>SUBTOTAL(103,$C$5:C75)</f>
        <v>0</v>
      </c>
      <c r="B75" s="10">
        <v>14</v>
      </c>
      <c r="C75" s="114" t="s">
        <v>463</v>
      </c>
      <c r="D75" s="62" t="str">
        <f>VLOOKUP(C75,'Location Summary'!$C$4:$D$603,2,0)</f>
        <v>DA+9</v>
      </c>
      <c r="E75" s="62" t="s">
        <v>403</v>
      </c>
      <c r="F75" s="107">
        <v>45543</v>
      </c>
      <c r="G75" s="107">
        <v>45547</v>
      </c>
      <c r="H75" s="60" t="s">
        <v>886</v>
      </c>
      <c r="I75" s="62">
        <f t="shared" si="14"/>
        <v>289.83999999999997</v>
      </c>
      <c r="J75" s="10">
        <f t="shared" si="15"/>
        <v>3.61</v>
      </c>
      <c r="K75" s="10">
        <f t="shared" si="16"/>
        <v>37.299999999999997</v>
      </c>
      <c r="L75" s="10">
        <f t="shared" si="17"/>
        <v>2.093</v>
      </c>
      <c r="M75" s="10">
        <f t="shared" si="18"/>
        <v>0.86599999999999999</v>
      </c>
      <c r="N75" s="448">
        <f t="shared" si="19"/>
        <v>7.39</v>
      </c>
      <c r="O75" s="112" t="s">
        <v>659</v>
      </c>
      <c r="P75" s="554" t="s">
        <v>789</v>
      </c>
      <c r="Q75" s="973" t="s">
        <v>255</v>
      </c>
      <c r="R75" s="13">
        <f t="shared" si="20"/>
        <v>314.28399999999999</v>
      </c>
    </row>
    <row r="76" spans="1:18" ht="21.75" hidden="1" customHeight="1">
      <c r="A76" s="14">
        <f>SUBTOTAL(103,$C$5:C76)</f>
        <v>0</v>
      </c>
      <c r="B76" s="10">
        <v>15</v>
      </c>
      <c r="C76" s="114" t="s">
        <v>586</v>
      </c>
      <c r="D76" s="62" t="str">
        <f>VLOOKUP(C76,'Location Summary'!$C$4:$D$603,2,0)</f>
        <v>DA+3</v>
      </c>
      <c r="E76" s="62" t="s">
        <v>403</v>
      </c>
      <c r="F76" s="107">
        <v>45536</v>
      </c>
      <c r="G76" s="107">
        <v>45548</v>
      </c>
      <c r="H76" s="60" t="s">
        <v>992</v>
      </c>
      <c r="I76" s="62">
        <f t="shared" si="14"/>
        <v>289.83999999999997</v>
      </c>
      <c r="J76" s="10">
        <f t="shared" si="15"/>
        <v>3.61</v>
      </c>
      <c r="K76" s="10">
        <f t="shared" si="16"/>
        <v>37.299999999999997</v>
      </c>
      <c r="L76" s="10">
        <f t="shared" si="17"/>
        <v>2.093</v>
      </c>
      <c r="M76" s="10">
        <f t="shared" si="18"/>
        <v>0.86599999999999999</v>
      </c>
      <c r="N76" s="448">
        <f t="shared" si="19"/>
        <v>7.39</v>
      </c>
      <c r="O76" s="112" t="s">
        <v>791</v>
      </c>
      <c r="P76" s="554" t="s">
        <v>765</v>
      </c>
      <c r="Q76" s="973" t="s">
        <v>255</v>
      </c>
      <c r="R76" s="13">
        <f t="shared" si="20"/>
        <v>314.28399999999999</v>
      </c>
    </row>
    <row r="77" spans="1:18" ht="21.75" hidden="1" customHeight="1">
      <c r="A77" s="14">
        <f>SUBTOTAL(103,$C$5:C77)</f>
        <v>0</v>
      </c>
      <c r="B77" s="10">
        <v>16</v>
      </c>
      <c r="C77" s="114" t="s">
        <v>70</v>
      </c>
      <c r="D77" s="62" t="str">
        <f>VLOOKUP(C77,'Location Summary'!$C$4:$D$603,2,0)</f>
        <v>DA+3</v>
      </c>
      <c r="E77" s="62" t="s">
        <v>403</v>
      </c>
      <c r="F77" s="107">
        <v>45543</v>
      </c>
      <c r="G77" s="107">
        <v>45548</v>
      </c>
      <c r="H77" s="60" t="s">
        <v>692</v>
      </c>
      <c r="I77" s="62">
        <f t="shared" si="14"/>
        <v>289.83999999999997</v>
      </c>
      <c r="J77" s="10">
        <f t="shared" si="15"/>
        <v>3.61</v>
      </c>
      <c r="K77" s="10">
        <f t="shared" si="16"/>
        <v>37.299999999999997</v>
      </c>
      <c r="L77" s="10">
        <f t="shared" si="17"/>
        <v>2.093</v>
      </c>
      <c r="M77" s="10">
        <f t="shared" si="18"/>
        <v>0.86599999999999999</v>
      </c>
      <c r="N77" s="448">
        <f t="shared" si="19"/>
        <v>7.39</v>
      </c>
      <c r="O77" s="112" t="s">
        <v>660</v>
      </c>
      <c r="P77" s="554" t="s">
        <v>765</v>
      </c>
      <c r="Q77" s="973" t="s">
        <v>255</v>
      </c>
      <c r="R77" s="13">
        <f t="shared" si="20"/>
        <v>314.28399999999999</v>
      </c>
    </row>
    <row r="78" spans="1:18" ht="21.75" hidden="1" customHeight="1">
      <c r="A78" s="14">
        <f>SUBTOTAL(103,$C$5:C78)</f>
        <v>0</v>
      </c>
      <c r="B78" s="10">
        <v>17</v>
      </c>
      <c r="C78" s="114" t="s">
        <v>475</v>
      </c>
      <c r="D78" s="62" t="str">
        <f>VLOOKUP(C78,'Location Summary'!$C$4:$D$603,2,0)</f>
        <v>DA-1.5</v>
      </c>
      <c r="E78" s="62" t="s">
        <v>403</v>
      </c>
      <c r="F78" s="107">
        <v>45543</v>
      </c>
      <c r="G78" s="107">
        <v>45549</v>
      </c>
      <c r="H78" s="60" t="s">
        <v>988</v>
      </c>
      <c r="I78" s="62">
        <f t="shared" si="14"/>
        <v>271.04000000000002</v>
      </c>
      <c r="J78" s="10">
        <f t="shared" si="15"/>
        <v>3.36</v>
      </c>
      <c r="K78" s="10">
        <f t="shared" si="16"/>
        <v>34.15</v>
      </c>
      <c r="L78" s="10">
        <f t="shared" si="17"/>
        <v>1.599</v>
      </c>
      <c r="M78" s="10">
        <f t="shared" si="18"/>
        <v>0.86599999999999999</v>
      </c>
      <c r="N78" s="448">
        <f t="shared" si="19"/>
        <v>6.49</v>
      </c>
      <c r="O78" s="112" t="s">
        <v>887</v>
      </c>
      <c r="P78" s="554" t="s">
        <v>789</v>
      </c>
      <c r="Q78" s="973" t="s">
        <v>255</v>
      </c>
      <c r="R78" s="13">
        <f t="shared" si="20"/>
        <v>287.98399999999998</v>
      </c>
    </row>
    <row r="79" spans="1:18" ht="21.75" hidden="1" customHeight="1">
      <c r="A79" s="14">
        <f>SUBTOTAL(103,$C$5:C79)</f>
        <v>0</v>
      </c>
      <c r="B79" s="10">
        <v>18</v>
      </c>
      <c r="C79" s="114" t="s">
        <v>462</v>
      </c>
      <c r="D79" s="62" t="str">
        <f>VLOOKUP(C79,'Location Summary'!$C$4:$D$603,2,0)</f>
        <v>DA+3</v>
      </c>
      <c r="E79" s="62" t="s">
        <v>403</v>
      </c>
      <c r="F79" s="107">
        <v>45548</v>
      </c>
      <c r="G79" s="107">
        <v>45550</v>
      </c>
      <c r="H79" s="60" t="s">
        <v>886</v>
      </c>
      <c r="I79" s="62">
        <f t="shared" si="14"/>
        <v>289.83999999999997</v>
      </c>
      <c r="J79" s="10">
        <f t="shared" si="15"/>
        <v>3.61</v>
      </c>
      <c r="K79" s="10">
        <f t="shared" si="16"/>
        <v>37.299999999999997</v>
      </c>
      <c r="L79" s="10">
        <f t="shared" si="17"/>
        <v>2.093</v>
      </c>
      <c r="M79" s="10">
        <f t="shared" si="18"/>
        <v>0.86599999999999999</v>
      </c>
      <c r="N79" s="448">
        <f t="shared" si="19"/>
        <v>7.39</v>
      </c>
      <c r="O79" s="112" t="s">
        <v>659</v>
      </c>
      <c r="P79" s="554" t="s">
        <v>789</v>
      </c>
      <c r="Q79" s="973" t="s">
        <v>255</v>
      </c>
      <c r="R79" s="13">
        <f t="shared" si="20"/>
        <v>314.28399999999999</v>
      </c>
    </row>
    <row r="80" spans="1:18" ht="21.75" hidden="1" customHeight="1">
      <c r="A80" s="14">
        <f>SUBTOTAL(103,$C$5:C80)</f>
        <v>0</v>
      </c>
      <c r="B80" s="10">
        <v>19</v>
      </c>
      <c r="C80" s="114" t="s">
        <v>1070</v>
      </c>
      <c r="D80" s="62" t="str">
        <f>VLOOKUP(C80,'Location Summary'!$C$4:$D$603,2,0)</f>
        <v>DA+3</v>
      </c>
      <c r="E80" s="62" t="s">
        <v>403</v>
      </c>
      <c r="F80" s="107">
        <v>45546</v>
      </c>
      <c r="G80" s="107">
        <v>45550</v>
      </c>
      <c r="H80" s="60" t="s">
        <v>972</v>
      </c>
      <c r="I80" s="62">
        <f t="shared" si="14"/>
        <v>289.83999999999997</v>
      </c>
      <c r="J80" s="10">
        <f t="shared" si="15"/>
        <v>3.61</v>
      </c>
      <c r="K80" s="10">
        <f t="shared" si="16"/>
        <v>37.299999999999997</v>
      </c>
      <c r="L80" s="10">
        <f t="shared" si="17"/>
        <v>2.093</v>
      </c>
      <c r="M80" s="10">
        <f t="shared" si="18"/>
        <v>0.86599999999999999</v>
      </c>
      <c r="N80" s="448">
        <f t="shared" si="19"/>
        <v>7.39</v>
      </c>
      <c r="O80" s="112" t="s">
        <v>846</v>
      </c>
      <c r="P80" s="554" t="s">
        <v>789</v>
      </c>
      <c r="Q80" s="973" t="s">
        <v>255</v>
      </c>
      <c r="R80" s="13">
        <f t="shared" si="20"/>
        <v>314.28399999999999</v>
      </c>
    </row>
    <row r="81" spans="1:18" ht="21.75" hidden="1" customHeight="1">
      <c r="A81" s="14">
        <f>SUBTOTAL(103,$C$5:C81)</f>
        <v>0</v>
      </c>
      <c r="B81" s="10">
        <v>20</v>
      </c>
      <c r="C81" s="114" t="s">
        <v>575</v>
      </c>
      <c r="D81" s="62" t="str">
        <f>VLOOKUP(C81,'Location Summary'!$C$4:$D$603,2,0)</f>
        <v>DA+9</v>
      </c>
      <c r="E81" s="62" t="s">
        <v>403</v>
      </c>
      <c r="F81" s="107">
        <v>45548</v>
      </c>
      <c r="G81" s="107">
        <v>45550</v>
      </c>
      <c r="H81" s="60" t="s">
        <v>692</v>
      </c>
      <c r="I81" s="62">
        <f t="shared" si="14"/>
        <v>289.83999999999997</v>
      </c>
      <c r="J81" s="10">
        <f t="shared" si="15"/>
        <v>3.61</v>
      </c>
      <c r="K81" s="10">
        <f t="shared" si="16"/>
        <v>37.299999999999997</v>
      </c>
      <c r="L81" s="10">
        <f t="shared" si="17"/>
        <v>2.093</v>
      </c>
      <c r="M81" s="10">
        <f t="shared" si="18"/>
        <v>0.86599999999999999</v>
      </c>
      <c r="N81" s="448">
        <f t="shared" si="19"/>
        <v>7.39</v>
      </c>
      <c r="O81" s="112" t="s">
        <v>660</v>
      </c>
      <c r="P81" s="554" t="s">
        <v>765</v>
      </c>
      <c r="Q81" s="973" t="s">
        <v>255</v>
      </c>
      <c r="R81" s="13">
        <f t="shared" si="20"/>
        <v>314.28399999999999</v>
      </c>
    </row>
    <row r="82" spans="1:18" ht="21.75" hidden="1" customHeight="1">
      <c r="A82" s="14">
        <f>SUBTOTAL(103,$C$5:C82)</f>
        <v>0</v>
      </c>
      <c r="B82" s="10">
        <v>21</v>
      </c>
      <c r="C82" s="114" t="s">
        <v>892</v>
      </c>
      <c r="D82" s="62" t="str">
        <f>VLOOKUP(C82,'Location Summary'!$C$4:$D$603,2,0)</f>
        <v>DA+6</v>
      </c>
      <c r="E82" s="62" t="s">
        <v>403</v>
      </c>
      <c r="F82" s="107">
        <v>45549</v>
      </c>
      <c r="G82" s="107">
        <v>45551</v>
      </c>
      <c r="H82" s="60" t="s">
        <v>989</v>
      </c>
      <c r="I82" s="62">
        <f t="shared" si="14"/>
        <v>289.83999999999997</v>
      </c>
      <c r="J82" s="10">
        <f t="shared" si="15"/>
        <v>3.61</v>
      </c>
      <c r="K82" s="10">
        <f t="shared" si="16"/>
        <v>37.299999999999997</v>
      </c>
      <c r="L82" s="10">
        <f t="shared" si="17"/>
        <v>2.093</v>
      </c>
      <c r="M82" s="10">
        <f t="shared" si="18"/>
        <v>0.86599999999999999</v>
      </c>
      <c r="N82" s="448">
        <f t="shared" si="19"/>
        <v>7.39</v>
      </c>
      <c r="O82" s="112" t="s">
        <v>993</v>
      </c>
      <c r="P82" s="554" t="s">
        <v>789</v>
      </c>
      <c r="Q82" s="973" t="s">
        <v>255</v>
      </c>
      <c r="R82" s="13">
        <f t="shared" si="20"/>
        <v>314.28399999999999</v>
      </c>
    </row>
    <row r="83" spans="1:18" ht="21.75" hidden="1" customHeight="1">
      <c r="A83" s="14">
        <f>SUBTOTAL(103,$C$5:C83)</f>
        <v>0</v>
      </c>
      <c r="B83" s="10">
        <v>22</v>
      </c>
      <c r="C83" s="114" t="s">
        <v>577</v>
      </c>
      <c r="D83" s="62" t="str">
        <f>VLOOKUP(C83,'Location Summary'!$C$4:$D$603,2,0)</f>
        <v>DA+1.5</v>
      </c>
      <c r="E83" s="62" t="s">
        <v>403</v>
      </c>
      <c r="F83" s="107">
        <v>45550</v>
      </c>
      <c r="G83" s="107">
        <v>45553</v>
      </c>
      <c r="H83" s="60" t="s">
        <v>692</v>
      </c>
      <c r="I83" s="62">
        <f t="shared" si="14"/>
        <v>289.83999999999997</v>
      </c>
      <c r="J83" s="10">
        <f t="shared" si="15"/>
        <v>3.61</v>
      </c>
      <c r="K83" s="10">
        <f t="shared" si="16"/>
        <v>37.299999999999997</v>
      </c>
      <c r="L83" s="10">
        <f t="shared" si="17"/>
        <v>2.093</v>
      </c>
      <c r="M83" s="10">
        <f t="shared" si="18"/>
        <v>0.86599999999999999</v>
      </c>
      <c r="N83" s="448">
        <f t="shared" si="19"/>
        <v>7.39</v>
      </c>
      <c r="O83" s="112" t="s">
        <v>451</v>
      </c>
      <c r="P83" s="554" t="s">
        <v>765</v>
      </c>
      <c r="Q83" s="973" t="s">
        <v>255</v>
      </c>
      <c r="R83" s="13">
        <f t="shared" si="20"/>
        <v>314.28399999999999</v>
      </c>
    </row>
    <row r="84" spans="1:18" ht="21.75" hidden="1" customHeight="1">
      <c r="A84" s="14">
        <f>SUBTOTAL(103,$C$5:C84)</f>
        <v>0</v>
      </c>
      <c r="B84" s="10">
        <v>23</v>
      </c>
      <c r="C84" s="114" t="s">
        <v>1071</v>
      </c>
      <c r="D84" s="62" t="s">
        <v>49</v>
      </c>
      <c r="E84" s="62" t="s">
        <v>403</v>
      </c>
      <c r="F84" s="107">
        <v>45550</v>
      </c>
      <c r="G84" s="107">
        <v>45554</v>
      </c>
      <c r="H84" s="60" t="s">
        <v>972</v>
      </c>
      <c r="I84" s="62">
        <f t="shared" si="14"/>
        <v>289.83999999999997</v>
      </c>
      <c r="J84" s="10">
        <f t="shared" si="15"/>
        <v>3.61</v>
      </c>
      <c r="K84" s="10">
        <f t="shared" si="16"/>
        <v>37.299999999999997</v>
      </c>
      <c r="L84" s="10">
        <f t="shared" si="17"/>
        <v>2.093</v>
      </c>
      <c r="M84" s="10">
        <f t="shared" si="18"/>
        <v>0.86599999999999999</v>
      </c>
      <c r="N84" s="448">
        <f t="shared" si="19"/>
        <v>7.39</v>
      </c>
      <c r="O84" s="112" t="s">
        <v>660</v>
      </c>
      <c r="P84" s="554" t="s">
        <v>765</v>
      </c>
      <c r="Q84" s="973" t="s">
        <v>255</v>
      </c>
      <c r="R84" s="13">
        <f t="shared" si="20"/>
        <v>314.28399999999999</v>
      </c>
    </row>
    <row r="85" spans="1:18" ht="21.75" hidden="1" customHeight="1">
      <c r="A85" s="14">
        <f>SUBTOTAL(103,$C$5:C85)</f>
        <v>0</v>
      </c>
      <c r="B85" s="10">
        <v>24</v>
      </c>
      <c r="C85" s="114" t="s">
        <v>585</v>
      </c>
      <c r="D85" s="62" t="str">
        <f>VLOOKUP(C85,'Location Summary'!$C$4:$D$603,2,0)</f>
        <v>DA+1.5</v>
      </c>
      <c r="E85" s="62" t="s">
        <v>403</v>
      </c>
      <c r="F85" s="107">
        <v>45548</v>
      </c>
      <c r="G85" s="107">
        <v>45555</v>
      </c>
      <c r="H85" s="60" t="s">
        <v>992</v>
      </c>
      <c r="I85" s="62">
        <f t="shared" si="14"/>
        <v>289.83999999999997</v>
      </c>
      <c r="J85" s="10">
        <f t="shared" si="15"/>
        <v>3.61</v>
      </c>
      <c r="K85" s="10">
        <f t="shared" si="16"/>
        <v>37.299999999999997</v>
      </c>
      <c r="L85" s="10">
        <f t="shared" si="17"/>
        <v>2.093</v>
      </c>
      <c r="M85" s="10">
        <f t="shared" si="18"/>
        <v>0.86599999999999999</v>
      </c>
      <c r="N85" s="448">
        <f t="shared" si="19"/>
        <v>7.39</v>
      </c>
      <c r="O85" s="112" t="s">
        <v>887</v>
      </c>
      <c r="P85" s="554" t="s">
        <v>765</v>
      </c>
      <c r="Q85" s="973" t="s">
        <v>255</v>
      </c>
      <c r="R85" s="13">
        <f t="shared" si="20"/>
        <v>314.28399999999999</v>
      </c>
    </row>
    <row r="86" spans="1:18" ht="21.75" hidden="1" customHeight="1">
      <c r="A86" s="14">
        <f>SUBTOTAL(103,$C$5:C86)</f>
        <v>0</v>
      </c>
      <c r="B86" s="10">
        <v>25</v>
      </c>
      <c r="C86" s="114" t="s">
        <v>468</v>
      </c>
      <c r="D86" s="62" t="str">
        <f>VLOOKUP(C86,'Location Summary'!$C$4:$D$603,2,0)</f>
        <v>DA+9</v>
      </c>
      <c r="E86" s="62" t="s">
        <v>403</v>
      </c>
      <c r="F86" s="107">
        <v>45553</v>
      </c>
      <c r="G86" s="107">
        <v>45555</v>
      </c>
      <c r="H86" s="60" t="s">
        <v>886</v>
      </c>
      <c r="I86" s="62">
        <f t="shared" si="14"/>
        <v>289.83999999999997</v>
      </c>
      <c r="J86" s="10">
        <f t="shared" si="15"/>
        <v>3.61</v>
      </c>
      <c r="K86" s="10">
        <f t="shared" si="16"/>
        <v>37.299999999999997</v>
      </c>
      <c r="L86" s="10">
        <f t="shared" si="17"/>
        <v>2.093</v>
      </c>
      <c r="M86" s="10">
        <f t="shared" si="18"/>
        <v>0.86599999999999999</v>
      </c>
      <c r="N86" s="448">
        <f t="shared" si="19"/>
        <v>7.39</v>
      </c>
      <c r="O86" s="112" t="s">
        <v>659</v>
      </c>
      <c r="P86" s="554" t="s">
        <v>789</v>
      </c>
      <c r="Q86" s="973" t="s">
        <v>255</v>
      </c>
      <c r="R86" s="13">
        <f t="shared" si="20"/>
        <v>314.28399999999999</v>
      </c>
    </row>
    <row r="87" spans="1:18" ht="21.75" hidden="1" customHeight="1">
      <c r="A87" s="14">
        <f>SUBTOTAL(103,$C$5:C87)</f>
        <v>0</v>
      </c>
      <c r="B87" s="10">
        <v>26</v>
      </c>
      <c r="C87" s="114" t="s">
        <v>62</v>
      </c>
      <c r="D87" s="62" t="str">
        <f>VLOOKUP(C87,'Location Summary'!$C$4:$D$603,2,0)</f>
        <v>DA-1.5</v>
      </c>
      <c r="E87" s="62" t="s">
        <v>403</v>
      </c>
      <c r="F87" s="107">
        <v>45550</v>
      </c>
      <c r="G87" s="107">
        <v>45555</v>
      </c>
      <c r="H87" s="60" t="s">
        <v>854</v>
      </c>
      <c r="I87" s="62">
        <f t="shared" si="14"/>
        <v>271.04000000000002</v>
      </c>
      <c r="J87" s="10">
        <f t="shared" si="15"/>
        <v>3.36</v>
      </c>
      <c r="K87" s="10">
        <f t="shared" si="16"/>
        <v>34.15</v>
      </c>
      <c r="L87" s="10">
        <f t="shared" si="17"/>
        <v>1.599</v>
      </c>
      <c r="M87" s="10">
        <f t="shared" si="18"/>
        <v>0.86599999999999999</v>
      </c>
      <c r="N87" s="448">
        <f t="shared" si="19"/>
        <v>6.49</v>
      </c>
      <c r="O87" s="112" t="s">
        <v>912</v>
      </c>
      <c r="P87" s="554" t="s">
        <v>912</v>
      </c>
      <c r="Q87" s="973" t="s">
        <v>255</v>
      </c>
      <c r="R87" s="13">
        <f t="shared" si="20"/>
        <v>287.98399999999998</v>
      </c>
    </row>
    <row r="88" spans="1:18" ht="21.75" hidden="1" customHeight="1">
      <c r="A88" s="14">
        <f>SUBTOTAL(103,$C$5:C88)</f>
        <v>0</v>
      </c>
      <c r="B88" s="10">
        <v>27</v>
      </c>
      <c r="C88" s="114" t="s">
        <v>891</v>
      </c>
      <c r="D88" s="62" t="str">
        <f>VLOOKUP(C88,'Location Summary'!$C$4:$D$603,2,0)</f>
        <v>DA+6</v>
      </c>
      <c r="E88" s="62" t="s">
        <v>403</v>
      </c>
      <c r="F88" s="107">
        <v>45552</v>
      </c>
      <c r="G88" s="107">
        <v>45556</v>
      </c>
      <c r="H88" s="60" t="s">
        <v>989</v>
      </c>
      <c r="I88" s="62">
        <f t="shared" si="14"/>
        <v>289.83999999999997</v>
      </c>
      <c r="J88" s="10">
        <f t="shared" si="15"/>
        <v>3.61</v>
      </c>
      <c r="K88" s="10">
        <f t="shared" si="16"/>
        <v>37.299999999999997</v>
      </c>
      <c r="L88" s="10">
        <f t="shared" si="17"/>
        <v>2.093</v>
      </c>
      <c r="M88" s="10">
        <f t="shared" si="18"/>
        <v>0.86599999999999999</v>
      </c>
      <c r="N88" s="448">
        <f t="shared" si="19"/>
        <v>7.39</v>
      </c>
      <c r="O88" s="112" t="s">
        <v>993</v>
      </c>
      <c r="P88" s="554" t="s">
        <v>789</v>
      </c>
      <c r="Q88" s="973" t="s">
        <v>255</v>
      </c>
      <c r="R88" s="13">
        <f t="shared" si="20"/>
        <v>314.28399999999999</v>
      </c>
    </row>
    <row r="89" spans="1:18" ht="21.75" hidden="1" customHeight="1">
      <c r="A89" s="14">
        <f>SUBTOTAL(103,$C$5:C89)</f>
        <v>0</v>
      </c>
      <c r="B89" s="10">
        <v>28</v>
      </c>
      <c r="C89" s="114" t="s">
        <v>578</v>
      </c>
      <c r="D89" s="62" t="str">
        <f>VLOOKUP(C89,'Location Summary'!$C$4:$D$603,2,0)</f>
        <v>DA+6</v>
      </c>
      <c r="E89" s="62" t="s">
        <v>403</v>
      </c>
      <c r="F89" s="107">
        <v>45553</v>
      </c>
      <c r="G89" s="107">
        <v>45556</v>
      </c>
      <c r="H89" s="60" t="s">
        <v>692</v>
      </c>
      <c r="I89" s="62">
        <f t="shared" si="14"/>
        <v>289.83999999999997</v>
      </c>
      <c r="J89" s="10">
        <f t="shared" si="15"/>
        <v>3.61</v>
      </c>
      <c r="K89" s="10">
        <f t="shared" si="16"/>
        <v>37.299999999999997</v>
      </c>
      <c r="L89" s="10">
        <f t="shared" si="17"/>
        <v>2.093</v>
      </c>
      <c r="M89" s="10">
        <f t="shared" si="18"/>
        <v>0.86599999999999999</v>
      </c>
      <c r="N89" s="448">
        <f t="shared" si="19"/>
        <v>7.39</v>
      </c>
      <c r="O89" s="112" t="s">
        <v>451</v>
      </c>
      <c r="P89" s="554" t="s">
        <v>765</v>
      </c>
      <c r="Q89" s="973" t="s">
        <v>255</v>
      </c>
      <c r="R89" s="13">
        <f t="shared" si="20"/>
        <v>314.28399999999999</v>
      </c>
    </row>
    <row r="90" spans="1:18" ht="21.75" hidden="1" customHeight="1">
      <c r="A90" s="14">
        <f>SUBTOTAL(103,$C$5:C90)</f>
        <v>0</v>
      </c>
      <c r="B90" s="10">
        <v>29</v>
      </c>
      <c r="C90" s="114" t="s">
        <v>470</v>
      </c>
      <c r="D90" s="62" t="str">
        <f>VLOOKUP(C90,'Location Summary'!$C$4:$D$603,2,0)</f>
        <v>DA-3</v>
      </c>
      <c r="E90" s="62" t="s">
        <v>403</v>
      </c>
      <c r="F90" s="107">
        <v>45555</v>
      </c>
      <c r="G90" s="107">
        <v>45558</v>
      </c>
      <c r="H90" s="60" t="s">
        <v>886</v>
      </c>
      <c r="I90" s="62">
        <f t="shared" si="14"/>
        <v>271.04000000000002</v>
      </c>
      <c r="J90" s="10">
        <f t="shared" si="15"/>
        <v>3.36</v>
      </c>
      <c r="K90" s="10">
        <f t="shared" si="16"/>
        <v>34.15</v>
      </c>
      <c r="L90" s="10">
        <f t="shared" si="17"/>
        <v>1.599</v>
      </c>
      <c r="M90" s="10">
        <f t="shared" si="18"/>
        <v>0.86599999999999999</v>
      </c>
      <c r="N90" s="448">
        <f t="shared" si="19"/>
        <v>6.49</v>
      </c>
      <c r="O90" s="112" t="s">
        <v>659</v>
      </c>
      <c r="P90" s="554" t="s">
        <v>789</v>
      </c>
      <c r="Q90" s="973" t="s">
        <v>255</v>
      </c>
      <c r="R90" s="13">
        <f t="shared" si="20"/>
        <v>287.98399999999998</v>
      </c>
    </row>
    <row r="91" spans="1:18" ht="21.75" hidden="1" customHeight="1">
      <c r="A91" s="14">
        <f>SUBTOTAL(103,$C$5:C91)</f>
        <v>0</v>
      </c>
      <c r="B91" s="10">
        <v>30</v>
      </c>
      <c r="C91" s="114" t="s">
        <v>601</v>
      </c>
      <c r="D91" s="62" t="s">
        <v>2</v>
      </c>
      <c r="E91" s="62" t="s">
        <v>403</v>
      </c>
      <c r="F91" s="107">
        <v>45554</v>
      </c>
      <c r="G91" s="107">
        <v>45558</v>
      </c>
      <c r="H91" s="60" t="s">
        <v>972</v>
      </c>
      <c r="I91" s="62">
        <f t="shared" si="14"/>
        <v>289.83999999999997</v>
      </c>
      <c r="J91" s="10">
        <f t="shared" si="15"/>
        <v>3.61</v>
      </c>
      <c r="K91" s="10">
        <f t="shared" si="16"/>
        <v>37.299999999999997</v>
      </c>
      <c r="L91" s="10">
        <f t="shared" si="17"/>
        <v>2.093</v>
      </c>
      <c r="M91" s="10">
        <f t="shared" si="18"/>
        <v>0.86599999999999999</v>
      </c>
      <c r="N91" s="448">
        <f t="shared" si="19"/>
        <v>7.39</v>
      </c>
      <c r="O91" s="112" t="s">
        <v>765</v>
      </c>
      <c r="P91" s="554" t="s">
        <v>765</v>
      </c>
      <c r="Q91" s="973" t="s">
        <v>255</v>
      </c>
      <c r="R91" s="13">
        <f t="shared" si="20"/>
        <v>314.28399999999999</v>
      </c>
    </row>
    <row r="92" spans="1:18" ht="21.75" hidden="1" customHeight="1">
      <c r="A92" s="14">
        <f>SUBTOTAL(103,$C$5:C92)</f>
        <v>0</v>
      </c>
      <c r="B92" s="10">
        <v>31</v>
      </c>
      <c r="C92" s="114" t="s">
        <v>458</v>
      </c>
      <c r="D92" s="62" t="str">
        <f>VLOOKUP(C92,'Location Summary'!$C$4:$D$603,2,0)</f>
        <v>DA+9</v>
      </c>
      <c r="E92" s="62" t="s">
        <v>403</v>
      </c>
      <c r="F92" s="107">
        <v>45555</v>
      </c>
      <c r="G92" s="107">
        <v>45558</v>
      </c>
      <c r="H92" s="60" t="s">
        <v>989</v>
      </c>
      <c r="I92" s="62">
        <f t="shared" si="14"/>
        <v>289.83999999999997</v>
      </c>
      <c r="J92" s="10">
        <f t="shared" si="15"/>
        <v>3.61</v>
      </c>
      <c r="K92" s="10">
        <f t="shared" si="16"/>
        <v>37.299999999999997</v>
      </c>
      <c r="L92" s="10">
        <f t="shared" si="17"/>
        <v>2.093</v>
      </c>
      <c r="M92" s="10">
        <f t="shared" si="18"/>
        <v>0.86599999999999999</v>
      </c>
      <c r="N92" s="448">
        <f t="shared" si="19"/>
        <v>7.39</v>
      </c>
      <c r="O92" s="112" t="s">
        <v>993</v>
      </c>
      <c r="P92" s="554" t="s">
        <v>789</v>
      </c>
      <c r="Q92" s="973" t="s">
        <v>255</v>
      </c>
      <c r="R92" s="13">
        <f t="shared" si="20"/>
        <v>314.28399999999999</v>
      </c>
    </row>
    <row r="93" spans="1:18" ht="21.75" hidden="1" customHeight="1">
      <c r="A93" s="14">
        <f>SUBTOTAL(103,$C$5:C93)</f>
        <v>0</v>
      </c>
      <c r="B93" s="10">
        <v>32</v>
      </c>
      <c r="C93" s="114" t="s">
        <v>579</v>
      </c>
      <c r="D93" s="62" t="str">
        <f>VLOOKUP(C93,'Location Summary'!$C$4:$D$603,2,0)</f>
        <v>DA+9</v>
      </c>
      <c r="E93" s="62" t="s">
        <v>403</v>
      </c>
      <c r="F93" s="107">
        <v>45556</v>
      </c>
      <c r="G93" s="107">
        <v>45560</v>
      </c>
      <c r="H93" s="60" t="s">
        <v>692</v>
      </c>
      <c r="I93" s="62">
        <f t="shared" si="14"/>
        <v>289.83999999999997</v>
      </c>
      <c r="J93" s="10">
        <f t="shared" si="15"/>
        <v>3.61</v>
      </c>
      <c r="K93" s="10">
        <f t="shared" si="16"/>
        <v>37.299999999999997</v>
      </c>
      <c r="L93" s="10">
        <f t="shared" si="17"/>
        <v>2.093</v>
      </c>
      <c r="M93" s="10">
        <f t="shared" si="18"/>
        <v>0.86599999999999999</v>
      </c>
      <c r="N93" s="448">
        <f t="shared" si="19"/>
        <v>7.39</v>
      </c>
      <c r="O93" s="112" t="s">
        <v>451</v>
      </c>
      <c r="P93" s="554" t="s">
        <v>765</v>
      </c>
      <c r="Q93" s="973" t="s">
        <v>255</v>
      </c>
      <c r="R93" s="13">
        <f t="shared" si="20"/>
        <v>314.28399999999999</v>
      </c>
    </row>
    <row r="94" spans="1:18" ht="21.75" hidden="1" customHeight="1">
      <c r="A94" s="14">
        <f>SUBTOTAL(103,$C$5:C94)</f>
        <v>0</v>
      </c>
      <c r="B94" s="10">
        <v>33</v>
      </c>
      <c r="C94" s="114" t="s">
        <v>588</v>
      </c>
      <c r="D94" s="62" t="str">
        <f>VLOOKUP(C94,'Location Summary'!$C$4:$D$603,2,0)</f>
        <v>DA+6</v>
      </c>
      <c r="E94" s="62" t="s">
        <v>403</v>
      </c>
      <c r="F94" s="107">
        <v>45556</v>
      </c>
      <c r="G94" s="107">
        <v>45561</v>
      </c>
      <c r="H94" s="60" t="s">
        <v>992</v>
      </c>
      <c r="I94" s="62">
        <f t="shared" si="14"/>
        <v>289.83999999999997</v>
      </c>
      <c r="J94" s="10">
        <f t="shared" si="15"/>
        <v>3.61</v>
      </c>
      <c r="K94" s="10">
        <f t="shared" si="16"/>
        <v>37.299999999999997</v>
      </c>
      <c r="L94" s="10">
        <f t="shared" si="17"/>
        <v>2.093</v>
      </c>
      <c r="M94" s="10">
        <f t="shared" si="18"/>
        <v>0.86599999999999999</v>
      </c>
      <c r="N94" s="448">
        <f t="shared" si="19"/>
        <v>7.39</v>
      </c>
      <c r="O94" s="112" t="s">
        <v>451</v>
      </c>
      <c r="P94" s="554" t="s">
        <v>912</v>
      </c>
      <c r="Q94" s="973" t="s">
        <v>255</v>
      </c>
      <c r="R94" s="13">
        <f t="shared" si="20"/>
        <v>314.28399999999999</v>
      </c>
    </row>
    <row r="95" spans="1:18" ht="21.75" hidden="1" customHeight="1">
      <c r="A95" s="14">
        <f>SUBTOTAL(103,$C$5:C95)</f>
        <v>0</v>
      </c>
      <c r="B95" s="10">
        <v>34</v>
      </c>
      <c r="C95" s="114" t="s">
        <v>452</v>
      </c>
      <c r="D95" s="62" t="str">
        <f>VLOOKUP(C95,'Location Summary'!$C$4:$D$603,2,0)</f>
        <v>DA+6</v>
      </c>
      <c r="E95" s="62" t="s">
        <v>403</v>
      </c>
      <c r="F95" s="107">
        <v>45559</v>
      </c>
      <c r="G95" s="107">
        <v>45562</v>
      </c>
      <c r="H95" s="60" t="s">
        <v>989</v>
      </c>
      <c r="I95" s="62">
        <f t="shared" si="14"/>
        <v>289.83999999999997</v>
      </c>
      <c r="J95" s="10">
        <f t="shared" si="15"/>
        <v>3.61</v>
      </c>
      <c r="K95" s="10">
        <f t="shared" si="16"/>
        <v>37.299999999999997</v>
      </c>
      <c r="L95" s="10">
        <f t="shared" si="17"/>
        <v>2.093</v>
      </c>
      <c r="M95" s="10">
        <f t="shared" si="18"/>
        <v>0.86599999999999999</v>
      </c>
      <c r="N95" s="448">
        <f t="shared" si="19"/>
        <v>7.39</v>
      </c>
      <c r="O95" s="112" t="s">
        <v>993</v>
      </c>
      <c r="P95" s="554" t="s">
        <v>789</v>
      </c>
      <c r="Q95" s="973" t="s">
        <v>255</v>
      </c>
      <c r="R95" s="13">
        <f t="shared" si="20"/>
        <v>314.28399999999999</v>
      </c>
    </row>
    <row r="96" spans="1:18" ht="21.75" hidden="1" customHeight="1">
      <c r="A96" s="14">
        <f>SUBTOTAL(103,$C$5:C96)</f>
        <v>0</v>
      </c>
      <c r="B96" s="10">
        <v>35</v>
      </c>
      <c r="C96" s="114" t="s">
        <v>602</v>
      </c>
      <c r="D96" s="62" t="str">
        <f>VLOOKUP(C96,'Location Summary'!$C$4:$D$603,2,0)</f>
        <v>DA+3</v>
      </c>
      <c r="E96" s="62" t="s">
        <v>403</v>
      </c>
      <c r="F96" s="107">
        <v>45559</v>
      </c>
      <c r="G96" s="107">
        <v>45562</v>
      </c>
      <c r="H96" s="60" t="s">
        <v>972</v>
      </c>
      <c r="I96" s="62">
        <f t="shared" si="14"/>
        <v>289.83999999999997</v>
      </c>
      <c r="J96" s="10">
        <f t="shared" si="15"/>
        <v>3.61</v>
      </c>
      <c r="K96" s="10">
        <f t="shared" si="16"/>
        <v>37.299999999999997</v>
      </c>
      <c r="L96" s="10">
        <f t="shared" si="17"/>
        <v>2.093</v>
      </c>
      <c r="M96" s="10">
        <f t="shared" si="18"/>
        <v>0.86599999999999999</v>
      </c>
      <c r="N96" s="448">
        <f t="shared" si="19"/>
        <v>7.39</v>
      </c>
      <c r="O96" s="112" t="s">
        <v>791</v>
      </c>
      <c r="P96" s="554" t="s">
        <v>765</v>
      </c>
      <c r="Q96" s="973" t="s">
        <v>255</v>
      </c>
      <c r="R96" s="13">
        <f t="shared" si="20"/>
        <v>314.28399999999999</v>
      </c>
    </row>
    <row r="97" spans="1:18" ht="21.75" hidden="1" customHeight="1">
      <c r="A97" s="14">
        <f>SUBTOTAL(103,$C$5:C97)</f>
        <v>0</v>
      </c>
      <c r="B97" s="10">
        <v>36</v>
      </c>
      <c r="C97" s="114" t="s">
        <v>580</v>
      </c>
      <c r="D97" s="62" t="str">
        <f>VLOOKUP(C97,'Location Summary'!$C$4:$D$603,2,0)</f>
        <v>DA+3</v>
      </c>
      <c r="E97" s="62" t="s">
        <v>403</v>
      </c>
      <c r="F97" s="107">
        <v>45560</v>
      </c>
      <c r="G97" s="107">
        <v>45563</v>
      </c>
      <c r="H97" s="60" t="s">
        <v>692</v>
      </c>
      <c r="I97" s="62">
        <f t="shared" si="14"/>
        <v>289.83999999999997</v>
      </c>
      <c r="J97" s="10">
        <f t="shared" si="15"/>
        <v>3.61</v>
      </c>
      <c r="K97" s="10">
        <f t="shared" si="16"/>
        <v>37.299999999999997</v>
      </c>
      <c r="L97" s="10">
        <f t="shared" si="17"/>
        <v>2.093</v>
      </c>
      <c r="M97" s="10">
        <f t="shared" si="18"/>
        <v>0.86599999999999999</v>
      </c>
      <c r="N97" s="448">
        <f t="shared" si="19"/>
        <v>7.39</v>
      </c>
      <c r="O97" s="112" t="s">
        <v>451</v>
      </c>
      <c r="P97" s="554" t="s">
        <v>765</v>
      </c>
      <c r="Q97" s="973" t="s">
        <v>255</v>
      </c>
      <c r="R97" s="13">
        <f t="shared" si="20"/>
        <v>314.28399999999999</v>
      </c>
    </row>
    <row r="98" spans="1:18" ht="21.75" hidden="1" customHeight="1">
      <c r="A98" s="14">
        <f>SUBTOTAL(103,$C$5:C98)</f>
        <v>0</v>
      </c>
      <c r="B98" s="10">
        <v>37</v>
      </c>
      <c r="C98" s="114" t="s">
        <v>61</v>
      </c>
      <c r="D98" s="62" t="str">
        <f>VLOOKUP(C98,'Location Summary'!$C$4:$D$603,2,0)</f>
        <v>DA+9</v>
      </c>
      <c r="E98" s="62" t="s">
        <v>403</v>
      </c>
      <c r="F98" s="107">
        <v>45556</v>
      </c>
      <c r="G98" s="107">
        <v>45563</v>
      </c>
      <c r="H98" s="60" t="s">
        <v>854</v>
      </c>
      <c r="I98" s="62">
        <f t="shared" si="14"/>
        <v>289.83999999999997</v>
      </c>
      <c r="J98" s="10">
        <f t="shared" si="15"/>
        <v>3.61</v>
      </c>
      <c r="K98" s="10">
        <f t="shared" si="16"/>
        <v>37.299999999999997</v>
      </c>
      <c r="L98" s="10">
        <f t="shared" si="17"/>
        <v>2.093</v>
      </c>
      <c r="M98" s="10">
        <f t="shared" si="18"/>
        <v>0.86599999999999999</v>
      </c>
      <c r="N98" s="448">
        <f t="shared" si="19"/>
        <v>7.39</v>
      </c>
      <c r="O98" s="112" t="s">
        <v>912</v>
      </c>
      <c r="P98" s="554" t="s">
        <v>912</v>
      </c>
      <c r="Q98" s="973" t="s">
        <v>255</v>
      </c>
      <c r="R98" s="13">
        <f t="shared" si="20"/>
        <v>314.28399999999999</v>
      </c>
    </row>
    <row r="99" spans="1:18" ht="21.75" hidden="1" customHeight="1">
      <c r="A99" s="14">
        <f>SUBTOTAL(103,$C$5:C99)</f>
        <v>0</v>
      </c>
      <c r="B99" s="10">
        <v>38</v>
      </c>
      <c r="C99" s="114" t="s">
        <v>474</v>
      </c>
      <c r="D99" s="62" t="str">
        <f>VLOOKUP(C99,'Location Summary'!$C$4:$D$603,2,0)</f>
        <v>DA+1.5</v>
      </c>
      <c r="E99" s="62" t="s">
        <v>403</v>
      </c>
      <c r="F99" s="107">
        <v>45550</v>
      </c>
      <c r="G99" s="107">
        <v>45564</v>
      </c>
      <c r="H99" s="60" t="s">
        <v>988</v>
      </c>
      <c r="I99" s="62">
        <f t="shared" si="14"/>
        <v>289.83999999999997</v>
      </c>
      <c r="J99" s="10">
        <f t="shared" si="15"/>
        <v>3.61</v>
      </c>
      <c r="K99" s="10">
        <f t="shared" si="16"/>
        <v>37.299999999999997</v>
      </c>
      <c r="L99" s="10">
        <f t="shared" si="17"/>
        <v>2.093</v>
      </c>
      <c r="M99" s="10">
        <f t="shared" si="18"/>
        <v>0.86599999999999999</v>
      </c>
      <c r="N99" s="448">
        <f t="shared" si="19"/>
        <v>7.39</v>
      </c>
      <c r="O99" s="112" t="s">
        <v>887</v>
      </c>
      <c r="P99" s="554" t="s">
        <v>789</v>
      </c>
      <c r="Q99" s="973" t="s">
        <v>255</v>
      </c>
      <c r="R99" s="13">
        <f t="shared" si="20"/>
        <v>314.28399999999999</v>
      </c>
    </row>
    <row r="100" spans="1:18" ht="21.75" hidden="1" customHeight="1">
      <c r="A100" s="14">
        <f>SUBTOTAL(103,$C$5:C100)</f>
        <v>0</v>
      </c>
      <c r="B100" s="10">
        <v>39</v>
      </c>
      <c r="C100" s="114" t="s">
        <v>582</v>
      </c>
      <c r="D100" s="62" t="str">
        <f>VLOOKUP(C100,'Location Summary'!$C$4:$D$603,2,0)</f>
        <v>DA+0</v>
      </c>
      <c r="E100" s="62" t="s">
        <v>403</v>
      </c>
      <c r="F100" s="107">
        <v>45562</v>
      </c>
      <c r="G100" s="107">
        <v>45565</v>
      </c>
      <c r="H100" s="60" t="s">
        <v>692</v>
      </c>
      <c r="I100" s="62">
        <f t="shared" si="14"/>
        <v>271.04000000000002</v>
      </c>
      <c r="J100" s="10">
        <f t="shared" si="15"/>
        <v>3.36</v>
      </c>
      <c r="K100" s="10">
        <f t="shared" si="16"/>
        <v>34.15</v>
      </c>
      <c r="L100" s="10">
        <f t="shared" si="17"/>
        <v>1.599</v>
      </c>
      <c r="M100" s="10">
        <f t="shared" si="18"/>
        <v>0.86599999999999999</v>
      </c>
      <c r="N100" s="448">
        <f t="shared" si="19"/>
        <v>6.49</v>
      </c>
      <c r="O100" s="112" t="s">
        <v>451</v>
      </c>
      <c r="P100" s="554" t="s">
        <v>765</v>
      </c>
      <c r="Q100" s="973" t="s">
        <v>255</v>
      </c>
      <c r="R100" s="13">
        <f t="shared" si="20"/>
        <v>287.98399999999998</v>
      </c>
    </row>
    <row r="101" spans="1:18" ht="21.75" hidden="1" customHeight="1">
      <c r="A101" s="14">
        <f>SUBTOTAL(103,$C$5:C101)</f>
        <v>0</v>
      </c>
      <c r="B101" s="10">
        <v>40</v>
      </c>
      <c r="C101" s="114" t="s">
        <v>603</v>
      </c>
      <c r="D101" s="62" t="str">
        <f>VLOOKUP(C101,'Location Summary'!$C$4:$D$603,2,0)</f>
        <v>DA-1.5</v>
      </c>
      <c r="E101" s="62" t="s">
        <v>403</v>
      </c>
      <c r="F101" s="107">
        <v>45561</v>
      </c>
      <c r="G101" s="107">
        <v>45565</v>
      </c>
      <c r="H101" s="60" t="s">
        <v>972</v>
      </c>
      <c r="I101" s="62">
        <f t="shared" si="14"/>
        <v>271.04000000000002</v>
      </c>
      <c r="J101" s="10">
        <f t="shared" si="15"/>
        <v>3.36</v>
      </c>
      <c r="K101" s="10">
        <f t="shared" si="16"/>
        <v>34.15</v>
      </c>
      <c r="L101" s="10">
        <f t="shared" si="17"/>
        <v>1.599</v>
      </c>
      <c r="M101" s="10">
        <f t="shared" si="18"/>
        <v>0.86599999999999999</v>
      </c>
      <c r="N101" s="448">
        <f t="shared" ref="N101:N132" si="21">ROUND((I101*230.35+J101*10150.5+K101*11591.45+L101*93958.18+M101*7677.44)/10^5,2)</f>
        <v>6.49</v>
      </c>
      <c r="O101" s="112" t="s">
        <v>791</v>
      </c>
      <c r="P101" s="554" t="s">
        <v>765</v>
      </c>
      <c r="Q101" s="973" t="s">
        <v>255</v>
      </c>
      <c r="R101" s="13">
        <f t="shared" si="20"/>
        <v>287.98399999999998</v>
      </c>
    </row>
    <row r="102" spans="1:18" ht="21.75" hidden="1" customHeight="1">
      <c r="A102" s="14">
        <f>SUBTOTAL(103,$C$5:C102)</f>
        <v>0</v>
      </c>
      <c r="B102" s="10">
        <v>1</v>
      </c>
      <c r="C102" s="114" t="s">
        <v>261</v>
      </c>
      <c r="D102" s="62" t="str">
        <f>VLOOKUP(C102,'Location Summary'!$C$4:$D$603,2,0)</f>
        <v>DB2+0</v>
      </c>
      <c r="E102" s="62" t="s">
        <v>403</v>
      </c>
      <c r="F102" s="107">
        <v>45560</v>
      </c>
      <c r="G102" s="107">
        <v>45566</v>
      </c>
      <c r="H102" s="60" t="s">
        <v>886</v>
      </c>
      <c r="I102" s="62">
        <f t="shared" si="14"/>
        <v>560.96</v>
      </c>
      <c r="J102" s="10">
        <f t="shared" si="15"/>
        <v>7.27</v>
      </c>
      <c r="K102" s="10">
        <f t="shared" si="16"/>
        <v>85.67</v>
      </c>
      <c r="L102" s="10">
        <f t="shared" si="17"/>
        <v>4.1547999999999998</v>
      </c>
      <c r="M102" s="10">
        <f t="shared" si="18"/>
        <v>1.768</v>
      </c>
      <c r="N102" s="448">
        <f t="shared" si="21"/>
        <v>16</v>
      </c>
      <c r="O102" s="112" t="s">
        <v>659</v>
      </c>
      <c r="P102" s="554" t="s">
        <v>789</v>
      </c>
      <c r="Q102" s="973" t="s">
        <v>255</v>
      </c>
      <c r="R102" s="13">
        <f t="shared" si="20"/>
        <v>717.34799999999996</v>
      </c>
    </row>
    <row r="103" spans="1:18" ht="21.75" hidden="1" customHeight="1">
      <c r="A103" s="14">
        <f>SUBTOTAL(103,$C$5:C103)</f>
        <v>0</v>
      </c>
      <c r="B103" s="10">
        <v>2</v>
      </c>
      <c r="C103" s="114" t="s">
        <v>890</v>
      </c>
      <c r="D103" s="62" t="str">
        <f>VLOOKUP(C103,'Location Summary'!$C$4:$D$603,2,0)</f>
        <v>DB1+3</v>
      </c>
      <c r="E103" s="62" t="s">
        <v>403</v>
      </c>
      <c r="F103" s="107">
        <v>45564</v>
      </c>
      <c r="G103" s="107">
        <v>45566</v>
      </c>
      <c r="H103" s="60" t="s">
        <v>989</v>
      </c>
      <c r="I103" s="62">
        <f t="shared" si="14"/>
        <v>484.04</v>
      </c>
      <c r="J103" s="10">
        <f t="shared" si="15"/>
        <v>6.23</v>
      </c>
      <c r="K103" s="10">
        <f t="shared" si="16"/>
        <v>70.319999999999993</v>
      </c>
      <c r="L103" s="10">
        <f t="shared" si="17"/>
        <v>3.3719999999999999</v>
      </c>
      <c r="M103" s="10">
        <f t="shared" si="18"/>
        <v>1.768</v>
      </c>
      <c r="N103" s="448">
        <f t="shared" si="21"/>
        <v>13.2</v>
      </c>
      <c r="O103" s="112" t="s">
        <v>993</v>
      </c>
      <c r="P103" s="554" t="s">
        <v>789</v>
      </c>
      <c r="Q103" s="973" t="s">
        <v>255</v>
      </c>
      <c r="R103" s="13">
        <f t="shared" si="20"/>
        <v>589.97199999999998</v>
      </c>
    </row>
    <row r="104" spans="1:18" ht="21.75" hidden="1" customHeight="1">
      <c r="A104" s="14">
        <f>SUBTOTAL(103,$C$5:C104)</f>
        <v>0</v>
      </c>
      <c r="B104" s="10">
        <v>3</v>
      </c>
      <c r="C104" s="114" t="s">
        <v>473</v>
      </c>
      <c r="D104" s="62" t="str">
        <f>VLOOKUP(C104,'Location Summary'!$C$4:$D$603,2,0)</f>
        <v>DA+6</v>
      </c>
      <c r="E104" s="62" t="s">
        <v>403</v>
      </c>
      <c r="F104" s="107">
        <v>45565</v>
      </c>
      <c r="G104" s="107">
        <v>45566</v>
      </c>
      <c r="H104" s="60" t="s">
        <v>988</v>
      </c>
      <c r="I104" s="62">
        <f t="shared" si="14"/>
        <v>289.83999999999997</v>
      </c>
      <c r="J104" s="10">
        <f t="shared" si="15"/>
        <v>3.61</v>
      </c>
      <c r="K104" s="10">
        <f t="shared" si="16"/>
        <v>37.299999999999997</v>
      </c>
      <c r="L104" s="10">
        <f t="shared" si="17"/>
        <v>2.093</v>
      </c>
      <c r="M104" s="10">
        <f t="shared" si="18"/>
        <v>0.86599999999999999</v>
      </c>
      <c r="N104" s="448">
        <f t="shared" si="21"/>
        <v>7.39</v>
      </c>
      <c r="O104" s="112" t="s">
        <v>887</v>
      </c>
      <c r="P104" s="554" t="s">
        <v>789</v>
      </c>
      <c r="Q104" s="973" t="s">
        <v>255</v>
      </c>
      <c r="R104" s="13">
        <f t="shared" si="20"/>
        <v>314.28399999999999</v>
      </c>
    </row>
    <row r="105" spans="1:18" ht="21.75" hidden="1" customHeight="1">
      <c r="A105" s="14">
        <f>SUBTOTAL(103,$C$5:C105)</f>
        <v>0</v>
      </c>
      <c r="B105" s="10">
        <v>4</v>
      </c>
      <c r="C105" s="114" t="s">
        <v>592</v>
      </c>
      <c r="D105" s="62" t="str">
        <f>VLOOKUP(C105,'Location Summary'!$C$4:$D$603,2,0)</f>
        <v>DA+9</v>
      </c>
      <c r="E105" s="62" t="s">
        <v>403</v>
      </c>
      <c r="F105" s="107">
        <v>45562</v>
      </c>
      <c r="G105" s="107">
        <v>45568</v>
      </c>
      <c r="H105" s="60" t="s">
        <v>992</v>
      </c>
      <c r="I105" s="62">
        <f t="shared" si="14"/>
        <v>289.83999999999997</v>
      </c>
      <c r="J105" s="10">
        <f t="shared" si="15"/>
        <v>3.61</v>
      </c>
      <c r="K105" s="10">
        <f t="shared" si="16"/>
        <v>37.299999999999997</v>
      </c>
      <c r="L105" s="10">
        <f t="shared" si="17"/>
        <v>2.093</v>
      </c>
      <c r="M105" s="10">
        <f t="shared" si="18"/>
        <v>0.86599999999999999</v>
      </c>
      <c r="N105" s="448">
        <f t="shared" si="21"/>
        <v>7.39</v>
      </c>
      <c r="O105" s="112" t="s">
        <v>451</v>
      </c>
      <c r="P105" s="554" t="s">
        <v>912</v>
      </c>
      <c r="Q105" s="973" t="s">
        <v>255</v>
      </c>
      <c r="R105" s="13">
        <f t="shared" si="20"/>
        <v>314.28399999999999</v>
      </c>
    </row>
    <row r="106" spans="1:18" ht="21.75" hidden="1" customHeight="1">
      <c r="A106" s="14">
        <f>SUBTOTAL(103,$C$5:C106)</f>
        <v>0</v>
      </c>
      <c r="B106" s="10">
        <v>5</v>
      </c>
      <c r="C106" s="114" t="s">
        <v>581</v>
      </c>
      <c r="D106" s="62" t="str">
        <f>VLOOKUP(C106,'Location Summary'!$C$4:$D$603,2,0)</f>
        <v>DA+0</v>
      </c>
      <c r="E106" s="62" t="s">
        <v>403</v>
      </c>
      <c r="F106" s="107">
        <v>45565</v>
      </c>
      <c r="G106" s="107">
        <v>45569</v>
      </c>
      <c r="H106" s="60" t="s">
        <v>692</v>
      </c>
      <c r="I106" s="62">
        <f t="shared" si="14"/>
        <v>271.04000000000002</v>
      </c>
      <c r="J106" s="10">
        <f t="shared" si="15"/>
        <v>3.36</v>
      </c>
      <c r="K106" s="10">
        <f t="shared" si="16"/>
        <v>34.15</v>
      </c>
      <c r="L106" s="10">
        <f t="shared" si="17"/>
        <v>1.599</v>
      </c>
      <c r="M106" s="10">
        <f t="shared" si="18"/>
        <v>0.86599999999999999</v>
      </c>
      <c r="N106" s="448">
        <f t="shared" si="21"/>
        <v>6.49</v>
      </c>
      <c r="O106" s="112" t="s">
        <v>451</v>
      </c>
      <c r="P106" s="554" t="s">
        <v>765</v>
      </c>
      <c r="Q106" s="973" t="s">
        <v>255</v>
      </c>
      <c r="R106" s="13">
        <f t="shared" si="20"/>
        <v>287.98399999999998</v>
      </c>
    </row>
    <row r="107" spans="1:18" ht="21.75" hidden="1" customHeight="1">
      <c r="A107" s="14">
        <f>SUBTOTAL(103,$C$5:C107)</f>
        <v>0</v>
      </c>
      <c r="B107" s="10">
        <v>6</v>
      </c>
      <c r="C107" s="114" t="s">
        <v>1069</v>
      </c>
      <c r="D107" s="62" t="str">
        <f>VLOOKUP(C107,'Location Summary'!$C$4:$D$603,2,0)</f>
        <v>DB1+9</v>
      </c>
      <c r="E107" s="62" t="s">
        <v>403</v>
      </c>
      <c r="F107" s="107">
        <v>45565</v>
      </c>
      <c r="G107" s="107">
        <v>45570</v>
      </c>
      <c r="H107" s="60" t="s">
        <v>972</v>
      </c>
      <c r="I107" s="62">
        <f t="shared" si="14"/>
        <v>484.04</v>
      </c>
      <c r="J107" s="10">
        <f t="shared" si="15"/>
        <v>6.23</v>
      </c>
      <c r="K107" s="10">
        <f t="shared" si="16"/>
        <v>70.319999999999993</v>
      </c>
      <c r="L107" s="10">
        <f t="shared" si="17"/>
        <v>3.3719999999999999</v>
      </c>
      <c r="M107" s="10">
        <f t="shared" si="18"/>
        <v>1.768</v>
      </c>
      <c r="N107" s="448">
        <f t="shared" si="21"/>
        <v>13.2</v>
      </c>
      <c r="O107" s="112" t="s">
        <v>791</v>
      </c>
      <c r="P107" s="554" t="s">
        <v>765</v>
      </c>
      <c r="Q107" s="973" t="s">
        <v>255</v>
      </c>
      <c r="R107" s="13">
        <f t="shared" si="20"/>
        <v>589.97199999999998</v>
      </c>
    </row>
    <row r="108" spans="1:18" ht="21.75" hidden="1" customHeight="1">
      <c r="A108" s="14">
        <f>SUBTOTAL(103,$C$5:C108)</f>
        <v>0</v>
      </c>
      <c r="B108" s="10">
        <v>7</v>
      </c>
      <c r="C108" s="940" t="s">
        <v>533</v>
      </c>
      <c r="D108" s="62" t="s">
        <v>3</v>
      </c>
      <c r="E108" s="62" t="s">
        <v>403</v>
      </c>
      <c r="F108" s="107">
        <v>45566</v>
      </c>
      <c r="G108" s="107">
        <v>45570</v>
      </c>
      <c r="H108" s="60" t="s">
        <v>989</v>
      </c>
      <c r="I108" s="62">
        <f t="shared" si="14"/>
        <v>271.04000000000002</v>
      </c>
      <c r="J108" s="10">
        <f t="shared" si="15"/>
        <v>3.36</v>
      </c>
      <c r="K108" s="10">
        <f t="shared" si="16"/>
        <v>34.15</v>
      </c>
      <c r="L108" s="10">
        <f t="shared" si="17"/>
        <v>1.599</v>
      </c>
      <c r="M108" s="10">
        <f t="shared" si="18"/>
        <v>0.86599999999999999</v>
      </c>
      <c r="N108" s="448">
        <f t="shared" si="21"/>
        <v>6.49</v>
      </c>
      <c r="O108" s="112" t="s">
        <v>993</v>
      </c>
      <c r="P108" s="554" t="s">
        <v>789</v>
      </c>
      <c r="Q108" s="973" t="s">
        <v>255</v>
      </c>
      <c r="R108" s="13">
        <f t="shared" si="20"/>
        <v>287.98399999999998</v>
      </c>
    </row>
    <row r="109" spans="1:18" ht="21.75" hidden="1" customHeight="1">
      <c r="A109" s="14">
        <f>SUBTOTAL(103,$C$5:C109)</f>
        <v>0</v>
      </c>
      <c r="B109" s="10">
        <v>8</v>
      </c>
      <c r="C109" s="114" t="s">
        <v>465</v>
      </c>
      <c r="D109" s="62" t="str">
        <f>VLOOKUP(C109,'Location Summary'!$C$4:$D$603,2,0)</f>
        <v>DA+6</v>
      </c>
      <c r="E109" s="62" t="s">
        <v>403</v>
      </c>
      <c r="F109" s="107">
        <v>45567</v>
      </c>
      <c r="G109" s="107">
        <v>45572</v>
      </c>
      <c r="H109" s="60" t="s">
        <v>988</v>
      </c>
      <c r="I109" s="62">
        <f t="shared" si="14"/>
        <v>289.83999999999997</v>
      </c>
      <c r="J109" s="10">
        <f t="shared" si="15"/>
        <v>3.61</v>
      </c>
      <c r="K109" s="10">
        <f t="shared" si="16"/>
        <v>37.299999999999997</v>
      </c>
      <c r="L109" s="10">
        <f t="shared" si="17"/>
        <v>2.093</v>
      </c>
      <c r="M109" s="10">
        <f t="shared" si="18"/>
        <v>0.86599999999999999</v>
      </c>
      <c r="N109" s="448">
        <f t="shared" si="21"/>
        <v>7.39</v>
      </c>
      <c r="O109" s="112" t="s">
        <v>887</v>
      </c>
      <c r="P109" s="554" t="s">
        <v>789</v>
      </c>
      <c r="Q109" s="973" t="s">
        <v>255</v>
      </c>
      <c r="R109" s="13">
        <f t="shared" si="20"/>
        <v>314.28399999999999</v>
      </c>
    </row>
    <row r="110" spans="1:18" ht="21.75" hidden="1" customHeight="1">
      <c r="A110" s="14">
        <f>SUBTOTAL(103,$C$5:C110)</f>
        <v>0</v>
      </c>
      <c r="B110" s="10">
        <v>9</v>
      </c>
      <c r="C110" s="114" t="s">
        <v>583</v>
      </c>
      <c r="D110" s="62" t="str">
        <f>VLOOKUP(C110,'Location Summary'!$C$4:$D$603,2,0)</f>
        <v>DA+1.5</v>
      </c>
      <c r="E110" s="62" t="s">
        <v>403</v>
      </c>
      <c r="F110" s="107">
        <v>45569</v>
      </c>
      <c r="G110" s="107">
        <v>45572</v>
      </c>
      <c r="H110" s="60" t="s">
        <v>692</v>
      </c>
      <c r="I110" s="62">
        <f t="shared" si="14"/>
        <v>289.83999999999997</v>
      </c>
      <c r="J110" s="10">
        <f t="shared" si="15"/>
        <v>3.61</v>
      </c>
      <c r="K110" s="10">
        <f t="shared" si="16"/>
        <v>37.299999999999997</v>
      </c>
      <c r="L110" s="10">
        <f t="shared" si="17"/>
        <v>2.093</v>
      </c>
      <c r="M110" s="10">
        <f t="shared" si="18"/>
        <v>0.86599999999999999</v>
      </c>
      <c r="N110" s="448">
        <f t="shared" si="21"/>
        <v>7.39</v>
      </c>
      <c r="O110" s="112" t="s">
        <v>451</v>
      </c>
      <c r="P110" s="554" t="s">
        <v>765</v>
      </c>
      <c r="Q110" s="973" t="s">
        <v>255</v>
      </c>
      <c r="R110" s="13">
        <f t="shared" si="20"/>
        <v>314.28399999999999</v>
      </c>
    </row>
    <row r="111" spans="1:18" ht="21.75" hidden="1" customHeight="1">
      <c r="A111" s="14">
        <f>SUBTOTAL(103,$C$5:C111)</f>
        <v>0</v>
      </c>
      <c r="B111" s="10">
        <v>10</v>
      </c>
      <c r="C111" s="114" t="s">
        <v>478</v>
      </c>
      <c r="D111" s="62" t="str">
        <f>VLOOKUP(C111,'Location Summary'!$C$4:$D$603,2,0)</f>
        <v>DA+9</v>
      </c>
      <c r="E111" s="62" t="s">
        <v>403</v>
      </c>
      <c r="F111" s="107">
        <v>45569</v>
      </c>
      <c r="G111" s="107">
        <v>45573</v>
      </c>
      <c r="H111" s="60" t="s">
        <v>886</v>
      </c>
      <c r="I111" s="62">
        <f t="shared" si="14"/>
        <v>289.83999999999997</v>
      </c>
      <c r="J111" s="10">
        <f t="shared" si="15"/>
        <v>3.61</v>
      </c>
      <c r="K111" s="10">
        <f t="shared" si="16"/>
        <v>37.299999999999997</v>
      </c>
      <c r="L111" s="10">
        <f t="shared" si="17"/>
        <v>2.093</v>
      </c>
      <c r="M111" s="10">
        <f t="shared" si="18"/>
        <v>0.86599999999999999</v>
      </c>
      <c r="N111" s="448">
        <f t="shared" si="21"/>
        <v>7.39</v>
      </c>
      <c r="O111" s="112" t="s">
        <v>846</v>
      </c>
      <c r="P111" s="554" t="s">
        <v>789</v>
      </c>
      <c r="Q111" s="973" t="s">
        <v>255</v>
      </c>
      <c r="R111" s="13">
        <f t="shared" si="20"/>
        <v>314.28399999999999</v>
      </c>
    </row>
    <row r="112" spans="1:18" ht="21.75" hidden="1" customHeight="1">
      <c r="A112" s="14">
        <f>SUBTOTAL(103,$C$5:C112)</f>
        <v>0</v>
      </c>
      <c r="B112" s="10">
        <v>11</v>
      </c>
      <c r="C112" s="114" t="s">
        <v>153</v>
      </c>
      <c r="D112" s="62" t="str">
        <f>VLOOKUP(C112,'Location Summary'!$C$4:$D$603,2,0)</f>
        <v>DA+1.5</v>
      </c>
      <c r="E112" s="62" t="s">
        <v>403</v>
      </c>
      <c r="F112" s="107">
        <v>45565</v>
      </c>
      <c r="G112" s="107">
        <v>45573</v>
      </c>
      <c r="H112" s="60" t="s">
        <v>1136</v>
      </c>
      <c r="I112" s="62">
        <f t="shared" si="14"/>
        <v>289.83999999999997</v>
      </c>
      <c r="J112" s="10">
        <f t="shared" si="15"/>
        <v>3.61</v>
      </c>
      <c r="K112" s="10">
        <f t="shared" si="16"/>
        <v>37.299999999999997</v>
      </c>
      <c r="L112" s="10">
        <f t="shared" si="17"/>
        <v>2.093</v>
      </c>
      <c r="M112" s="10">
        <f t="shared" si="18"/>
        <v>0.86599999999999999</v>
      </c>
      <c r="N112" s="448">
        <f t="shared" si="21"/>
        <v>7.39</v>
      </c>
      <c r="O112" s="112" t="s">
        <v>912</v>
      </c>
      <c r="P112" s="554" t="s">
        <v>912</v>
      </c>
      <c r="Q112" s="973" t="s">
        <v>255</v>
      </c>
      <c r="R112" s="13">
        <f t="shared" si="20"/>
        <v>314.28399999999999</v>
      </c>
    </row>
    <row r="113" spans="1:18" ht="21.75" hidden="1" customHeight="1">
      <c r="A113" s="14">
        <f>SUBTOTAL(103,$C$5:C113)</f>
        <v>0</v>
      </c>
      <c r="B113" s="10">
        <v>12</v>
      </c>
      <c r="C113" s="114" t="s">
        <v>593</v>
      </c>
      <c r="D113" s="62" t="str">
        <f>VLOOKUP(C113,'Location Summary'!$C$4:$D$603,2,0)</f>
        <v>DA+6</v>
      </c>
      <c r="E113" s="62" t="s">
        <v>403</v>
      </c>
      <c r="F113" s="107">
        <v>45568</v>
      </c>
      <c r="G113" s="107">
        <v>45574</v>
      </c>
      <c r="H113" s="60" t="s">
        <v>992</v>
      </c>
      <c r="I113" s="62">
        <f t="shared" si="14"/>
        <v>289.83999999999997</v>
      </c>
      <c r="J113" s="10">
        <f t="shared" si="15"/>
        <v>3.61</v>
      </c>
      <c r="K113" s="10">
        <f t="shared" si="16"/>
        <v>37.299999999999997</v>
      </c>
      <c r="L113" s="10">
        <f t="shared" si="17"/>
        <v>2.093</v>
      </c>
      <c r="M113" s="10">
        <f t="shared" si="18"/>
        <v>0.86599999999999999</v>
      </c>
      <c r="N113" s="448">
        <f t="shared" si="21"/>
        <v>7.39</v>
      </c>
      <c r="O113" s="112" t="s">
        <v>1072</v>
      </c>
      <c r="P113" s="554" t="s">
        <v>912</v>
      </c>
      <c r="Q113" s="973" t="s">
        <v>255</v>
      </c>
      <c r="R113" s="13">
        <f t="shared" si="20"/>
        <v>314.28399999999999</v>
      </c>
    </row>
    <row r="114" spans="1:18" ht="21.75" hidden="1" customHeight="1">
      <c r="A114" s="14">
        <f>SUBTOTAL(103,$C$5:C114)</f>
        <v>0</v>
      </c>
      <c r="B114" s="10">
        <v>13</v>
      </c>
      <c r="C114" s="940" t="s">
        <v>534</v>
      </c>
      <c r="D114" s="62" t="s">
        <v>3</v>
      </c>
      <c r="E114" s="62" t="s">
        <v>403</v>
      </c>
      <c r="F114" s="107">
        <v>45571</v>
      </c>
      <c r="G114" s="107">
        <v>45574</v>
      </c>
      <c r="H114" s="60" t="s">
        <v>989</v>
      </c>
      <c r="I114" s="62">
        <f t="shared" si="14"/>
        <v>271.04000000000002</v>
      </c>
      <c r="J114" s="10">
        <f t="shared" si="15"/>
        <v>3.36</v>
      </c>
      <c r="K114" s="10">
        <f t="shared" si="16"/>
        <v>34.15</v>
      </c>
      <c r="L114" s="10">
        <f t="shared" si="17"/>
        <v>1.599</v>
      </c>
      <c r="M114" s="10">
        <f t="shared" si="18"/>
        <v>0.86599999999999999</v>
      </c>
      <c r="N114" s="448">
        <f t="shared" si="21"/>
        <v>6.49</v>
      </c>
      <c r="O114" s="112" t="s">
        <v>993</v>
      </c>
      <c r="P114" s="554" t="s">
        <v>789</v>
      </c>
      <c r="Q114" s="973" t="s">
        <v>255</v>
      </c>
      <c r="R114" s="13">
        <f t="shared" si="20"/>
        <v>287.98399999999998</v>
      </c>
    </row>
    <row r="115" spans="1:18" ht="21.75" hidden="1" customHeight="1">
      <c r="A115" s="14">
        <f>SUBTOTAL(103,$C$5:C115)</f>
        <v>0</v>
      </c>
      <c r="B115" s="10">
        <v>14</v>
      </c>
      <c r="C115" s="114" t="s">
        <v>584</v>
      </c>
      <c r="D115" s="62" t="str">
        <f>VLOOKUP(C115,'Location Summary'!$C$4:$D$603,2,0)</f>
        <v>DA-3</v>
      </c>
      <c r="E115" s="62" t="s">
        <v>403</v>
      </c>
      <c r="F115" s="107">
        <v>45572</v>
      </c>
      <c r="G115" s="107">
        <v>45577</v>
      </c>
      <c r="H115" s="60" t="s">
        <v>692</v>
      </c>
      <c r="I115" s="62">
        <f t="shared" si="14"/>
        <v>271.04000000000002</v>
      </c>
      <c r="J115" s="10">
        <f t="shared" si="15"/>
        <v>3.36</v>
      </c>
      <c r="K115" s="10">
        <f t="shared" si="16"/>
        <v>34.15</v>
      </c>
      <c r="L115" s="10">
        <f t="shared" si="17"/>
        <v>1.599</v>
      </c>
      <c r="M115" s="10">
        <f t="shared" si="18"/>
        <v>0.86599999999999999</v>
      </c>
      <c r="N115" s="448">
        <f t="shared" si="21"/>
        <v>6.49</v>
      </c>
      <c r="O115" s="112" t="s">
        <v>1080</v>
      </c>
      <c r="P115" s="554" t="s">
        <v>765</v>
      </c>
      <c r="Q115" s="973" t="s">
        <v>255</v>
      </c>
      <c r="R115" s="13">
        <f t="shared" si="20"/>
        <v>287.98399999999998</v>
      </c>
    </row>
    <row r="116" spans="1:18" ht="21.75" hidden="1" customHeight="1">
      <c r="A116" s="14">
        <f>SUBTOTAL(103,$C$5:C116)</f>
        <v>0</v>
      </c>
      <c r="B116" s="10">
        <v>15</v>
      </c>
      <c r="C116" s="114" t="s">
        <v>479</v>
      </c>
      <c r="D116" s="62" t="str">
        <f>VLOOKUP(C116,'Location Summary'!$C$4:$D$603,2,0)</f>
        <v>DA+6</v>
      </c>
      <c r="E116" s="62" t="s">
        <v>403</v>
      </c>
      <c r="F116" s="107">
        <v>45573</v>
      </c>
      <c r="G116" s="107">
        <v>45577</v>
      </c>
      <c r="H116" s="60" t="s">
        <v>886</v>
      </c>
      <c r="I116" s="62">
        <f t="shared" si="14"/>
        <v>289.83999999999997</v>
      </c>
      <c r="J116" s="10">
        <f t="shared" si="15"/>
        <v>3.61</v>
      </c>
      <c r="K116" s="10">
        <f t="shared" si="16"/>
        <v>37.299999999999997</v>
      </c>
      <c r="L116" s="10">
        <f t="shared" si="17"/>
        <v>2.093</v>
      </c>
      <c r="M116" s="10">
        <f t="shared" si="18"/>
        <v>0.86599999999999999</v>
      </c>
      <c r="N116" s="448">
        <f t="shared" si="21"/>
        <v>7.39</v>
      </c>
      <c r="O116" s="112" t="s">
        <v>659</v>
      </c>
      <c r="P116" s="554" t="s">
        <v>912</v>
      </c>
      <c r="Q116" s="973" t="s">
        <v>255</v>
      </c>
      <c r="R116" s="13">
        <f t="shared" si="20"/>
        <v>314.28399999999999</v>
      </c>
    </row>
    <row r="117" spans="1:18" ht="21.75" hidden="1" customHeight="1">
      <c r="A117" s="14">
        <f>SUBTOTAL(103,$C$5:C117)</f>
        <v>0</v>
      </c>
      <c r="B117" s="10">
        <v>16</v>
      </c>
      <c r="C117" s="940" t="s">
        <v>535</v>
      </c>
      <c r="D117" s="62" t="s">
        <v>49</v>
      </c>
      <c r="E117" s="62" t="s">
        <v>403</v>
      </c>
      <c r="F117" s="107">
        <v>45575</v>
      </c>
      <c r="G117" s="107">
        <v>45577</v>
      </c>
      <c r="H117" s="60" t="s">
        <v>989</v>
      </c>
      <c r="I117" s="62">
        <f t="shared" si="14"/>
        <v>289.83999999999997</v>
      </c>
      <c r="J117" s="10">
        <f t="shared" si="15"/>
        <v>3.61</v>
      </c>
      <c r="K117" s="10">
        <f t="shared" si="16"/>
        <v>37.299999999999997</v>
      </c>
      <c r="L117" s="10">
        <f t="shared" si="17"/>
        <v>2.093</v>
      </c>
      <c r="M117" s="10">
        <f t="shared" si="18"/>
        <v>0.86599999999999999</v>
      </c>
      <c r="N117" s="448">
        <f t="shared" si="21"/>
        <v>7.39</v>
      </c>
      <c r="O117" s="112" t="s">
        <v>993</v>
      </c>
      <c r="P117" s="554" t="s">
        <v>766</v>
      </c>
      <c r="Q117" s="973" t="s">
        <v>255</v>
      </c>
      <c r="R117" s="13">
        <f t="shared" si="20"/>
        <v>314.28399999999999</v>
      </c>
    </row>
    <row r="118" spans="1:18" ht="21.75" hidden="1" customHeight="1">
      <c r="A118" s="14">
        <f>SUBTOTAL(103,$C$5:C118)</f>
        <v>0</v>
      </c>
      <c r="B118" s="10">
        <v>17</v>
      </c>
      <c r="C118" s="114" t="s">
        <v>162</v>
      </c>
      <c r="D118" s="62" t="str">
        <f>VLOOKUP(C118,'Location Summary'!$C$4:$D$603,2,0)</f>
        <v>DA-3</v>
      </c>
      <c r="E118" s="62" t="s">
        <v>403</v>
      </c>
      <c r="F118" s="107">
        <v>45573</v>
      </c>
      <c r="G118" s="107">
        <v>45579</v>
      </c>
      <c r="H118" s="60" t="s">
        <v>1136</v>
      </c>
      <c r="I118" s="62">
        <f t="shared" si="14"/>
        <v>271.04000000000002</v>
      </c>
      <c r="J118" s="10">
        <f t="shared" si="15"/>
        <v>3.36</v>
      </c>
      <c r="K118" s="10">
        <f t="shared" si="16"/>
        <v>34.15</v>
      </c>
      <c r="L118" s="10">
        <f t="shared" si="17"/>
        <v>1.599</v>
      </c>
      <c r="M118" s="10">
        <f t="shared" si="18"/>
        <v>0.86599999999999999</v>
      </c>
      <c r="N118" s="448">
        <f t="shared" si="21"/>
        <v>6.49</v>
      </c>
      <c r="O118" s="112" t="s">
        <v>1081</v>
      </c>
      <c r="P118" s="554" t="s">
        <v>765</v>
      </c>
      <c r="Q118" s="973" t="s">
        <v>255</v>
      </c>
      <c r="R118" s="13">
        <f t="shared" si="20"/>
        <v>287.98399999999998</v>
      </c>
    </row>
    <row r="119" spans="1:18" ht="21.75" hidden="1" customHeight="1">
      <c r="A119" s="14">
        <f>SUBTOTAL(103,$C$5:C119)</f>
        <v>0</v>
      </c>
      <c r="B119" s="10">
        <v>18</v>
      </c>
      <c r="C119" s="114" t="s">
        <v>168</v>
      </c>
      <c r="D119" s="62" t="s">
        <v>228</v>
      </c>
      <c r="E119" s="62" t="s">
        <v>403</v>
      </c>
      <c r="F119" s="107">
        <v>45570</v>
      </c>
      <c r="G119" s="107">
        <v>45579</v>
      </c>
      <c r="H119" s="60" t="s">
        <v>972</v>
      </c>
      <c r="I119" s="554">
        <f t="shared" si="14"/>
        <v>566.29</v>
      </c>
      <c r="J119" s="10">
        <f t="shared" si="15"/>
        <v>7.34</v>
      </c>
      <c r="K119" s="10">
        <f t="shared" si="16"/>
        <v>86.35</v>
      </c>
      <c r="L119" s="10">
        <f t="shared" si="17"/>
        <v>4.2603999999999997</v>
      </c>
      <c r="M119" s="10">
        <f t="shared" si="18"/>
        <v>1.768</v>
      </c>
      <c r="N119" s="448">
        <f t="shared" si="21"/>
        <v>16.2</v>
      </c>
      <c r="O119" s="112" t="s">
        <v>791</v>
      </c>
      <c r="P119" s="554" t="s">
        <v>765</v>
      </c>
      <c r="Q119" s="973" t="s">
        <v>255</v>
      </c>
      <c r="R119" s="13">
        <f t="shared" si="20"/>
        <v>723.096</v>
      </c>
    </row>
    <row r="120" spans="1:18" ht="21.75" hidden="1" customHeight="1">
      <c r="A120" s="14">
        <f>SUBTOTAL(103,$C$5:C120)</f>
        <v>0</v>
      </c>
      <c r="B120" s="10">
        <v>19</v>
      </c>
      <c r="C120" s="114" t="s">
        <v>471</v>
      </c>
      <c r="D120" s="62" t="str">
        <f>VLOOKUP(C120,'Location Summary'!$C$4:$D$603,2,0)</f>
        <v>DA+1.5</v>
      </c>
      <c r="E120" s="62" t="s">
        <v>403</v>
      </c>
      <c r="F120" s="107">
        <v>45578</v>
      </c>
      <c r="G120" s="107">
        <v>45581</v>
      </c>
      <c r="H120" s="60" t="s">
        <v>886</v>
      </c>
      <c r="I120" s="62">
        <f t="shared" si="14"/>
        <v>289.83999999999997</v>
      </c>
      <c r="J120" s="10">
        <f t="shared" si="15"/>
        <v>3.61</v>
      </c>
      <c r="K120" s="10">
        <f t="shared" si="16"/>
        <v>37.299999999999997</v>
      </c>
      <c r="L120" s="10">
        <f t="shared" si="17"/>
        <v>2.093</v>
      </c>
      <c r="M120" s="10">
        <f t="shared" si="18"/>
        <v>0.86599999999999999</v>
      </c>
      <c r="N120" s="448">
        <f t="shared" si="21"/>
        <v>7.39</v>
      </c>
      <c r="O120" s="112" t="s">
        <v>659</v>
      </c>
      <c r="P120" s="554" t="s">
        <v>912</v>
      </c>
      <c r="Q120" s="973" t="s">
        <v>255</v>
      </c>
      <c r="R120" s="13">
        <f t="shared" si="20"/>
        <v>314.28399999999999</v>
      </c>
    </row>
    <row r="121" spans="1:18" ht="21.75" hidden="1" customHeight="1">
      <c r="A121" s="14">
        <f>SUBTOTAL(103,$C$5:C121)</f>
        <v>0</v>
      </c>
      <c r="B121" s="10">
        <v>20</v>
      </c>
      <c r="C121" s="114" t="s">
        <v>576</v>
      </c>
      <c r="D121" s="62" t="str">
        <f>VLOOKUP(C121,'Location Summary'!$C$4:$D$603,2,0)</f>
        <v>DA+9</v>
      </c>
      <c r="E121" s="62" t="s">
        <v>403</v>
      </c>
      <c r="F121" s="107">
        <v>45577</v>
      </c>
      <c r="G121" s="107">
        <v>45581</v>
      </c>
      <c r="H121" s="60" t="s">
        <v>692</v>
      </c>
      <c r="I121" s="62">
        <f t="shared" si="14"/>
        <v>289.83999999999997</v>
      </c>
      <c r="J121" s="10">
        <f t="shared" si="15"/>
        <v>3.61</v>
      </c>
      <c r="K121" s="10">
        <f t="shared" si="16"/>
        <v>37.299999999999997</v>
      </c>
      <c r="L121" s="10">
        <f t="shared" si="17"/>
        <v>2.093</v>
      </c>
      <c r="M121" s="10">
        <f t="shared" si="18"/>
        <v>0.86599999999999999</v>
      </c>
      <c r="N121" s="448">
        <f t="shared" si="21"/>
        <v>7.39</v>
      </c>
      <c r="O121" s="112" t="s">
        <v>1080</v>
      </c>
      <c r="P121" s="554" t="s">
        <v>765</v>
      </c>
      <c r="Q121" s="973" t="s">
        <v>255</v>
      </c>
      <c r="R121" s="13">
        <f t="shared" si="20"/>
        <v>314.28399999999999</v>
      </c>
    </row>
    <row r="122" spans="1:18" ht="21.75" hidden="1" customHeight="1">
      <c r="A122" s="14">
        <f>SUBTOTAL(103,$C$5:C122)</f>
        <v>0</v>
      </c>
      <c r="B122" s="10">
        <v>21</v>
      </c>
      <c r="C122" s="940" t="s">
        <v>536</v>
      </c>
      <c r="D122" s="62" t="s">
        <v>3</v>
      </c>
      <c r="E122" s="62" t="s">
        <v>403</v>
      </c>
      <c r="F122" s="107">
        <v>45578</v>
      </c>
      <c r="G122" s="107">
        <v>45581</v>
      </c>
      <c r="H122" s="60" t="s">
        <v>989</v>
      </c>
      <c r="I122" s="62">
        <f t="shared" si="14"/>
        <v>271.04000000000002</v>
      </c>
      <c r="J122" s="10">
        <f t="shared" si="15"/>
        <v>3.36</v>
      </c>
      <c r="K122" s="10">
        <f t="shared" si="16"/>
        <v>34.15</v>
      </c>
      <c r="L122" s="10">
        <f t="shared" si="17"/>
        <v>1.599</v>
      </c>
      <c r="M122" s="10">
        <f t="shared" si="18"/>
        <v>0.86599999999999999</v>
      </c>
      <c r="N122" s="448">
        <f t="shared" si="21"/>
        <v>6.49</v>
      </c>
      <c r="O122" s="112" t="s">
        <v>993</v>
      </c>
      <c r="P122" s="554" t="s">
        <v>766</v>
      </c>
      <c r="Q122" s="973" t="s">
        <v>255</v>
      </c>
      <c r="R122" s="13">
        <f t="shared" si="20"/>
        <v>287.98399999999998</v>
      </c>
    </row>
    <row r="123" spans="1:18" ht="21.75" hidden="1" customHeight="1">
      <c r="A123" s="14">
        <f>SUBTOTAL(103,$C$5:C123)</f>
        <v>0</v>
      </c>
      <c r="B123" s="10">
        <v>22</v>
      </c>
      <c r="C123" s="114" t="s">
        <v>594</v>
      </c>
      <c r="D123" s="62" t="str">
        <f>VLOOKUP(C123,'Location Summary'!$C$4:$D$603,2,0)</f>
        <v>DA+3</v>
      </c>
      <c r="E123" s="62" t="s">
        <v>403</v>
      </c>
      <c r="F123" s="107">
        <v>45574</v>
      </c>
      <c r="G123" s="107">
        <v>45582</v>
      </c>
      <c r="H123" s="60" t="s">
        <v>992</v>
      </c>
      <c r="I123" s="62">
        <f t="shared" si="14"/>
        <v>289.83999999999997</v>
      </c>
      <c r="J123" s="10">
        <f t="shared" si="15"/>
        <v>3.61</v>
      </c>
      <c r="K123" s="10">
        <f t="shared" si="16"/>
        <v>37.299999999999997</v>
      </c>
      <c r="L123" s="10">
        <f t="shared" si="17"/>
        <v>2.093</v>
      </c>
      <c r="M123" s="10">
        <f t="shared" si="18"/>
        <v>0.86599999999999999</v>
      </c>
      <c r="N123" s="448">
        <f t="shared" si="21"/>
        <v>7.39</v>
      </c>
      <c r="O123" s="112" t="s">
        <v>451</v>
      </c>
      <c r="P123" s="554" t="s">
        <v>765</v>
      </c>
      <c r="Q123" s="973" t="s">
        <v>255</v>
      </c>
      <c r="R123" s="13">
        <f t="shared" si="20"/>
        <v>314.28399999999999</v>
      </c>
    </row>
    <row r="124" spans="1:18" ht="21.75" hidden="1" customHeight="1">
      <c r="A124" s="14">
        <f>SUBTOTAL(103,$C$5:C124)</f>
        <v>0</v>
      </c>
      <c r="B124" s="10">
        <v>23</v>
      </c>
      <c r="C124" s="114" t="s">
        <v>258</v>
      </c>
      <c r="D124" s="62" t="str">
        <f>VLOOKUP(C124,'Location Summary'!$C$4:$D$603,2,0)</f>
        <v>DB1+9</v>
      </c>
      <c r="E124" s="62" t="s">
        <v>403</v>
      </c>
      <c r="F124" s="107">
        <v>45576</v>
      </c>
      <c r="G124" s="107">
        <v>45583</v>
      </c>
      <c r="H124" s="60" t="s">
        <v>988</v>
      </c>
      <c r="I124" s="62">
        <f t="shared" si="14"/>
        <v>484.04</v>
      </c>
      <c r="J124" s="10">
        <f t="shared" si="15"/>
        <v>6.23</v>
      </c>
      <c r="K124" s="10">
        <f t="shared" si="16"/>
        <v>70.319999999999993</v>
      </c>
      <c r="L124" s="10">
        <f t="shared" si="17"/>
        <v>3.3719999999999999</v>
      </c>
      <c r="M124" s="10">
        <f t="shared" si="18"/>
        <v>1.768</v>
      </c>
      <c r="N124" s="448">
        <f t="shared" si="21"/>
        <v>13.2</v>
      </c>
      <c r="O124" s="112" t="s">
        <v>887</v>
      </c>
      <c r="P124" s="554" t="s">
        <v>912</v>
      </c>
      <c r="Q124" s="973" t="s">
        <v>255</v>
      </c>
      <c r="R124" s="13">
        <f t="shared" si="20"/>
        <v>589.97199999999998</v>
      </c>
    </row>
    <row r="125" spans="1:18" ht="21.75" hidden="1" customHeight="1">
      <c r="A125" s="14">
        <f>SUBTOTAL(103,$C$5:C125)</f>
        <v>0</v>
      </c>
      <c r="B125" s="10">
        <v>24</v>
      </c>
      <c r="C125" s="114" t="s">
        <v>469</v>
      </c>
      <c r="D125" s="62" t="str">
        <f>VLOOKUP(C125,'Location Summary'!$C$4:$D$603,2,0)</f>
        <v>DA+9</v>
      </c>
      <c r="E125" s="62" t="s">
        <v>403</v>
      </c>
      <c r="F125" s="107">
        <v>45582</v>
      </c>
      <c r="G125" s="107">
        <v>45584</v>
      </c>
      <c r="H125" s="60" t="s">
        <v>886</v>
      </c>
      <c r="I125" s="62">
        <f t="shared" si="14"/>
        <v>289.83999999999997</v>
      </c>
      <c r="J125" s="10">
        <f t="shared" si="15"/>
        <v>3.61</v>
      </c>
      <c r="K125" s="10">
        <f t="shared" si="16"/>
        <v>37.299999999999997</v>
      </c>
      <c r="L125" s="10">
        <f t="shared" si="17"/>
        <v>2.093</v>
      </c>
      <c r="M125" s="10">
        <f t="shared" si="18"/>
        <v>0.86599999999999999</v>
      </c>
      <c r="N125" s="448">
        <f t="shared" si="21"/>
        <v>7.39</v>
      </c>
      <c r="O125" s="112" t="s">
        <v>659</v>
      </c>
      <c r="P125" s="554" t="s">
        <v>912</v>
      </c>
      <c r="Q125" s="973" t="s">
        <v>255</v>
      </c>
      <c r="R125" s="13">
        <f t="shared" si="20"/>
        <v>314.28399999999999</v>
      </c>
    </row>
    <row r="126" spans="1:18" ht="21.75" hidden="1" customHeight="1">
      <c r="A126" s="14">
        <f>SUBTOTAL(103,$C$5:C126)</f>
        <v>0</v>
      </c>
      <c r="B126" s="10">
        <v>25</v>
      </c>
      <c r="C126" s="940" t="s">
        <v>532</v>
      </c>
      <c r="D126" s="62" t="s">
        <v>2</v>
      </c>
      <c r="E126" s="62" t="s">
        <v>403</v>
      </c>
      <c r="F126" s="107">
        <v>45583</v>
      </c>
      <c r="G126" s="107">
        <v>45584</v>
      </c>
      <c r="H126" s="60" t="s">
        <v>989</v>
      </c>
      <c r="I126" s="62">
        <f t="shared" si="14"/>
        <v>289.83999999999997</v>
      </c>
      <c r="J126" s="10">
        <f t="shared" si="15"/>
        <v>3.61</v>
      </c>
      <c r="K126" s="10">
        <f t="shared" si="16"/>
        <v>37.299999999999997</v>
      </c>
      <c r="L126" s="10">
        <f t="shared" si="17"/>
        <v>2.093</v>
      </c>
      <c r="M126" s="10">
        <f t="shared" si="18"/>
        <v>0.86599999999999999</v>
      </c>
      <c r="N126" s="448">
        <f t="shared" si="21"/>
        <v>7.39</v>
      </c>
      <c r="O126" s="112" t="s">
        <v>887</v>
      </c>
      <c r="P126" s="554" t="s">
        <v>766</v>
      </c>
      <c r="Q126" s="973" t="s">
        <v>255</v>
      </c>
      <c r="R126" s="13">
        <f t="shared" si="20"/>
        <v>314.28399999999999</v>
      </c>
    </row>
    <row r="127" spans="1:18" ht="21.75" hidden="1" customHeight="1">
      <c r="A127" s="14">
        <f>SUBTOTAL(103,$C$5:C127)</f>
        <v>0</v>
      </c>
      <c r="B127" s="10">
        <v>26</v>
      </c>
      <c r="C127" s="114" t="s">
        <v>779</v>
      </c>
      <c r="D127" s="62" t="str">
        <f>VLOOKUP(C127,'Location Summary'!$C$4:$D$603,2,0)</f>
        <v>DA+9</v>
      </c>
      <c r="E127" s="62" t="s">
        <v>403</v>
      </c>
      <c r="F127" s="107">
        <v>45579</v>
      </c>
      <c r="G127" s="107">
        <v>45586</v>
      </c>
      <c r="H127" s="60" t="s">
        <v>972</v>
      </c>
      <c r="I127" s="62">
        <f t="shared" si="14"/>
        <v>289.83999999999997</v>
      </c>
      <c r="J127" s="10">
        <f t="shared" si="15"/>
        <v>3.61</v>
      </c>
      <c r="K127" s="10">
        <f t="shared" si="16"/>
        <v>37.299999999999997</v>
      </c>
      <c r="L127" s="10">
        <f t="shared" si="17"/>
        <v>2.093</v>
      </c>
      <c r="M127" s="10">
        <f t="shared" si="18"/>
        <v>0.86599999999999999</v>
      </c>
      <c r="N127" s="448">
        <f t="shared" si="21"/>
        <v>7.39</v>
      </c>
      <c r="O127" s="112" t="s">
        <v>791</v>
      </c>
      <c r="P127" s="554" t="s">
        <v>765</v>
      </c>
      <c r="Q127" s="973" t="s">
        <v>255</v>
      </c>
      <c r="R127" s="13">
        <f t="shared" si="20"/>
        <v>314.28399999999999</v>
      </c>
    </row>
    <row r="128" spans="1:18" ht="21.75" hidden="1" customHeight="1">
      <c r="A128" s="14">
        <f>SUBTOTAL(103,$C$5:C128)</f>
        <v>0</v>
      </c>
      <c r="B128" s="10">
        <v>27</v>
      </c>
      <c r="C128" s="940" t="s">
        <v>531</v>
      </c>
      <c r="D128" s="62" t="s">
        <v>2</v>
      </c>
      <c r="E128" s="62" t="s">
        <v>403</v>
      </c>
      <c r="F128" s="107">
        <v>45585</v>
      </c>
      <c r="G128" s="107">
        <v>45587</v>
      </c>
      <c r="H128" s="60" t="s">
        <v>989</v>
      </c>
      <c r="I128" s="62">
        <f t="shared" si="14"/>
        <v>289.83999999999997</v>
      </c>
      <c r="J128" s="10">
        <f t="shared" si="15"/>
        <v>3.61</v>
      </c>
      <c r="K128" s="10">
        <f t="shared" si="16"/>
        <v>37.299999999999997</v>
      </c>
      <c r="L128" s="10">
        <f t="shared" si="17"/>
        <v>2.093</v>
      </c>
      <c r="M128" s="10">
        <f t="shared" si="18"/>
        <v>0.86599999999999999</v>
      </c>
      <c r="N128" s="448">
        <f t="shared" si="21"/>
        <v>7.39</v>
      </c>
      <c r="O128" s="112" t="s">
        <v>887</v>
      </c>
      <c r="P128" s="554" t="s">
        <v>789</v>
      </c>
      <c r="Q128" s="973" t="s">
        <v>255</v>
      </c>
      <c r="R128" s="13">
        <f t="shared" si="20"/>
        <v>314.28399999999999</v>
      </c>
    </row>
    <row r="129" spans="1:18" ht="21.75" hidden="1" customHeight="1">
      <c r="A129" s="14">
        <f>SUBTOTAL(103,$C$5:C129)</f>
        <v>0</v>
      </c>
      <c r="B129" s="10">
        <v>28</v>
      </c>
      <c r="C129" s="114" t="s">
        <v>569</v>
      </c>
      <c r="D129" s="62" t="str">
        <f>VLOOKUP(C129,'Location Summary'!$C$4:$D$603,2,0)</f>
        <v>DA+0</v>
      </c>
      <c r="E129" s="62" t="s">
        <v>403</v>
      </c>
      <c r="F129" s="107">
        <v>45582</v>
      </c>
      <c r="G129" s="107">
        <v>45587</v>
      </c>
      <c r="H129" s="60" t="s">
        <v>692</v>
      </c>
      <c r="I129" s="62">
        <f t="shared" si="14"/>
        <v>271.04000000000002</v>
      </c>
      <c r="J129" s="10">
        <f t="shared" si="15"/>
        <v>3.36</v>
      </c>
      <c r="K129" s="10">
        <f t="shared" si="16"/>
        <v>34.15</v>
      </c>
      <c r="L129" s="10">
        <f t="shared" si="17"/>
        <v>1.599</v>
      </c>
      <c r="M129" s="10">
        <f t="shared" si="18"/>
        <v>0.86599999999999999</v>
      </c>
      <c r="N129" s="448">
        <f t="shared" si="21"/>
        <v>6.49</v>
      </c>
      <c r="O129" s="112" t="s">
        <v>1080</v>
      </c>
      <c r="P129" s="554" t="s">
        <v>765</v>
      </c>
      <c r="Q129" s="973" t="s">
        <v>255</v>
      </c>
      <c r="R129" s="13">
        <f t="shared" si="20"/>
        <v>287.98399999999998</v>
      </c>
    </row>
    <row r="130" spans="1:18" ht="21.75" hidden="1" customHeight="1">
      <c r="A130" s="14">
        <f>SUBTOTAL(103,$C$5:C130)</f>
        <v>0</v>
      </c>
      <c r="B130" s="10">
        <v>29</v>
      </c>
      <c r="C130" s="114" t="s">
        <v>461</v>
      </c>
      <c r="D130" s="62" t="str">
        <f>VLOOKUP(C130,'Location Summary'!$C$4:$D$603,2,0)</f>
        <v>DA+6</v>
      </c>
      <c r="E130" s="62" t="s">
        <v>403</v>
      </c>
      <c r="F130" s="107">
        <v>45584</v>
      </c>
      <c r="G130" s="107">
        <v>45588</v>
      </c>
      <c r="H130" s="60" t="s">
        <v>988</v>
      </c>
      <c r="I130" s="62">
        <f t="shared" si="14"/>
        <v>289.83999999999997</v>
      </c>
      <c r="J130" s="10">
        <f t="shared" si="15"/>
        <v>3.61</v>
      </c>
      <c r="K130" s="10">
        <f t="shared" si="16"/>
        <v>37.299999999999997</v>
      </c>
      <c r="L130" s="10">
        <f t="shared" si="17"/>
        <v>2.093</v>
      </c>
      <c r="M130" s="10">
        <f t="shared" si="18"/>
        <v>0.86599999999999999</v>
      </c>
      <c r="N130" s="448">
        <f t="shared" si="21"/>
        <v>7.39</v>
      </c>
      <c r="O130" s="112" t="s">
        <v>1082</v>
      </c>
      <c r="P130" s="554" t="s">
        <v>912</v>
      </c>
      <c r="Q130" s="973" t="s">
        <v>255</v>
      </c>
      <c r="R130" s="13">
        <f t="shared" si="20"/>
        <v>314.28399999999999</v>
      </c>
    </row>
    <row r="131" spans="1:18" ht="21.75" hidden="1" customHeight="1">
      <c r="A131" s="14">
        <f>SUBTOTAL(103,$C$5:C131)</f>
        <v>0</v>
      </c>
      <c r="B131" s="10">
        <v>30</v>
      </c>
      <c r="C131" s="114" t="s">
        <v>431</v>
      </c>
      <c r="D131" s="62" t="str">
        <f>VLOOKUP(C131,'Location Summary'!$C$4:$D$603,2,0)</f>
        <v>DA+0</v>
      </c>
      <c r="E131" s="62" t="s">
        <v>403</v>
      </c>
      <c r="F131" s="107">
        <v>45582</v>
      </c>
      <c r="G131" s="107">
        <v>45590</v>
      </c>
      <c r="H131" s="60" t="s">
        <v>1136</v>
      </c>
      <c r="I131" s="62">
        <f t="shared" si="14"/>
        <v>271.04000000000002</v>
      </c>
      <c r="J131" s="10">
        <f t="shared" si="15"/>
        <v>3.36</v>
      </c>
      <c r="K131" s="10">
        <f t="shared" si="16"/>
        <v>34.15</v>
      </c>
      <c r="L131" s="10">
        <f t="shared" si="17"/>
        <v>1.599</v>
      </c>
      <c r="M131" s="10">
        <f t="shared" si="18"/>
        <v>0.86599999999999999</v>
      </c>
      <c r="N131" s="448">
        <f t="shared" si="21"/>
        <v>6.49</v>
      </c>
      <c r="O131" s="112" t="s">
        <v>791</v>
      </c>
      <c r="P131" s="554" t="s">
        <v>912</v>
      </c>
      <c r="Q131" s="973" t="s">
        <v>255</v>
      </c>
      <c r="R131" s="13">
        <f t="shared" si="20"/>
        <v>287.98399999999998</v>
      </c>
    </row>
    <row r="132" spans="1:18" ht="21.75" hidden="1" customHeight="1">
      <c r="A132" s="14">
        <f>SUBTOTAL(103,$C$5:C132)</f>
        <v>0</v>
      </c>
      <c r="B132" s="10">
        <v>31</v>
      </c>
      <c r="C132" s="114" t="s">
        <v>572</v>
      </c>
      <c r="D132" s="62" t="str">
        <f>VLOOKUP(C132,'Location Summary'!$C$4:$D$603,2,0)</f>
        <v>DA+3</v>
      </c>
      <c r="E132" s="62" t="s">
        <v>403</v>
      </c>
      <c r="F132" s="107">
        <v>45587</v>
      </c>
      <c r="G132" s="107">
        <v>45590</v>
      </c>
      <c r="H132" s="60" t="s">
        <v>692</v>
      </c>
      <c r="I132" s="62">
        <f t="shared" si="14"/>
        <v>289.83999999999997</v>
      </c>
      <c r="J132" s="10">
        <f t="shared" si="15"/>
        <v>3.61</v>
      </c>
      <c r="K132" s="10">
        <f t="shared" si="16"/>
        <v>37.299999999999997</v>
      </c>
      <c r="L132" s="10">
        <f t="shared" si="17"/>
        <v>2.093</v>
      </c>
      <c r="M132" s="10">
        <f t="shared" si="18"/>
        <v>0.86599999999999999</v>
      </c>
      <c r="N132" s="448">
        <f t="shared" si="21"/>
        <v>7.39</v>
      </c>
      <c r="O132" s="112" t="s">
        <v>451</v>
      </c>
      <c r="P132" s="554" t="s">
        <v>765</v>
      </c>
      <c r="Q132" s="973" t="s">
        <v>255</v>
      </c>
      <c r="R132" s="13">
        <f t="shared" si="20"/>
        <v>314.28399999999999</v>
      </c>
    </row>
    <row r="133" spans="1:18" ht="21.75" hidden="1" customHeight="1">
      <c r="A133" s="14">
        <f>SUBTOTAL(103,$C$5:C133)</f>
        <v>0</v>
      </c>
      <c r="B133" s="10">
        <v>32</v>
      </c>
      <c r="C133" s="114" t="s">
        <v>780</v>
      </c>
      <c r="D133" s="62" t="str">
        <f>VLOOKUP(C133,'Location Summary'!$C$4:$D$603,2,0)</f>
        <v>DA+3</v>
      </c>
      <c r="E133" s="62" t="s">
        <v>403</v>
      </c>
      <c r="F133" s="107">
        <v>45587</v>
      </c>
      <c r="G133" s="107">
        <v>45590</v>
      </c>
      <c r="H133" s="60" t="s">
        <v>972</v>
      </c>
      <c r="I133" s="62">
        <f t="shared" ref="I133:I196" si="22">VLOOKUP($D133,$D$323:$M$362,6,FALSE)</f>
        <v>289.83999999999997</v>
      </c>
      <c r="J133" s="10">
        <f t="shared" ref="J133:J196" si="23">VLOOKUP($D133,$D$323:$M$362,7,FALSE)</f>
        <v>3.61</v>
      </c>
      <c r="K133" s="10">
        <f t="shared" ref="K133:K196" si="24">VLOOKUP($D133,$D$323:$M$362,8,FALSE)</f>
        <v>37.299999999999997</v>
      </c>
      <c r="L133" s="10">
        <f t="shared" ref="L133:L196" si="25">VLOOKUP($D133,$D$323:$M$362,9,FALSE)</f>
        <v>2.093</v>
      </c>
      <c r="M133" s="10">
        <f t="shared" ref="M133:M196" si="26">VLOOKUP($D133,$D$323:$M$362,10,FALSE)</f>
        <v>0.86599999999999999</v>
      </c>
      <c r="N133" s="448">
        <f t="shared" ref="N133:N164" si="27">ROUND((I133*230.35+J133*10150.5+K133*11591.45+L133*93958.18+M133*7677.44)/10^5,2)</f>
        <v>7.39</v>
      </c>
      <c r="O133" s="112" t="s">
        <v>1100</v>
      </c>
      <c r="P133" s="554" t="s">
        <v>912</v>
      </c>
      <c r="Q133" s="973" t="s">
        <v>255</v>
      </c>
      <c r="R133" s="13">
        <f t="shared" si="20"/>
        <v>314.28399999999999</v>
      </c>
    </row>
    <row r="134" spans="1:18" ht="21.75" hidden="1" customHeight="1">
      <c r="A134" s="14">
        <f>SUBTOTAL(103,$C$5:C134)</f>
        <v>0</v>
      </c>
      <c r="B134" s="10">
        <v>33</v>
      </c>
      <c r="C134" s="114" t="s">
        <v>596</v>
      </c>
      <c r="D134" s="62" t="str">
        <f>VLOOKUP(C134,'Location Summary'!$C$4:$D$603,2,0)</f>
        <v>DA+1.5</v>
      </c>
      <c r="E134" s="62" t="s">
        <v>403</v>
      </c>
      <c r="F134" s="107">
        <v>45590</v>
      </c>
      <c r="G134" s="107">
        <v>45592</v>
      </c>
      <c r="H134" s="60" t="s">
        <v>992</v>
      </c>
      <c r="I134" s="62">
        <f t="shared" si="22"/>
        <v>289.83999999999997</v>
      </c>
      <c r="J134" s="10">
        <f t="shared" si="23"/>
        <v>3.61</v>
      </c>
      <c r="K134" s="10">
        <f t="shared" si="24"/>
        <v>37.299999999999997</v>
      </c>
      <c r="L134" s="10">
        <f t="shared" si="25"/>
        <v>2.093</v>
      </c>
      <c r="M134" s="10">
        <f t="shared" si="26"/>
        <v>0.86599999999999999</v>
      </c>
      <c r="N134" s="448">
        <f t="shared" si="27"/>
        <v>7.39</v>
      </c>
      <c r="O134" s="112" t="s">
        <v>1081</v>
      </c>
      <c r="P134" s="554" t="s">
        <v>912</v>
      </c>
      <c r="Q134" s="973" t="s">
        <v>255</v>
      </c>
      <c r="R134" s="13">
        <f t="shared" ref="R134:R197" si="28">(J134*4.4)+(K134*8)</f>
        <v>314.28399999999999</v>
      </c>
    </row>
    <row r="135" spans="1:18" ht="21.75" hidden="1" customHeight="1">
      <c r="A135" s="14">
        <f>SUBTOTAL(103,$C$5:C135)</f>
        <v>0</v>
      </c>
      <c r="B135" s="10">
        <v>34</v>
      </c>
      <c r="C135" s="940" t="s">
        <v>529</v>
      </c>
      <c r="D135" s="62" t="s">
        <v>79</v>
      </c>
      <c r="E135" s="62" t="s">
        <v>403</v>
      </c>
      <c r="F135" s="107">
        <v>45590</v>
      </c>
      <c r="G135" s="107">
        <v>45594</v>
      </c>
      <c r="H135" s="60" t="s">
        <v>989</v>
      </c>
      <c r="I135" s="62">
        <f t="shared" si="22"/>
        <v>289.83999999999997</v>
      </c>
      <c r="J135" s="10">
        <f t="shared" si="23"/>
        <v>3.61</v>
      </c>
      <c r="K135" s="10">
        <f t="shared" si="24"/>
        <v>37.299999999999997</v>
      </c>
      <c r="L135" s="10">
        <f t="shared" si="25"/>
        <v>2.093</v>
      </c>
      <c r="M135" s="10">
        <f t="shared" si="26"/>
        <v>0.86599999999999999</v>
      </c>
      <c r="N135" s="448">
        <f t="shared" si="27"/>
        <v>7.39</v>
      </c>
      <c r="O135" s="112" t="s">
        <v>887</v>
      </c>
      <c r="P135" s="554" t="s">
        <v>789</v>
      </c>
      <c r="Q135" s="973" t="s">
        <v>255</v>
      </c>
      <c r="R135" s="13">
        <f t="shared" si="28"/>
        <v>314.28399999999999</v>
      </c>
    </row>
    <row r="136" spans="1:18" ht="21.75" hidden="1" customHeight="1">
      <c r="A136" s="14">
        <f>SUBTOTAL(103,$C$5:C136)</f>
        <v>0</v>
      </c>
      <c r="B136" s="10">
        <v>35</v>
      </c>
      <c r="C136" s="114" t="s">
        <v>595</v>
      </c>
      <c r="D136" s="62" t="str">
        <f>VLOOKUP(C136,'Location Summary'!$C$4:$D$603,2,0)</f>
        <v>DA+6</v>
      </c>
      <c r="E136" s="62" t="s">
        <v>403</v>
      </c>
      <c r="F136" s="107">
        <v>45582</v>
      </c>
      <c r="G136" s="107">
        <v>45594</v>
      </c>
      <c r="H136" s="60" t="s">
        <v>992</v>
      </c>
      <c r="I136" s="62">
        <f t="shared" si="22"/>
        <v>289.83999999999997</v>
      </c>
      <c r="J136" s="10">
        <f t="shared" si="23"/>
        <v>3.61</v>
      </c>
      <c r="K136" s="10">
        <f t="shared" si="24"/>
        <v>37.299999999999997</v>
      </c>
      <c r="L136" s="10">
        <f t="shared" si="25"/>
        <v>2.093</v>
      </c>
      <c r="M136" s="10">
        <f t="shared" si="26"/>
        <v>0.86599999999999999</v>
      </c>
      <c r="N136" s="448">
        <f t="shared" si="27"/>
        <v>7.39</v>
      </c>
      <c r="O136" s="112" t="s">
        <v>1082</v>
      </c>
      <c r="P136" s="554" t="s">
        <v>765</v>
      </c>
      <c r="Q136" s="973" t="s">
        <v>255</v>
      </c>
      <c r="R136" s="13">
        <f t="shared" si="28"/>
        <v>314.28399999999999</v>
      </c>
    </row>
    <row r="137" spans="1:18" ht="21.75" hidden="1" customHeight="1">
      <c r="A137" s="14">
        <f>SUBTOTAL(103,$C$5:C137)</f>
        <v>0</v>
      </c>
      <c r="B137" s="10">
        <v>36</v>
      </c>
      <c r="C137" s="114" t="s">
        <v>778</v>
      </c>
      <c r="D137" s="62" t="str">
        <f>VLOOKUP(C137,'Location Summary'!$C$4:$D$603,2,0)</f>
        <v>DA+3</v>
      </c>
      <c r="E137" s="62" t="s">
        <v>403</v>
      </c>
      <c r="F137" s="107">
        <v>45590</v>
      </c>
      <c r="G137" s="107">
        <v>45595</v>
      </c>
      <c r="H137" s="60" t="s">
        <v>972</v>
      </c>
      <c r="I137" s="62">
        <f t="shared" si="22"/>
        <v>289.83999999999997</v>
      </c>
      <c r="J137" s="10">
        <f t="shared" si="23"/>
        <v>3.61</v>
      </c>
      <c r="K137" s="10">
        <f t="shared" si="24"/>
        <v>37.299999999999997</v>
      </c>
      <c r="L137" s="10">
        <f t="shared" si="25"/>
        <v>2.093</v>
      </c>
      <c r="M137" s="10">
        <f t="shared" si="26"/>
        <v>0.86599999999999999</v>
      </c>
      <c r="N137" s="448">
        <f t="shared" si="27"/>
        <v>7.39</v>
      </c>
      <c r="O137" s="112" t="s">
        <v>1100</v>
      </c>
      <c r="P137" s="554" t="s">
        <v>765</v>
      </c>
      <c r="Q137" s="973" t="s">
        <v>255</v>
      </c>
      <c r="R137" s="13">
        <f t="shared" si="28"/>
        <v>314.28399999999999</v>
      </c>
    </row>
    <row r="138" spans="1:18" ht="21.75" hidden="1" customHeight="1">
      <c r="A138" s="14">
        <f>SUBTOTAL(103,$C$5:C138)</f>
        <v>0</v>
      </c>
      <c r="B138" s="10">
        <v>1</v>
      </c>
      <c r="C138" s="114" t="s">
        <v>898</v>
      </c>
      <c r="D138" s="62" t="str">
        <f>VLOOKUP(C138,'Location Summary'!$C$4:$D$603,2,0)</f>
        <v>DB1+0</v>
      </c>
      <c r="E138" s="62" t="s">
        <v>403</v>
      </c>
      <c r="F138" s="107">
        <v>45591</v>
      </c>
      <c r="G138" s="107">
        <v>45603</v>
      </c>
      <c r="H138" s="60" t="s">
        <v>1136</v>
      </c>
      <c r="I138" s="62">
        <f t="shared" si="22"/>
        <v>479.12</v>
      </c>
      <c r="J138" s="10">
        <f t="shared" si="23"/>
        <v>6.16</v>
      </c>
      <c r="K138" s="10">
        <f t="shared" si="24"/>
        <v>69.760000000000005</v>
      </c>
      <c r="L138" s="10">
        <f t="shared" si="25"/>
        <v>3.26</v>
      </c>
      <c r="M138" s="10">
        <f t="shared" si="26"/>
        <v>1.768</v>
      </c>
      <c r="N138" s="448">
        <f t="shared" si="27"/>
        <v>13.01</v>
      </c>
      <c r="O138" s="112" t="s">
        <v>791</v>
      </c>
      <c r="P138" s="554" t="s">
        <v>765</v>
      </c>
      <c r="Q138" s="973" t="s">
        <v>255</v>
      </c>
      <c r="R138" s="13">
        <f t="shared" si="28"/>
        <v>585.18400000000008</v>
      </c>
    </row>
    <row r="139" spans="1:18" ht="21.75" hidden="1" customHeight="1">
      <c r="A139" s="14">
        <f>SUBTOTAL(103,$C$5:C139)</f>
        <v>0</v>
      </c>
      <c r="B139" s="10">
        <v>2</v>
      </c>
      <c r="C139" s="114" t="s">
        <v>472</v>
      </c>
      <c r="D139" s="62" t="str">
        <f>VLOOKUP(C139,'Location Summary'!$C$4:$D$603,2,0)</f>
        <v>DA+3</v>
      </c>
      <c r="E139" s="62" t="s">
        <v>403</v>
      </c>
      <c r="F139" s="107">
        <v>45590</v>
      </c>
      <c r="G139" s="107">
        <v>45604</v>
      </c>
      <c r="H139" s="60" t="s">
        <v>988</v>
      </c>
      <c r="I139" s="62">
        <f t="shared" si="22"/>
        <v>289.83999999999997</v>
      </c>
      <c r="J139" s="10">
        <f t="shared" si="23"/>
        <v>3.61</v>
      </c>
      <c r="K139" s="10">
        <f t="shared" si="24"/>
        <v>37.299999999999997</v>
      </c>
      <c r="L139" s="10">
        <f t="shared" si="25"/>
        <v>2.093</v>
      </c>
      <c r="M139" s="10">
        <f t="shared" si="26"/>
        <v>0.86599999999999999</v>
      </c>
      <c r="N139" s="448">
        <f t="shared" si="27"/>
        <v>7.39</v>
      </c>
      <c r="O139" s="112" t="s">
        <v>846</v>
      </c>
      <c r="P139" s="554" t="s">
        <v>789</v>
      </c>
      <c r="Q139" s="973" t="s">
        <v>255</v>
      </c>
      <c r="R139" s="13">
        <f t="shared" si="28"/>
        <v>314.28399999999999</v>
      </c>
    </row>
    <row r="140" spans="1:18" ht="21.75" hidden="1" customHeight="1">
      <c r="A140" s="14">
        <f>SUBTOTAL(103,$C$5:C140)</f>
        <v>0</v>
      </c>
      <c r="B140" s="10">
        <v>3</v>
      </c>
      <c r="C140" s="114" t="s">
        <v>777</v>
      </c>
      <c r="D140" s="62" t="str">
        <f>VLOOKUP(C140,'Location Summary'!$C$4:$D$603,2,0)</f>
        <v>DA+1.5</v>
      </c>
      <c r="E140" s="62" t="s">
        <v>403</v>
      </c>
      <c r="F140" s="107">
        <v>45598</v>
      </c>
      <c r="G140" s="107">
        <v>45604</v>
      </c>
      <c r="H140" s="60" t="s">
        <v>972</v>
      </c>
      <c r="I140" s="62">
        <f t="shared" si="22"/>
        <v>289.83999999999997</v>
      </c>
      <c r="J140" s="10">
        <f t="shared" si="23"/>
        <v>3.61</v>
      </c>
      <c r="K140" s="10">
        <f t="shared" si="24"/>
        <v>37.299999999999997</v>
      </c>
      <c r="L140" s="10">
        <f t="shared" si="25"/>
        <v>2.093</v>
      </c>
      <c r="M140" s="10">
        <f t="shared" si="26"/>
        <v>0.86599999999999999</v>
      </c>
      <c r="N140" s="448">
        <f t="shared" si="27"/>
        <v>7.39</v>
      </c>
      <c r="O140" s="112" t="s">
        <v>1100</v>
      </c>
      <c r="P140" s="554" t="s">
        <v>765</v>
      </c>
      <c r="Q140" s="973" t="s">
        <v>255</v>
      </c>
      <c r="R140" s="13">
        <f t="shared" si="28"/>
        <v>314.28399999999999</v>
      </c>
    </row>
    <row r="141" spans="1:18" ht="21.75" hidden="1" customHeight="1">
      <c r="A141" s="14">
        <f>SUBTOTAL(103,$C$5:C141)</f>
        <v>0</v>
      </c>
      <c r="B141" s="10">
        <v>4</v>
      </c>
      <c r="C141" s="114" t="s">
        <v>598</v>
      </c>
      <c r="D141" s="62" t="str">
        <f>VLOOKUP(C141,'Location Summary'!$C$4:$D$603,2,0)</f>
        <v>DA+3</v>
      </c>
      <c r="E141" s="62" t="s">
        <v>403</v>
      </c>
      <c r="F141" s="107">
        <v>45593</v>
      </c>
      <c r="G141" s="107">
        <v>45605</v>
      </c>
      <c r="H141" s="60" t="s">
        <v>992</v>
      </c>
      <c r="I141" s="62">
        <f t="shared" si="22"/>
        <v>289.83999999999997</v>
      </c>
      <c r="J141" s="10">
        <f t="shared" si="23"/>
        <v>3.61</v>
      </c>
      <c r="K141" s="10">
        <f t="shared" si="24"/>
        <v>37.299999999999997</v>
      </c>
      <c r="L141" s="10">
        <f t="shared" si="25"/>
        <v>2.093</v>
      </c>
      <c r="M141" s="10">
        <f t="shared" si="26"/>
        <v>0.86599999999999999</v>
      </c>
      <c r="N141" s="448">
        <f t="shared" si="27"/>
        <v>7.39</v>
      </c>
      <c r="O141" s="112" t="s">
        <v>1081</v>
      </c>
      <c r="P141" s="554" t="s">
        <v>765</v>
      </c>
      <c r="Q141" s="973" t="s">
        <v>255</v>
      </c>
      <c r="R141" s="13">
        <f t="shared" si="28"/>
        <v>314.28399999999999</v>
      </c>
    </row>
    <row r="142" spans="1:18" ht="21.75" hidden="1" customHeight="1">
      <c r="A142" s="14">
        <f>SUBTOTAL(103,$C$5:C142)</f>
        <v>0</v>
      </c>
      <c r="B142" s="10">
        <v>5</v>
      </c>
      <c r="C142" s="114" t="s">
        <v>573</v>
      </c>
      <c r="D142" s="62" t="str">
        <f>VLOOKUP(C142,'Location Summary'!$C$4:$D$603,2,0)</f>
        <v>DA+1.5</v>
      </c>
      <c r="E142" s="62" t="s">
        <v>403</v>
      </c>
      <c r="F142" s="107">
        <v>45601</v>
      </c>
      <c r="G142" s="107">
        <v>45607</v>
      </c>
      <c r="H142" s="60" t="s">
        <v>692</v>
      </c>
      <c r="I142" s="62">
        <f t="shared" si="22"/>
        <v>289.83999999999997</v>
      </c>
      <c r="J142" s="10">
        <f t="shared" si="23"/>
        <v>3.61</v>
      </c>
      <c r="K142" s="10">
        <f t="shared" si="24"/>
        <v>37.299999999999997</v>
      </c>
      <c r="L142" s="10">
        <f t="shared" si="25"/>
        <v>2.093</v>
      </c>
      <c r="M142" s="10">
        <f t="shared" si="26"/>
        <v>0.86599999999999999</v>
      </c>
      <c r="N142" s="448">
        <f t="shared" si="27"/>
        <v>7.39</v>
      </c>
      <c r="O142" s="112" t="s">
        <v>791</v>
      </c>
      <c r="P142" s="554" t="s">
        <v>765</v>
      </c>
      <c r="Q142" s="973" t="s">
        <v>255</v>
      </c>
      <c r="R142" s="13">
        <f t="shared" si="28"/>
        <v>314.28399999999999</v>
      </c>
    </row>
    <row r="143" spans="1:18" ht="21.75" hidden="1" customHeight="1">
      <c r="A143" s="14">
        <f>SUBTOTAL(103,$C$5:C143)</f>
        <v>0</v>
      </c>
      <c r="B143" s="10">
        <v>6</v>
      </c>
      <c r="C143" s="114" t="s">
        <v>51</v>
      </c>
      <c r="D143" s="62" t="str">
        <f>VLOOKUP(C143,'Location Summary'!$C$4:$D$603,2,0)</f>
        <v>DB2+6</v>
      </c>
      <c r="E143" s="62" t="s">
        <v>403</v>
      </c>
      <c r="F143" s="107">
        <v>45592</v>
      </c>
      <c r="G143" s="107">
        <v>45608</v>
      </c>
      <c r="H143" s="60" t="s">
        <v>1139</v>
      </c>
      <c r="I143" s="62">
        <f t="shared" si="22"/>
        <v>566.29</v>
      </c>
      <c r="J143" s="10">
        <f t="shared" si="23"/>
        <v>7.34</v>
      </c>
      <c r="K143" s="10">
        <f t="shared" si="24"/>
        <v>86.35</v>
      </c>
      <c r="L143" s="10">
        <f t="shared" si="25"/>
        <v>4.2603999999999997</v>
      </c>
      <c r="M143" s="10">
        <f t="shared" si="26"/>
        <v>1.768</v>
      </c>
      <c r="N143" s="448">
        <f t="shared" si="27"/>
        <v>16.2</v>
      </c>
      <c r="O143" s="112" t="s">
        <v>1099</v>
      </c>
      <c r="P143" s="554" t="s">
        <v>1104</v>
      </c>
      <c r="Q143" s="973" t="s">
        <v>255</v>
      </c>
      <c r="R143" s="13">
        <f t="shared" si="28"/>
        <v>723.096</v>
      </c>
    </row>
    <row r="144" spans="1:18" ht="21.75" hidden="1" customHeight="1">
      <c r="A144" s="14">
        <f>SUBTOTAL(103,$C$5:C144)</f>
        <v>0</v>
      </c>
      <c r="B144" s="10">
        <v>7</v>
      </c>
      <c r="C144" s="114" t="s">
        <v>776</v>
      </c>
      <c r="D144" s="62" t="str">
        <f>VLOOKUP(C144,'Location Summary'!$C$4:$D$603,2,0)</f>
        <v>DA+3</v>
      </c>
      <c r="E144" s="62" t="s">
        <v>403</v>
      </c>
      <c r="F144" s="107">
        <v>45604</v>
      </c>
      <c r="G144" s="107">
        <v>45608</v>
      </c>
      <c r="H144" s="60" t="s">
        <v>972</v>
      </c>
      <c r="I144" s="62">
        <f t="shared" si="22"/>
        <v>289.83999999999997</v>
      </c>
      <c r="J144" s="10">
        <f t="shared" si="23"/>
        <v>3.61</v>
      </c>
      <c r="K144" s="10">
        <f t="shared" si="24"/>
        <v>37.299999999999997</v>
      </c>
      <c r="L144" s="10">
        <f t="shared" si="25"/>
        <v>2.093</v>
      </c>
      <c r="M144" s="10">
        <f t="shared" si="26"/>
        <v>0.86599999999999999</v>
      </c>
      <c r="N144" s="448">
        <f t="shared" si="27"/>
        <v>7.39</v>
      </c>
      <c r="O144" s="112" t="s">
        <v>1138</v>
      </c>
      <c r="P144" s="554" t="s">
        <v>912</v>
      </c>
      <c r="Q144" s="973" t="s">
        <v>255</v>
      </c>
      <c r="R144" s="13">
        <f t="shared" si="28"/>
        <v>314.28399999999999</v>
      </c>
    </row>
    <row r="145" spans="1:18" ht="21.75" hidden="1" customHeight="1">
      <c r="A145" s="14">
        <f>SUBTOTAL(103,$C$5:C145)</f>
        <v>0</v>
      </c>
      <c r="B145" s="10">
        <v>8</v>
      </c>
      <c r="C145" s="114" t="s">
        <v>192</v>
      </c>
      <c r="D145" s="62" t="str">
        <f>VLOOKUP(C145,'Location Summary'!$C$4:$D$603,2,0)</f>
        <v>DA+3</v>
      </c>
      <c r="E145" s="62" t="s">
        <v>403</v>
      </c>
      <c r="F145" s="107">
        <v>45607</v>
      </c>
      <c r="G145" s="107">
        <v>45612</v>
      </c>
      <c r="H145" s="60" t="s">
        <v>1140</v>
      </c>
      <c r="I145" s="62">
        <f t="shared" si="22"/>
        <v>289.83999999999997</v>
      </c>
      <c r="J145" s="10">
        <f t="shared" si="23"/>
        <v>3.61</v>
      </c>
      <c r="K145" s="10">
        <f t="shared" si="24"/>
        <v>37.299999999999997</v>
      </c>
      <c r="L145" s="10">
        <f t="shared" si="25"/>
        <v>2.093</v>
      </c>
      <c r="M145" s="10">
        <f t="shared" si="26"/>
        <v>0.86599999999999999</v>
      </c>
      <c r="N145" s="448">
        <f t="shared" si="27"/>
        <v>7.39</v>
      </c>
      <c r="O145" s="112" t="s">
        <v>1099</v>
      </c>
      <c r="P145" s="554" t="s">
        <v>1104</v>
      </c>
      <c r="Q145" s="973" t="s">
        <v>255</v>
      </c>
      <c r="R145" s="13">
        <f t="shared" si="28"/>
        <v>314.28399999999999</v>
      </c>
    </row>
    <row r="146" spans="1:18" ht="21.75" hidden="1" customHeight="1">
      <c r="A146" s="14">
        <f>SUBTOTAL(103,$C$5:C146)</f>
        <v>0</v>
      </c>
      <c r="B146" s="10">
        <v>9</v>
      </c>
      <c r="C146" s="114" t="s">
        <v>604</v>
      </c>
      <c r="D146" s="62" t="str">
        <f>VLOOKUP(C146,'Location Summary'!$C$4:$D$603,2,0)</f>
        <v>DA+9</v>
      </c>
      <c r="E146" s="62" t="s">
        <v>403</v>
      </c>
      <c r="F146" s="107">
        <v>45609</v>
      </c>
      <c r="G146" s="107">
        <v>45613</v>
      </c>
      <c r="H146" s="60" t="s">
        <v>972</v>
      </c>
      <c r="I146" s="62">
        <f t="shared" si="22"/>
        <v>289.83999999999997</v>
      </c>
      <c r="J146" s="10">
        <f t="shared" si="23"/>
        <v>3.61</v>
      </c>
      <c r="K146" s="10">
        <f t="shared" si="24"/>
        <v>37.299999999999997</v>
      </c>
      <c r="L146" s="10">
        <f t="shared" si="25"/>
        <v>2.093</v>
      </c>
      <c r="M146" s="10">
        <f t="shared" si="26"/>
        <v>0.86599999999999999</v>
      </c>
      <c r="N146" s="448">
        <f t="shared" si="27"/>
        <v>7.39</v>
      </c>
      <c r="O146" s="112" t="s">
        <v>1138</v>
      </c>
      <c r="P146" s="554" t="s">
        <v>912</v>
      </c>
      <c r="Q146" s="973" t="s">
        <v>255</v>
      </c>
      <c r="R146" s="13">
        <f t="shared" si="28"/>
        <v>314.28399999999999</v>
      </c>
    </row>
    <row r="147" spans="1:18" ht="21.75" hidden="1" customHeight="1">
      <c r="A147" s="14">
        <f>SUBTOTAL(103,$C$5:C147)</f>
        <v>0</v>
      </c>
      <c r="B147" s="10">
        <v>10</v>
      </c>
      <c r="C147" s="114" t="s">
        <v>193</v>
      </c>
      <c r="D147" s="62" t="str">
        <f>VLOOKUP(C147,'Location Summary'!$C$4:$D$603,2,0)</f>
        <v>DA+1.5</v>
      </c>
      <c r="E147" s="62" t="s">
        <v>403</v>
      </c>
      <c r="F147" s="107">
        <v>45613</v>
      </c>
      <c r="G147" s="107">
        <v>45615</v>
      </c>
      <c r="H147" s="60" t="s">
        <v>1140</v>
      </c>
      <c r="I147" s="62">
        <f t="shared" si="22"/>
        <v>289.83999999999997</v>
      </c>
      <c r="J147" s="10">
        <f t="shared" si="23"/>
        <v>3.61</v>
      </c>
      <c r="K147" s="10">
        <f t="shared" si="24"/>
        <v>37.299999999999997</v>
      </c>
      <c r="L147" s="10">
        <f t="shared" si="25"/>
        <v>2.093</v>
      </c>
      <c r="M147" s="10">
        <f t="shared" si="26"/>
        <v>0.86599999999999999</v>
      </c>
      <c r="N147" s="448">
        <f t="shared" si="27"/>
        <v>7.39</v>
      </c>
      <c r="O147" s="112" t="s">
        <v>1099</v>
      </c>
      <c r="P147" s="554" t="s">
        <v>1104</v>
      </c>
      <c r="Q147" s="973" t="s">
        <v>255</v>
      </c>
      <c r="R147" s="13">
        <f t="shared" si="28"/>
        <v>314.28399999999999</v>
      </c>
    </row>
    <row r="148" spans="1:18" ht="21.75" hidden="1" customHeight="1">
      <c r="A148" s="14">
        <f>SUBTOTAL(103,$C$5:C148)</f>
        <v>0</v>
      </c>
      <c r="B148" s="10">
        <v>11</v>
      </c>
      <c r="C148" s="114" t="s">
        <v>8</v>
      </c>
      <c r="D148" s="62" t="str">
        <f>VLOOKUP(C148,'Location Summary'!$C$4:$D$603,2,0)</f>
        <v>DB2+3</v>
      </c>
      <c r="E148" s="62" t="s">
        <v>403</v>
      </c>
      <c r="F148" s="107">
        <v>45605</v>
      </c>
      <c r="G148" s="107">
        <v>45616</v>
      </c>
      <c r="H148" s="60" t="s">
        <v>992</v>
      </c>
      <c r="I148" s="62">
        <f t="shared" si="22"/>
        <v>566.29</v>
      </c>
      <c r="J148" s="10">
        <f t="shared" si="23"/>
        <v>7.34</v>
      </c>
      <c r="K148" s="10">
        <f t="shared" si="24"/>
        <v>86.35</v>
      </c>
      <c r="L148" s="10">
        <f t="shared" si="25"/>
        <v>4.2603999999999997</v>
      </c>
      <c r="M148" s="10">
        <f t="shared" si="26"/>
        <v>1.768</v>
      </c>
      <c r="N148" s="448">
        <f t="shared" si="27"/>
        <v>16.2</v>
      </c>
      <c r="O148" s="112" t="s">
        <v>1081</v>
      </c>
      <c r="P148" s="554" t="s">
        <v>765</v>
      </c>
      <c r="Q148" s="973" t="s">
        <v>255</v>
      </c>
      <c r="R148" s="13">
        <f t="shared" si="28"/>
        <v>723.096</v>
      </c>
    </row>
    <row r="149" spans="1:18" ht="21.75" hidden="1" customHeight="1">
      <c r="A149" s="14">
        <f>SUBTOTAL(103,$C$5:C149)</f>
        <v>0</v>
      </c>
      <c r="B149" s="10">
        <v>12</v>
      </c>
      <c r="C149" s="114" t="s">
        <v>614</v>
      </c>
      <c r="D149" s="62" t="str">
        <f>VLOOKUP(C149,'Location Summary'!$C$4:$D$603,2,0)</f>
        <v>DA+1.5</v>
      </c>
      <c r="E149" s="62" t="s">
        <v>403</v>
      </c>
      <c r="F149" s="107">
        <v>45603</v>
      </c>
      <c r="G149" s="107">
        <v>45616</v>
      </c>
      <c r="H149" s="60" t="s">
        <v>1162</v>
      </c>
      <c r="I149" s="62">
        <f t="shared" si="22"/>
        <v>289.83999999999997</v>
      </c>
      <c r="J149" s="10">
        <f t="shared" si="23"/>
        <v>3.61</v>
      </c>
      <c r="K149" s="10">
        <f t="shared" si="24"/>
        <v>37.299999999999997</v>
      </c>
      <c r="L149" s="10">
        <f t="shared" si="25"/>
        <v>2.093</v>
      </c>
      <c r="M149" s="10">
        <f t="shared" si="26"/>
        <v>0.86599999999999999</v>
      </c>
      <c r="N149" s="448">
        <f t="shared" si="27"/>
        <v>7.39</v>
      </c>
      <c r="O149" s="112" t="s">
        <v>791</v>
      </c>
      <c r="P149" s="554" t="s">
        <v>912</v>
      </c>
      <c r="Q149" s="973" t="s">
        <v>255</v>
      </c>
      <c r="R149" s="13">
        <f t="shared" si="28"/>
        <v>314.28399999999999</v>
      </c>
    </row>
    <row r="150" spans="1:18" ht="21.75" hidden="1" customHeight="1">
      <c r="A150" s="14">
        <f>SUBTOTAL(103,$C$5:C150)</f>
        <v>0</v>
      </c>
      <c r="B150" s="10">
        <v>13</v>
      </c>
      <c r="C150" s="114" t="s">
        <v>605</v>
      </c>
      <c r="D150" s="62" t="str">
        <f>VLOOKUP(C150,'Location Summary'!$C$4:$D$603,2,0)</f>
        <v>DA+3</v>
      </c>
      <c r="E150" s="62" t="s">
        <v>403</v>
      </c>
      <c r="F150" s="107">
        <v>45614</v>
      </c>
      <c r="G150" s="107">
        <v>45617</v>
      </c>
      <c r="H150" s="60" t="s">
        <v>972</v>
      </c>
      <c r="I150" s="62">
        <f t="shared" si="22"/>
        <v>289.83999999999997</v>
      </c>
      <c r="J150" s="10">
        <f t="shared" si="23"/>
        <v>3.61</v>
      </c>
      <c r="K150" s="10">
        <f t="shared" si="24"/>
        <v>37.299999999999997</v>
      </c>
      <c r="L150" s="10">
        <f t="shared" si="25"/>
        <v>2.093</v>
      </c>
      <c r="M150" s="10">
        <f t="shared" si="26"/>
        <v>0.86599999999999999</v>
      </c>
      <c r="N150" s="448">
        <f t="shared" si="27"/>
        <v>7.39</v>
      </c>
      <c r="O150" s="112" t="s">
        <v>1147</v>
      </c>
      <c r="P150" s="554" t="s">
        <v>912</v>
      </c>
      <c r="Q150" s="973" t="s">
        <v>255</v>
      </c>
      <c r="R150" s="13">
        <f t="shared" si="28"/>
        <v>314.28399999999999</v>
      </c>
    </row>
    <row r="151" spans="1:18" ht="21.75" hidden="1" customHeight="1">
      <c r="A151" s="14">
        <f>SUBTOTAL(103,$C$5:C151)</f>
        <v>0</v>
      </c>
      <c r="B151" s="10">
        <v>14</v>
      </c>
      <c r="C151" s="114" t="s">
        <v>615</v>
      </c>
      <c r="D151" s="62" t="str">
        <f>VLOOKUP(C151,'Location Summary'!$C$4:$D$603,2,0)</f>
        <v>DA+0</v>
      </c>
      <c r="E151" s="62" t="s">
        <v>403</v>
      </c>
      <c r="F151" s="107">
        <v>45611</v>
      </c>
      <c r="G151" s="107">
        <v>45617</v>
      </c>
      <c r="H151" s="60" t="s">
        <v>1162</v>
      </c>
      <c r="I151" s="62">
        <f t="shared" si="22"/>
        <v>271.04000000000002</v>
      </c>
      <c r="J151" s="10">
        <f t="shared" si="23"/>
        <v>3.36</v>
      </c>
      <c r="K151" s="10">
        <f t="shared" si="24"/>
        <v>34.15</v>
      </c>
      <c r="L151" s="10">
        <f t="shared" si="25"/>
        <v>1.599</v>
      </c>
      <c r="M151" s="10">
        <f t="shared" si="26"/>
        <v>0.86599999999999999</v>
      </c>
      <c r="N151" s="448">
        <f t="shared" si="27"/>
        <v>6.49</v>
      </c>
      <c r="O151" s="112" t="s">
        <v>791</v>
      </c>
      <c r="P151" s="554" t="s">
        <v>912</v>
      </c>
      <c r="Q151" s="973" t="s">
        <v>255</v>
      </c>
      <c r="R151" s="13">
        <f t="shared" si="28"/>
        <v>287.98399999999998</v>
      </c>
    </row>
    <row r="152" spans="1:18" ht="21.75" hidden="1" customHeight="1">
      <c r="A152" s="14">
        <f>SUBTOTAL(103,$C$5:C152)</f>
        <v>0</v>
      </c>
      <c r="B152" s="10">
        <v>15</v>
      </c>
      <c r="C152" s="114" t="s">
        <v>491</v>
      </c>
      <c r="D152" s="62" t="str">
        <f>VLOOKUP(C152,'Location Summary'!$C$4:$D$603,2,0)</f>
        <v>DB1+6</v>
      </c>
      <c r="E152" s="62" t="s">
        <v>403</v>
      </c>
      <c r="F152" s="107">
        <v>45604</v>
      </c>
      <c r="G152" s="107">
        <v>45618</v>
      </c>
      <c r="H152" s="60" t="s">
        <v>988</v>
      </c>
      <c r="I152" s="62">
        <f t="shared" si="22"/>
        <v>484.04</v>
      </c>
      <c r="J152" s="10">
        <f t="shared" si="23"/>
        <v>6.23</v>
      </c>
      <c r="K152" s="10">
        <f t="shared" si="24"/>
        <v>70.319999999999993</v>
      </c>
      <c r="L152" s="10">
        <f t="shared" si="25"/>
        <v>3.3719999999999999</v>
      </c>
      <c r="M152" s="10">
        <f t="shared" si="26"/>
        <v>1.768</v>
      </c>
      <c r="N152" s="448">
        <f t="shared" si="27"/>
        <v>13.2</v>
      </c>
      <c r="O152" s="112" t="s">
        <v>1145</v>
      </c>
      <c r="P152" s="554" t="s">
        <v>1104</v>
      </c>
      <c r="Q152" s="973" t="s">
        <v>255</v>
      </c>
      <c r="R152" s="13">
        <f t="shared" si="28"/>
        <v>589.97199999999998</v>
      </c>
    </row>
    <row r="153" spans="1:18" ht="21.75" hidden="1" customHeight="1">
      <c r="A153" s="14">
        <f>SUBTOTAL(103,$C$5:C153)</f>
        <v>0</v>
      </c>
      <c r="B153" s="10">
        <v>16</v>
      </c>
      <c r="C153" s="114" t="s">
        <v>166</v>
      </c>
      <c r="D153" s="62" t="str">
        <f>VLOOKUP(C153,'Location Summary'!$C$4:$D$603,2,0)</f>
        <v>DB1+6</v>
      </c>
      <c r="E153" s="62" t="s">
        <v>403</v>
      </c>
      <c r="F153" s="107">
        <v>45607</v>
      </c>
      <c r="G153" s="107">
        <v>45619</v>
      </c>
      <c r="H153" s="60" t="s">
        <v>692</v>
      </c>
      <c r="I153" s="62">
        <f t="shared" si="22"/>
        <v>484.04</v>
      </c>
      <c r="J153" s="10">
        <f t="shared" si="23"/>
        <v>6.23</v>
      </c>
      <c r="K153" s="10">
        <f t="shared" si="24"/>
        <v>70.319999999999993</v>
      </c>
      <c r="L153" s="10">
        <f t="shared" si="25"/>
        <v>3.3719999999999999</v>
      </c>
      <c r="M153" s="10">
        <f t="shared" si="26"/>
        <v>1.768</v>
      </c>
      <c r="N153" s="448">
        <f t="shared" si="27"/>
        <v>13.2</v>
      </c>
      <c r="O153" s="112" t="s">
        <v>1146</v>
      </c>
      <c r="P153" s="554" t="s">
        <v>765</v>
      </c>
      <c r="Q153" s="973" t="s">
        <v>255</v>
      </c>
      <c r="R153" s="13">
        <f t="shared" si="28"/>
        <v>589.97199999999998</v>
      </c>
    </row>
    <row r="154" spans="1:18" ht="21.75" hidden="1" customHeight="1">
      <c r="A154" s="14">
        <f>SUBTOTAL(103,$C$5:C154)</f>
        <v>0</v>
      </c>
      <c r="B154" s="10">
        <v>17</v>
      </c>
      <c r="C154" s="114" t="s">
        <v>616</v>
      </c>
      <c r="D154" s="62" t="str">
        <f>VLOOKUP(C154,'Location Summary'!$C$4:$D$603,2,0)</f>
        <v>DA+3</v>
      </c>
      <c r="E154" s="62" t="s">
        <v>403</v>
      </c>
      <c r="F154" s="107">
        <v>45617</v>
      </c>
      <c r="G154" s="107">
        <v>45619</v>
      </c>
      <c r="H154" s="60" t="s">
        <v>1162</v>
      </c>
      <c r="I154" s="62">
        <f t="shared" si="22"/>
        <v>289.83999999999997</v>
      </c>
      <c r="J154" s="10">
        <f t="shared" si="23"/>
        <v>3.61</v>
      </c>
      <c r="K154" s="10">
        <f t="shared" si="24"/>
        <v>37.299999999999997</v>
      </c>
      <c r="L154" s="10">
        <f t="shared" si="25"/>
        <v>2.093</v>
      </c>
      <c r="M154" s="10">
        <f t="shared" si="26"/>
        <v>0.86599999999999999</v>
      </c>
      <c r="N154" s="448">
        <f t="shared" si="27"/>
        <v>7.39</v>
      </c>
      <c r="O154" s="112" t="s">
        <v>791</v>
      </c>
      <c r="P154" s="554" t="s">
        <v>912</v>
      </c>
      <c r="Q154" s="973" t="s">
        <v>255</v>
      </c>
      <c r="R154" s="13">
        <f t="shared" si="28"/>
        <v>314.28399999999999</v>
      </c>
    </row>
    <row r="155" spans="1:18" ht="21.75" hidden="1" customHeight="1">
      <c r="A155" s="14">
        <f>SUBTOTAL(103,$C$5:C155)</f>
        <v>0</v>
      </c>
      <c r="B155" s="10">
        <v>18</v>
      </c>
      <c r="C155" s="114" t="s">
        <v>254</v>
      </c>
      <c r="D155" s="62" t="str">
        <f>VLOOKUP(C155,'Location Summary'!$C$4:$D$603,2,0)</f>
        <v>DA+6</v>
      </c>
      <c r="E155" s="62" t="s">
        <v>403</v>
      </c>
      <c r="F155" s="107">
        <v>45617</v>
      </c>
      <c r="G155" s="107">
        <v>45620</v>
      </c>
      <c r="H155" s="60" t="s">
        <v>1140</v>
      </c>
      <c r="I155" s="62">
        <f t="shared" si="22"/>
        <v>289.83999999999997</v>
      </c>
      <c r="J155" s="10">
        <f t="shared" si="23"/>
        <v>3.61</v>
      </c>
      <c r="K155" s="10">
        <f t="shared" si="24"/>
        <v>37.299999999999997</v>
      </c>
      <c r="L155" s="10">
        <f t="shared" si="25"/>
        <v>2.093</v>
      </c>
      <c r="M155" s="10">
        <f t="shared" si="26"/>
        <v>0.86599999999999999</v>
      </c>
      <c r="N155" s="448">
        <f t="shared" si="27"/>
        <v>7.39</v>
      </c>
      <c r="O155" s="112" t="s">
        <v>1148</v>
      </c>
      <c r="P155" s="554" t="s">
        <v>1104</v>
      </c>
      <c r="Q155" s="973" t="s">
        <v>255</v>
      </c>
      <c r="R155" s="13">
        <f t="shared" si="28"/>
        <v>314.28399999999999</v>
      </c>
    </row>
    <row r="156" spans="1:18" ht="21.75" hidden="1" customHeight="1">
      <c r="A156" s="14">
        <f>SUBTOTAL(103,$C$5:C156)</f>
        <v>0</v>
      </c>
      <c r="B156" s="10">
        <v>19</v>
      </c>
      <c r="C156" s="114" t="s">
        <v>613</v>
      </c>
      <c r="D156" s="62" t="str">
        <f>VLOOKUP(C156,'Location Summary'!$C$4:$D$603,2,0)</f>
        <v>DA+9</v>
      </c>
      <c r="E156" s="62" t="s">
        <v>403</v>
      </c>
      <c r="F156" s="107">
        <v>45617</v>
      </c>
      <c r="G156" s="107">
        <v>45622</v>
      </c>
      <c r="H156" s="60" t="s">
        <v>1162</v>
      </c>
      <c r="I156" s="62">
        <f t="shared" si="22"/>
        <v>289.83999999999997</v>
      </c>
      <c r="J156" s="10">
        <f t="shared" si="23"/>
        <v>3.61</v>
      </c>
      <c r="K156" s="10">
        <f t="shared" si="24"/>
        <v>37.299999999999997</v>
      </c>
      <c r="L156" s="10">
        <f t="shared" si="25"/>
        <v>2.093</v>
      </c>
      <c r="M156" s="10">
        <f t="shared" si="26"/>
        <v>0.86599999999999999</v>
      </c>
      <c r="N156" s="448">
        <f t="shared" si="27"/>
        <v>7.39</v>
      </c>
      <c r="O156" s="112" t="s">
        <v>791</v>
      </c>
      <c r="P156" s="554" t="s">
        <v>912</v>
      </c>
      <c r="Q156" s="973" t="s">
        <v>255</v>
      </c>
      <c r="R156" s="13">
        <f t="shared" si="28"/>
        <v>314.28399999999999</v>
      </c>
    </row>
    <row r="157" spans="1:18" ht="21.75" hidden="1" customHeight="1">
      <c r="A157" s="14">
        <f>SUBTOTAL(103,$C$5:C157)</f>
        <v>0</v>
      </c>
      <c r="B157" s="10">
        <v>20</v>
      </c>
      <c r="C157" s="114" t="s">
        <v>591</v>
      </c>
      <c r="D157" s="62" t="str">
        <f>VLOOKUP(C157,'Location Summary'!$C$4:$D$603,2,0)</f>
        <v>DA+9</v>
      </c>
      <c r="E157" s="62" t="s">
        <v>403</v>
      </c>
      <c r="F157" s="107">
        <v>45617</v>
      </c>
      <c r="G157" s="107">
        <v>45623</v>
      </c>
      <c r="H157" s="60" t="s">
        <v>992</v>
      </c>
      <c r="I157" s="62">
        <f t="shared" si="22"/>
        <v>289.83999999999997</v>
      </c>
      <c r="J157" s="10">
        <f t="shared" si="23"/>
        <v>3.61</v>
      </c>
      <c r="K157" s="10">
        <f t="shared" si="24"/>
        <v>37.299999999999997</v>
      </c>
      <c r="L157" s="10">
        <f t="shared" si="25"/>
        <v>2.093</v>
      </c>
      <c r="M157" s="10">
        <f t="shared" si="26"/>
        <v>0.86599999999999999</v>
      </c>
      <c r="N157" s="448">
        <f t="shared" si="27"/>
        <v>7.39</v>
      </c>
      <c r="O157" s="112" t="s">
        <v>1081</v>
      </c>
      <c r="P157" s="554" t="s">
        <v>765</v>
      </c>
      <c r="Q157" s="973" t="s">
        <v>255</v>
      </c>
      <c r="R157" s="13">
        <f t="shared" si="28"/>
        <v>314.28399999999999</v>
      </c>
    </row>
    <row r="158" spans="1:18" ht="21.75" hidden="1" customHeight="1">
      <c r="A158" s="14">
        <f>SUBTOTAL(103,$C$5:C158)</f>
        <v>0</v>
      </c>
      <c r="B158" s="10">
        <v>21</v>
      </c>
      <c r="C158" s="114" t="s">
        <v>775</v>
      </c>
      <c r="D158" s="62" t="str">
        <f>VLOOKUP(C158,'Location Summary'!$C$4:$D$603,2,0)</f>
        <v>DB1+0</v>
      </c>
      <c r="E158" s="62" t="s">
        <v>403</v>
      </c>
      <c r="F158" s="107">
        <v>45616</v>
      </c>
      <c r="G158" s="107">
        <v>45623</v>
      </c>
      <c r="H158" s="60" t="s">
        <v>972</v>
      </c>
      <c r="I158" s="62">
        <f t="shared" si="22"/>
        <v>479.12</v>
      </c>
      <c r="J158" s="10">
        <f t="shared" si="23"/>
        <v>6.16</v>
      </c>
      <c r="K158" s="10">
        <f t="shared" si="24"/>
        <v>69.760000000000005</v>
      </c>
      <c r="L158" s="10">
        <f t="shared" si="25"/>
        <v>3.26</v>
      </c>
      <c r="M158" s="10">
        <f t="shared" si="26"/>
        <v>1.768</v>
      </c>
      <c r="N158" s="448">
        <f t="shared" si="27"/>
        <v>13.01</v>
      </c>
      <c r="O158" s="112" t="s">
        <v>1147</v>
      </c>
      <c r="P158" s="554" t="s">
        <v>912</v>
      </c>
      <c r="Q158" s="973" t="s">
        <v>255</v>
      </c>
      <c r="R158" s="13">
        <f t="shared" si="28"/>
        <v>585.18400000000008</v>
      </c>
    </row>
    <row r="159" spans="1:18" ht="21.75" hidden="1" customHeight="1">
      <c r="A159" s="14">
        <f>SUBTOTAL(103,$C$5:C159)</f>
        <v>0</v>
      </c>
      <c r="B159" s="10">
        <v>22</v>
      </c>
      <c r="C159" s="114" t="s">
        <v>253</v>
      </c>
      <c r="D159" s="62" t="str">
        <f>VLOOKUP(C159,'Location Summary'!$C$4:$D$603,2,0)</f>
        <v>DA-3</v>
      </c>
      <c r="E159" s="62" t="s">
        <v>403</v>
      </c>
      <c r="F159" s="107">
        <v>45621</v>
      </c>
      <c r="G159" s="107">
        <v>45625</v>
      </c>
      <c r="H159" s="60" t="s">
        <v>1140</v>
      </c>
      <c r="I159" s="62">
        <f t="shared" si="22"/>
        <v>271.04000000000002</v>
      </c>
      <c r="J159" s="10">
        <f t="shared" si="23"/>
        <v>3.36</v>
      </c>
      <c r="K159" s="10">
        <f t="shared" si="24"/>
        <v>34.15</v>
      </c>
      <c r="L159" s="10">
        <f t="shared" si="25"/>
        <v>1.599</v>
      </c>
      <c r="M159" s="10">
        <f t="shared" si="26"/>
        <v>0.86599999999999999</v>
      </c>
      <c r="N159" s="448">
        <f t="shared" si="27"/>
        <v>6.49</v>
      </c>
      <c r="O159" s="112" t="s">
        <v>1148</v>
      </c>
      <c r="P159" s="554" t="s">
        <v>1104</v>
      </c>
      <c r="Q159" s="973" t="s">
        <v>255</v>
      </c>
      <c r="R159" s="13">
        <f t="shared" si="28"/>
        <v>287.98399999999998</v>
      </c>
    </row>
    <row r="160" spans="1:18" ht="21.75" hidden="1" customHeight="1">
      <c r="A160" s="14">
        <f>SUBTOTAL(103,$C$5:C160)</f>
        <v>0</v>
      </c>
      <c r="B160" s="10">
        <v>23</v>
      </c>
      <c r="C160" s="114" t="s">
        <v>612</v>
      </c>
      <c r="D160" s="62" t="str">
        <f>VLOOKUP(C160,'Location Summary'!$C$4:$D$603,2,0)</f>
        <v>DA+6</v>
      </c>
      <c r="E160" s="62" t="s">
        <v>403</v>
      </c>
      <c r="F160" s="107">
        <v>45619</v>
      </c>
      <c r="G160" s="107">
        <v>45625</v>
      </c>
      <c r="H160" s="60" t="s">
        <v>1162</v>
      </c>
      <c r="I160" s="62">
        <f t="shared" si="22"/>
        <v>289.83999999999997</v>
      </c>
      <c r="J160" s="10">
        <f t="shared" si="23"/>
        <v>3.61</v>
      </c>
      <c r="K160" s="10">
        <f t="shared" si="24"/>
        <v>37.299999999999997</v>
      </c>
      <c r="L160" s="10">
        <f t="shared" si="25"/>
        <v>2.093</v>
      </c>
      <c r="M160" s="10">
        <f t="shared" si="26"/>
        <v>0.86599999999999999</v>
      </c>
      <c r="N160" s="448">
        <f t="shared" si="27"/>
        <v>7.39</v>
      </c>
      <c r="O160" s="112" t="s">
        <v>791</v>
      </c>
      <c r="P160" s="554" t="s">
        <v>912</v>
      </c>
      <c r="Q160" s="973" t="s">
        <v>255</v>
      </c>
      <c r="R160" s="13">
        <f t="shared" si="28"/>
        <v>314.28399999999999</v>
      </c>
    </row>
    <row r="161" spans="1:18" ht="21.75" hidden="1" customHeight="1">
      <c r="A161" s="14">
        <f>SUBTOTAL(103,$C$5:C161)</f>
        <v>0</v>
      </c>
      <c r="B161" s="10">
        <v>24</v>
      </c>
      <c r="C161" s="114" t="s">
        <v>611</v>
      </c>
      <c r="D161" s="62" t="str">
        <f>VLOOKUP(C161,'Location Summary'!$C$4:$D$603,2,0)</f>
        <v>DA+3</v>
      </c>
      <c r="E161" s="62" t="s">
        <v>403</v>
      </c>
      <c r="F161" s="107">
        <v>45623</v>
      </c>
      <c r="G161" s="107">
        <v>45626</v>
      </c>
      <c r="H161" s="60" t="s">
        <v>1161</v>
      </c>
      <c r="I161" s="62">
        <f t="shared" si="22"/>
        <v>289.83999999999997</v>
      </c>
      <c r="J161" s="10">
        <f t="shared" si="23"/>
        <v>3.61</v>
      </c>
      <c r="K161" s="10">
        <f t="shared" si="24"/>
        <v>37.299999999999997</v>
      </c>
      <c r="L161" s="10">
        <f t="shared" si="25"/>
        <v>2.093</v>
      </c>
      <c r="M161" s="10">
        <f t="shared" si="26"/>
        <v>0.86599999999999999</v>
      </c>
      <c r="N161" s="448">
        <f t="shared" si="27"/>
        <v>7.39</v>
      </c>
      <c r="O161" s="112" t="s">
        <v>791</v>
      </c>
      <c r="P161" s="554" t="s">
        <v>912</v>
      </c>
      <c r="Q161" s="973" t="s">
        <v>255</v>
      </c>
      <c r="R161" s="13">
        <f t="shared" si="28"/>
        <v>314.28399999999999</v>
      </c>
    </row>
    <row r="162" spans="1:18" ht="21.75" hidden="1" customHeight="1">
      <c r="A162" s="14">
        <f>SUBTOTAL(103,$C$5:C162)</f>
        <v>0</v>
      </c>
      <c r="B162" s="10">
        <v>1</v>
      </c>
      <c r="C162" s="114" t="s">
        <v>477</v>
      </c>
      <c r="D162" s="62" t="str">
        <f>VLOOKUP(C162,'Location Summary'!$C$4:$D$603,2,0)</f>
        <v>DA+6</v>
      </c>
      <c r="E162" s="62" t="s">
        <v>403</v>
      </c>
      <c r="F162" s="107">
        <v>45620</v>
      </c>
      <c r="G162" s="107">
        <v>45627</v>
      </c>
      <c r="H162" s="60" t="s">
        <v>988</v>
      </c>
      <c r="I162" s="62">
        <f t="shared" si="22"/>
        <v>289.83999999999997</v>
      </c>
      <c r="J162" s="10">
        <f t="shared" si="23"/>
        <v>3.61</v>
      </c>
      <c r="K162" s="10">
        <f t="shared" si="24"/>
        <v>37.299999999999997</v>
      </c>
      <c r="L162" s="10">
        <f t="shared" si="25"/>
        <v>2.093</v>
      </c>
      <c r="M162" s="10">
        <f t="shared" si="26"/>
        <v>0.86599999999999999</v>
      </c>
      <c r="N162" s="448">
        <f t="shared" si="27"/>
        <v>7.39</v>
      </c>
      <c r="O162" s="112" t="s">
        <v>1145</v>
      </c>
      <c r="P162" s="554" t="s">
        <v>1104</v>
      </c>
      <c r="Q162" s="973" t="s">
        <v>255</v>
      </c>
      <c r="R162" s="13">
        <f t="shared" si="28"/>
        <v>314.28399999999999</v>
      </c>
    </row>
    <row r="163" spans="1:18" ht="21.75" hidden="1" customHeight="1">
      <c r="A163" s="14">
        <f>SUBTOTAL(103,$C$5:C163)</f>
        <v>0</v>
      </c>
      <c r="B163" s="10">
        <v>2</v>
      </c>
      <c r="C163" s="114" t="s">
        <v>72</v>
      </c>
      <c r="D163" s="62" t="str">
        <f>VLOOKUP(C163,'Location Summary'!$C$4:$D$603,2,0)</f>
        <v>DB1+3</v>
      </c>
      <c r="E163" s="62" t="s">
        <v>403</v>
      </c>
      <c r="F163" s="107">
        <v>45622</v>
      </c>
      <c r="G163" s="107">
        <v>45630</v>
      </c>
      <c r="H163" s="60" t="s">
        <v>972</v>
      </c>
      <c r="I163" s="62">
        <f t="shared" si="22"/>
        <v>484.04</v>
      </c>
      <c r="J163" s="10">
        <f t="shared" si="23"/>
        <v>6.23</v>
      </c>
      <c r="K163" s="10">
        <f t="shared" si="24"/>
        <v>70.319999999999993</v>
      </c>
      <c r="L163" s="10">
        <f t="shared" si="25"/>
        <v>3.3719999999999999</v>
      </c>
      <c r="M163" s="10">
        <f t="shared" si="26"/>
        <v>1.768</v>
      </c>
      <c r="N163" s="448">
        <f t="shared" si="27"/>
        <v>13.2</v>
      </c>
      <c r="O163" s="112" t="s">
        <v>1147</v>
      </c>
      <c r="P163" s="554" t="s">
        <v>912</v>
      </c>
      <c r="Q163" s="973" t="s">
        <v>255</v>
      </c>
      <c r="R163" s="13">
        <f t="shared" si="28"/>
        <v>589.97199999999998</v>
      </c>
    </row>
    <row r="164" spans="1:18" ht="21.75" hidden="1" customHeight="1">
      <c r="A164" s="14">
        <f>SUBTOTAL(103,$C$5:C164)</f>
        <v>0</v>
      </c>
      <c r="B164" s="10">
        <v>3</v>
      </c>
      <c r="C164" s="114" t="s">
        <v>251</v>
      </c>
      <c r="D164" s="62" t="str">
        <f>VLOOKUP(C164,'Location Summary'!$C$4:$D$603,2,0)</f>
        <v>DA+9</v>
      </c>
      <c r="E164" s="62" t="s">
        <v>403</v>
      </c>
      <c r="F164" s="107">
        <v>45626</v>
      </c>
      <c r="G164" s="107">
        <v>45630</v>
      </c>
      <c r="H164" s="60" t="s">
        <v>1140</v>
      </c>
      <c r="I164" s="62">
        <f t="shared" si="22"/>
        <v>289.83999999999997</v>
      </c>
      <c r="J164" s="10">
        <f t="shared" si="23"/>
        <v>3.61</v>
      </c>
      <c r="K164" s="10">
        <f t="shared" si="24"/>
        <v>37.299999999999997</v>
      </c>
      <c r="L164" s="10">
        <f t="shared" si="25"/>
        <v>2.093</v>
      </c>
      <c r="M164" s="10">
        <f t="shared" si="26"/>
        <v>0.86599999999999999</v>
      </c>
      <c r="N164" s="448">
        <f t="shared" si="27"/>
        <v>7.39</v>
      </c>
      <c r="O164" s="112" t="s">
        <v>1148</v>
      </c>
      <c r="P164" s="554" t="s">
        <v>1104</v>
      </c>
      <c r="Q164" s="973" t="s">
        <v>255</v>
      </c>
      <c r="R164" s="13">
        <f t="shared" si="28"/>
        <v>314.28399999999999</v>
      </c>
    </row>
    <row r="165" spans="1:18" ht="21.75" hidden="1" customHeight="1">
      <c r="A165" s="14">
        <f>SUBTOTAL(103,$C$5:C165)</f>
        <v>0</v>
      </c>
      <c r="B165" s="10">
        <v>4</v>
      </c>
      <c r="C165" s="114" t="s">
        <v>71</v>
      </c>
      <c r="D165" s="62" t="str">
        <f>VLOOKUP(C165,'Location Summary'!$C$4:$D$603,2,0)</f>
        <v>DB2+0</v>
      </c>
      <c r="E165" s="62" t="s">
        <v>403</v>
      </c>
      <c r="F165" s="107">
        <v>45623</v>
      </c>
      <c r="G165" s="107">
        <v>45632</v>
      </c>
      <c r="H165" s="60" t="s">
        <v>992</v>
      </c>
      <c r="I165" s="62">
        <f t="shared" si="22"/>
        <v>560.96</v>
      </c>
      <c r="J165" s="10">
        <f t="shared" si="23"/>
        <v>7.27</v>
      </c>
      <c r="K165" s="10">
        <f t="shared" si="24"/>
        <v>85.67</v>
      </c>
      <c r="L165" s="10">
        <f t="shared" si="25"/>
        <v>4.1547999999999998</v>
      </c>
      <c r="M165" s="10">
        <f t="shared" si="26"/>
        <v>1.768</v>
      </c>
      <c r="N165" s="448">
        <f t="shared" ref="N165:N199" si="29">ROUND((I165*230.35+J165*10150.5+K165*11591.45+L165*93958.18+M165*7677.44)/10^5,2)</f>
        <v>16</v>
      </c>
      <c r="O165" s="112" t="s">
        <v>1081</v>
      </c>
      <c r="P165" s="554" t="s">
        <v>765</v>
      </c>
      <c r="Q165" s="973" t="s">
        <v>255</v>
      </c>
      <c r="R165" s="13">
        <f t="shared" si="28"/>
        <v>717.34799999999996</v>
      </c>
    </row>
    <row r="166" spans="1:18" ht="21.75" hidden="1" customHeight="1">
      <c r="A166" s="14">
        <f>SUBTOTAL(103,$C$5:C166)</f>
        <v>0</v>
      </c>
      <c r="B166" s="10">
        <v>5</v>
      </c>
      <c r="C166" s="114" t="s">
        <v>609</v>
      </c>
      <c r="D166" s="62" t="str">
        <f>VLOOKUP(C166,'Location Summary'!$C$4:$D$603,2,0)</f>
        <v>DA+3</v>
      </c>
      <c r="E166" s="62" t="s">
        <v>403</v>
      </c>
      <c r="F166" s="107">
        <v>45625</v>
      </c>
      <c r="G166" s="107">
        <v>45632</v>
      </c>
      <c r="H166" s="60" t="s">
        <v>1162</v>
      </c>
      <c r="I166" s="62">
        <f t="shared" si="22"/>
        <v>289.83999999999997</v>
      </c>
      <c r="J166" s="10">
        <f t="shared" si="23"/>
        <v>3.61</v>
      </c>
      <c r="K166" s="10">
        <f t="shared" si="24"/>
        <v>37.299999999999997</v>
      </c>
      <c r="L166" s="10">
        <f t="shared" si="25"/>
        <v>2.093</v>
      </c>
      <c r="M166" s="10">
        <f t="shared" si="26"/>
        <v>0.86599999999999999</v>
      </c>
      <c r="N166" s="448">
        <f t="shared" si="29"/>
        <v>7.39</v>
      </c>
      <c r="O166" s="112" t="s">
        <v>791</v>
      </c>
      <c r="P166" s="554" t="s">
        <v>912</v>
      </c>
      <c r="Q166" s="973" t="s">
        <v>255</v>
      </c>
      <c r="R166" s="13">
        <f t="shared" si="28"/>
        <v>314.28399999999999</v>
      </c>
    </row>
    <row r="167" spans="1:18" ht="21.75" hidden="1" customHeight="1">
      <c r="A167" s="14">
        <f>SUBTOTAL(103,$C$5:C167)</f>
        <v>0</v>
      </c>
      <c r="B167" s="10">
        <v>6</v>
      </c>
      <c r="C167" s="114" t="s">
        <v>252</v>
      </c>
      <c r="D167" s="62" t="str">
        <f>VLOOKUP(C167,'Location Summary'!$C$4:$D$603,2,0)</f>
        <v>DA+0</v>
      </c>
      <c r="E167" s="62" t="s">
        <v>403</v>
      </c>
      <c r="F167" s="107">
        <v>45601</v>
      </c>
      <c r="G167" s="107">
        <v>45633</v>
      </c>
      <c r="H167" s="60" t="s">
        <v>1140</v>
      </c>
      <c r="I167" s="62">
        <f t="shared" si="22"/>
        <v>271.04000000000002</v>
      </c>
      <c r="J167" s="10">
        <f t="shared" si="23"/>
        <v>3.36</v>
      </c>
      <c r="K167" s="10">
        <f t="shared" si="24"/>
        <v>34.15</v>
      </c>
      <c r="L167" s="10">
        <f t="shared" si="25"/>
        <v>1.599</v>
      </c>
      <c r="M167" s="10">
        <f t="shared" si="26"/>
        <v>0.86599999999999999</v>
      </c>
      <c r="N167" s="448">
        <f t="shared" si="29"/>
        <v>6.49</v>
      </c>
      <c r="O167" s="112" t="s">
        <v>1163</v>
      </c>
      <c r="P167" s="554" t="s">
        <v>1104</v>
      </c>
      <c r="Q167" s="973" t="s">
        <v>255</v>
      </c>
      <c r="R167" s="13">
        <f t="shared" si="28"/>
        <v>287.98399999999998</v>
      </c>
    </row>
    <row r="168" spans="1:18" ht="21.75" hidden="1" customHeight="1">
      <c r="A168" s="14">
        <f>SUBTOTAL(103,$C$5:C168)</f>
        <v>0</v>
      </c>
      <c r="B168" s="10">
        <v>7</v>
      </c>
      <c r="C168" s="114" t="s">
        <v>781</v>
      </c>
      <c r="D168" s="62" t="str">
        <f>VLOOKUP(C168,'Location Summary'!$C$4:$D$603,2,0)</f>
        <v>DA+3</v>
      </c>
      <c r="E168" s="62" t="s">
        <v>403</v>
      </c>
      <c r="F168" s="107">
        <v>45631</v>
      </c>
      <c r="G168" s="107">
        <v>45634</v>
      </c>
      <c r="H168" s="60" t="s">
        <v>972</v>
      </c>
      <c r="I168" s="62">
        <f t="shared" si="22"/>
        <v>289.83999999999997</v>
      </c>
      <c r="J168" s="10">
        <f t="shared" si="23"/>
        <v>3.61</v>
      </c>
      <c r="K168" s="10">
        <f t="shared" si="24"/>
        <v>37.299999999999997</v>
      </c>
      <c r="L168" s="10">
        <f t="shared" si="25"/>
        <v>2.093</v>
      </c>
      <c r="M168" s="10">
        <f t="shared" si="26"/>
        <v>0.86599999999999999</v>
      </c>
      <c r="N168" s="448">
        <f t="shared" si="29"/>
        <v>7.39</v>
      </c>
      <c r="O168" s="112" t="s">
        <v>1147</v>
      </c>
      <c r="P168" s="554" t="s">
        <v>912</v>
      </c>
      <c r="Q168" s="973" t="s">
        <v>255</v>
      </c>
      <c r="R168" s="13">
        <f t="shared" si="28"/>
        <v>314.28399999999999</v>
      </c>
    </row>
    <row r="169" spans="1:18" ht="21.75" hidden="1" customHeight="1">
      <c r="A169" s="14">
        <f>SUBTOTAL(103,$C$5:C169)</f>
        <v>0</v>
      </c>
      <c r="B169" s="10">
        <v>8</v>
      </c>
      <c r="C169" s="114" t="s">
        <v>610</v>
      </c>
      <c r="D169" s="62" t="str">
        <f>VLOOKUP(C169,'Location Summary'!$C$4:$D$603,2,0)</f>
        <v>DA+1.5</v>
      </c>
      <c r="E169" s="62" t="s">
        <v>403</v>
      </c>
      <c r="F169" s="107">
        <v>45632</v>
      </c>
      <c r="G169" s="107">
        <v>45634</v>
      </c>
      <c r="H169" s="60" t="s">
        <v>1162</v>
      </c>
      <c r="I169" s="62">
        <f t="shared" si="22"/>
        <v>289.83999999999997</v>
      </c>
      <c r="J169" s="10">
        <f t="shared" si="23"/>
        <v>3.61</v>
      </c>
      <c r="K169" s="10">
        <f t="shared" si="24"/>
        <v>37.299999999999997</v>
      </c>
      <c r="L169" s="10">
        <f t="shared" si="25"/>
        <v>2.093</v>
      </c>
      <c r="M169" s="10">
        <f t="shared" si="26"/>
        <v>0.86599999999999999</v>
      </c>
      <c r="N169" s="448">
        <f t="shared" si="29"/>
        <v>7.39</v>
      </c>
      <c r="O169" s="112" t="s">
        <v>791</v>
      </c>
      <c r="P169" s="554" t="s">
        <v>912</v>
      </c>
      <c r="Q169" s="973" t="s">
        <v>255</v>
      </c>
      <c r="R169" s="13">
        <f t="shared" si="28"/>
        <v>314.28399999999999</v>
      </c>
    </row>
    <row r="170" spans="1:18" ht="21.75" hidden="1" customHeight="1">
      <c r="A170" s="14">
        <f>SUBTOTAL(103,$C$5:C170)</f>
        <v>0</v>
      </c>
      <c r="B170" s="10">
        <v>9</v>
      </c>
      <c r="C170" s="114" t="s">
        <v>436</v>
      </c>
      <c r="D170" s="62" t="str">
        <f>VLOOKUP(C170,'Location Summary'!$C$4:$D$603,2,0)</f>
        <v>DA+3</v>
      </c>
      <c r="E170" s="62" t="s">
        <v>403</v>
      </c>
      <c r="F170" s="107">
        <v>45628</v>
      </c>
      <c r="G170" s="107">
        <v>45636</v>
      </c>
      <c r="H170" s="60" t="s">
        <v>992</v>
      </c>
      <c r="I170" s="62">
        <f t="shared" si="22"/>
        <v>289.83999999999997</v>
      </c>
      <c r="J170" s="10">
        <f t="shared" si="23"/>
        <v>3.61</v>
      </c>
      <c r="K170" s="10">
        <f t="shared" si="24"/>
        <v>37.299999999999997</v>
      </c>
      <c r="L170" s="10">
        <f t="shared" si="25"/>
        <v>2.093</v>
      </c>
      <c r="M170" s="10">
        <f t="shared" si="26"/>
        <v>0.86599999999999999</v>
      </c>
      <c r="N170" s="448">
        <f t="shared" si="29"/>
        <v>7.39</v>
      </c>
      <c r="O170" s="112" t="s">
        <v>1081</v>
      </c>
      <c r="P170" s="554" t="s">
        <v>765</v>
      </c>
      <c r="Q170" s="973" t="s">
        <v>255</v>
      </c>
      <c r="R170" s="13">
        <f t="shared" si="28"/>
        <v>314.28399999999999</v>
      </c>
    </row>
    <row r="171" spans="1:18" ht="21.75" hidden="1" customHeight="1">
      <c r="A171" s="14">
        <f>SUBTOTAL(103,$C$5:C171)</f>
        <v>0</v>
      </c>
      <c r="B171" s="10">
        <v>10</v>
      </c>
      <c r="C171" s="114" t="s">
        <v>207</v>
      </c>
      <c r="D171" s="62" t="str">
        <f>VLOOKUP(C171,'Location Summary'!$C$4:$D$603,2,0)</f>
        <v>DA+6</v>
      </c>
      <c r="E171" s="62" t="s">
        <v>403</v>
      </c>
      <c r="F171" s="107">
        <v>45633</v>
      </c>
      <c r="G171" s="107">
        <v>45638</v>
      </c>
      <c r="H171" s="60" t="s">
        <v>972</v>
      </c>
      <c r="I171" s="62">
        <f t="shared" si="22"/>
        <v>289.83999999999997</v>
      </c>
      <c r="J171" s="10">
        <f t="shared" si="23"/>
        <v>3.61</v>
      </c>
      <c r="K171" s="10">
        <f t="shared" si="24"/>
        <v>37.299999999999997</v>
      </c>
      <c r="L171" s="10">
        <f t="shared" si="25"/>
        <v>2.093</v>
      </c>
      <c r="M171" s="10">
        <f t="shared" si="26"/>
        <v>0.86599999999999999</v>
      </c>
      <c r="N171" s="448">
        <f t="shared" si="29"/>
        <v>7.39</v>
      </c>
      <c r="O171" s="112" t="s">
        <v>1147</v>
      </c>
      <c r="P171" s="554" t="s">
        <v>912</v>
      </c>
      <c r="Q171" s="973" t="s">
        <v>255</v>
      </c>
      <c r="R171" s="13">
        <f t="shared" si="28"/>
        <v>314.28399999999999</v>
      </c>
    </row>
    <row r="172" spans="1:18" ht="21.75" hidden="1" customHeight="1">
      <c r="A172" s="14">
        <f>SUBTOTAL(103,$C$5:C172)</f>
        <v>0</v>
      </c>
      <c r="B172" s="10">
        <v>11</v>
      </c>
      <c r="C172" s="114" t="s">
        <v>608</v>
      </c>
      <c r="D172" s="62" t="str">
        <f>VLOOKUP(C172,'Location Summary'!$C$4:$D$603,2,0)</f>
        <v>DA+0</v>
      </c>
      <c r="E172" s="62" t="s">
        <v>403</v>
      </c>
      <c r="F172" s="107">
        <v>45635</v>
      </c>
      <c r="G172" s="107">
        <v>45638</v>
      </c>
      <c r="H172" s="60" t="s">
        <v>1162</v>
      </c>
      <c r="I172" s="62">
        <f t="shared" si="22"/>
        <v>271.04000000000002</v>
      </c>
      <c r="J172" s="10">
        <f t="shared" si="23"/>
        <v>3.36</v>
      </c>
      <c r="K172" s="10">
        <f t="shared" si="24"/>
        <v>34.15</v>
      </c>
      <c r="L172" s="10">
        <f t="shared" si="25"/>
        <v>1.599</v>
      </c>
      <c r="M172" s="10">
        <f t="shared" si="26"/>
        <v>0.86599999999999999</v>
      </c>
      <c r="N172" s="448">
        <f t="shared" si="29"/>
        <v>6.49</v>
      </c>
      <c r="O172" s="112" t="s">
        <v>791</v>
      </c>
      <c r="P172" s="554" t="s">
        <v>912</v>
      </c>
      <c r="Q172" s="973" t="s">
        <v>255</v>
      </c>
      <c r="R172" s="13">
        <f t="shared" si="28"/>
        <v>287.98399999999998</v>
      </c>
    </row>
    <row r="173" spans="1:18" ht="21.75" hidden="1" customHeight="1">
      <c r="A173" s="14">
        <f>SUBTOTAL(103,$C$5:C173)</f>
        <v>0</v>
      </c>
      <c r="B173" s="10">
        <v>12</v>
      </c>
      <c r="C173" s="114" t="s">
        <v>607</v>
      </c>
      <c r="D173" s="62" t="str">
        <f>VLOOKUP(C173,'Location Summary'!$C$4:$D$603,2,0)</f>
        <v>DA+0</v>
      </c>
      <c r="E173" s="62" t="s">
        <v>403</v>
      </c>
      <c r="F173" s="107">
        <v>45637</v>
      </c>
      <c r="G173" s="107">
        <v>45639</v>
      </c>
      <c r="H173" s="60" t="s">
        <v>1162</v>
      </c>
      <c r="I173" s="62">
        <f t="shared" si="22"/>
        <v>271.04000000000002</v>
      </c>
      <c r="J173" s="10">
        <f t="shared" si="23"/>
        <v>3.36</v>
      </c>
      <c r="K173" s="10">
        <f t="shared" si="24"/>
        <v>34.15</v>
      </c>
      <c r="L173" s="10">
        <f t="shared" si="25"/>
        <v>1.599</v>
      </c>
      <c r="M173" s="10">
        <f t="shared" si="26"/>
        <v>0.86599999999999999</v>
      </c>
      <c r="N173" s="448">
        <f t="shared" si="29"/>
        <v>6.49</v>
      </c>
      <c r="O173" s="112" t="s">
        <v>791</v>
      </c>
      <c r="P173" s="554" t="s">
        <v>912</v>
      </c>
      <c r="Q173" s="973" t="s">
        <v>255</v>
      </c>
      <c r="R173" s="13">
        <f t="shared" si="28"/>
        <v>287.98399999999998</v>
      </c>
    </row>
    <row r="174" spans="1:18" ht="21.75" hidden="1" customHeight="1">
      <c r="A174" s="14">
        <f>SUBTOTAL(103,$C$5:C174)</f>
        <v>0</v>
      </c>
      <c r="B174" s="10">
        <v>13</v>
      </c>
      <c r="C174" s="114" t="s">
        <v>5</v>
      </c>
      <c r="D174" s="62" t="str">
        <f>VLOOKUP(C174,'Location Summary'!$C$4:$D$603,2,0)</f>
        <v>DA+3</v>
      </c>
      <c r="E174" s="62" t="s">
        <v>403</v>
      </c>
      <c r="F174" s="107">
        <v>45638</v>
      </c>
      <c r="G174" s="107">
        <v>45640</v>
      </c>
      <c r="H174" s="60" t="s">
        <v>972</v>
      </c>
      <c r="I174" s="62">
        <f t="shared" si="22"/>
        <v>289.83999999999997</v>
      </c>
      <c r="J174" s="10">
        <f t="shared" si="23"/>
        <v>3.61</v>
      </c>
      <c r="K174" s="10">
        <f t="shared" si="24"/>
        <v>37.299999999999997</v>
      </c>
      <c r="L174" s="10">
        <f t="shared" si="25"/>
        <v>2.093</v>
      </c>
      <c r="M174" s="10">
        <f t="shared" si="26"/>
        <v>0.86599999999999999</v>
      </c>
      <c r="N174" s="448">
        <f t="shared" si="29"/>
        <v>7.39</v>
      </c>
      <c r="O174" s="112" t="s">
        <v>1147</v>
      </c>
      <c r="P174" s="554" t="s">
        <v>912</v>
      </c>
      <c r="Q174" s="973" t="s">
        <v>255</v>
      </c>
      <c r="R174" s="13">
        <f t="shared" si="28"/>
        <v>314.28399999999999</v>
      </c>
    </row>
    <row r="175" spans="1:18" ht="21.75" hidden="1" customHeight="1">
      <c r="A175" s="14">
        <f>SUBTOTAL(103,$C$5:C175)</f>
        <v>0</v>
      </c>
      <c r="B175" s="10">
        <v>14</v>
      </c>
      <c r="C175" s="114" t="s">
        <v>618</v>
      </c>
      <c r="D175" s="62" t="str">
        <f>VLOOKUP(C175,'Location Summary'!$C$4:$D$603,2,0)</f>
        <v>DA-1.5</v>
      </c>
      <c r="E175" s="62" t="s">
        <v>403</v>
      </c>
      <c r="F175" s="107">
        <v>45626</v>
      </c>
      <c r="G175" s="107">
        <v>45641</v>
      </c>
      <c r="H175" s="60" t="s">
        <v>1167</v>
      </c>
      <c r="I175" s="62">
        <f t="shared" si="22"/>
        <v>271.04000000000002</v>
      </c>
      <c r="J175" s="10">
        <f t="shared" si="23"/>
        <v>3.36</v>
      </c>
      <c r="K175" s="10">
        <f t="shared" si="24"/>
        <v>34.15</v>
      </c>
      <c r="L175" s="10">
        <f t="shared" si="25"/>
        <v>1.599</v>
      </c>
      <c r="M175" s="10">
        <f t="shared" si="26"/>
        <v>0.86599999999999999</v>
      </c>
      <c r="N175" s="448">
        <f t="shared" si="29"/>
        <v>6.49</v>
      </c>
      <c r="O175" s="112" t="s">
        <v>791</v>
      </c>
      <c r="P175" s="554" t="s">
        <v>912</v>
      </c>
      <c r="Q175" s="973" t="s">
        <v>255</v>
      </c>
      <c r="R175" s="13">
        <f t="shared" si="28"/>
        <v>287.98399999999998</v>
      </c>
    </row>
    <row r="176" spans="1:18" ht="21.75" hidden="1" customHeight="1">
      <c r="A176" s="14">
        <f>SUBTOTAL(103,$C$5:C176)</f>
        <v>0</v>
      </c>
      <c r="B176" s="10">
        <v>15</v>
      </c>
      <c r="C176" s="114" t="s">
        <v>480</v>
      </c>
      <c r="D176" s="62" t="str">
        <f>VLOOKUP(C176,'Location Summary'!$C$4:$D$603,2,0)</f>
        <v>DA+6</v>
      </c>
      <c r="E176" s="62" t="s">
        <v>403</v>
      </c>
      <c r="F176" s="107">
        <v>45626</v>
      </c>
      <c r="G176" s="107">
        <v>45643</v>
      </c>
      <c r="H176" s="60" t="s">
        <v>988</v>
      </c>
      <c r="I176" s="62">
        <f t="shared" si="22"/>
        <v>289.83999999999997</v>
      </c>
      <c r="J176" s="10">
        <f t="shared" si="23"/>
        <v>3.61</v>
      </c>
      <c r="K176" s="10">
        <f t="shared" si="24"/>
        <v>37.299999999999997</v>
      </c>
      <c r="L176" s="10">
        <f t="shared" si="25"/>
        <v>2.093</v>
      </c>
      <c r="M176" s="10">
        <f t="shared" si="26"/>
        <v>0.86599999999999999</v>
      </c>
      <c r="N176" s="448">
        <f t="shared" si="29"/>
        <v>7.39</v>
      </c>
      <c r="O176" s="112" t="s">
        <v>1146</v>
      </c>
      <c r="P176" s="554" t="s">
        <v>1104</v>
      </c>
      <c r="Q176" s="973" t="s">
        <v>255</v>
      </c>
      <c r="R176" s="13">
        <f t="shared" si="28"/>
        <v>314.28399999999999</v>
      </c>
    </row>
    <row r="177" spans="1:18" ht="21.75" hidden="1" customHeight="1">
      <c r="A177" s="14">
        <f>SUBTOTAL(103,$C$5:C177)</f>
        <v>0</v>
      </c>
      <c r="B177" s="10">
        <v>16</v>
      </c>
      <c r="C177" s="114" t="s">
        <v>65</v>
      </c>
      <c r="D177" s="62" t="str">
        <f>VLOOKUP(C177,'Location Summary'!$C$4:$D$603,2,0)</f>
        <v>DB1+0</v>
      </c>
      <c r="E177" s="62" t="s">
        <v>403</v>
      </c>
      <c r="F177" s="107">
        <v>45637</v>
      </c>
      <c r="G177" s="107">
        <v>45644</v>
      </c>
      <c r="H177" s="60" t="s">
        <v>992</v>
      </c>
      <c r="I177" s="62">
        <f t="shared" si="22"/>
        <v>479.12</v>
      </c>
      <c r="J177" s="10">
        <f t="shared" si="23"/>
        <v>6.16</v>
      </c>
      <c r="K177" s="10">
        <f t="shared" si="24"/>
        <v>69.760000000000005</v>
      </c>
      <c r="L177" s="10">
        <f t="shared" si="25"/>
        <v>3.26</v>
      </c>
      <c r="M177" s="10">
        <f t="shared" si="26"/>
        <v>1.768</v>
      </c>
      <c r="N177" s="448">
        <f t="shared" si="29"/>
        <v>13.01</v>
      </c>
      <c r="O177" s="112" t="s">
        <v>1081</v>
      </c>
      <c r="P177" s="554" t="s">
        <v>765</v>
      </c>
      <c r="Q177" s="973" t="s">
        <v>255</v>
      </c>
      <c r="R177" s="13">
        <f t="shared" si="28"/>
        <v>585.18400000000008</v>
      </c>
    </row>
    <row r="178" spans="1:18" s="198" customFormat="1" ht="21.75" hidden="1" customHeight="1">
      <c r="A178" s="14">
        <f>SUBTOTAL(103,$C$5:C178)</f>
        <v>0</v>
      </c>
      <c r="B178" s="10">
        <v>17</v>
      </c>
      <c r="C178" s="114" t="s">
        <v>632</v>
      </c>
      <c r="D178" s="62" t="str">
        <f>VLOOKUP(C178,'Location Summary'!$C$4:$D$603,2,0)</f>
        <v>DA+3</v>
      </c>
      <c r="E178" s="62" t="s">
        <v>403</v>
      </c>
      <c r="F178" s="107">
        <v>45641</v>
      </c>
      <c r="G178" s="107">
        <v>45645</v>
      </c>
      <c r="H178" s="60" t="s">
        <v>972</v>
      </c>
      <c r="I178" s="62">
        <f t="shared" si="22"/>
        <v>289.83999999999997</v>
      </c>
      <c r="J178" s="10">
        <f t="shared" si="23"/>
        <v>3.61</v>
      </c>
      <c r="K178" s="10">
        <f t="shared" si="24"/>
        <v>37.299999999999997</v>
      </c>
      <c r="L178" s="10">
        <f t="shared" si="25"/>
        <v>2.093</v>
      </c>
      <c r="M178" s="10">
        <f t="shared" si="26"/>
        <v>0.86599999999999999</v>
      </c>
      <c r="N178" s="448">
        <f t="shared" si="29"/>
        <v>7.39</v>
      </c>
      <c r="O178" s="112" t="s">
        <v>1147</v>
      </c>
      <c r="P178" s="554" t="s">
        <v>912</v>
      </c>
      <c r="Q178" s="973" t="s">
        <v>255</v>
      </c>
      <c r="R178" s="13">
        <f t="shared" si="28"/>
        <v>314.28399999999999</v>
      </c>
    </row>
    <row r="179" spans="1:18" s="198" customFormat="1" ht="21.75" hidden="1" customHeight="1">
      <c r="A179" s="14">
        <f>SUBTOTAL(103,$C$5:C179)</f>
        <v>0</v>
      </c>
      <c r="B179" s="10">
        <v>18</v>
      </c>
      <c r="C179" s="114" t="s">
        <v>13</v>
      </c>
      <c r="D179" s="62" t="str">
        <f>VLOOKUP(C179,'Location Summary'!$C$4:$D$603,2,0)</f>
        <v>DC1+3</v>
      </c>
      <c r="E179" s="62" t="s">
        <v>403</v>
      </c>
      <c r="F179" s="107">
        <v>45638</v>
      </c>
      <c r="G179" s="107">
        <v>45645</v>
      </c>
      <c r="H179" s="60" t="s">
        <v>1140</v>
      </c>
      <c r="I179" s="62">
        <f t="shared" si="22"/>
        <v>609.84</v>
      </c>
      <c r="J179" s="10">
        <f t="shared" si="23"/>
        <v>7.94</v>
      </c>
      <c r="K179" s="10">
        <f t="shared" si="24"/>
        <v>94.04</v>
      </c>
      <c r="L179" s="10">
        <f t="shared" si="25"/>
        <v>4.7939999999999996</v>
      </c>
      <c r="M179" s="10">
        <f t="shared" si="26"/>
        <v>2.348757</v>
      </c>
      <c r="N179" s="448">
        <f t="shared" si="29"/>
        <v>17.8</v>
      </c>
      <c r="O179" s="112" t="s">
        <v>1163</v>
      </c>
      <c r="P179" s="554" t="s">
        <v>1104</v>
      </c>
      <c r="Q179" s="973" t="s">
        <v>255</v>
      </c>
      <c r="R179" s="13">
        <f t="shared" si="28"/>
        <v>787.25600000000009</v>
      </c>
    </row>
    <row r="180" spans="1:18" ht="21.75" hidden="1" customHeight="1">
      <c r="A180" s="14">
        <f>SUBTOTAL(103,$C$5:C180)</f>
        <v>0</v>
      </c>
      <c r="B180" s="10">
        <v>19</v>
      </c>
      <c r="C180" s="114" t="s">
        <v>631</v>
      </c>
      <c r="D180" s="62" t="str">
        <f>VLOOKUP(C180,'Location Summary'!$C$4:$D$603,2,0)</f>
        <v>DA+9</v>
      </c>
      <c r="E180" s="62" t="s">
        <v>403</v>
      </c>
      <c r="F180" s="107">
        <v>45644</v>
      </c>
      <c r="G180" s="107">
        <v>45647</v>
      </c>
      <c r="H180" s="60" t="s">
        <v>972</v>
      </c>
      <c r="I180" s="62">
        <f t="shared" si="22"/>
        <v>289.83999999999997</v>
      </c>
      <c r="J180" s="10">
        <f t="shared" si="23"/>
        <v>3.61</v>
      </c>
      <c r="K180" s="10">
        <f t="shared" si="24"/>
        <v>37.299999999999997</v>
      </c>
      <c r="L180" s="10">
        <f t="shared" si="25"/>
        <v>2.093</v>
      </c>
      <c r="M180" s="10">
        <f t="shared" si="26"/>
        <v>0.86599999999999999</v>
      </c>
      <c r="N180" s="448">
        <f t="shared" si="29"/>
        <v>7.39</v>
      </c>
      <c r="O180" s="112" t="s">
        <v>1147</v>
      </c>
      <c r="P180" s="554" t="s">
        <v>912</v>
      </c>
      <c r="Q180" s="973" t="s">
        <v>255</v>
      </c>
      <c r="R180" s="13">
        <f t="shared" si="28"/>
        <v>314.28399999999999</v>
      </c>
    </row>
    <row r="181" spans="1:18" ht="21.75" hidden="1" customHeight="1">
      <c r="A181" s="14">
        <f>SUBTOTAL(103,$C$5:C181)</f>
        <v>0</v>
      </c>
      <c r="B181" s="10">
        <v>20</v>
      </c>
      <c r="C181" s="114" t="s">
        <v>73</v>
      </c>
      <c r="D181" s="62" t="str">
        <f>VLOOKUP(C181,'Location Summary'!$C$4:$D$603,2,0)</f>
        <v>DB2+0</v>
      </c>
      <c r="E181" s="62" t="s">
        <v>403</v>
      </c>
      <c r="F181" s="107">
        <v>45637</v>
      </c>
      <c r="G181" s="107">
        <v>45647</v>
      </c>
      <c r="H181" s="60" t="s">
        <v>1162</v>
      </c>
      <c r="I181" s="62">
        <f t="shared" si="22"/>
        <v>560.96</v>
      </c>
      <c r="J181" s="10">
        <f t="shared" si="23"/>
        <v>7.27</v>
      </c>
      <c r="K181" s="10">
        <f t="shared" si="24"/>
        <v>85.67</v>
      </c>
      <c r="L181" s="10">
        <f t="shared" si="25"/>
        <v>4.1547999999999998</v>
      </c>
      <c r="M181" s="10">
        <f t="shared" si="26"/>
        <v>1.768</v>
      </c>
      <c r="N181" s="448">
        <f t="shared" si="29"/>
        <v>16</v>
      </c>
      <c r="O181" s="112" t="s">
        <v>791</v>
      </c>
      <c r="P181" s="554" t="s">
        <v>912</v>
      </c>
      <c r="Q181" s="973" t="s">
        <v>255</v>
      </c>
      <c r="R181" s="13">
        <f t="shared" si="28"/>
        <v>717.34799999999996</v>
      </c>
    </row>
    <row r="182" spans="1:18" ht="21.75" hidden="1" customHeight="1">
      <c r="A182" s="14">
        <f>SUBTOTAL(103,$C$5:C182)</f>
        <v>0</v>
      </c>
      <c r="B182" s="10">
        <v>21</v>
      </c>
      <c r="C182" s="114" t="s">
        <v>619</v>
      </c>
      <c r="D182" s="62" t="str">
        <f>VLOOKUP(C182,'Location Summary'!$C$4:$D$603,2,0)</f>
        <v>DA+3</v>
      </c>
      <c r="E182" s="62" t="s">
        <v>403</v>
      </c>
      <c r="F182" s="107">
        <v>45639</v>
      </c>
      <c r="G182" s="107">
        <v>45647</v>
      </c>
      <c r="H182" s="60" t="s">
        <v>1167</v>
      </c>
      <c r="I182" s="62">
        <f t="shared" si="22"/>
        <v>289.83999999999997</v>
      </c>
      <c r="J182" s="10">
        <f t="shared" si="23"/>
        <v>3.61</v>
      </c>
      <c r="K182" s="10">
        <f t="shared" si="24"/>
        <v>37.299999999999997</v>
      </c>
      <c r="L182" s="10">
        <f t="shared" si="25"/>
        <v>2.093</v>
      </c>
      <c r="M182" s="10">
        <f t="shared" si="26"/>
        <v>0.86599999999999999</v>
      </c>
      <c r="N182" s="448">
        <f t="shared" si="29"/>
        <v>7.39</v>
      </c>
      <c r="O182" s="112" t="s">
        <v>791</v>
      </c>
      <c r="P182" s="554" t="s">
        <v>912</v>
      </c>
      <c r="Q182" s="973" t="s">
        <v>255</v>
      </c>
      <c r="R182" s="13">
        <f t="shared" si="28"/>
        <v>314.28399999999999</v>
      </c>
    </row>
    <row r="183" spans="1:18" ht="21.75" hidden="1" customHeight="1">
      <c r="A183" s="14">
        <f>SUBTOTAL(103,$C$5:C183)</f>
        <v>0</v>
      </c>
      <c r="B183" s="10">
        <v>22</v>
      </c>
      <c r="C183" s="114" t="s">
        <v>435</v>
      </c>
      <c r="D183" s="62" t="str">
        <f>VLOOKUP(C183,'Location Summary'!$C$4:$D$603,2,0)</f>
        <v>DA+9</v>
      </c>
      <c r="E183" s="62" t="s">
        <v>403</v>
      </c>
      <c r="F183" s="107">
        <v>45645</v>
      </c>
      <c r="G183" s="107">
        <v>45648</v>
      </c>
      <c r="H183" s="60" t="s">
        <v>992</v>
      </c>
      <c r="I183" s="62">
        <f t="shared" si="22"/>
        <v>289.83999999999997</v>
      </c>
      <c r="J183" s="10">
        <f t="shared" si="23"/>
        <v>3.61</v>
      </c>
      <c r="K183" s="10">
        <f t="shared" si="24"/>
        <v>37.299999999999997</v>
      </c>
      <c r="L183" s="10">
        <f t="shared" si="25"/>
        <v>2.093</v>
      </c>
      <c r="M183" s="10">
        <f t="shared" si="26"/>
        <v>0.86599999999999999</v>
      </c>
      <c r="N183" s="448">
        <f t="shared" si="29"/>
        <v>7.39</v>
      </c>
      <c r="O183" s="112" t="s">
        <v>1081</v>
      </c>
      <c r="P183" s="554" t="s">
        <v>765</v>
      </c>
      <c r="Q183" s="973" t="s">
        <v>255</v>
      </c>
      <c r="R183" s="13">
        <f t="shared" si="28"/>
        <v>314.28399999999999</v>
      </c>
    </row>
    <row r="184" spans="1:18" ht="21.75" hidden="1" customHeight="1">
      <c r="A184" s="14">
        <f>SUBTOTAL(103,$C$5:C184)</f>
        <v>0</v>
      </c>
      <c r="B184" s="10">
        <v>23</v>
      </c>
      <c r="C184" s="114" t="s">
        <v>621</v>
      </c>
      <c r="D184" s="62" t="str">
        <f>VLOOKUP(C184,'Location Summary'!$C$4:$D$603,2,0)</f>
        <v>DA+3</v>
      </c>
      <c r="E184" s="62" t="s">
        <v>403</v>
      </c>
      <c r="F184" s="107">
        <v>45641</v>
      </c>
      <c r="G184" s="107">
        <v>45649</v>
      </c>
      <c r="H184" s="60" t="s">
        <v>1162</v>
      </c>
      <c r="I184" s="62">
        <f t="shared" si="22"/>
        <v>289.83999999999997</v>
      </c>
      <c r="J184" s="10">
        <f t="shared" si="23"/>
        <v>3.61</v>
      </c>
      <c r="K184" s="10">
        <f t="shared" si="24"/>
        <v>37.299999999999997</v>
      </c>
      <c r="L184" s="10">
        <f t="shared" si="25"/>
        <v>2.093</v>
      </c>
      <c r="M184" s="10">
        <f t="shared" si="26"/>
        <v>0.86599999999999999</v>
      </c>
      <c r="N184" s="448">
        <f t="shared" si="29"/>
        <v>7.39</v>
      </c>
      <c r="O184" s="112" t="s">
        <v>791</v>
      </c>
      <c r="P184" s="554" t="s">
        <v>912</v>
      </c>
      <c r="Q184" s="973" t="s">
        <v>255</v>
      </c>
      <c r="R184" s="13">
        <f t="shared" si="28"/>
        <v>314.28399999999999</v>
      </c>
    </row>
    <row r="185" spans="1:18" ht="21.75" hidden="1" customHeight="1">
      <c r="A185" s="14">
        <f>SUBTOTAL(103,$C$5:C185)</f>
        <v>0</v>
      </c>
      <c r="B185" s="10">
        <v>24</v>
      </c>
      <c r="C185" s="114" t="s">
        <v>633</v>
      </c>
      <c r="D185" s="62" t="str">
        <f>VLOOKUP(C185,'Location Summary'!$C$4:$D$603,2,0)</f>
        <v>DA-1.5</v>
      </c>
      <c r="E185" s="62" t="s">
        <v>403</v>
      </c>
      <c r="F185" s="107">
        <v>45646</v>
      </c>
      <c r="G185" s="107">
        <v>45651</v>
      </c>
      <c r="H185" s="60" t="s">
        <v>972</v>
      </c>
      <c r="I185" s="62">
        <f t="shared" si="22"/>
        <v>271.04000000000002</v>
      </c>
      <c r="J185" s="10">
        <f t="shared" si="23"/>
        <v>3.36</v>
      </c>
      <c r="K185" s="10">
        <f t="shared" si="24"/>
        <v>34.15</v>
      </c>
      <c r="L185" s="10">
        <f t="shared" si="25"/>
        <v>1.599</v>
      </c>
      <c r="M185" s="10">
        <f t="shared" si="26"/>
        <v>0.86599999999999999</v>
      </c>
      <c r="N185" s="448">
        <f t="shared" si="29"/>
        <v>6.49</v>
      </c>
      <c r="O185" s="112" t="s">
        <v>1147</v>
      </c>
      <c r="P185" s="554" t="s">
        <v>912</v>
      </c>
      <c r="Q185" s="973" t="s">
        <v>255</v>
      </c>
      <c r="R185" s="13">
        <f t="shared" si="28"/>
        <v>287.98399999999998</v>
      </c>
    </row>
    <row r="186" spans="1:18" ht="21.75" customHeight="1">
      <c r="A186" s="14">
        <f>SUBTOTAL(103,$C$5:C186)</f>
        <v>1</v>
      </c>
      <c r="B186" s="10">
        <v>25</v>
      </c>
      <c r="C186" s="114" t="s">
        <v>76</v>
      </c>
      <c r="D186" s="62" t="str">
        <f>VLOOKUP(C186,'Location Summary'!$C$4:$D$603,2,0)</f>
        <v>DA+9</v>
      </c>
      <c r="E186" s="62" t="s">
        <v>403</v>
      </c>
      <c r="F186" s="107">
        <v>45644</v>
      </c>
      <c r="G186" s="107">
        <v>45653</v>
      </c>
      <c r="H186" s="60" t="s">
        <v>1173</v>
      </c>
      <c r="I186" s="62">
        <f t="shared" si="22"/>
        <v>289.83999999999997</v>
      </c>
      <c r="J186" s="10">
        <f t="shared" si="23"/>
        <v>3.61</v>
      </c>
      <c r="K186" s="10">
        <f t="shared" si="24"/>
        <v>37.299999999999997</v>
      </c>
      <c r="L186" s="10">
        <f t="shared" si="25"/>
        <v>2.093</v>
      </c>
      <c r="M186" s="10">
        <f t="shared" si="26"/>
        <v>0.86599999999999999</v>
      </c>
      <c r="N186" s="448">
        <f t="shared" si="29"/>
        <v>7.39</v>
      </c>
      <c r="O186" s="112" t="s">
        <v>1176</v>
      </c>
      <c r="P186" s="554" t="s">
        <v>912</v>
      </c>
      <c r="Q186" s="973" t="s">
        <v>255</v>
      </c>
      <c r="R186" s="13">
        <f t="shared" si="28"/>
        <v>314.28399999999999</v>
      </c>
    </row>
    <row r="187" spans="1:18" ht="21.75" hidden="1" customHeight="1">
      <c r="A187" s="14">
        <f>SUBTOTAL(103,$C$5:C187)</f>
        <v>1</v>
      </c>
      <c r="B187" s="10">
        <v>26</v>
      </c>
      <c r="C187" s="114" t="s">
        <v>12</v>
      </c>
      <c r="D187" s="62" t="str">
        <f>VLOOKUP(C187,'Location Summary'!$C$4:$D$603,2,0)</f>
        <v>DC2+0</v>
      </c>
      <c r="E187" s="62" t="s">
        <v>403</v>
      </c>
      <c r="F187" s="107">
        <v>45645</v>
      </c>
      <c r="G187" s="107">
        <v>45654</v>
      </c>
      <c r="H187" s="60" t="s">
        <v>1140</v>
      </c>
      <c r="I187" s="62">
        <f t="shared" si="22"/>
        <v>693.86</v>
      </c>
      <c r="J187" s="10">
        <f t="shared" si="23"/>
        <v>9.09</v>
      </c>
      <c r="K187" s="10">
        <f t="shared" si="24"/>
        <v>115.43</v>
      </c>
      <c r="L187" s="10">
        <f t="shared" si="25"/>
        <v>5.6909999999999998</v>
      </c>
      <c r="M187" s="10">
        <f t="shared" si="26"/>
        <v>2.348757</v>
      </c>
      <c r="N187" s="448">
        <f t="shared" si="29"/>
        <v>21.43</v>
      </c>
      <c r="O187" s="112" t="s">
        <v>1163</v>
      </c>
      <c r="P187" s="554" t="s">
        <v>1104</v>
      </c>
      <c r="Q187" s="973" t="s">
        <v>255</v>
      </c>
      <c r="R187" s="13">
        <f t="shared" si="28"/>
        <v>963.43600000000004</v>
      </c>
    </row>
    <row r="188" spans="1:18" ht="21.75" hidden="1" customHeight="1">
      <c r="A188" s="14">
        <f>SUBTOTAL(103,$C$5:C188)</f>
        <v>1</v>
      </c>
      <c r="B188" s="10">
        <v>27</v>
      </c>
      <c r="C188" s="114" t="s">
        <v>630</v>
      </c>
      <c r="D188" s="62" t="str">
        <f>VLOOKUP(C188,'Location Summary'!$C$4:$D$603,2,0)</f>
        <v>DA+9</v>
      </c>
      <c r="E188" s="62" t="s">
        <v>403</v>
      </c>
      <c r="F188" s="107">
        <v>45650</v>
      </c>
      <c r="G188" s="107">
        <v>45655</v>
      </c>
      <c r="H188" s="60" t="s">
        <v>972</v>
      </c>
      <c r="I188" s="62">
        <f t="shared" si="22"/>
        <v>289.83999999999997</v>
      </c>
      <c r="J188" s="10">
        <f t="shared" si="23"/>
        <v>3.61</v>
      </c>
      <c r="K188" s="10">
        <f t="shared" si="24"/>
        <v>37.299999999999997</v>
      </c>
      <c r="L188" s="10">
        <f t="shared" si="25"/>
        <v>2.093</v>
      </c>
      <c r="M188" s="10">
        <f t="shared" si="26"/>
        <v>0.86599999999999999</v>
      </c>
      <c r="N188" s="448">
        <f t="shared" si="29"/>
        <v>7.39</v>
      </c>
      <c r="O188" s="112" t="s">
        <v>1147</v>
      </c>
      <c r="P188" s="554" t="s">
        <v>912</v>
      </c>
      <c r="Q188" s="973" t="s">
        <v>255</v>
      </c>
      <c r="R188" s="13">
        <f t="shared" si="28"/>
        <v>314.28399999999999</v>
      </c>
    </row>
    <row r="189" spans="1:18" ht="21.75" hidden="1" customHeight="1">
      <c r="A189" s="14">
        <f>SUBTOTAL(103,$C$5:C189)</f>
        <v>1</v>
      </c>
      <c r="B189" s="10">
        <v>28</v>
      </c>
      <c r="C189" s="114" t="s">
        <v>620</v>
      </c>
      <c r="D189" s="62" t="str">
        <f>VLOOKUP(C189,'Location Summary'!$C$4:$D$603,2,0)</f>
        <v>DA+1.5</v>
      </c>
      <c r="E189" s="62" t="s">
        <v>403</v>
      </c>
      <c r="F189" s="107">
        <v>45646</v>
      </c>
      <c r="G189" s="107">
        <v>45655</v>
      </c>
      <c r="H189" s="60" t="s">
        <v>1167</v>
      </c>
      <c r="I189" s="62">
        <f t="shared" si="22"/>
        <v>289.83999999999997</v>
      </c>
      <c r="J189" s="10">
        <f t="shared" si="23"/>
        <v>3.61</v>
      </c>
      <c r="K189" s="10">
        <f t="shared" si="24"/>
        <v>37.299999999999997</v>
      </c>
      <c r="L189" s="10">
        <f t="shared" si="25"/>
        <v>2.093</v>
      </c>
      <c r="M189" s="10">
        <f t="shared" si="26"/>
        <v>0.86599999999999999</v>
      </c>
      <c r="N189" s="448">
        <f t="shared" si="29"/>
        <v>7.39</v>
      </c>
      <c r="O189" s="112" t="s">
        <v>1179</v>
      </c>
      <c r="P189" s="554" t="s">
        <v>912</v>
      </c>
      <c r="Q189" s="973" t="s">
        <v>255</v>
      </c>
      <c r="R189" s="13">
        <f t="shared" si="28"/>
        <v>314.28399999999999</v>
      </c>
    </row>
    <row r="190" spans="1:18" ht="21.75" hidden="1" customHeight="1">
      <c r="A190" s="14">
        <f>SUBTOTAL(103,$C$5:C190)</f>
        <v>1</v>
      </c>
      <c r="B190" s="10">
        <v>29</v>
      </c>
      <c r="C190" s="114" t="s">
        <v>437</v>
      </c>
      <c r="D190" s="62" t="str">
        <f>VLOOKUP(C190,'Location Summary'!$C$4:$D$603,2,0)</f>
        <v>DA+9</v>
      </c>
      <c r="E190" s="62" t="s">
        <v>403</v>
      </c>
      <c r="F190" s="107">
        <v>45648</v>
      </c>
      <c r="G190" s="107">
        <v>45655</v>
      </c>
      <c r="H190" s="60" t="s">
        <v>992</v>
      </c>
      <c r="I190" s="62">
        <f t="shared" si="22"/>
        <v>289.83999999999997</v>
      </c>
      <c r="J190" s="10">
        <f t="shared" si="23"/>
        <v>3.61</v>
      </c>
      <c r="K190" s="10">
        <f t="shared" si="24"/>
        <v>37.299999999999997</v>
      </c>
      <c r="L190" s="10">
        <f t="shared" si="25"/>
        <v>2.093</v>
      </c>
      <c r="M190" s="10">
        <f t="shared" si="26"/>
        <v>0.86599999999999999</v>
      </c>
      <c r="N190" s="448">
        <f t="shared" si="29"/>
        <v>7.39</v>
      </c>
      <c r="O190" s="112" t="s">
        <v>1180</v>
      </c>
      <c r="P190" s="554" t="s">
        <v>1181</v>
      </c>
      <c r="Q190" s="973" t="s">
        <v>255</v>
      </c>
      <c r="R190" s="13">
        <f t="shared" si="28"/>
        <v>314.28399999999999</v>
      </c>
    </row>
    <row r="191" spans="1:18" ht="21.75" hidden="1" customHeight="1">
      <c r="A191" s="14">
        <f>SUBTOTAL(103,$C$5:C191)</f>
        <v>1</v>
      </c>
      <c r="B191" s="10">
        <v>30</v>
      </c>
      <c r="C191" s="114" t="s">
        <v>481</v>
      </c>
      <c r="D191" s="62" t="str">
        <f>VLOOKUP(C191,'Location Summary'!$C$4:$D$603,2,0)</f>
        <v>DA-1.5</v>
      </c>
      <c r="E191" s="62" t="s">
        <v>403</v>
      </c>
      <c r="F191" s="107">
        <v>45645</v>
      </c>
      <c r="G191" s="107">
        <v>45656</v>
      </c>
      <c r="H191" s="60" t="s">
        <v>988</v>
      </c>
      <c r="I191" s="62">
        <f t="shared" si="22"/>
        <v>271.04000000000002</v>
      </c>
      <c r="J191" s="10">
        <f t="shared" si="23"/>
        <v>3.36</v>
      </c>
      <c r="K191" s="10">
        <f t="shared" si="24"/>
        <v>34.15</v>
      </c>
      <c r="L191" s="10">
        <f t="shared" si="25"/>
        <v>1.599</v>
      </c>
      <c r="M191" s="10">
        <f t="shared" si="26"/>
        <v>0.86599999999999999</v>
      </c>
      <c r="N191" s="448">
        <f t="shared" si="29"/>
        <v>6.49</v>
      </c>
      <c r="O191" s="112" t="s">
        <v>887</v>
      </c>
      <c r="P191" s="554" t="s">
        <v>1104</v>
      </c>
      <c r="Q191" s="973" t="s">
        <v>255</v>
      </c>
      <c r="R191" s="13">
        <f t="shared" si="28"/>
        <v>287.98399999999998</v>
      </c>
    </row>
    <row r="192" spans="1:18" ht="21.75" hidden="1" customHeight="1">
      <c r="A192" s="14">
        <f>SUBTOTAL(103,$C$5:C192)</f>
        <v>1</v>
      </c>
      <c r="B192" s="10">
        <v>31</v>
      </c>
      <c r="C192" s="114" t="s">
        <v>6</v>
      </c>
      <c r="D192" s="62" t="str">
        <f>VLOOKUP(C192,'Location Summary'!$C$4:$D$603,2,0)</f>
        <v>DA+6</v>
      </c>
      <c r="E192" s="62" t="s">
        <v>403</v>
      </c>
      <c r="F192" s="107">
        <v>45654</v>
      </c>
      <c r="G192" s="107">
        <v>45657</v>
      </c>
      <c r="H192" s="60" t="s">
        <v>972</v>
      </c>
      <c r="I192" s="62">
        <f t="shared" si="22"/>
        <v>289.83999999999997</v>
      </c>
      <c r="J192" s="10">
        <f t="shared" si="23"/>
        <v>3.61</v>
      </c>
      <c r="K192" s="10">
        <f t="shared" si="24"/>
        <v>37.299999999999997</v>
      </c>
      <c r="L192" s="10">
        <f t="shared" si="25"/>
        <v>2.093</v>
      </c>
      <c r="M192" s="10">
        <f t="shared" si="26"/>
        <v>0.86599999999999999</v>
      </c>
      <c r="N192" s="448">
        <f t="shared" si="29"/>
        <v>7.39</v>
      </c>
      <c r="O192" s="112" t="s">
        <v>1147</v>
      </c>
      <c r="P192" s="554" t="s">
        <v>912</v>
      </c>
      <c r="Q192" s="973" t="s">
        <v>255</v>
      </c>
      <c r="R192" s="13">
        <f t="shared" si="28"/>
        <v>314.28399999999999</v>
      </c>
    </row>
    <row r="193" spans="1:18" ht="21.75" hidden="1" customHeight="1">
      <c r="A193" s="14">
        <f>SUBTOTAL(103,$C$5:C193)</f>
        <v>1</v>
      </c>
      <c r="B193" s="10">
        <v>32</v>
      </c>
      <c r="C193" s="114" t="s">
        <v>423</v>
      </c>
      <c r="D193" s="62" t="str">
        <f>VLOOKUP(C193,'Location Summary'!$C$4:$D$603,2,0)</f>
        <v>DA+6</v>
      </c>
      <c r="E193" s="62" t="s">
        <v>403</v>
      </c>
      <c r="F193" s="107">
        <v>45653</v>
      </c>
      <c r="G193" s="107">
        <v>45657</v>
      </c>
      <c r="H193" s="60" t="s">
        <v>1140</v>
      </c>
      <c r="I193" s="62">
        <f t="shared" si="22"/>
        <v>289.83999999999997</v>
      </c>
      <c r="J193" s="10">
        <f t="shared" si="23"/>
        <v>3.61</v>
      </c>
      <c r="K193" s="10">
        <f t="shared" si="24"/>
        <v>37.299999999999997</v>
      </c>
      <c r="L193" s="10">
        <f t="shared" si="25"/>
        <v>2.093</v>
      </c>
      <c r="M193" s="10">
        <f t="shared" si="26"/>
        <v>0.86599999999999999</v>
      </c>
      <c r="N193" s="448">
        <f t="shared" si="29"/>
        <v>7.39</v>
      </c>
      <c r="O193" s="112" t="s">
        <v>1184</v>
      </c>
      <c r="P193" s="554" t="s">
        <v>1104</v>
      </c>
      <c r="Q193" s="973" t="s">
        <v>255</v>
      </c>
      <c r="R193" s="13">
        <f t="shared" si="28"/>
        <v>314.28399999999999</v>
      </c>
    </row>
    <row r="194" spans="1:18" ht="21.75" customHeight="1">
      <c r="A194" s="14">
        <f>SUBTOTAL(103,$C$5:C194)</f>
        <v>2</v>
      </c>
      <c r="B194" s="10">
        <v>1</v>
      </c>
      <c r="C194" s="659" t="s">
        <v>77</v>
      </c>
      <c r="D194" s="62" t="str">
        <f>VLOOKUP(C194,'Location Summary'!$C$4:$D$603,2,0)</f>
        <v>DB2+0</v>
      </c>
      <c r="E194" s="62" t="s">
        <v>403</v>
      </c>
      <c r="F194" s="107">
        <v>45653</v>
      </c>
      <c r="G194" s="107">
        <v>45660</v>
      </c>
      <c r="H194" s="60" t="s">
        <v>1173</v>
      </c>
      <c r="I194" s="62">
        <f t="shared" si="22"/>
        <v>560.96</v>
      </c>
      <c r="J194" s="10">
        <f t="shared" si="23"/>
        <v>7.27</v>
      </c>
      <c r="K194" s="10">
        <f t="shared" si="24"/>
        <v>85.67</v>
      </c>
      <c r="L194" s="10">
        <f t="shared" si="25"/>
        <v>4.1547999999999998</v>
      </c>
      <c r="M194" s="112">
        <f t="shared" si="26"/>
        <v>1.768</v>
      </c>
      <c r="N194" s="448">
        <f t="shared" si="29"/>
        <v>16</v>
      </c>
      <c r="O194" s="112" t="s">
        <v>1176</v>
      </c>
      <c r="P194" s="554" t="s">
        <v>912</v>
      </c>
      <c r="Q194" s="973" t="s">
        <v>255</v>
      </c>
      <c r="R194" s="13">
        <f t="shared" si="28"/>
        <v>717.34799999999996</v>
      </c>
    </row>
    <row r="195" spans="1:18" ht="21.75" hidden="1" customHeight="1">
      <c r="A195" s="14">
        <f>SUBTOTAL(103,$C$5:C195)</f>
        <v>2</v>
      </c>
      <c r="B195" s="10">
        <v>2</v>
      </c>
      <c r="C195" s="659" t="s">
        <v>438</v>
      </c>
      <c r="D195" s="62" t="str">
        <f>VLOOKUP(C195,'Location Summary'!$C$4:$D$603,2,0)</f>
        <v>DA+0</v>
      </c>
      <c r="E195" s="62" t="s">
        <v>403</v>
      </c>
      <c r="F195" s="107">
        <v>45653</v>
      </c>
      <c r="G195" s="107">
        <v>45660</v>
      </c>
      <c r="H195" s="60" t="s">
        <v>992</v>
      </c>
      <c r="I195" s="62">
        <f t="shared" si="22"/>
        <v>271.04000000000002</v>
      </c>
      <c r="J195" s="10">
        <f t="shared" si="23"/>
        <v>3.36</v>
      </c>
      <c r="K195" s="10">
        <f t="shared" si="24"/>
        <v>34.15</v>
      </c>
      <c r="L195" s="10">
        <f t="shared" si="25"/>
        <v>1.599</v>
      </c>
      <c r="M195" s="112">
        <f t="shared" si="26"/>
        <v>0.86599999999999999</v>
      </c>
      <c r="N195" s="448">
        <f t="shared" si="29"/>
        <v>6.49</v>
      </c>
      <c r="O195" s="112" t="s">
        <v>1180</v>
      </c>
      <c r="P195" s="554" t="s">
        <v>912</v>
      </c>
      <c r="Q195" s="973" t="s">
        <v>255</v>
      </c>
      <c r="R195" s="13">
        <f t="shared" si="28"/>
        <v>287.98399999999998</v>
      </c>
    </row>
    <row r="196" spans="1:18" ht="21.75" hidden="1" customHeight="1">
      <c r="A196" s="14">
        <f>SUBTOTAL(103,$C$5:C196)</f>
        <v>2</v>
      </c>
      <c r="B196" s="10">
        <v>3</v>
      </c>
      <c r="C196" s="114" t="s">
        <v>622</v>
      </c>
      <c r="D196" s="62" t="str">
        <f>VLOOKUP(C196,'Location Summary'!$C$4:$D$603,2,0)</f>
        <v>DA+1.5</v>
      </c>
      <c r="E196" s="62" t="s">
        <v>403</v>
      </c>
      <c r="F196" s="107">
        <v>45653</v>
      </c>
      <c r="G196" s="107">
        <v>45662</v>
      </c>
      <c r="H196" s="60" t="s">
        <v>1167</v>
      </c>
      <c r="I196" s="62">
        <f t="shared" si="22"/>
        <v>289.83999999999997</v>
      </c>
      <c r="J196" s="10">
        <f t="shared" si="23"/>
        <v>3.61</v>
      </c>
      <c r="K196" s="10">
        <f t="shared" si="24"/>
        <v>37.299999999999997</v>
      </c>
      <c r="L196" s="10">
        <f t="shared" si="25"/>
        <v>2.093</v>
      </c>
      <c r="M196" s="112">
        <f t="shared" si="26"/>
        <v>0.86599999999999999</v>
      </c>
      <c r="N196" s="448">
        <f t="shared" si="29"/>
        <v>7.39</v>
      </c>
      <c r="O196" s="112" t="s">
        <v>1179</v>
      </c>
      <c r="P196" s="554" t="s">
        <v>912</v>
      </c>
      <c r="Q196" s="973" t="s">
        <v>255</v>
      </c>
      <c r="R196" s="13">
        <f t="shared" si="28"/>
        <v>314.28399999999999</v>
      </c>
    </row>
    <row r="197" spans="1:18" ht="21.75" hidden="1" customHeight="1">
      <c r="A197" s="14">
        <f>SUBTOTAL(103,$C$5:C197)</f>
        <v>2</v>
      </c>
      <c r="B197" s="10">
        <v>4</v>
      </c>
      <c r="C197" s="659" t="s">
        <v>634</v>
      </c>
      <c r="D197" s="62" t="str">
        <f>VLOOKUP(C197,'Location Summary'!$C$4:$D$603,2,0)</f>
        <v>DA+9</v>
      </c>
      <c r="E197" s="62" t="s">
        <v>403</v>
      </c>
      <c r="F197" s="107">
        <v>45657</v>
      </c>
      <c r="G197" s="107">
        <v>45662</v>
      </c>
      <c r="H197" s="60" t="s">
        <v>972</v>
      </c>
      <c r="I197" s="62">
        <f t="shared" ref="I197:I260" si="30">VLOOKUP($D197,$D$323:$M$362,6,FALSE)</f>
        <v>289.83999999999997</v>
      </c>
      <c r="J197" s="10">
        <f t="shared" ref="J197:J260" si="31">VLOOKUP($D197,$D$323:$M$362,7,FALSE)</f>
        <v>3.61</v>
      </c>
      <c r="K197" s="10">
        <f t="shared" ref="K197:K260" si="32">VLOOKUP($D197,$D$323:$M$362,8,FALSE)</f>
        <v>37.299999999999997</v>
      </c>
      <c r="L197" s="10">
        <f t="shared" ref="L197:L260" si="33">VLOOKUP($D197,$D$323:$M$362,9,FALSE)</f>
        <v>2.093</v>
      </c>
      <c r="M197" s="112">
        <f t="shared" ref="M197:M260" si="34">VLOOKUP($D197,$D$323:$M$362,10,FALSE)</f>
        <v>0.86599999999999999</v>
      </c>
      <c r="N197" s="448">
        <f t="shared" si="29"/>
        <v>7.39</v>
      </c>
      <c r="O197" s="112" t="s">
        <v>1147</v>
      </c>
      <c r="P197" s="554" t="s">
        <v>912</v>
      </c>
      <c r="Q197" s="973" t="s">
        <v>255</v>
      </c>
      <c r="R197" s="13">
        <f t="shared" si="28"/>
        <v>314.28399999999999</v>
      </c>
    </row>
    <row r="198" spans="1:18" ht="21.75" hidden="1" customHeight="1">
      <c r="A198" s="14">
        <f>SUBTOTAL(103,$C$5:C198)</f>
        <v>2</v>
      </c>
      <c r="B198" s="10">
        <v>5</v>
      </c>
      <c r="C198" s="114" t="s">
        <v>392</v>
      </c>
      <c r="D198" s="62" t="str">
        <f>VLOOKUP(C198,'Location Summary'!$C$4:$D$603,2,0)</f>
        <v>DA+9</v>
      </c>
      <c r="E198" s="62" t="s">
        <v>403</v>
      </c>
      <c r="F198" s="107">
        <v>45644</v>
      </c>
      <c r="G198" s="107">
        <v>45663</v>
      </c>
      <c r="H198" s="60" t="s">
        <v>1164</v>
      </c>
      <c r="I198" s="62">
        <f t="shared" si="30"/>
        <v>289.83999999999997</v>
      </c>
      <c r="J198" s="10">
        <f t="shared" si="31"/>
        <v>3.61</v>
      </c>
      <c r="K198" s="10">
        <f t="shared" si="32"/>
        <v>37.299999999999997</v>
      </c>
      <c r="L198" s="10">
        <f t="shared" si="33"/>
        <v>2.093</v>
      </c>
      <c r="M198" s="112">
        <f t="shared" si="34"/>
        <v>0.86599999999999999</v>
      </c>
      <c r="N198" s="448">
        <f t="shared" si="29"/>
        <v>7.39</v>
      </c>
      <c r="O198" s="112" t="s">
        <v>1183</v>
      </c>
      <c r="P198" s="554" t="s">
        <v>1104</v>
      </c>
      <c r="Q198" s="973" t="s">
        <v>255</v>
      </c>
      <c r="R198" s="13">
        <f t="shared" ref="R198:R261" si="35">(J198*4.4)+(K198*8)</f>
        <v>314.28399999999999</v>
      </c>
    </row>
    <row r="199" spans="1:18" ht="21.75" hidden="1" customHeight="1">
      <c r="A199" s="14">
        <f>SUBTOTAL(103,$C$5:C199)</f>
        <v>2</v>
      </c>
      <c r="B199" s="10">
        <v>6</v>
      </c>
      <c r="C199" s="659" t="s">
        <v>439</v>
      </c>
      <c r="D199" s="62" t="str">
        <f>VLOOKUP(C199,'Location Summary'!$C$4:$D$603,2,0)</f>
        <v>DA+6</v>
      </c>
      <c r="E199" s="62" t="s">
        <v>403</v>
      </c>
      <c r="F199" s="107">
        <v>45661</v>
      </c>
      <c r="G199" s="107">
        <v>45664</v>
      </c>
      <c r="H199" s="60" t="s">
        <v>992</v>
      </c>
      <c r="I199" s="62">
        <f t="shared" si="30"/>
        <v>289.83999999999997</v>
      </c>
      <c r="J199" s="10">
        <f t="shared" si="31"/>
        <v>3.61</v>
      </c>
      <c r="K199" s="10">
        <f t="shared" si="32"/>
        <v>37.299999999999997</v>
      </c>
      <c r="L199" s="10">
        <f t="shared" si="33"/>
        <v>2.093</v>
      </c>
      <c r="M199" s="112">
        <f t="shared" si="34"/>
        <v>0.86599999999999999</v>
      </c>
      <c r="N199" s="448">
        <f t="shared" si="29"/>
        <v>7.39</v>
      </c>
      <c r="O199" s="112" t="s">
        <v>1180</v>
      </c>
      <c r="P199" s="554" t="s">
        <v>912</v>
      </c>
      <c r="Q199" s="973" t="s">
        <v>255</v>
      </c>
      <c r="R199" s="13">
        <f t="shared" si="35"/>
        <v>314.28399999999999</v>
      </c>
    </row>
    <row r="200" spans="1:18" ht="21.75" customHeight="1">
      <c r="A200" s="14">
        <f>SUBTOTAL(103,$C$5:C200)</f>
        <v>3</v>
      </c>
      <c r="B200" s="10">
        <v>7</v>
      </c>
      <c r="C200" s="659" t="s">
        <v>171</v>
      </c>
      <c r="D200" s="62" t="str">
        <f>VLOOKUP(C200,'Location Summary'!$C$4:$D$603,2,0)</f>
        <v>DA+3</v>
      </c>
      <c r="E200" s="62" t="s">
        <v>403</v>
      </c>
      <c r="F200" s="107">
        <v>45660</v>
      </c>
      <c r="G200" s="107">
        <v>45665</v>
      </c>
      <c r="H200" s="60" t="s">
        <v>1173</v>
      </c>
      <c r="I200" s="62">
        <f t="shared" si="30"/>
        <v>289.83999999999997</v>
      </c>
      <c r="J200" s="10">
        <f t="shared" si="31"/>
        <v>3.61</v>
      </c>
      <c r="K200" s="10">
        <f t="shared" si="32"/>
        <v>37.299999999999997</v>
      </c>
      <c r="L200" s="10">
        <f t="shared" si="33"/>
        <v>2.093</v>
      </c>
      <c r="M200" s="112">
        <f t="shared" si="34"/>
        <v>0.86599999999999999</v>
      </c>
      <c r="N200" s="448">
        <f t="shared" ref="N200:N207" si="36">ROUND((I200*230.35+J200*10150.5+K200*11591.45+L200*93958.18+M200*7677.44)/10^5,2)</f>
        <v>7.39</v>
      </c>
      <c r="O200" s="112" t="s">
        <v>1176</v>
      </c>
      <c r="P200" s="554" t="s">
        <v>912</v>
      </c>
      <c r="Q200" s="973" t="s">
        <v>255</v>
      </c>
      <c r="R200" s="13">
        <f t="shared" si="35"/>
        <v>314.28399999999999</v>
      </c>
    </row>
    <row r="201" spans="1:18" ht="21.75" hidden="1" customHeight="1">
      <c r="A201" s="14">
        <f>SUBTOTAL(103,$C$5:C201)</f>
        <v>3</v>
      </c>
      <c r="B201" s="10">
        <v>8</v>
      </c>
      <c r="C201" s="659" t="s">
        <v>623</v>
      </c>
      <c r="D201" s="62" t="str">
        <f>VLOOKUP(C201,'Location Summary'!$C$4:$D$603,2,0)</f>
        <v>DA+1.5</v>
      </c>
      <c r="E201" s="62" t="s">
        <v>403</v>
      </c>
      <c r="F201" s="107">
        <v>45662</v>
      </c>
      <c r="G201" s="107">
        <v>45666</v>
      </c>
      <c r="H201" s="60" t="s">
        <v>1167</v>
      </c>
      <c r="I201" s="62">
        <f t="shared" si="30"/>
        <v>289.83999999999997</v>
      </c>
      <c r="J201" s="10">
        <f t="shared" si="31"/>
        <v>3.61</v>
      </c>
      <c r="K201" s="10">
        <f t="shared" si="32"/>
        <v>37.299999999999997</v>
      </c>
      <c r="L201" s="10">
        <f t="shared" si="33"/>
        <v>2.093</v>
      </c>
      <c r="M201" s="112">
        <f t="shared" si="34"/>
        <v>0.86599999999999999</v>
      </c>
      <c r="N201" s="448">
        <f t="shared" si="36"/>
        <v>7.39</v>
      </c>
      <c r="O201" s="112" t="s">
        <v>1179</v>
      </c>
      <c r="P201" s="554" t="s">
        <v>912</v>
      </c>
      <c r="Q201" s="973" t="s">
        <v>255</v>
      </c>
      <c r="R201" s="13">
        <f t="shared" si="35"/>
        <v>314.28399999999999</v>
      </c>
    </row>
    <row r="202" spans="1:18" ht="21.75" hidden="1" customHeight="1">
      <c r="A202" s="14">
        <f>SUBTOTAL(103,$C$5:C202)</f>
        <v>3</v>
      </c>
      <c r="B202" s="10">
        <v>9</v>
      </c>
      <c r="C202" s="659" t="s">
        <v>635</v>
      </c>
      <c r="D202" s="62" t="str">
        <f>VLOOKUP(C202,'Location Summary'!$C$4:$D$603,2,0)</f>
        <v>DA+3</v>
      </c>
      <c r="E202" s="62" t="s">
        <v>403</v>
      </c>
      <c r="F202" s="107">
        <v>45662</v>
      </c>
      <c r="G202" s="107">
        <v>45666</v>
      </c>
      <c r="H202" s="60" t="s">
        <v>972</v>
      </c>
      <c r="I202" s="62">
        <f t="shared" si="30"/>
        <v>289.83999999999997</v>
      </c>
      <c r="J202" s="10">
        <f t="shared" si="31"/>
        <v>3.61</v>
      </c>
      <c r="K202" s="10">
        <f t="shared" si="32"/>
        <v>37.299999999999997</v>
      </c>
      <c r="L202" s="10">
        <f t="shared" si="33"/>
        <v>2.093</v>
      </c>
      <c r="M202" s="112">
        <f t="shared" si="34"/>
        <v>0.86599999999999999</v>
      </c>
      <c r="N202" s="448">
        <f t="shared" si="36"/>
        <v>7.39</v>
      </c>
      <c r="O202" s="112" t="s">
        <v>1147</v>
      </c>
      <c r="P202" s="554" t="s">
        <v>912</v>
      </c>
      <c r="Q202" s="973" t="s">
        <v>255</v>
      </c>
      <c r="R202" s="13">
        <f t="shared" si="35"/>
        <v>314.28399999999999</v>
      </c>
    </row>
    <row r="203" spans="1:18" ht="21.75" hidden="1" customHeight="1">
      <c r="A203" s="14">
        <f>SUBTOTAL(103,$C$5:C203)</f>
        <v>3</v>
      </c>
      <c r="B203" s="10">
        <v>10</v>
      </c>
      <c r="C203" s="659" t="s">
        <v>440</v>
      </c>
      <c r="D203" s="62" t="str">
        <f>VLOOKUP(C203,'Location Summary'!$C$4:$D$603,2,0)</f>
        <v>DA-3</v>
      </c>
      <c r="E203" s="62" t="s">
        <v>403</v>
      </c>
      <c r="F203" s="107">
        <v>45664</v>
      </c>
      <c r="G203" s="107">
        <v>45667</v>
      </c>
      <c r="H203" s="60" t="s">
        <v>992</v>
      </c>
      <c r="I203" s="62">
        <f t="shared" si="30"/>
        <v>271.04000000000002</v>
      </c>
      <c r="J203" s="10">
        <f t="shared" si="31"/>
        <v>3.36</v>
      </c>
      <c r="K203" s="10">
        <f t="shared" si="32"/>
        <v>34.15</v>
      </c>
      <c r="L203" s="10">
        <f t="shared" si="33"/>
        <v>1.599</v>
      </c>
      <c r="M203" s="112">
        <f t="shared" si="34"/>
        <v>0.86599999999999999</v>
      </c>
      <c r="N203" s="448">
        <f t="shared" si="36"/>
        <v>6.49</v>
      </c>
      <c r="O203" s="112" t="s">
        <v>1180</v>
      </c>
      <c r="P203" s="554" t="s">
        <v>912</v>
      </c>
      <c r="Q203" s="973" t="s">
        <v>255</v>
      </c>
      <c r="R203" s="13">
        <f t="shared" si="35"/>
        <v>287.98399999999998</v>
      </c>
    </row>
    <row r="204" spans="1:18" ht="21.75" hidden="1" customHeight="1">
      <c r="A204" s="14">
        <f>SUBTOTAL(103,$C$5:C204)</f>
        <v>3</v>
      </c>
      <c r="B204" s="10">
        <v>11</v>
      </c>
      <c r="C204" s="660" t="s">
        <v>262</v>
      </c>
      <c r="D204" s="62" t="str">
        <f>VLOOKUP(C204,'Location Summary'!$C$4:$D$603,2,0)</f>
        <v>DB1+0</v>
      </c>
      <c r="E204" s="62" t="s">
        <v>403</v>
      </c>
      <c r="F204" s="107">
        <v>45993</v>
      </c>
      <c r="G204" s="107">
        <v>45670</v>
      </c>
      <c r="H204" s="60" t="s">
        <v>988</v>
      </c>
      <c r="I204" s="62">
        <f t="shared" si="30"/>
        <v>479.12</v>
      </c>
      <c r="J204" s="10">
        <f t="shared" si="31"/>
        <v>6.16</v>
      </c>
      <c r="K204" s="10">
        <f t="shared" si="32"/>
        <v>69.760000000000005</v>
      </c>
      <c r="L204" s="10">
        <f t="shared" si="33"/>
        <v>3.26</v>
      </c>
      <c r="M204" s="112">
        <f t="shared" si="34"/>
        <v>1.768</v>
      </c>
      <c r="N204" s="448">
        <f t="shared" si="36"/>
        <v>13.01</v>
      </c>
      <c r="O204" s="112" t="s">
        <v>1184</v>
      </c>
      <c r="P204" s="554" t="s">
        <v>1104</v>
      </c>
      <c r="Q204" s="973" t="s">
        <v>255</v>
      </c>
      <c r="R204" s="13">
        <f t="shared" si="35"/>
        <v>585.18400000000008</v>
      </c>
    </row>
    <row r="205" spans="1:18" ht="21.75" customHeight="1">
      <c r="A205" s="14">
        <f>SUBTOTAL(103,$C$5:C205)</f>
        <v>4</v>
      </c>
      <c r="B205" s="10">
        <v>12</v>
      </c>
      <c r="C205" s="660" t="s">
        <v>172</v>
      </c>
      <c r="D205" s="62" t="str">
        <f>VLOOKUP(C205,'Location Summary'!$C$4:$D$603,2,0)</f>
        <v>DA+9</v>
      </c>
      <c r="E205" s="62" t="s">
        <v>403</v>
      </c>
      <c r="F205" s="107">
        <f>G200</f>
        <v>45665</v>
      </c>
      <c r="G205" s="107">
        <v>45670</v>
      </c>
      <c r="H205" s="60" t="s">
        <v>1173</v>
      </c>
      <c r="I205" s="62">
        <f t="shared" si="30"/>
        <v>289.83999999999997</v>
      </c>
      <c r="J205" s="10">
        <f t="shared" si="31"/>
        <v>3.61</v>
      </c>
      <c r="K205" s="10">
        <f t="shared" si="32"/>
        <v>37.299999999999997</v>
      </c>
      <c r="L205" s="10">
        <f t="shared" si="33"/>
        <v>2.093</v>
      </c>
      <c r="M205" s="112">
        <f t="shared" si="34"/>
        <v>0.86599999999999999</v>
      </c>
      <c r="N205" s="448">
        <f t="shared" si="36"/>
        <v>7.39</v>
      </c>
      <c r="O205" s="112" t="s">
        <v>1176</v>
      </c>
      <c r="P205" s="554" t="s">
        <v>912</v>
      </c>
      <c r="Q205" s="973" t="s">
        <v>255</v>
      </c>
      <c r="R205" s="13">
        <f t="shared" si="35"/>
        <v>314.28399999999999</v>
      </c>
    </row>
    <row r="206" spans="1:18" ht="21.75" hidden="1" customHeight="1">
      <c r="A206" s="14">
        <f>SUBTOTAL(103,$C$5:C206)</f>
        <v>4</v>
      </c>
      <c r="B206" s="10">
        <v>13</v>
      </c>
      <c r="C206" s="660" t="s">
        <v>441</v>
      </c>
      <c r="D206" s="62" t="str">
        <f>VLOOKUP(C206,'Location Summary'!$C$4:$D$603,2,0)</f>
        <v>DA+3</v>
      </c>
      <c r="E206" s="62" t="s">
        <v>403</v>
      </c>
      <c r="F206" s="107">
        <f>G199</f>
        <v>45664</v>
      </c>
      <c r="G206" s="107">
        <v>45670</v>
      </c>
      <c r="H206" s="60" t="s">
        <v>992</v>
      </c>
      <c r="I206" s="62">
        <f t="shared" si="30"/>
        <v>289.83999999999997</v>
      </c>
      <c r="J206" s="10">
        <f t="shared" si="31"/>
        <v>3.61</v>
      </c>
      <c r="K206" s="10">
        <f t="shared" si="32"/>
        <v>37.299999999999997</v>
      </c>
      <c r="L206" s="10">
        <f t="shared" si="33"/>
        <v>2.093</v>
      </c>
      <c r="M206" s="112">
        <f t="shared" si="34"/>
        <v>0.86599999999999999</v>
      </c>
      <c r="N206" s="448">
        <f t="shared" si="36"/>
        <v>7.39</v>
      </c>
      <c r="O206" s="112" t="s">
        <v>1180</v>
      </c>
      <c r="P206" s="554" t="s">
        <v>912</v>
      </c>
      <c r="Q206" s="973" t="s">
        <v>255</v>
      </c>
      <c r="R206" s="13">
        <f t="shared" si="35"/>
        <v>314.28399999999999</v>
      </c>
    </row>
    <row r="207" spans="1:18" ht="21.75" hidden="1" customHeight="1">
      <c r="A207" s="14">
        <f>SUBTOTAL(103,$C$5:C207)</f>
        <v>4</v>
      </c>
      <c r="B207" s="10">
        <v>14</v>
      </c>
      <c r="C207" s="660" t="s">
        <v>636</v>
      </c>
      <c r="D207" s="62" t="str">
        <f>VLOOKUP(C207,'Location Summary'!$C$4:$D$603,2,0)</f>
        <v>DA+9</v>
      </c>
      <c r="E207" s="62" t="s">
        <v>403</v>
      </c>
      <c r="F207" s="107">
        <f>G202</f>
        <v>45666</v>
      </c>
      <c r="G207" s="107">
        <v>45670</v>
      </c>
      <c r="H207" s="60" t="s">
        <v>972</v>
      </c>
      <c r="I207" s="62">
        <f t="shared" si="30"/>
        <v>289.83999999999997</v>
      </c>
      <c r="J207" s="10">
        <f t="shared" si="31"/>
        <v>3.61</v>
      </c>
      <c r="K207" s="10">
        <f t="shared" si="32"/>
        <v>37.299999999999997</v>
      </c>
      <c r="L207" s="10">
        <f t="shared" si="33"/>
        <v>2.093</v>
      </c>
      <c r="M207" s="112">
        <f t="shared" si="34"/>
        <v>0.86599999999999999</v>
      </c>
      <c r="N207" s="448">
        <f t="shared" si="36"/>
        <v>7.39</v>
      </c>
      <c r="O207" s="112" t="s">
        <v>1147</v>
      </c>
      <c r="P207" s="554" t="s">
        <v>912</v>
      </c>
      <c r="Q207" s="973" t="s">
        <v>255</v>
      </c>
      <c r="R207" s="13">
        <f t="shared" si="35"/>
        <v>314.28399999999999</v>
      </c>
    </row>
    <row r="208" spans="1:18" ht="21.75" hidden="1" customHeight="1">
      <c r="A208" s="14">
        <f>SUBTOTAL(103,$C$5:C208)</f>
        <v>4</v>
      </c>
      <c r="B208" s="10">
        <v>15</v>
      </c>
      <c r="C208" s="660" t="s">
        <v>55</v>
      </c>
      <c r="D208" s="62" t="str">
        <f>VLOOKUP(C208,'Location Summary'!$C$4:$D$603,2,0)</f>
        <v>DC2+15</v>
      </c>
      <c r="E208" s="62" t="s">
        <v>403</v>
      </c>
      <c r="F208" s="107">
        <v>45993</v>
      </c>
      <c r="G208" s="107">
        <v>45672</v>
      </c>
      <c r="H208" s="60" t="s">
        <v>1140</v>
      </c>
      <c r="I208" s="62">
        <f t="shared" si="30"/>
        <v>689.93</v>
      </c>
      <c r="J208" s="10">
        <f t="shared" si="31"/>
        <v>9.0299999999999994</v>
      </c>
      <c r="K208" s="10">
        <f t="shared" si="32"/>
        <v>112.22</v>
      </c>
      <c r="L208" s="10">
        <f t="shared" si="33"/>
        <v>5.8468</v>
      </c>
      <c r="M208" s="112">
        <f t="shared" si="34"/>
        <v>2.2349290000000002</v>
      </c>
      <c r="N208" s="448">
        <f>ROUND((I208*230.35+J208*10150.5+K208*11591.45+L208*93958.18+M208*7677.44)/10^5,2)</f>
        <v>21.18</v>
      </c>
      <c r="O208" s="112" t="s">
        <v>1183</v>
      </c>
      <c r="P208" s="554" t="s">
        <v>1104</v>
      </c>
      <c r="Q208" s="973" t="s">
        <v>255</v>
      </c>
      <c r="R208" s="13">
        <f t="shared" si="35"/>
        <v>937.49199999999996</v>
      </c>
    </row>
    <row r="209" spans="1:18" ht="21.75" hidden="1" customHeight="1">
      <c r="A209" s="14">
        <f>SUBTOTAL(103,$C$5:C209)</f>
        <v>4</v>
      </c>
      <c r="B209" s="10">
        <v>16</v>
      </c>
      <c r="C209" s="660" t="s">
        <v>442</v>
      </c>
      <c r="D209" s="62" t="str">
        <f>VLOOKUP(C209,'Location Summary'!$C$4:$D$603,2,0)</f>
        <v>DA-3</v>
      </c>
      <c r="E209" s="62" t="s">
        <v>403</v>
      </c>
      <c r="F209" s="107">
        <f>G206</f>
        <v>45670</v>
      </c>
      <c r="G209" s="107">
        <v>45674</v>
      </c>
      <c r="H209" s="60" t="s">
        <v>992</v>
      </c>
      <c r="I209" s="62">
        <f t="shared" si="30"/>
        <v>271.04000000000002</v>
      </c>
      <c r="J209" s="10">
        <f t="shared" si="31"/>
        <v>3.36</v>
      </c>
      <c r="K209" s="10">
        <f t="shared" si="32"/>
        <v>34.15</v>
      </c>
      <c r="L209" s="10">
        <f t="shared" si="33"/>
        <v>1.599</v>
      </c>
      <c r="M209" s="112">
        <f t="shared" si="34"/>
        <v>0.86599999999999999</v>
      </c>
      <c r="N209" s="448">
        <f>ROUND((I209*230.35+J209*10150.5+K209*11591.45+L209*93958.18+M209*7677.44)/10^5,2)</f>
        <v>6.49</v>
      </c>
      <c r="O209" s="112" t="s">
        <v>1180</v>
      </c>
      <c r="P209" s="554" t="s">
        <v>912</v>
      </c>
      <c r="Q209" s="973" t="s">
        <v>255</v>
      </c>
      <c r="R209" s="13">
        <f t="shared" si="35"/>
        <v>287.98399999999998</v>
      </c>
    </row>
    <row r="210" spans="1:18" ht="21.75" hidden="1" customHeight="1">
      <c r="A210" s="14">
        <f>SUBTOTAL(103,$C$5:C210)</f>
        <v>4</v>
      </c>
      <c r="B210" s="10">
        <v>17</v>
      </c>
      <c r="C210" s="660" t="s">
        <v>624</v>
      </c>
      <c r="D210" s="62" t="str">
        <f>VLOOKUP(C210,'Location Summary'!$C$4:$D$603,2,0)</f>
        <v>DA+3</v>
      </c>
      <c r="E210" s="62" t="s">
        <v>403</v>
      </c>
      <c r="F210" s="107">
        <f>G201</f>
        <v>45666</v>
      </c>
      <c r="G210" s="107">
        <v>45674</v>
      </c>
      <c r="H210" s="60" t="s">
        <v>1167</v>
      </c>
      <c r="I210" s="62">
        <f t="shared" si="30"/>
        <v>289.83999999999997</v>
      </c>
      <c r="J210" s="10">
        <f t="shared" si="31"/>
        <v>3.61</v>
      </c>
      <c r="K210" s="10">
        <f t="shared" si="32"/>
        <v>37.299999999999997</v>
      </c>
      <c r="L210" s="10">
        <f t="shared" si="33"/>
        <v>2.093</v>
      </c>
      <c r="M210" s="112">
        <f t="shared" si="34"/>
        <v>0.86599999999999999</v>
      </c>
      <c r="N210" s="448">
        <f>ROUND((I210*230.35+J210*10150.5+K210*11591.45+L210*93958.18+M210*7677.44)/10^5,2)</f>
        <v>7.39</v>
      </c>
      <c r="O210" s="112" t="s">
        <v>1179</v>
      </c>
      <c r="P210" s="554" t="s">
        <v>912</v>
      </c>
      <c r="Q210" s="973" t="s">
        <v>255</v>
      </c>
      <c r="R210" s="13">
        <f t="shared" si="35"/>
        <v>314.28399999999999</v>
      </c>
    </row>
    <row r="211" spans="1:18" ht="21.75" customHeight="1">
      <c r="A211" s="14">
        <f>SUBTOTAL(103,$C$5:C211)</f>
        <v>5</v>
      </c>
      <c r="B211" s="10">
        <v>18</v>
      </c>
      <c r="C211" s="660" t="s">
        <v>75</v>
      </c>
      <c r="D211" s="62" t="str">
        <f>VLOOKUP(C211,'Location Summary'!$C$4:$D$603,2,0)</f>
        <v>DB1+9</v>
      </c>
      <c r="E211" s="62" t="s">
        <v>403</v>
      </c>
      <c r="F211" s="107">
        <f>G205</f>
        <v>45670</v>
      </c>
      <c r="G211" s="107">
        <v>45676</v>
      </c>
      <c r="H211" s="60" t="s">
        <v>1173</v>
      </c>
      <c r="I211" s="62">
        <f t="shared" si="30"/>
        <v>484.04</v>
      </c>
      <c r="J211" s="10">
        <f t="shared" si="31"/>
        <v>6.23</v>
      </c>
      <c r="K211" s="10">
        <f t="shared" si="32"/>
        <v>70.319999999999993</v>
      </c>
      <c r="L211" s="10">
        <f t="shared" si="33"/>
        <v>3.3719999999999999</v>
      </c>
      <c r="M211" s="112">
        <f t="shared" si="34"/>
        <v>1.768</v>
      </c>
      <c r="N211" s="448">
        <f>ROUND((I211*230.35+J211*10150.5+K211*11591.45+L211*93958.18+M211*7677.44)/10^5,2)</f>
        <v>13.2</v>
      </c>
      <c r="O211" s="112" t="s">
        <v>1176</v>
      </c>
      <c r="P211" s="554" t="s">
        <v>912</v>
      </c>
      <c r="Q211" s="973" t="s">
        <v>255</v>
      </c>
      <c r="R211" s="13">
        <f t="shared" si="35"/>
        <v>589.97199999999998</v>
      </c>
    </row>
    <row r="212" spans="1:18" ht="21.75" hidden="1" customHeight="1">
      <c r="A212" s="14">
        <f>SUBTOTAL(103,$C$5:C212)</f>
        <v>5</v>
      </c>
      <c r="B212" s="10">
        <v>19</v>
      </c>
      <c r="C212" s="660" t="s">
        <v>638</v>
      </c>
      <c r="D212" s="62" t="str">
        <f>VLOOKUP(C212,'Location Summary'!$C$4:$D$603,2,0)</f>
        <v>DB1+9</v>
      </c>
      <c r="E212" s="62" t="s">
        <v>403</v>
      </c>
      <c r="F212" s="107">
        <f>G207</f>
        <v>45670</v>
      </c>
      <c r="G212" s="107">
        <v>45677</v>
      </c>
      <c r="H212" s="60" t="s">
        <v>972</v>
      </c>
      <c r="I212" s="62">
        <f t="shared" si="30"/>
        <v>484.04</v>
      </c>
      <c r="J212" s="10">
        <f t="shared" si="31"/>
        <v>6.23</v>
      </c>
      <c r="K212" s="10">
        <f t="shared" si="32"/>
        <v>70.319999999999993</v>
      </c>
      <c r="L212" s="10">
        <f t="shared" si="33"/>
        <v>3.3719999999999999</v>
      </c>
      <c r="M212" s="112">
        <f t="shared" si="34"/>
        <v>1.768</v>
      </c>
      <c r="N212" s="448">
        <f t="shared" ref="N212:N217" si="37">ROUND((I212*230.35+J212*10150.5+K212*11591.45+L212*93958.18+M212*7677.44)/10^5,2)</f>
        <v>13.2</v>
      </c>
      <c r="O212" s="112" t="s">
        <v>1180</v>
      </c>
      <c r="P212" s="554" t="s">
        <v>912</v>
      </c>
      <c r="Q212" s="973" t="s">
        <v>255</v>
      </c>
      <c r="R212" s="13">
        <f t="shared" si="35"/>
        <v>589.97199999999998</v>
      </c>
    </row>
    <row r="213" spans="1:18" ht="21.75" hidden="1" customHeight="1">
      <c r="A213" s="14">
        <f>SUBTOTAL(103,$C$5:C213)</f>
        <v>5</v>
      </c>
      <c r="B213" s="10">
        <v>20</v>
      </c>
      <c r="C213" s="660" t="s">
        <v>264</v>
      </c>
      <c r="D213" s="62" t="str">
        <f>VLOOKUP(C213,'Location Summary'!$C$4:$D$603,2,0)</f>
        <v>DB1+6</v>
      </c>
      <c r="E213" s="62" t="s">
        <v>403</v>
      </c>
      <c r="F213" s="107">
        <f>G204</f>
        <v>45670</v>
      </c>
      <c r="G213" s="107">
        <v>45678</v>
      </c>
      <c r="H213" s="60" t="s">
        <v>988</v>
      </c>
      <c r="I213" s="62">
        <f t="shared" si="30"/>
        <v>484.04</v>
      </c>
      <c r="J213" s="10">
        <f t="shared" si="31"/>
        <v>6.23</v>
      </c>
      <c r="K213" s="10">
        <f t="shared" si="32"/>
        <v>70.319999999999993</v>
      </c>
      <c r="L213" s="10">
        <f t="shared" si="33"/>
        <v>3.3719999999999999</v>
      </c>
      <c r="M213" s="112">
        <f t="shared" si="34"/>
        <v>1.768</v>
      </c>
      <c r="N213" s="448">
        <f t="shared" si="37"/>
        <v>13.2</v>
      </c>
      <c r="O213" s="112" t="s">
        <v>1184</v>
      </c>
      <c r="P213" s="554" t="s">
        <v>1104</v>
      </c>
      <c r="Q213" s="973" t="s">
        <v>255</v>
      </c>
      <c r="R213" s="13">
        <f t="shared" si="35"/>
        <v>589.97199999999998</v>
      </c>
    </row>
    <row r="214" spans="1:18" ht="21.75" hidden="1" customHeight="1">
      <c r="A214" s="14">
        <f>SUBTOTAL(103,$C$5:C214)</f>
        <v>5</v>
      </c>
      <c r="B214" s="10">
        <v>21</v>
      </c>
      <c r="C214" s="660" t="s">
        <v>443</v>
      </c>
      <c r="D214" s="62" t="str">
        <f>VLOOKUP(C214,'Location Summary'!$C$4:$D$603,2,0)</f>
        <v>DA+3</v>
      </c>
      <c r="E214" s="62" t="s">
        <v>403</v>
      </c>
      <c r="F214" s="107">
        <f>G209</f>
        <v>45674</v>
      </c>
      <c r="G214" s="107">
        <v>45678</v>
      </c>
      <c r="H214" s="60" t="s">
        <v>992</v>
      </c>
      <c r="I214" s="62">
        <f t="shared" si="30"/>
        <v>289.83999999999997</v>
      </c>
      <c r="J214" s="10">
        <f t="shared" si="31"/>
        <v>3.61</v>
      </c>
      <c r="K214" s="10">
        <f t="shared" si="32"/>
        <v>37.299999999999997</v>
      </c>
      <c r="L214" s="10">
        <f t="shared" si="33"/>
        <v>2.093</v>
      </c>
      <c r="M214" s="112">
        <f t="shared" si="34"/>
        <v>0.86599999999999999</v>
      </c>
      <c r="N214" s="448">
        <f t="shared" si="37"/>
        <v>7.39</v>
      </c>
      <c r="O214" s="112" t="s">
        <v>1191</v>
      </c>
      <c r="P214" s="554" t="s">
        <v>765</v>
      </c>
      <c r="Q214" s="973" t="s">
        <v>255</v>
      </c>
      <c r="R214" s="13">
        <f t="shared" si="35"/>
        <v>314.28399999999999</v>
      </c>
    </row>
    <row r="215" spans="1:18" ht="21.75" hidden="1" customHeight="1">
      <c r="A215" s="14">
        <f>SUBTOTAL(103,$C$5:C215)</f>
        <v>5</v>
      </c>
      <c r="B215" s="10">
        <v>22</v>
      </c>
      <c r="C215" s="660" t="s">
        <v>648</v>
      </c>
      <c r="D215" s="62" t="str">
        <f>VLOOKUP(C215,'Location Summary'!$C$4:$D$603,2,0)</f>
        <v>DA+0</v>
      </c>
      <c r="E215" s="62" t="s">
        <v>403</v>
      </c>
      <c r="F215" s="107">
        <v>45672</v>
      </c>
      <c r="G215" s="107">
        <v>45678</v>
      </c>
      <c r="H215" s="60" t="s">
        <v>886</v>
      </c>
      <c r="I215" s="62">
        <f t="shared" si="30"/>
        <v>271.04000000000002</v>
      </c>
      <c r="J215" s="10">
        <f t="shared" si="31"/>
        <v>3.36</v>
      </c>
      <c r="K215" s="10">
        <f t="shared" si="32"/>
        <v>34.15</v>
      </c>
      <c r="L215" s="10">
        <f t="shared" si="33"/>
        <v>1.599</v>
      </c>
      <c r="M215" s="112">
        <f t="shared" si="34"/>
        <v>0.86599999999999999</v>
      </c>
      <c r="N215" s="448">
        <f t="shared" si="37"/>
        <v>6.49</v>
      </c>
      <c r="O215" s="112" t="s">
        <v>1189</v>
      </c>
      <c r="P215" s="554" t="s">
        <v>912</v>
      </c>
      <c r="Q215" s="973" t="s">
        <v>255</v>
      </c>
      <c r="R215" s="13">
        <f t="shared" si="35"/>
        <v>287.98399999999998</v>
      </c>
    </row>
    <row r="216" spans="1:18" ht="21.75" hidden="1" customHeight="1">
      <c r="A216" s="14">
        <f>SUBTOTAL(103,$C$5:C216)</f>
        <v>5</v>
      </c>
      <c r="B216" s="10">
        <v>23</v>
      </c>
      <c r="C216" s="660" t="s">
        <v>56</v>
      </c>
      <c r="D216" s="62" t="str">
        <f>VLOOKUP(C216,'Location Summary'!$C$4:$D$603,2,0)</f>
        <v>DB2+9</v>
      </c>
      <c r="E216" s="62" t="s">
        <v>403</v>
      </c>
      <c r="F216" s="107">
        <v>45672</v>
      </c>
      <c r="G216" s="107">
        <v>45679</v>
      </c>
      <c r="H216" s="60" t="s">
        <v>1140</v>
      </c>
      <c r="I216" s="62">
        <f t="shared" si="30"/>
        <v>566.29</v>
      </c>
      <c r="J216" s="10">
        <f t="shared" si="31"/>
        <v>7.34</v>
      </c>
      <c r="K216" s="10">
        <f t="shared" si="32"/>
        <v>86.35</v>
      </c>
      <c r="L216" s="10">
        <f t="shared" si="33"/>
        <v>4.2603999999999997</v>
      </c>
      <c r="M216" s="112">
        <f t="shared" si="34"/>
        <v>1.768</v>
      </c>
      <c r="N216" s="448">
        <f t="shared" si="37"/>
        <v>16.2</v>
      </c>
      <c r="O216" s="112" t="s">
        <v>1183</v>
      </c>
      <c r="P216" s="554" t="s">
        <v>1104</v>
      </c>
      <c r="Q216" s="973" t="s">
        <v>255</v>
      </c>
      <c r="R216" s="13">
        <f t="shared" si="35"/>
        <v>723.096</v>
      </c>
    </row>
    <row r="217" spans="1:18" ht="21.75" hidden="1" customHeight="1">
      <c r="A217" s="14">
        <f>SUBTOTAL(103,$C$5:C217)</f>
        <v>5</v>
      </c>
      <c r="B217" s="10">
        <v>24</v>
      </c>
      <c r="C217" s="660" t="s">
        <v>644</v>
      </c>
      <c r="D217" s="62" t="str">
        <f>VLOOKUP(C217,'Location Summary'!$C$4:$D$603,2,0)</f>
        <v>DA-1.5</v>
      </c>
      <c r="E217" s="62" t="s">
        <v>403</v>
      </c>
      <c r="F217" s="107">
        <f>G212</f>
        <v>45677</v>
      </c>
      <c r="G217" s="107">
        <v>45680</v>
      </c>
      <c r="H217" s="60" t="s">
        <v>972</v>
      </c>
      <c r="I217" s="62">
        <f t="shared" si="30"/>
        <v>271.04000000000002</v>
      </c>
      <c r="J217" s="10">
        <f t="shared" si="31"/>
        <v>3.36</v>
      </c>
      <c r="K217" s="10">
        <f t="shared" si="32"/>
        <v>34.15</v>
      </c>
      <c r="L217" s="10">
        <f t="shared" si="33"/>
        <v>1.599</v>
      </c>
      <c r="M217" s="112">
        <f t="shared" si="34"/>
        <v>0.86599999999999999</v>
      </c>
      <c r="N217" s="448">
        <f t="shared" si="37"/>
        <v>6.49</v>
      </c>
      <c r="O217" s="112" t="s">
        <v>1180</v>
      </c>
      <c r="P217" s="554" t="s">
        <v>912</v>
      </c>
      <c r="Q217" s="973" t="s">
        <v>255</v>
      </c>
      <c r="R217" s="13">
        <f t="shared" si="35"/>
        <v>287.98399999999998</v>
      </c>
    </row>
    <row r="218" spans="1:18" ht="21.75" hidden="1" customHeight="1">
      <c r="A218" s="14">
        <f>SUBTOTAL(103,$C$5:C218)</f>
        <v>5</v>
      </c>
      <c r="B218" s="10">
        <v>25</v>
      </c>
      <c r="C218" s="660" t="s">
        <v>625</v>
      </c>
      <c r="D218" s="62" t="str">
        <f>VLOOKUP(C218,'Location Summary'!$C$4:$D$603,2,0)</f>
        <v>DA+1.5</v>
      </c>
      <c r="E218" s="62" t="s">
        <v>403</v>
      </c>
      <c r="F218" s="107">
        <v>45674</v>
      </c>
      <c r="G218" s="107">
        <v>45681</v>
      </c>
      <c r="H218" s="60" t="s">
        <v>1167</v>
      </c>
      <c r="I218" s="62">
        <f t="shared" si="30"/>
        <v>289.83999999999997</v>
      </c>
      <c r="J218" s="10">
        <f t="shared" si="31"/>
        <v>3.61</v>
      </c>
      <c r="K218" s="10">
        <f t="shared" si="32"/>
        <v>37.299999999999997</v>
      </c>
      <c r="L218" s="10">
        <f t="shared" si="33"/>
        <v>2.093</v>
      </c>
      <c r="M218" s="112">
        <f t="shared" si="34"/>
        <v>0.86599999999999999</v>
      </c>
      <c r="N218" s="448">
        <f t="shared" ref="N218:N223" si="38">ROUND((I218*230.35+J218*10150.5+K218*11591.45+L218*93958.18+M218*7677.44)/10^5,2)</f>
        <v>7.39</v>
      </c>
      <c r="O218" s="112" t="s">
        <v>1190</v>
      </c>
      <c r="P218" s="554" t="s">
        <v>912</v>
      </c>
      <c r="Q218" s="973" t="s">
        <v>255</v>
      </c>
      <c r="R218" s="13">
        <f t="shared" si="35"/>
        <v>314.28399999999999</v>
      </c>
    </row>
    <row r="219" spans="1:18" ht="21.75" hidden="1" customHeight="1">
      <c r="A219" s="14">
        <f>SUBTOTAL(103,$C$5:C219)</f>
        <v>5</v>
      </c>
      <c r="B219" s="10">
        <v>26</v>
      </c>
      <c r="C219" s="660" t="s">
        <v>393</v>
      </c>
      <c r="D219" s="62" t="str">
        <f>VLOOKUP(C219,'Location Summary'!$C$4:$D$603,2,0)</f>
        <v>DA+6</v>
      </c>
      <c r="E219" s="62" t="s">
        <v>403</v>
      </c>
      <c r="F219" s="107">
        <v>45663</v>
      </c>
      <c r="G219" s="107">
        <v>45681</v>
      </c>
      <c r="H219" s="60" t="s">
        <v>1164</v>
      </c>
      <c r="I219" s="62">
        <f t="shared" si="30"/>
        <v>289.83999999999997</v>
      </c>
      <c r="J219" s="10">
        <f t="shared" si="31"/>
        <v>3.61</v>
      </c>
      <c r="K219" s="10">
        <f t="shared" si="32"/>
        <v>37.299999999999997</v>
      </c>
      <c r="L219" s="10">
        <f t="shared" si="33"/>
        <v>2.093</v>
      </c>
      <c r="M219" s="112">
        <f t="shared" si="34"/>
        <v>0.86599999999999999</v>
      </c>
      <c r="N219" s="448">
        <f t="shared" si="38"/>
        <v>7.39</v>
      </c>
      <c r="O219" s="112" t="s">
        <v>1183</v>
      </c>
      <c r="P219" s="554" t="s">
        <v>1104</v>
      </c>
      <c r="Q219" s="973" t="s">
        <v>255</v>
      </c>
      <c r="R219" s="13">
        <f t="shared" si="35"/>
        <v>314.28399999999999</v>
      </c>
    </row>
    <row r="220" spans="1:18" ht="21.75" customHeight="1">
      <c r="A220" s="14">
        <f>SUBTOTAL(103,$C$5:C220)</f>
        <v>6</v>
      </c>
      <c r="B220" s="10">
        <v>27</v>
      </c>
      <c r="C220" s="660" t="s">
        <v>78</v>
      </c>
      <c r="D220" s="62" t="str">
        <f>VLOOKUP(C220,'Location Summary'!$C$4:$D$603,2,0)</f>
        <v>DB1+0</v>
      </c>
      <c r="E220" s="62" t="s">
        <v>403</v>
      </c>
      <c r="F220" s="107">
        <f>G211</f>
        <v>45676</v>
      </c>
      <c r="G220" s="107">
        <v>45682</v>
      </c>
      <c r="H220" s="60" t="s">
        <v>1173</v>
      </c>
      <c r="I220" s="62">
        <f t="shared" si="30"/>
        <v>479.12</v>
      </c>
      <c r="J220" s="10">
        <f t="shared" si="31"/>
        <v>6.16</v>
      </c>
      <c r="K220" s="10">
        <f t="shared" si="32"/>
        <v>69.760000000000005</v>
      </c>
      <c r="L220" s="10">
        <f t="shared" si="33"/>
        <v>3.26</v>
      </c>
      <c r="M220" s="112">
        <f t="shared" si="34"/>
        <v>1.768</v>
      </c>
      <c r="N220" s="448">
        <f t="shared" si="38"/>
        <v>13.01</v>
      </c>
      <c r="O220" s="112" t="s">
        <v>791</v>
      </c>
      <c r="P220" s="554" t="s">
        <v>912</v>
      </c>
      <c r="Q220" s="973" t="s">
        <v>255</v>
      </c>
      <c r="R220" s="13">
        <f t="shared" si="35"/>
        <v>585.18400000000008</v>
      </c>
    </row>
    <row r="221" spans="1:18" ht="21.75" hidden="1" customHeight="1">
      <c r="A221" s="14">
        <f>SUBTOTAL(103,$C$5:C221)</f>
        <v>6</v>
      </c>
      <c r="B221" s="10">
        <v>28</v>
      </c>
      <c r="C221" s="660" t="s">
        <v>649</v>
      </c>
      <c r="D221" s="62" t="str">
        <f>VLOOKUP(C221,'Location Summary'!$C$4:$D$603,2,0)</f>
        <v>DA+9</v>
      </c>
      <c r="E221" s="62" t="s">
        <v>403</v>
      </c>
      <c r="F221" s="107">
        <f>G215</f>
        <v>45678</v>
      </c>
      <c r="G221" s="107">
        <v>45682</v>
      </c>
      <c r="H221" s="60" t="s">
        <v>886</v>
      </c>
      <c r="I221" s="62">
        <f t="shared" si="30"/>
        <v>289.83999999999997</v>
      </c>
      <c r="J221" s="10">
        <f t="shared" si="31"/>
        <v>3.61</v>
      </c>
      <c r="K221" s="10">
        <f t="shared" si="32"/>
        <v>37.299999999999997</v>
      </c>
      <c r="L221" s="10">
        <f t="shared" si="33"/>
        <v>2.093</v>
      </c>
      <c r="M221" s="112">
        <f t="shared" si="34"/>
        <v>0.86599999999999999</v>
      </c>
      <c r="N221" s="448">
        <f t="shared" si="38"/>
        <v>7.39</v>
      </c>
      <c r="O221" s="112" t="s">
        <v>1189</v>
      </c>
      <c r="P221" s="554" t="s">
        <v>912</v>
      </c>
      <c r="Q221" s="973" t="s">
        <v>255</v>
      </c>
      <c r="R221" s="13">
        <f t="shared" si="35"/>
        <v>314.28399999999999</v>
      </c>
    </row>
    <row r="222" spans="1:18" ht="21.75" hidden="1" customHeight="1">
      <c r="A222" s="14">
        <f>SUBTOTAL(103,$C$5:C222)</f>
        <v>6</v>
      </c>
      <c r="B222" s="10">
        <v>29</v>
      </c>
      <c r="C222" s="660" t="s">
        <v>308</v>
      </c>
      <c r="D222" s="62" t="str">
        <f>VLOOKUP(C222,'Location Summary'!$C$4:$D$603,2,0)</f>
        <v>DA+6</v>
      </c>
      <c r="E222" s="62" t="s">
        <v>403</v>
      </c>
      <c r="F222" s="107">
        <v>45679</v>
      </c>
      <c r="G222" s="107">
        <v>45684</v>
      </c>
      <c r="H222" s="60" t="s">
        <v>988</v>
      </c>
      <c r="I222" s="62">
        <f t="shared" si="30"/>
        <v>289.83999999999997</v>
      </c>
      <c r="J222" s="10">
        <f t="shared" si="31"/>
        <v>3.61</v>
      </c>
      <c r="K222" s="10">
        <f t="shared" si="32"/>
        <v>37.299999999999997</v>
      </c>
      <c r="L222" s="10">
        <f t="shared" si="33"/>
        <v>2.093</v>
      </c>
      <c r="M222" s="112">
        <f t="shared" si="34"/>
        <v>0.86599999999999999</v>
      </c>
      <c r="N222" s="448">
        <f t="shared" si="38"/>
        <v>7.39</v>
      </c>
      <c r="O222" s="112" t="s">
        <v>1184</v>
      </c>
      <c r="P222" s="554" t="s">
        <v>1104</v>
      </c>
      <c r="Q222" s="973" t="s">
        <v>255</v>
      </c>
      <c r="R222" s="13">
        <f t="shared" si="35"/>
        <v>314.28399999999999</v>
      </c>
    </row>
    <row r="223" spans="1:18" ht="21.75" hidden="1" customHeight="1">
      <c r="A223" s="14">
        <f>SUBTOTAL(103,$C$5:C223)</f>
        <v>6</v>
      </c>
      <c r="B223" s="10">
        <v>30</v>
      </c>
      <c r="C223" s="660" t="s">
        <v>645</v>
      </c>
      <c r="D223" s="62" t="str">
        <f>VLOOKUP(C223,'Location Summary'!$C$4:$D$603,2,0)</f>
        <v>DA+0</v>
      </c>
      <c r="E223" s="62" t="s">
        <v>403</v>
      </c>
      <c r="F223" s="107">
        <v>45680</v>
      </c>
      <c r="G223" s="107">
        <v>45685</v>
      </c>
      <c r="H223" s="60" t="s">
        <v>972</v>
      </c>
      <c r="I223" s="62">
        <f t="shared" si="30"/>
        <v>271.04000000000002</v>
      </c>
      <c r="J223" s="10">
        <f t="shared" si="31"/>
        <v>3.36</v>
      </c>
      <c r="K223" s="10">
        <f t="shared" si="32"/>
        <v>34.15</v>
      </c>
      <c r="L223" s="10">
        <f t="shared" si="33"/>
        <v>1.599</v>
      </c>
      <c r="M223" s="112">
        <f t="shared" si="34"/>
        <v>0.86599999999999999</v>
      </c>
      <c r="N223" s="448">
        <f t="shared" si="38"/>
        <v>6.49</v>
      </c>
      <c r="O223" s="112" t="s">
        <v>1180</v>
      </c>
      <c r="P223" s="554" t="s">
        <v>912</v>
      </c>
      <c r="Q223" s="973" t="s">
        <v>255</v>
      </c>
      <c r="R223" s="13">
        <f t="shared" si="35"/>
        <v>287.98399999999998</v>
      </c>
    </row>
    <row r="224" spans="1:18" ht="21.75" hidden="1" customHeight="1">
      <c r="A224" s="14">
        <f>SUBTOTAL(103,$C$5:C224)</f>
        <v>6</v>
      </c>
      <c r="B224" s="10">
        <v>31</v>
      </c>
      <c r="C224" s="660" t="s">
        <v>9</v>
      </c>
      <c r="D224" s="62" t="str">
        <f>VLOOKUP(C224,'Location Summary'!$C$4:$D$603,2,0)</f>
        <v>DB1+0</v>
      </c>
      <c r="E224" s="62" t="s">
        <v>403</v>
      </c>
      <c r="F224" s="107">
        <v>45677</v>
      </c>
      <c r="G224" s="107">
        <v>45686</v>
      </c>
      <c r="H224" s="60" t="s">
        <v>992</v>
      </c>
      <c r="I224" s="62">
        <f t="shared" si="30"/>
        <v>479.12</v>
      </c>
      <c r="J224" s="10">
        <f t="shared" si="31"/>
        <v>6.16</v>
      </c>
      <c r="K224" s="10">
        <f t="shared" si="32"/>
        <v>69.760000000000005</v>
      </c>
      <c r="L224" s="10">
        <f t="shared" si="33"/>
        <v>3.26</v>
      </c>
      <c r="M224" s="112">
        <f t="shared" si="34"/>
        <v>1.768</v>
      </c>
      <c r="N224" s="623">
        <f t="shared" ref="N224:N230" si="39">ROUND((I224*230.35+J224*10150.5+K224*11591.45+L224*93958.18+M224*7677.44)/10^5,2)</f>
        <v>13.01</v>
      </c>
      <c r="O224" s="112" t="s">
        <v>1191</v>
      </c>
      <c r="P224" s="554" t="s">
        <v>765</v>
      </c>
      <c r="Q224" s="973" t="s">
        <v>255</v>
      </c>
      <c r="R224" s="13">
        <f t="shared" si="35"/>
        <v>585.18400000000008</v>
      </c>
    </row>
    <row r="225" spans="1:18" ht="21.75" hidden="1" customHeight="1">
      <c r="A225" s="14">
        <f>SUBTOTAL(103,$C$5:C225)</f>
        <v>6</v>
      </c>
      <c r="B225" s="10">
        <v>32</v>
      </c>
      <c r="C225" s="660" t="s">
        <v>674</v>
      </c>
      <c r="D225" s="62" t="str">
        <f>VLOOKUP(C225,'Location Summary'!$C$4:$D$603,2,0)</f>
        <v>DB1+9</v>
      </c>
      <c r="E225" s="62" t="s">
        <v>403</v>
      </c>
      <c r="F225" s="107">
        <v>45680</v>
      </c>
      <c r="G225" s="107">
        <v>45687</v>
      </c>
      <c r="H225" s="60" t="s">
        <v>1140</v>
      </c>
      <c r="I225" s="62">
        <f t="shared" si="30"/>
        <v>484.04</v>
      </c>
      <c r="J225" s="10">
        <f t="shared" si="31"/>
        <v>6.23</v>
      </c>
      <c r="K225" s="10">
        <f t="shared" si="32"/>
        <v>70.319999999999993</v>
      </c>
      <c r="L225" s="10">
        <f t="shared" si="33"/>
        <v>3.3719999999999999</v>
      </c>
      <c r="M225" s="112">
        <f t="shared" si="34"/>
        <v>1.768</v>
      </c>
      <c r="N225" s="623">
        <f t="shared" si="39"/>
        <v>13.2</v>
      </c>
      <c r="O225" s="112" t="s">
        <v>1183</v>
      </c>
      <c r="P225" s="554" t="s">
        <v>1104</v>
      </c>
      <c r="Q225" s="973" t="s">
        <v>255</v>
      </c>
      <c r="R225" s="13">
        <f t="shared" si="35"/>
        <v>589.97199999999998</v>
      </c>
    </row>
    <row r="226" spans="1:18" ht="21.75" customHeight="1">
      <c r="A226" s="14">
        <f>SUBTOTAL(103,$C$5:C226)</f>
        <v>7</v>
      </c>
      <c r="B226" s="10">
        <v>33</v>
      </c>
      <c r="C226" s="660" t="s">
        <v>1784</v>
      </c>
      <c r="D226" s="62" t="str">
        <f>VLOOKUP(C226,'Location Summary'!$C$4:$D$603,2,0)</f>
        <v>DB1+9</v>
      </c>
      <c r="E226" s="62" t="s">
        <v>403</v>
      </c>
      <c r="F226" s="107">
        <v>45684</v>
      </c>
      <c r="G226" s="107">
        <v>45688</v>
      </c>
      <c r="H226" s="60" t="s">
        <v>1173</v>
      </c>
      <c r="I226" s="62">
        <f t="shared" si="30"/>
        <v>484.04</v>
      </c>
      <c r="J226" s="10">
        <f t="shared" si="31"/>
        <v>6.23</v>
      </c>
      <c r="K226" s="10">
        <f t="shared" si="32"/>
        <v>70.319999999999993</v>
      </c>
      <c r="L226" s="10">
        <f t="shared" si="33"/>
        <v>3.3719999999999999</v>
      </c>
      <c r="M226" s="112">
        <f t="shared" si="34"/>
        <v>1.768</v>
      </c>
      <c r="N226" s="623">
        <f t="shared" si="39"/>
        <v>13.2</v>
      </c>
      <c r="O226" s="112" t="s">
        <v>791</v>
      </c>
      <c r="P226" s="554" t="s">
        <v>912</v>
      </c>
      <c r="Q226" s="973" t="s">
        <v>255</v>
      </c>
      <c r="R226" s="13">
        <f t="shared" si="35"/>
        <v>589.97199999999998</v>
      </c>
    </row>
    <row r="227" spans="1:18" ht="21.75" hidden="1" customHeight="1">
      <c r="A227" s="14">
        <f>SUBTOTAL(103,$C$5:C227)</f>
        <v>7</v>
      </c>
      <c r="B227" s="10">
        <v>34</v>
      </c>
      <c r="C227" s="660" t="s">
        <v>626</v>
      </c>
      <c r="D227" s="62" t="str">
        <f>VLOOKUP(C227,'Location Summary'!$C$4:$D$603,2,0)</f>
        <v>DA+6</v>
      </c>
      <c r="E227" s="62" t="s">
        <v>403</v>
      </c>
      <c r="F227" s="107">
        <v>45681</v>
      </c>
      <c r="G227" s="107">
        <v>45688</v>
      </c>
      <c r="H227" s="60" t="s">
        <v>1167</v>
      </c>
      <c r="I227" s="62">
        <f t="shared" si="30"/>
        <v>289.83999999999997</v>
      </c>
      <c r="J227" s="10">
        <f t="shared" si="31"/>
        <v>3.61</v>
      </c>
      <c r="K227" s="10">
        <f t="shared" si="32"/>
        <v>37.299999999999997</v>
      </c>
      <c r="L227" s="10">
        <f t="shared" si="33"/>
        <v>2.093</v>
      </c>
      <c r="M227" s="112">
        <f t="shared" si="34"/>
        <v>0.86599999999999999</v>
      </c>
      <c r="N227" s="623">
        <f t="shared" si="39"/>
        <v>7.39</v>
      </c>
      <c r="O227" s="112" t="s">
        <v>1190</v>
      </c>
      <c r="P227" s="554" t="s">
        <v>912</v>
      </c>
      <c r="Q227" s="973" t="s">
        <v>255</v>
      </c>
      <c r="R227" s="13">
        <f t="shared" si="35"/>
        <v>314.28399999999999</v>
      </c>
    </row>
    <row r="228" spans="1:18" ht="21.75" hidden="1" customHeight="1">
      <c r="A228" s="14">
        <f>SUBTOTAL(103,$C$5:C228)</f>
        <v>7</v>
      </c>
      <c r="B228" s="10">
        <v>35</v>
      </c>
      <c r="C228" s="660" t="s">
        <v>66</v>
      </c>
      <c r="D228" s="62" t="str">
        <f>VLOOKUP(C228,'Location Summary'!$C$4:$D$603,2,0)</f>
        <v>DA+6</v>
      </c>
      <c r="E228" s="62" t="s">
        <v>403</v>
      </c>
      <c r="F228" s="107">
        <v>45681</v>
      </c>
      <c r="G228" s="107">
        <v>45688</v>
      </c>
      <c r="H228" s="60" t="s">
        <v>1162</v>
      </c>
      <c r="I228" s="62">
        <f t="shared" si="30"/>
        <v>289.83999999999997</v>
      </c>
      <c r="J228" s="10">
        <f t="shared" si="31"/>
        <v>3.61</v>
      </c>
      <c r="K228" s="10">
        <f t="shared" si="32"/>
        <v>37.299999999999997</v>
      </c>
      <c r="L228" s="10">
        <f t="shared" si="33"/>
        <v>2.093</v>
      </c>
      <c r="M228" s="112">
        <f t="shared" si="34"/>
        <v>0.86599999999999999</v>
      </c>
      <c r="N228" s="623">
        <f t="shared" si="39"/>
        <v>7.39</v>
      </c>
      <c r="O228" s="112" t="s">
        <v>451</v>
      </c>
      <c r="P228" s="554" t="s">
        <v>765</v>
      </c>
      <c r="Q228" s="973" t="s">
        <v>255</v>
      </c>
      <c r="R228" s="13">
        <f t="shared" si="35"/>
        <v>314.28399999999999</v>
      </c>
    </row>
    <row r="229" spans="1:18" s="763" customFormat="1" ht="21.75" hidden="1" customHeight="1">
      <c r="A229" s="14">
        <f>SUBTOTAL(103,$C$5:C229)</f>
        <v>7</v>
      </c>
      <c r="B229" s="625">
        <v>1</v>
      </c>
      <c r="C229" s="687" t="s">
        <v>163</v>
      </c>
      <c r="D229" s="625" t="str">
        <f>VLOOKUP(C229,'Location Summary'!$C$4:$D$603,2,0)</f>
        <v>DA+1.5</v>
      </c>
      <c r="E229" s="625" t="s">
        <v>403</v>
      </c>
      <c r="F229" s="761">
        <v>45686</v>
      </c>
      <c r="G229" s="761">
        <v>45689</v>
      </c>
      <c r="H229" s="664" t="s">
        <v>992</v>
      </c>
      <c r="I229" s="625">
        <f t="shared" si="30"/>
        <v>289.83999999999997</v>
      </c>
      <c r="J229" s="625">
        <f t="shared" si="31"/>
        <v>3.61</v>
      </c>
      <c r="K229" s="625">
        <f t="shared" si="32"/>
        <v>37.299999999999997</v>
      </c>
      <c r="L229" s="625">
        <f t="shared" si="33"/>
        <v>2.093</v>
      </c>
      <c r="M229" s="626">
        <f t="shared" si="34"/>
        <v>0.86599999999999999</v>
      </c>
      <c r="N229" s="762">
        <f t="shared" si="39"/>
        <v>7.39</v>
      </c>
      <c r="O229" s="626" t="s">
        <v>1191</v>
      </c>
      <c r="P229" s="626" t="s">
        <v>765</v>
      </c>
      <c r="Q229" s="973" t="s">
        <v>255</v>
      </c>
      <c r="R229" s="13">
        <f t="shared" si="35"/>
        <v>314.28399999999999</v>
      </c>
    </row>
    <row r="230" spans="1:18" s="308" customFormat="1" ht="21.75" hidden="1" customHeight="1">
      <c r="A230" s="14">
        <f>SUBTOTAL(103,$C$5:C230)</f>
        <v>7</v>
      </c>
      <c r="B230" s="62">
        <v>2</v>
      </c>
      <c r="C230" s="660" t="s">
        <v>647</v>
      </c>
      <c r="D230" s="62" t="str">
        <f>VLOOKUP(C230,'Location Summary'!$C$4:$D$603,2,0)</f>
        <v>DA+3</v>
      </c>
      <c r="E230" s="62" t="s">
        <v>403</v>
      </c>
      <c r="F230" s="722">
        <f>G223</f>
        <v>45685</v>
      </c>
      <c r="G230" s="722">
        <v>45690</v>
      </c>
      <c r="H230" s="61" t="s">
        <v>972</v>
      </c>
      <c r="I230" s="62">
        <f t="shared" si="30"/>
        <v>289.83999999999997</v>
      </c>
      <c r="J230" s="62">
        <f t="shared" si="31"/>
        <v>3.61</v>
      </c>
      <c r="K230" s="62">
        <f t="shared" si="32"/>
        <v>37.299999999999997</v>
      </c>
      <c r="L230" s="62">
        <f t="shared" si="33"/>
        <v>2.093</v>
      </c>
      <c r="M230" s="554">
        <f t="shared" si="34"/>
        <v>0.86599999999999999</v>
      </c>
      <c r="N230" s="760">
        <f t="shared" si="39"/>
        <v>7.39</v>
      </c>
      <c r="O230" s="554" t="s">
        <v>1180</v>
      </c>
      <c r="P230" s="554" t="s">
        <v>912</v>
      </c>
      <c r="Q230" s="973" t="s">
        <v>255</v>
      </c>
      <c r="R230" s="13">
        <f t="shared" si="35"/>
        <v>314.28399999999999</v>
      </c>
    </row>
    <row r="231" spans="1:18" s="308" customFormat="1" ht="21.75" hidden="1" customHeight="1">
      <c r="A231" s="14">
        <f>SUBTOTAL(103,$C$5:C231)</f>
        <v>7</v>
      </c>
      <c r="B231" s="62">
        <v>3</v>
      </c>
      <c r="C231" s="660" t="s">
        <v>424</v>
      </c>
      <c r="D231" s="62" t="str">
        <f>VLOOKUP(C231,'Location Summary'!$C$4:$D$603,2,0)</f>
        <v>DA+1.5</v>
      </c>
      <c r="E231" s="62" t="s">
        <v>403</v>
      </c>
      <c r="F231" s="722">
        <f>G225</f>
        <v>45687</v>
      </c>
      <c r="G231" s="722">
        <v>45692</v>
      </c>
      <c r="H231" s="61" t="s">
        <v>1140</v>
      </c>
      <c r="I231" s="62">
        <f t="shared" si="30"/>
        <v>289.83999999999997</v>
      </c>
      <c r="J231" s="62">
        <f t="shared" si="31"/>
        <v>3.61</v>
      </c>
      <c r="K231" s="62">
        <f t="shared" si="32"/>
        <v>37.299999999999997</v>
      </c>
      <c r="L231" s="62">
        <f t="shared" si="33"/>
        <v>2.093</v>
      </c>
      <c r="M231" s="554">
        <f t="shared" si="34"/>
        <v>0.86599999999999999</v>
      </c>
      <c r="N231" s="760">
        <f t="shared" ref="N231:N236" si="40">ROUND((I231*230.35+J231*10150.5+K231*11591.45+L231*93958.18+M231*7677.44)/10^5,2)</f>
        <v>7.39</v>
      </c>
      <c r="O231" s="554" t="s">
        <v>1163</v>
      </c>
      <c r="P231" s="554" t="s">
        <v>1104</v>
      </c>
      <c r="Q231" s="973" t="s">
        <v>255</v>
      </c>
      <c r="R231" s="13">
        <f t="shared" si="35"/>
        <v>314.28399999999999</v>
      </c>
    </row>
    <row r="232" spans="1:18" s="308" customFormat="1" ht="21.75" hidden="1" customHeight="1">
      <c r="A232" s="14">
        <f>SUBTOTAL(103,$C$5:C232)</f>
        <v>7</v>
      </c>
      <c r="B232" s="62">
        <v>4</v>
      </c>
      <c r="C232" s="660" t="s">
        <v>7</v>
      </c>
      <c r="D232" s="62" t="str">
        <f>VLOOKUP(C232,'Location Summary'!$C$4:$D$603,2,0)</f>
        <v>DB1+6</v>
      </c>
      <c r="E232" s="62" t="s">
        <v>403</v>
      </c>
      <c r="F232" s="722">
        <v>45682</v>
      </c>
      <c r="G232" s="722">
        <v>45692</v>
      </c>
      <c r="H232" s="61" t="s">
        <v>886</v>
      </c>
      <c r="I232" s="62">
        <f t="shared" si="30"/>
        <v>484.04</v>
      </c>
      <c r="J232" s="62">
        <f t="shared" si="31"/>
        <v>6.23</v>
      </c>
      <c r="K232" s="62">
        <f t="shared" si="32"/>
        <v>70.319999999999993</v>
      </c>
      <c r="L232" s="62">
        <f t="shared" si="33"/>
        <v>3.3719999999999999</v>
      </c>
      <c r="M232" s="554">
        <f t="shared" si="34"/>
        <v>1.768</v>
      </c>
      <c r="N232" s="760">
        <f t="shared" si="40"/>
        <v>13.2</v>
      </c>
      <c r="O232" s="554" t="s">
        <v>1189</v>
      </c>
      <c r="P232" s="554" t="s">
        <v>912</v>
      </c>
      <c r="Q232" s="973" t="s">
        <v>255</v>
      </c>
      <c r="R232" s="13">
        <f t="shared" si="35"/>
        <v>589.97199999999998</v>
      </c>
    </row>
    <row r="233" spans="1:18" s="308" customFormat="1" ht="21.75" hidden="1" customHeight="1">
      <c r="A233" s="14">
        <f>SUBTOTAL(103,$C$5:C233)</f>
        <v>7</v>
      </c>
      <c r="B233" s="62">
        <v>5</v>
      </c>
      <c r="C233" s="660" t="s">
        <v>165</v>
      </c>
      <c r="D233" s="62" t="str">
        <f>VLOOKUP(C233,'Location Summary'!$C$4:$D$603,2,0)</f>
        <v>DA+9</v>
      </c>
      <c r="E233" s="62" t="s">
        <v>403</v>
      </c>
      <c r="F233" s="722">
        <f>G228</f>
        <v>45688</v>
      </c>
      <c r="G233" s="722">
        <v>45692</v>
      </c>
      <c r="H233" s="61" t="s">
        <v>1162</v>
      </c>
      <c r="I233" s="62">
        <f t="shared" si="30"/>
        <v>289.83999999999997</v>
      </c>
      <c r="J233" s="62">
        <f t="shared" si="31"/>
        <v>3.61</v>
      </c>
      <c r="K233" s="62">
        <f t="shared" si="32"/>
        <v>37.299999999999997</v>
      </c>
      <c r="L233" s="62">
        <f t="shared" si="33"/>
        <v>2.093</v>
      </c>
      <c r="M233" s="554">
        <f t="shared" si="34"/>
        <v>0.86599999999999999</v>
      </c>
      <c r="N233" s="760">
        <f t="shared" si="40"/>
        <v>7.39</v>
      </c>
      <c r="O233" s="554" t="s">
        <v>1138</v>
      </c>
      <c r="P233" s="554" t="s">
        <v>765</v>
      </c>
      <c r="Q233" s="973" t="s">
        <v>255</v>
      </c>
      <c r="R233" s="13">
        <f t="shared" si="35"/>
        <v>314.28399999999999</v>
      </c>
    </row>
    <row r="234" spans="1:18" ht="21.75" customHeight="1">
      <c r="A234" s="14">
        <f>SUBTOTAL(103,$C$5:C234)</f>
        <v>8</v>
      </c>
      <c r="B234" s="10">
        <v>6</v>
      </c>
      <c r="C234" s="660" t="s">
        <v>642</v>
      </c>
      <c r="D234" s="62" t="str">
        <f>VLOOKUP(C234,'Location Summary'!$C$4:$D$603,2,0)</f>
        <v>DA-1.5</v>
      </c>
      <c r="E234" s="62" t="s">
        <v>403</v>
      </c>
      <c r="F234" s="107">
        <v>45689</v>
      </c>
      <c r="G234" s="107">
        <f>F234+4</f>
        <v>45693</v>
      </c>
      <c r="H234" s="60" t="s">
        <v>1173</v>
      </c>
      <c r="I234" s="62">
        <f t="shared" si="30"/>
        <v>271.04000000000002</v>
      </c>
      <c r="J234" s="10">
        <f t="shared" si="31"/>
        <v>3.36</v>
      </c>
      <c r="K234" s="10">
        <f t="shared" si="32"/>
        <v>34.15</v>
      </c>
      <c r="L234" s="10">
        <f t="shared" si="33"/>
        <v>1.599</v>
      </c>
      <c r="M234" s="112">
        <f t="shared" si="34"/>
        <v>0.86599999999999999</v>
      </c>
      <c r="N234" s="623">
        <f t="shared" si="40"/>
        <v>6.49</v>
      </c>
      <c r="O234" s="112" t="s">
        <v>1183</v>
      </c>
      <c r="P234" s="554" t="s">
        <v>912</v>
      </c>
      <c r="Q234" s="973" t="s">
        <v>255</v>
      </c>
      <c r="R234" s="13">
        <f t="shared" si="35"/>
        <v>287.98399999999998</v>
      </c>
    </row>
    <row r="235" spans="1:18" s="308" customFormat="1" ht="21.75" hidden="1" customHeight="1">
      <c r="A235" s="14">
        <f>SUBTOTAL(103,$C$5:C235)</f>
        <v>8</v>
      </c>
      <c r="B235" s="62">
        <v>7</v>
      </c>
      <c r="C235" s="660" t="s">
        <v>444</v>
      </c>
      <c r="D235" s="62" t="str">
        <f>VLOOKUP(C235,'Location Summary'!$C$4:$D$603,2,0)</f>
        <v>DA-1.5</v>
      </c>
      <c r="E235" s="62" t="s">
        <v>403</v>
      </c>
      <c r="F235" s="722">
        <f>G229</f>
        <v>45689</v>
      </c>
      <c r="G235" s="722">
        <v>45695</v>
      </c>
      <c r="H235" s="61" t="s">
        <v>992</v>
      </c>
      <c r="I235" s="62">
        <f t="shared" si="30"/>
        <v>271.04000000000002</v>
      </c>
      <c r="J235" s="62">
        <f t="shared" si="31"/>
        <v>3.36</v>
      </c>
      <c r="K235" s="62">
        <f t="shared" si="32"/>
        <v>34.15</v>
      </c>
      <c r="L235" s="62">
        <f t="shared" si="33"/>
        <v>1.599</v>
      </c>
      <c r="M235" s="554">
        <f t="shared" si="34"/>
        <v>0.86599999999999999</v>
      </c>
      <c r="N235" s="760">
        <f t="shared" si="40"/>
        <v>6.49</v>
      </c>
      <c r="O235" s="554" t="s">
        <v>1191</v>
      </c>
      <c r="P235" s="554" t="s">
        <v>765</v>
      </c>
      <c r="Q235" s="973" t="s">
        <v>255</v>
      </c>
      <c r="R235" s="13">
        <f t="shared" si="35"/>
        <v>287.98399999999998</v>
      </c>
    </row>
    <row r="236" spans="1:18" s="308" customFormat="1" ht="21.75" customHeight="1">
      <c r="A236" s="14">
        <f>SUBTOTAL(103,$C$5:C236)</f>
        <v>9</v>
      </c>
      <c r="B236" s="62">
        <v>8</v>
      </c>
      <c r="C236" s="660" t="s">
        <v>643</v>
      </c>
      <c r="D236" s="62" t="str">
        <f>VLOOKUP(C236,'Location Summary'!$C$4:$D$603,2,0)</f>
        <v>DA+6</v>
      </c>
      <c r="E236" s="62" t="s">
        <v>403</v>
      </c>
      <c r="F236" s="722">
        <f>G234+1</f>
        <v>45694</v>
      </c>
      <c r="G236" s="722">
        <v>45696</v>
      </c>
      <c r="H236" s="61" t="s">
        <v>1173</v>
      </c>
      <c r="I236" s="62">
        <f t="shared" si="30"/>
        <v>289.83999999999997</v>
      </c>
      <c r="J236" s="62">
        <f t="shared" si="31"/>
        <v>3.61</v>
      </c>
      <c r="K236" s="62">
        <f t="shared" si="32"/>
        <v>37.299999999999997</v>
      </c>
      <c r="L236" s="62">
        <f t="shared" si="33"/>
        <v>2.093</v>
      </c>
      <c r="M236" s="554">
        <f t="shared" si="34"/>
        <v>0.86599999999999999</v>
      </c>
      <c r="N236" s="760">
        <f t="shared" si="40"/>
        <v>7.39</v>
      </c>
      <c r="O236" s="554" t="s">
        <v>1183</v>
      </c>
      <c r="P236" s="554" t="s">
        <v>912</v>
      </c>
      <c r="Q236" s="973" t="s">
        <v>255</v>
      </c>
      <c r="R236" s="13">
        <f t="shared" si="35"/>
        <v>314.28399999999999</v>
      </c>
    </row>
    <row r="237" spans="1:18" s="308" customFormat="1" ht="21.75" hidden="1" customHeight="1">
      <c r="A237" s="14">
        <f>SUBTOTAL(103,$C$5:C237)</f>
        <v>9</v>
      </c>
      <c r="B237" s="62">
        <v>9</v>
      </c>
      <c r="C237" s="660" t="s">
        <v>1785</v>
      </c>
      <c r="D237" s="62" t="str">
        <f>VLOOKUP(C237,'Location Summary'!$C$4:$D$603,2,0)</f>
        <v>DC2+0</v>
      </c>
      <c r="E237" s="62" t="s">
        <v>403</v>
      </c>
      <c r="F237" s="722">
        <f>G227</f>
        <v>45688</v>
      </c>
      <c r="G237" s="722">
        <v>45697</v>
      </c>
      <c r="H237" s="61" t="s">
        <v>972</v>
      </c>
      <c r="I237" s="62">
        <f t="shared" si="30"/>
        <v>693.86</v>
      </c>
      <c r="J237" s="62">
        <f t="shared" si="31"/>
        <v>9.09</v>
      </c>
      <c r="K237" s="62">
        <f t="shared" si="32"/>
        <v>115.43</v>
      </c>
      <c r="L237" s="62">
        <f t="shared" si="33"/>
        <v>5.6909999999999998</v>
      </c>
      <c r="M237" s="554">
        <f t="shared" si="34"/>
        <v>2.348757</v>
      </c>
      <c r="N237" s="760">
        <f t="shared" ref="N237:N242" si="41">ROUND((I237*230.35+J237*10150.5+K237*11591.45+L237*93958.18+M237*7677.44)/10^5,2)</f>
        <v>21.43</v>
      </c>
      <c r="O237" s="554" t="s">
        <v>1180</v>
      </c>
      <c r="P237" s="554" t="s">
        <v>912</v>
      </c>
      <c r="Q237" s="973" t="s">
        <v>255</v>
      </c>
      <c r="R237" s="13">
        <f t="shared" si="35"/>
        <v>963.43600000000004</v>
      </c>
    </row>
    <row r="238" spans="1:18" s="308" customFormat="1" ht="21.75" hidden="1" customHeight="1">
      <c r="A238" s="14">
        <f>SUBTOTAL(103,$C$5:C238)</f>
        <v>9</v>
      </c>
      <c r="B238" s="62">
        <v>10</v>
      </c>
      <c r="C238" s="660" t="s">
        <v>10</v>
      </c>
      <c r="D238" s="62" t="str">
        <f>VLOOKUP(C238,'Location Summary'!$C$4:$D$603,2,0)</f>
        <v>DB2+0</v>
      </c>
      <c r="E238" s="62" t="s">
        <v>403</v>
      </c>
      <c r="F238" s="722">
        <v>45693</v>
      </c>
      <c r="G238" s="722">
        <v>45697</v>
      </c>
      <c r="H238" s="61" t="s">
        <v>1162</v>
      </c>
      <c r="I238" s="62">
        <f t="shared" si="30"/>
        <v>560.96</v>
      </c>
      <c r="J238" s="62">
        <f t="shared" si="31"/>
        <v>7.27</v>
      </c>
      <c r="K238" s="62">
        <f t="shared" si="32"/>
        <v>85.67</v>
      </c>
      <c r="L238" s="62">
        <f t="shared" si="33"/>
        <v>4.1547999999999998</v>
      </c>
      <c r="M238" s="554">
        <f t="shared" si="34"/>
        <v>1.768</v>
      </c>
      <c r="N238" s="760">
        <f t="shared" si="41"/>
        <v>16</v>
      </c>
      <c r="O238" s="554" t="s">
        <v>1100</v>
      </c>
      <c r="P238" s="554" t="s">
        <v>912</v>
      </c>
      <c r="Q238" s="973" t="s">
        <v>255</v>
      </c>
      <c r="R238" s="13">
        <f t="shared" si="35"/>
        <v>717.34799999999996</v>
      </c>
    </row>
    <row r="239" spans="1:18" s="308" customFormat="1" ht="21.75" hidden="1" customHeight="1">
      <c r="A239" s="14">
        <f>SUBTOTAL(103,$C$5:C239)</f>
        <v>9</v>
      </c>
      <c r="B239" s="62">
        <v>11</v>
      </c>
      <c r="C239" s="660" t="s">
        <v>445</v>
      </c>
      <c r="D239" s="62" t="str">
        <f>VLOOKUP(C239,'Location Summary'!$C$4:$D$603,2,0)</f>
        <v>DA+6</v>
      </c>
      <c r="E239" s="62" t="s">
        <v>403</v>
      </c>
      <c r="F239" s="722">
        <f>G235</f>
        <v>45695</v>
      </c>
      <c r="G239" s="722">
        <v>45698</v>
      </c>
      <c r="H239" s="61" t="s">
        <v>992</v>
      </c>
      <c r="I239" s="62">
        <f t="shared" si="30"/>
        <v>289.83999999999997</v>
      </c>
      <c r="J239" s="62">
        <f t="shared" si="31"/>
        <v>3.61</v>
      </c>
      <c r="K239" s="62">
        <f t="shared" si="32"/>
        <v>37.299999999999997</v>
      </c>
      <c r="L239" s="62">
        <f t="shared" si="33"/>
        <v>2.093</v>
      </c>
      <c r="M239" s="554">
        <f t="shared" si="34"/>
        <v>0.86599999999999999</v>
      </c>
      <c r="N239" s="760">
        <f t="shared" si="41"/>
        <v>7.39</v>
      </c>
      <c r="O239" s="554" t="s">
        <v>1191</v>
      </c>
      <c r="P239" s="554" t="s">
        <v>912</v>
      </c>
      <c r="Q239" s="973" t="s">
        <v>255</v>
      </c>
      <c r="R239" s="13">
        <f t="shared" si="35"/>
        <v>314.28399999999999</v>
      </c>
    </row>
    <row r="240" spans="1:18" s="308" customFormat="1" ht="21.75" hidden="1" customHeight="1">
      <c r="A240" s="14">
        <f>SUBTOTAL(103,$C$5:C240)</f>
        <v>9</v>
      </c>
      <c r="B240" s="62">
        <v>12</v>
      </c>
      <c r="C240" s="660" t="s">
        <v>267</v>
      </c>
      <c r="D240" s="62" t="str">
        <f>VLOOKUP(C240,'Location Summary'!$C$4:$D$603,2,0)</f>
        <v>DD60+9</v>
      </c>
      <c r="E240" s="62" t="s">
        <v>403</v>
      </c>
      <c r="F240" s="722">
        <v>45684</v>
      </c>
      <c r="G240" s="722">
        <v>45699</v>
      </c>
      <c r="H240" s="61" t="s">
        <v>988</v>
      </c>
      <c r="I240" s="62">
        <f t="shared" si="30"/>
        <v>1025.83</v>
      </c>
      <c r="J240" s="62">
        <f t="shared" si="31"/>
        <v>13.65</v>
      </c>
      <c r="K240" s="62">
        <f t="shared" si="32"/>
        <v>190.99</v>
      </c>
      <c r="L240" s="62">
        <f t="shared" si="33"/>
        <v>11.554</v>
      </c>
      <c r="M240" s="554">
        <f t="shared" si="34"/>
        <v>3.1593010000000001</v>
      </c>
      <c r="N240" s="760">
        <f t="shared" si="41"/>
        <v>36.99</v>
      </c>
      <c r="O240" s="554" t="s">
        <v>1183</v>
      </c>
      <c r="P240" s="554" t="s">
        <v>1207</v>
      </c>
      <c r="Q240" s="973" t="s">
        <v>255</v>
      </c>
      <c r="R240" s="13">
        <f t="shared" si="35"/>
        <v>1587.98</v>
      </c>
    </row>
    <row r="241" spans="1:18" s="308" customFormat="1" ht="21.75" hidden="1" customHeight="1">
      <c r="A241" s="14">
        <f>SUBTOTAL(103,$C$5:C241)</f>
        <v>9</v>
      </c>
      <c r="B241" s="62">
        <v>13</v>
      </c>
      <c r="C241" s="660" t="s">
        <v>627</v>
      </c>
      <c r="D241" s="62" t="str">
        <f>VLOOKUP(C241,'Location Summary'!$C$4:$D$603,2,0)</f>
        <v>DA+3</v>
      </c>
      <c r="E241" s="62" t="s">
        <v>403</v>
      </c>
      <c r="F241" s="722">
        <f>G227</f>
        <v>45688</v>
      </c>
      <c r="G241" s="722">
        <v>45699</v>
      </c>
      <c r="H241" s="61" t="s">
        <v>1167</v>
      </c>
      <c r="I241" s="62">
        <f t="shared" si="30"/>
        <v>289.83999999999997</v>
      </c>
      <c r="J241" s="62">
        <f t="shared" si="31"/>
        <v>3.61</v>
      </c>
      <c r="K241" s="62">
        <f t="shared" si="32"/>
        <v>37.299999999999997</v>
      </c>
      <c r="L241" s="62">
        <f t="shared" si="33"/>
        <v>2.093</v>
      </c>
      <c r="M241" s="554">
        <f t="shared" si="34"/>
        <v>0.86599999999999999</v>
      </c>
      <c r="N241" s="760">
        <f t="shared" si="41"/>
        <v>7.39</v>
      </c>
      <c r="O241" s="554" t="s">
        <v>1080</v>
      </c>
      <c r="P241" s="554" t="s">
        <v>912</v>
      </c>
      <c r="Q241" s="973" t="s">
        <v>255</v>
      </c>
      <c r="R241" s="13">
        <f t="shared" si="35"/>
        <v>314.28399999999999</v>
      </c>
    </row>
    <row r="242" spans="1:18" s="308" customFormat="1" ht="21.75" hidden="1" customHeight="1">
      <c r="A242" s="14">
        <f>SUBTOTAL(103,$C$5:C242)</f>
        <v>9</v>
      </c>
      <c r="B242" s="62">
        <v>14</v>
      </c>
      <c r="C242" s="660" t="s">
        <v>175</v>
      </c>
      <c r="D242" s="62" t="str">
        <f>VLOOKUP(C242,'Location Summary'!$C$4:$D$603,2,0)</f>
        <v>DA-3</v>
      </c>
      <c r="E242" s="62" t="s">
        <v>403</v>
      </c>
      <c r="F242" s="722">
        <v>45693</v>
      </c>
      <c r="G242" s="722">
        <v>45700</v>
      </c>
      <c r="H242" s="61" t="s">
        <v>1140</v>
      </c>
      <c r="I242" s="62">
        <f t="shared" si="30"/>
        <v>271.04000000000002</v>
      </c>
      <c r="J242" s="62">
        <f t="shared" si="31"/>
        <v>3.36</v>
      </c>
      <c r="K242" s="62">
        <f t="shared" si="32"/>
        <v>34.15</v>
      </c>
      <c r="L242" s="62">
        <f t="shared" si="33"/>
        <v>1.599</v>
      </c>
      <c r="M242" s="554">
        <f t="shared" si="34"/>
        <v>0.86599999999999999</v>
      </c>
      <c r="N242" s="760">
        <f t="shared" si="41"/>
        <v>6.49</v>
      </c>
      <c r="O242" s="554" t="s">
        <v>993</v>
      </c>
      <c r="P242" s="554" t="s">
        <v>1208</v>
      </c>
      <c r="Q242" s="973" t="s">
        <v>255</v>
      </c>
      <c r="R242" s="13">
        <f t="shared" si="35"/>
        <v>287.98399999999998</v>
      </c>
    </row>
    <row r="243" spans="1:18" s="308" customFormat="1" ht="21.75" hidden="1" customHeight="1">
      <c r="A243" s="14">
        <f>SUBTOTAL(103,$C$5:C243)</f>
        <v>9</v>
      </c>
      <c r="B243" s="62">
        <v>15</v>
      </c>
      <c r="C243" s="660" t="s">
        <v>400</v>
      </c>
      <c r="D243" s="62" t="str">
        <f>VLOOKUP(C243,'Location Summary'!$C$4:$D$603,2,0)</f>
        <v>DA+9</v>
      </c>
      <c r="E243" s="62" t="s">
        <v>403</v>
      </c>
      <c r="F243" s="722">
        <v>45684</v>
      </c>
      <c r="G243" s="722">
        <v>45701</v>
      </c>
      <c r="H243" s="61" t="s">
        <v>1164</v>
      </c>
      <c r="I243" s="62">
        <f t="shared" si="30"/>
        <v>289.83999999999997</v>
      </c>
      <c r="J243" s="62">
        <f t="shared" si="31"/>
        <v>3.61</v>
      </c>
      <c r="K243" s="62">
        <f t="shared" si="32"/>
        <v>37.299999999999997</v>
      </c>
      <c r="L243" s="62">
        <f t="shared" si="33"/>
        <v>2.093</v>
      </c>
      <c r="M243" s="554">
        <f t="shared" si="34"/>
        <v>0.86599999999999999</v>
      </c>
      <c r="N243" s="760">
        <f>ROUND((I243*230.35+J243*10150.5+K243*11591.45+L243*93958.18+M243*7677.44)/10^5,2)</f>
        <v>7.39</v>
      </c>
      <c r="O243" s="554" t="s">
        <v>1209</v>
      </c>
      <c r="P243" s="554" t="s">
        <v>1104</v>
      </c>
      <c r="Q243" s="973" t="s">
        <v>255</v>
      </c>
      <c r="R243" s="13">
        <f t="shared" si="35"/>
        <v>314.28399999999999</v>
      </c>
    </row>
    <row r="244" spans="1:18" s="308" customFormat="1" ht="21.75" hidden="1" customHeight="1">
      <c r="A244" s="14">
        <f>SUBTOTAL(103,$C$5:C244)</f>
        <v>9</v>
      </c>
      <c r="B244" s="62">
        <v>16</v>
      </c>
      <c r="C244" s="660" t="s">
        <v>427</v>
      </c>
      <c r="D244" s="62" t="str">
        <f>VLOOKUP(C244,'Location Summary'!$C$4:$D$603,2,0)</f>
        <v>DA+0</v>
      </c>
      <c r="E244" s="62" t="s">
        <v>403</v>
      </c>
      <c r="F244" s="722">
        <v>45695</v>
      </c>
      <c r="G244" s="722">
        <v>45704</v>
      </c>
      <c r="H244" s="61" t="s">
        <v>886</v>
      </c>
      <c r="I244" s="62">
        <f t="shared" si="30"/>
        <v>271.04000000000002</v>
      </c>
      <c r="J244" s="62">
        <f t="shared" si="31"/>
        <v>3.36</v>
      </c>
      <c r="K244" s="62">
        <f t="shared" si="32"/>
        <v>34.15</v>
      </c>
      <c r="L244" s="62">
        <f t="shared" si="33"/>
        <v>1.599</v>
      </c>
      <c r="M244" s="554">
        <f t="shared" si="34"/>
        <v>0.86599999999999999</v>
      </c>
      <c r="N244" s="554">
        <f>ROUND((I244*230.35+J244*10150.5+K244*11591.45+L244*93958.18+M244*7677.44)/10^5,2)</f>
        <v>6.49</v>
      </c>
      <c r="O244" s="554" t="s">
        <v>1080</v>
      </c>
      <c r="P244" s="554" t="s">
        <v>1208</v>
      </c>
      <c r="Q244" s="973" t="s">
        <v>255</v>
      </c>
      <c r="R244" s="13">
        <f t="shared" si="35"/>
        <v>287.98399999999998</v>
      </c>
    </row>
    <row r="245" spans="1:18" s="308" customFormat="1" ht="21.75" hidden="1" customHeight="1">
      <c r="A245" s="14">
        <f>SUBTOTAL(103,$C$5:C245)</f>
        <v>9</v>
      </c>
      <c r="B245" s="62">
        <v>17</v>
      </c>
      <c r="C245" s="660" t="s">
        <v>174</v>
      </c>
      <c r="D245" s="62" t="str">
        <f>VLOOKUP(C245,'Location Summary'!$C$4:$D$603,2,0)</f>
        <v>DA-3</v>
      </c>
      <c r="E245" s="62" t="s">
        <v>403</v>
      </c>
      <c r="F245" s="722">
        <f>G242</f>
        <v>45700</v>
      </c>
      <c r="G245" s="722">
        <v>45704</v>
      </c>
      <c r="H245" s="61" t="s">
        <v>1140</v>
      </c>
      <c r="I245" s="62">
        <f t="shared" si="30"/>
        <v>271.04000000000002</v>
      </c>
      <c r="J245" s="62">
        <f t="shared" si="31"/>
        <v>3.36</v>
      </c>
      <c r="K245" s="62">
        <f t="shared" si="32"/>
        <v>34.15</v>
      </c>
      <c r="L245" s="62">
        <f t="shared" si="33"/>
        <v>1.599</v>
      </c>
      <c r="M245" s="554">
        <f t="shared" si="34"/>
        <v>0.86599999999999999</v>
      </c>
      <c r="N245" s="554">
        <f>ROUND((I245*230.35+J245*10150.5+K245*11591.45+L245*93958.18+M245*7677.44)/10^5,2)</f>
        <v>6.49</v>
      </c>
      <c r="O245" s="554" t="s">
        <v>993</v>
      </c>
      <c r="P245" s="554" t="s">
        <v>1233</v>
      </c>
      <c r="Q245" s="973" t="s">
        <v>255</v>
      </c>
      <c r="R245" s="13">
        <f t="shared" si="35"/>
        <v>287.98399999999998</v>
      </c>
    </row>
    <row r="246" spans="1:18" s="308" customFormat="1" ht="21.75" hidden="1" customHeight="1">
      <c r="A246" s="14">
        <f>SUBTOTAL(103,$C$5:C246)</f>
        <v>9</v>
      </c>
      <c r="B246" s="62">
        <v>18</v>
      </c>
      <c r="C246" s="660" t="s">
        <v>877</v>
      </c>
      <c r="D246" s="62" t="str">
        <f>VLOOKUP(C246,'Location Summary'!$C$4:$D$603,2,0)</f>
        <v>DA+3</v>
      </c>
      <c r="E246" s="62" t="s">
        <v>403</v>
      </c>
      <c r="F246" s="722">
        <v>45698</v>
      </c>
      <c r="G246" s="722">
        <v>45705</v>
      </c>
      <c r="H246" s="61" t="s">
        <v>1162</v>
      </c>
      <c r="I246" s="62">
        <f t="shared" si="30"/>
        <v>289.83999999999997</v>
      </c>
      <c r="J246" s="62">
        <f t="shared" si="31"/>
        <v>3.61</v>
      </c>
      <c r="K246" s="62">
        <f t="shared" si="32"/>
        <v>37.299999999999997</v>
      </c>
      <c r="L246" s="62">
        <f t="shared" si="33"/>
        <v>2.093</v>
      </c>
      <c r="M246" s="554">
        <f t="shared" si="34"/>
        <v>0.86599999999999999</v>
      </c>
      <c r="N246" s="554">
        <f>ROUND((I246*230.35+J246*10150.5+K246*11591.45+L246*93958.18+M246*7677.44)/10^5,2)</f>
        <v>7.39</v>
      </c>
      <c r="O246" s="554" t="s">
        <v>1210</v>
      </c>
      <c r="P246" s="554" t="s">
        <v>912</v>
      </c>
      <c r="Q246" s="973" t="s">
        <v>255</v>
      </c>
      <c r="R246" s="13">
        <f t="shared" si="35"/>
        <v>314.28399999999999</v>
      </c>
    </row>
    <row r="247" spans="1:18" s="308" customFormat="1" ht="21.75" hidden="1" customHeight="1">
      <c r="A247" s="14">
        <f>SUBTOTAL(103,$C$5:C247)</f>
        <v>9</v>
      </c>
      <c r="B247" s="62">
        <v>19</v>
      </c>
      <c r="C247" s="660" t="s">
        <v>483</v>
      </c>
      <c r="D247" s="62" t="str">
        <f>VLOOKUP(C247,'Location Summary'!$C$4:$D$603,2,0)</f>
        <v>DB1+9</v>
      </c>
      <c r="E247" s="62" t="s">
        <v>403</v>
      </c>
      <c r="F247" s="722">
        <v>45699</v>
      </c>
      <c r="G247" s="722">
        <v>45706</v>
      </c>
      <c r="H247" s="61" t="s">
        <v>988</v>
      </c>
      <c r="I247" s="760">
        <f t="shared" si="30"/>
        <v>484.04</v>
      </c>
      <c r="J247" s="62">
        <f t="shared" si="31"/>
        <v>6.23</v>
      </c>
      <c r="K247" s="62">
        <f t="shared" si="32"/>
        <v>70.319999999999993</v>
      </c>
      <c r="L247" s="62">
        <f t="shared" si="33"/>
        <v>3.3719999999999999</v>
      </c>
      <c r="M247" s="554">
        <f t="shared" si="34"/>
        <v>1.768</v>
      </c>
      <c r="N247" s="554">
        <f>ROUND((I247*230.35+J247*10150.5+K247*11591.45+L247*93958.18+M247*7677.44)/10^5,2)</f>
        <v>13.2</v>
      </c>
      <c r="O247" s="554" t="s">
        <v>1183</v>
      </c>
      <c r="P247" s="554" t="s">
        <v>1207</v>
      </c>
      <c r="Q247" s="973" t="s">
        <v>255</v>
      </c>
      <c r="R247" s="13">
        <f t="shared" si="35"/>
        <v>589.97199999999998</v>
      </c>
    </row>
    <row r="248" spans="1:18" s="308" customFormat="1" ht="21.75" hidden="1" customHeight="1">
      <c r="A248" s="14">
        <f>SUBTOTAL(103,$C$5:C248)</f>
        <v>9</v>
      </c>
      <c r="B248" s="62">
        <v>20</v>
      </c>
      <c r="C248" s="660" t="s">
        <v>773</v>
      </c>
      <c r="D248" s="62" t="str">
        <f>VLOOKUP(C248,'Location Summary'!$C$4:$D$603,2,0)</f>
        <v>DB1+9</v>
      </c>
      <c r="E248" s="62" t="s">
        <v>403</v>
      </c>
      <c r="F248" s="722">
        <v>45335</v>
      </c>
      <c r="G248" s="722">
        <v>45706</v>
      </c>
      <c r="H248" s="61" t="s">
        <v>1223</v>
      </c>
      <c r="I248" s="62">
        <f t="shared" si="30"/>
        <v>484.04</v>
      </c>
      <c r="J248" s="62">
        <f t="shared" si="31"/>
        <v>6.23</v>
      </c>
      <c r="K248" s="62">
        <f t="shared" si="32"/>
        <v>70.319999999999993</v>
      </c>
      <c r="L248" s="62">
        <f t="shared" si="33"/>
        <v>3.3719999999999999</v>
      </c>
      <c r="M248" s="554">
        <f t="shared" si="34"/>
        <v>1.768</v>
      </c>
      <c r="N248" s="554">
        <f t="shared" ref="N248:N253" si="42">ROUND((I248*230.35+J248*10150.5+K248*11591.45+L248*93958.18+M248*7677.44)/10^5,2)</f>
        <v>13.2</v>
      </c>
      <c r="O248" s="554" t="s">
        <v>451</v>
      </c>
      <c r="P248" s="554" t="s">
        <v>912</v>
      </c>
      <c r="Q248" s="973" t="s">
        <v>255</v>
      </c>
      <c r="R248" s="13">
        <f t="shared" si="35"/>
        <v>589.97199999999998</v>
      </c>
    </row>
    <row r="249" spans="1:18" s="308" customFormat="1" ht="21.75" hidden="1" customHeight="1">
      <c r="A249" s="14">
        <f>SUBTOTAL(103,$C$5:C249)</f>
        <v>9</v>
      </c>
      <c r="B249" s="62">
        <v>21</v>
      </c>
      <c r="C249" s="660" t="s">
        <v>370</v>
      </c>
      <c r="D249" s="62" t="str">
        <f>VLOOKUP(C249,'Location Summary'!$C$4:$D$603,2,0)</f>
        <v>DA+3</v>
      </c>
      <c r="E249" s="62" t="s">
        <v>403</v>
      </c>
      <c r="F249" s="722">
        <v>45699</v>
      </c>
      <c r="G249" s="722">
        <v>45707</v>
      </c>
      <c r="H249" s="61" t="s">
        <v>1215</v>
      </c>
      <c r="I249" s="62">
        <f t="shared" si="30"/>
        <v>289.83999999999997</v>
      </c>
      <c r="J249" s="62">
        <f t="shared" si="31"/>
        <v>3.61</v>
      </c>
      <c r="K249" s="62">
        <f t="shared" si="32"/>
        <v>37.299999999999997</v>
      </c>
      <c r="L249" s="62">
        <f t="shared" si="33"/>
        <v>2.093</v>
      </c>
      <c r="M249" s="554">
        <f t="shared" si="34"/>
        <v>0.86599999999999999</v>
      </c>
      <c r="N249" s="554">
        <f t="shared" si="42"/>
        <v>7.39</v>
      </c>
      <c r="O249" s="554" t="s">
        <v>1216</v>
      </c>
      <c r="P249" s="554" t="s">
        <v>765</v>
      </c>
      <c r="Q249" s="973" t="s">
        <v>255</v>
      </c>
      <c r="R249" s="13">
        <f t="shared" si="35"/>
        <v>314.28399999999999</v>
      </c>
    </row>
    <row r="250" spans="1:18" s="308" customFormat="1" ht="21.75" hidden="1" customHeight="1">
      <c r="A250" s="14">
        <f>SUBTOTAL(103,$C$5:C250)</f>
        <v>9</v>
      </c>
      <c r="B250" s="62">
        <v>22</v>
      </c>
      <c r="C250" s="660" t="s">
        <v>69</v>
      </c>
      <c r="D250" s="62" t="str">
        <f>VLOOKUP(C250,'Location Summary'!$C$4:$D$603,2,0)</f>
        <v>DA+9</v>
      </c>
      <c r="E250" s="62" t="s">
        <v>403</v>
      </c>
      <c r="F250" s="722">
        <v>45335</v>
      </c>
      <c r="G250" s="722">
        <v>45708</v>
      </c>
      <c r="H250" s="61" t="s">
        <v>1222</v>
      </c>
      <c r="I250" s="62">
        <f t="shared" si="30"/>
        <v>289.83999999999997</v>
      </c>
      <c r="J250" s="62">
        <f t="shared" si="31"/>
        <v>3.61</v>
      </c>
      <c r="K250" s="62">
        <f t="shared" si="32"/>
        <v>37.299999999999997</v>
      </c>
      <c r="L250" s="62">
        <f t="shared" si="33"/>
        <v>2.093</v>
      </c>
      <c r="M250" s="554">
        <f t="shared" si="34"/>
        <v>0.86599999999999999</v>
      </c>
      <c r="N250" s="554">
        <f t="shared" si="42"/>
        <v>7.39</v>
      </c>
      <c r="O250" s="554" t="s">
        <v>791</v>
      </c>
      <c r="P250" s="554" t="s">
        <v>912</v>
      </c>
      <c r="Q250" s="973" t="s">
        <v>255</v>
      </c>
      <c r="R250" s="13">
        <f t="shared" si="35"/>
        <v>314.28399999999999</v>
      </c>
    </row>
    <row r="251" spans="1:18" s="308" customFormat="1" ht="21.75" hidden="1" customHeight="1">
      <c r="A251" s="14">
        <f>SUBTOTAL(103,$C$5:C251)</f>
        <v>9</v>
      </c>
      <c r="B251" s="62">
        <v>23</v>
      </c>
      <c r="C251" s="660" t="s">
        <v>182</v>
      </c>
      <c r="D251" s="62" t="str">
        <f>VLOOKUP(C251,'Location Summary'!$C$4:$D$603,2,0)</f>
        <v>DA+0</v>
      </c>
      <c r="E251" s="62" t="s">
        <v>403</v>
      </c>
      <c r="F251" s="722">
        <f>G244</f>
        <v>45704</v>
      </c>
      <c r="G251" s="722">
        <v>45710</v>
      </c>
      <c r="H251" s="61" t="s">
        <v>886</v>
      </c>
      <c r="I251" s="62">
        <f t="shared" si="30"/>
        <v>271.04000000000002</v>
      </c>
      <c r="J251" s="62">
        <f t="shared" si="31"/>
        <v>3.36</v>
      </c>
      <c r="K251" s="62">
        <f t="shared" si="32"/>
        <v>34.15</v>
      </c>
      <c r="L251" s="62">
        <f t="shared" si="33"/>
        <v>1.599</v>
      </c>
      <c r="M251" s="554">
        <f t="shared" si="34"/>
        <v>0.86599999999999999</v>
      </c>
      <c r="N251" s="554">
        <f t="shared" si="42"/>
        <v>6.49</v>
      </c>
      <c r="O251" s="554" t="s">
        <v>1080</v>
      </c>
      <c r="P251" s="554" t="s">
        <v>1231</v>
      </c>
      <c r="Q251" s="973" t="s">
        <v>255</v>
      </c>
      <c r="R251" s="13">
        <f t="shared" si="35"/>
        <v>287.98399999999998</v>
      </c>
    </row>
    <row r="252" spans="1:18" s="308" customFormat="1" ht="21.75" hidden="1" customHeight="1">
      <c r="A252" s="14">
        <f>SUBTOTAL(103,$C$5:C252)</f>
        <v>9</v>
      </c>
      <c r="B252" s="62">
        <v>24</v>
      </c>
      <c r="C252" s="660" t="s">
        <v>774</v>
      </c>
      <c r="D252" s="62" t="str">
        <f>VLOOKUP(C252,'Location Summary'!$C$4:$D$603,2,0)</f>
        <v>DA+6</v>
      </c>
      <c r="E252" s="62" t="s">
        <v>403</v>
      </c>
      <c r="F252" s="722">
        <v>45705</v>
      </c>
      <c r="G252" s="722">
        <v>45710</v>
      </c>
      <c r="H252" s="61" t="s">
        <v>1223</v>
      </c>
      <c r="I252" s="62">
        <f t="shared" si="30"/>
        <v>289.83999999999997</v>
      </c>
      <c r="J252" s="62">
        <f t="shared" si="31"/>
        <v>3.61</v>
      </c>
      <c r="K252" s="62">
        <f t="shared" si="32"/>
        <v>37.299999999999997</v>
      </c>
      <c r="L252" s="62">
        <f t="shared" si="33"/>
        <v>2.093</v>
      </c>
      <c r="M252" s="554">
        <f t="shared" si="34"/>
        <v>0.86599999999999999</v>
      </c>
      <c r="N252" s="554">
        <f t="shared" si="42"/>
        <v>7.39</v>
      </c>
      <c r="O252" s="554" t="s">
        <v>451</v>
      </c>
      <c r="P252" s="554" t="s">
        <v>912</v>
      </c>
      <c r="Q252" s="973" t="s">
        <v>255</v>
      </c>
      <c r="R252" s="13">
        <f t="shared" si="35"/>
        <v>314.28399999999999</v>
      </c>
    </row>
    <row r="253" spans="1:18" s="308" customFormat="1" ht="21.75" hidden="1" customHeight="1">
      <c r="A253" s="14">
        <f>SUBTOTAL(103,$C$5:C253)</f>
        <v>9</v>
      </c>
      <c r="B253" s="62">
        <v>25</v>
      </c>
      <c r="C253" s="660" t="s">
        <v>64</v>
      </c>
      <c r="D253" s="62" t="str">
        <f>VLOOKUP(C253,'Location Summary'!$C$4:$D$603,2,0)</f>
        <v>DC1+0</v>
      </c>
      <c r="E253" s="62" t="s">
        <v>403</v>
      </c>
      <c r="F253" s="722">
        <v>45699</v>
      </c>
      <c r="G253" s="722">
        <v>45711</v>
      </c>
      <c r="H253" s="61" t="s">
        <v>992</v>
      </c>
      <c r="I253" s="62">
        <f t="shared" si="30"/>
        <v>606.15</v>
      </c>
      <c r="J253" s="62">
        <f t="shared" si="31"/>
        <v>7.89</v>
      </c>
      <c r="K253" s="62">
        <f t="shared" si="32"/>
        <v>93.55</v>
      </c>
      <c r="L253" s="62">
        <f t="shared" si="33"/>
        <v>4.8167999999999997</v>
      </c>
      <c r="M253" s="554">
        <f t="shared" si="34"/>
        <v>2.348757</v>
      </c>
      <c r="N253" s="554">
        <f t="shared" si="42"/>
        <v>17.75</v>
      </c>
      <c r="O253" s="554" t="s">
        <v>1210</v>
      </c>
      <c r="P253" s="554" t="s">
        <v>912</v>
      </c>
      <c r="Q253" s="973" t="s">
        <v>255</v>
      </c>
      <c r="R253" s="13">
        <f t="shared" si="35"/>
        <v>783.11599999999999</v>
      </c>
    </row>
    <row r="254" spans="1:18" s="308" customFormat="1" ht="21.75" hidden="1" customHeight="1">
      <c r="A254" s="14">
        <f>SUBTOTAL(103,$C$5:C254)</f>
        <v>9</v>
      </c>
      <c r="B254" s="62">
        <v>26</v>
      </c>
      <c r="C254" s="660" t="s">
        <v>628</v>
      </c>
      <c r="D254" s="62" t="str">
        <f>VLOOKUP(C254,'Location Summary'!$C$4:$D$603,2,0)</f>
        <v>DA+6</v>
      </c>
      <c r="E254" s="62" t="s">
        <v>403</v>
      </c>
      <c r="F254" s="722">
        <f>G241</f>
        <v>45699</v>
      </c>
      <c r="G254" s="722">
        <v>45712</v>
      </c>
      <c r="H254" s="61" t="s">
        <v>1167</v>
      </c>
      <c r="I254" s="62">
        <f t="shared" si="30"/>
        <v>289.83999999999997</v>
      </c>
      <c r="J254" s="62">
        <f t="shared" si="31"/>
        <v>3.61</v>
      </c>
      <c r="K254" s="62">
        <f t="shared" si="32"/>
        <v>37.299999999999997</v>
      </c>
      <c r="L254" s="62">
        <f t="shared" si="33"/>
        <v>2.093</v>
      </c>
      <c r="M254" s="554">
        <f t="shared" si="34"/>
        <v>0.86599999999999999</v>
      </c>
      <c r="N254" s="554">
        <f t="shared" ref="N254:N259" si="43">ROUND((I254*230.35+J254*10150.5+K254*11591.45+L254*93958.18+M254*7677.44)/10^5,2)</f>
        <v>7.39</v>
      </c>
      <c r="O254" s="554" t="s">
        <v>791</v>
      </c>
      <c r="P254" s="554" t="s">
        <v>912</v>
      </c>
      <c r="Q254" s="973" t="s">
        <v>255</v>
      </c>
      <c r="R254" s="13">
        <f t="shared" si="35"/>
        <v>314.28399999999999</v>
      </c>
    </row>
    <row r="255" spans="1:18" s="308" customFormat="1" ht="21.75" hidden="1" customHeight="1">
      <c r="A255" s="14">
        <f>SUBTOTAL(103,$C$5:C255)</f>
        <v>9</v>
      </c>
      <c r="B255" s="62">
        <v>27</v>
      </c>
      <c r="C255" s="660" t="s">
        <v>408</v>
      </c>
      <c r="D255" s="62" t="str">
        <f>VLOOKUP(C255,'Location Summary'!$C$4:$D$603,2,0)</f>
        <v>DA+0</v>
      </c>
      <c r="E255" s="62" t="s">
        <v>403</v>
      </c>
      <c r="F255" s="722">
        <v>45701</v>
      </c>
      <c r="G255" s="722">
        <v>45713</v>
      </c>
      <c r="H255" s="61" t="s">
        <v>1221</v>
      </c>
      <c r="I255" s="62">
        <f t="shared" si="30"/>
        <v>271.04000000000002</v>
      </c>
      <c r="J255" s="62">
        <f t="shared" si="31"/>
        <v>3.36</v>
      </c>
      <c r="K255" s="62">
        <f t="shared" si="32"/>
        <v>34.15</v>
      </c>
      <c r="L255" s="62">
        <f t="shared" si="33"/>
        <v>1.599</v>
      </c>
      <c r="M255" s="554">
        <f t="shared" si="34"/>
        <v>0.86599999999999999</v>
      </c>
      <c r="N255" s="554">
        <f t="shared" si="43"/>
        <v>6.49</v>
      </c>
      <c r="O255" s="554" t="s">
        <v>1209</v>
      </c>
      <c r="P255" s="554" t="s">
        <v>765</v>
      </c>
      <c r="Q255" s="973" t="s">
        <v>255</v>
      </c>
      <c r="R255" s="13">
        <f t="shared" si="35"/>
        <v>287.98399999999998</v>
      </c>
    </row>
    <row r="256" spans="1:18" s="308" customFormat="1" ht="21.75" hidden="1" customHeight="1">
      <c r="A256" s="14">
        <f>SUBTOTAL(103,$C$5:C256)</f>
        <v>9</v>
      </c>
      <c r="B256" s="62">
        <v>28</v>
      </c>
      <c r="C256" s="660" t="s">
        <v>60</v>
      </c>
      <c r="D256" s="62" t="str">
        <f>VLOOKUP(C256,'Location Summary'!$C$4:$D$603,2,0)</f>
        <v>DD60+35</v>
      </c>
      <c r="E256" s="62" t="s">
        <v>403</v>
      </c>
      <c r="F256" s="722">
        <v>45702</v>
      </c>
      <c r="G256" s="722">
        <v>45713</v>
      </c>
      <c r="H256" s="61" t="s">
        <v>972</v>
      </c>
      <c r="I256" s="62">
        <f t="shared" si="30"/>
        <v>999.64</v>
      </c>
      <c r="J256" s="62">
        <f t="shared" si="31"/>
        <v>13.28</v>
      </c>
      <c r="K256" s="62">
        <f t="shared" si="32"/>
        <v>186.31</v>
      </c>
      <c r="L256" s="62">
        <f t="shared" si="33"/>
        <v>11.581</v>
      </c>
      <c r="M256" s="554">
        <f t="shared" si="34"/>
        <v>3.3799760000000001</v>
      </c>
      <c r="N256" s="554">
        <f t="shared" si="43"/>
        <v>36.39</v>
      </c>
      <c r="O256" s="554" t="s">
        <v>1080</v>
      </c>
      <c r="P256" s="554" t="s">
        <v>765</v>
      </c>
      <c r="Q256" s="973" t="s">
        <v>255</v>
      </c>
      <c r="R256" s="13">
        <f t="shared" si="35"/>
        <v>1548.912</v>
      </c>
    </row>
    <row r="257" spans="1:18" s="308" customFormat="1" ht="21.75" hidden="1" customHeight="1">
      <c r="A257" s="14">
        <f>SUBTOTAL(103,$C$5:C257)</f>
        <v>9</v>
      </c>
      <c r="B257" s="62">
        <v>29</v>
      </c>
      <c r="C257" s="660" t="s">
        <v>63</v>
      </c>
      <c r="D257" s="62" t="str">
        <f>VLOOKUP(C257,'Location Summary'!$C$4:$D$603,2,0)</f>
        <v>DC2-3</v>
      </c>
      <c r="E257" s="62" t="s">
        <v>403</v>
      </c>
      <c r="F257" s="722">
        <v>45705</v>
      </c>
      <c r="G257" s="722">
        <v>45714</v>
      </c>
      <c r="H257" s="61" t="s">
        <v>992</v>
      </c>
      <c r="I257" s="62">
        <f t="shared" si="30"/>
        <v>693.86</v>
      </c>
      <c r="J257" s="62">
        <f t="shared" si="31"/>
        <v>9.09</v>
      </c>
      <c r="K257" s="62">
        <f t="shared" si="32"/>
        <v>115.43</v>
      </c>
      <c r="L257" s="62">
        <f t="shared" si="33"/>
        <v>5.6909999999999998</v>
      </c>
      <c r="M257" s="554">
        <f t="shared" si="34"/>
        <v>2.348757</v>
      </c>
      <c r="N257" s="554">
        <f t="shared" si="43"/>
        <v>21.43</v>
      </c>
      <c r="O257" s="554" t="s">
        <v>1210</v>
      </c>
      <c r="P257" s="554" t="s">
        <v>912</v>
      </c>
      <c r="Q257" s="973" t="s">
        <v>255</v>
      </c>
      <c r="R257" s="13">
        <f t="shared" si="35"/>
        <v>963.43600000000004</v>
      </c>
    </row>
    <row r="258" spans="1:18" s="308" customFormat="1" ht="21.75" hidden="1" customHeight="1">
      <c r="A258" s="14">
        <f>SUBTOTAL(103,$C$5:C258)</f>
        <v>9</v>
      </c>
      <c r="B258" s="62">
        <v>30</v>
      </c>
      <c r="C258" s="660" t="s">
        <v>406</v>
      </c>
      <c r="D258" s="62" t="str">
        <f>VLOOKUP(C258,'Location Summary'!$C$4:$D$603,2,0)</f>
        <v>DA+9</v>
      </c>
      <c r="E258" s="62" t="s">
        <v>403</v>
      </c>
      <c r="F258" s="722">
        <v>45704</v>
      </c>
      <c r="G258" s="722">
        <v>45714</v>
      </c>
      <c r="H258" s="61" t="s">
        <v>1215</v>
      </c>
      <c r="I258" s="62">
        <f t="shared" si="30"/>
        <v>289.83999999999997</v>
      </c>
      <c r="J258" s="62">
        <f t="shared" si="31"/>
        <v>3.61</v>
      </c>
      <c r="K258" s="62">
        <f t="shared" si="32"/>
        <v>37.299999999999997</v>
      </c>
      <c r="L258" s="62">
        <f t="shared" si="33"/>
        <v>2.093</v>
      </c>
      <c r="M258" s="554">
        <f t="shared" si="34"/>
        <v>0.86599999999999999</v>
      </c>
      <c r="N258" s="554">
        <f t="shared" si="43"/>
        <v>7.39</v>
      </c>
      <c r="O258" s="554" t="s">
        <v>1209</v>
      </c>
      <c r="P258" s="554" t="s">
        <v>765</v>
      </c>
      <c r="Q258" s="973" t="s">
        <v>255</v>
      </c>
      <c r="R258" s="13">
        <f t="shared" si="35"/>
        <v>314.28399999999999</v>
      </c>
    </row>
    <row r="259" spans="1:18" s="308" customFormat="1" ht="21.75" hidden="1" customHeight="1">
      <c r="A259" s="14">
        <f>SUBTOTAL(103,$C$5:C259)</f>
        <v>9</v>
      </c>
      <c r="B259" s="62">
        <v>31</v>
      </c>
      <c r="C259" s="660" t="s">
        <v>57</v>
      </c>
      <c r="D259" s="62" t="str">
        <f>VLOOKUP(C259,'Location Summary'!$C$4:$D$603,2,0)</f>
        <v>DD60+18</v>
      </c>
      <c r="E259" s="62" t="s">
        <v>403</v>
      </c>
      <c r="F259" s="722">
        <v>45692</v>
      </c>
      <c r="G259" s="722">
        <v>45715</v>
      </c>
      <c r="H259" s="61" t="s">
        <v>1140</v>
      </c>
      <c r="I259" s="62">
        <f t="shared" si="30"/>
        <v>1042.68</v>
      </c>
      <c r="J259" s="62">
        <f t="shared" si="31"/>
        <v>13.88</v>
      </c>
      <c r="K259" s="62">
        <f t="shared" si="32"/>
        <v>194</v>
      </c>
      <c r="L259" s="62">
        <f t="shared" si="33"/>
        <v>12.18</v>
      </c>
      <c r="M259" s="554">
        <f t="shared" si="34"/>
        <v>3.1593010000000001</v>
      </c>
      <c r="N259" s="554">
        <f t="shared" si="43"/>
        <v>37.979999999999997</v>
      </c>
      <c r="O259" s="554" t="s">
        <v>993</v>
      </c>
      <c r="P259" s="192" t="s">
        <v>1232</v>
      </c>
      <c r="Q259" s="973" t="s">
        <v>255</v>
      </c>
      <c r="R259" s="13">
        <f t="shared" si="35"/>
        <v>1613.0720000000001</v>
      </c>
    </row>
    <row r="260" spans="1:18" ht="21.75" customHeight="1">
      <c r="A260" s="14">
        <f>SUBTOTAL(103,$C$5:C260)</f>
        <v>10</v>
      </c>
      <c r="B260" s="10">
        <v>1</v>
      </c>
      <c r="C260" s="660" t="s">
        <v>1238</v>
      </c>
      <c r="D260" s="62" t="s">
        <v>2</v>
      </c>
      <c r="E260" s="62" t="s">
        <v>403</v>
      </c>
      <c r="F260" s="107">
        <v>45712</v>
      </c>
      <c r="G260" s="107">
        <v>45717</v>
      </c>
      <c r="H260" s="60" t="s">
        <v>1173</v>
      </c>
      <c r="I260" s="62">
        <f t="shared" si="30"/>
        <v>289.83999999999997</v>
      </c>
      <c r="J260" s="62">
        <f t="shared" si="31"/>
        <v>3.61</v>
      </c>
      <c r="K260" s="62">
        <f t="shared" si="32"/>
        <v>37.299999999999997</v>
      </c>
      <c r="L260" s="62">
        <f t="shared" si="33"/>
        <v>2.093</v>
      </c>
      <c r="M260" s="554">
        <f t="shared" si="34"/>
        <v>0.86599999999999999</v>
      </c>
      <c r="N260" s="112">
        <f t="shared" ref="N260:N265" si="44">ROUND((I260*230.35+J260*10150.5+K260*11591.45+L260*93958.18+M260*7677.44)/10^5,2)</f>
        <v>7.39</v>
      </c>
      <c r="O260" s="112" t="s">
        <v>791</v>
      </c>
      <c r="P260" s="554" t="s">
        <v>765</v>
      </c>
      <c r="Q260" s="973" t="s">
        <v>255</v>
      </c>
      <c r="R260" s="13">
        <f t="shared" si="35"/>
        <v>314.28399999999999</v>
      </c>
    </row>
    <row r="261" spans="1:18" ht="21.75" hidden="1" customHeight="1">
      <c r="A261" s="14">
        <f>SUBTOTAL(103,$C$5:C261)</f>
        <v>10</v>
      </c>
      <c r="B261" s="10">
        <v>2</v>
      </c>
      <c r="C261" s="660" t="s">
        <v>407</v>
      </c>
      <c r="D261" s="62" t="str">
        <f>VLOOKUP(C261,'Location Summary'!$C$4:$D$603,2,0)</f>
        <v>DA+0</v>
      </c>
      <c r="E261" s="62" t="s">
        <v>403</v>
      </c>
      <c r="F261" s="107">
        <v>45711</v>
      </c>
      <c r="G261" s="107">
        <v>45721</v>
      </c>
      <c r="H261" s="60" t="s">
        <v>1215</v>
      </c>
      <c r="I261" s="62">
        <f t="shared" ref="I261:I275" si="45">VLOOKUP($D261,$D$323:$M$362,6,FALSE)</f>
        <v>271.04000000000002</v>
      </c>
      <c r="J261" s="62">
        <f t="shared" ref="J261:J275" si="46">VLOOKUP($D261,$D$323:$M$362,7,FALSE)</f>
        <v>3.36</v>
      </c>
      <c r="K261" s="62">
        <f t="shared" ref="K261:K275" si="47">VLOOKUP($D261,$D$323:$M$362,8,FALSE)</f>
        <v>34.15</v>
      </c>
      <c r="L261" s="62">
        <f t="shared" ref="L261:L275" si="48">VLOOKUP($D261,$D$323:$M$362,9,FALSE)</f>
        <v>1.599</v>
      </c>
      <c r="M261" s="554">
        <f t="shared" ref="M261:M275" si="49">VLOOKUP($D261,$D$323:$M$362,10,FALSE)</f>
        <v>0.86599999999999999</v>
      </c>
      <c r="N261" s="112">
        <f t="shared" si="44"/>
        <v>6.49</v>
      </c>
      <c r="O261" s="112" t="s">
        <v>1209</v>
      </c>
      <c r="P261" s="554" t="s">
        <v>1104</v>
      </c>
      <c r="Q261" s="973" t="s">
        <v>255</v>
      </c>
      <c r="R261" s="13">
        <f t="shared" si="35"/>
        <v>287.98399999999998</v>
      </c>
    </row>
    <row r="262" spans="1:18" ht="21.75" hidden="1" customHeight="1">
      <c r="A262" s="14">
        <f>SUBTOTAL(103,$C$5:C262)</f>
        <v>10</v>
      </c>
      <c r="B262" s="10">
        <v>3</v>
      </c>
      <c r="C262" s="660" t="s">
        <v>59</v>
      </c>
      <c r="D262" s="62" t="str">
        <f>VLOOKUP(C262,'Location Summary'!$C$4:$D$603,2,0)</f>
        <v>DD60+35</v>
      </c>
      <c r="E262" s="62" t="s">
        <v>403</v>
      </c>
      <c r="F262" s="107">
        <v>45705</v>
      </c>
      <c r="G262" s="107">
        <v>45721</v>
      </c>
      <c r="H262" s="60" t="s">
        <v>503</v>
      </c>
      <c r="I262" s="62">
        <f t="shared" si="45"/>
        <v>999.64</v>
      </c>
      <c r="J262" s="62">
        <f t="shared" si="46"/>
        <v>13.28</v>
      </c>
      <c r="K262" s="62">
        <f t="shared" si="47"/>
        <v>186.31</v>
      </c>
      <c r="L262" s="62">
        <f t="shared" si="48"/>
        <v>11.581</v>
      </c>
      <c r="M262" s="554">
        <f t="shared" si="49"/>
        <v>3.3799760000000001</v>
      </c>
      <c r="N262" s="112">
        <f t="shared" si="44"/>
        <v>36.39</v>
      </c>
      <c r="O262" s="112" t="s">
        <v>1080</v>
      </c>
      <c r="P262" s="554" t="s">
        <v>1207</v>
      </c>
      <c r="Q262" s="973" t="s">
        <v>255</v>
      </c>
      <c r="R262" s="13">
        <f t="shared" ref="R262:R320" si="50">(J262*4.4)+(K262*8)</f>
        <v>1548.912</v>
      </c>
    </row>
    <row r="263" spans="1:18" ht="21.75" hidden="1" customHeight="1">
      <c r="A263" s="14">
        <f>SUBTOTAL(103,$C$5:C263)</f>
        <v>10</v>
      </c>
      <c r="B263" s="10">
        <v>4</v>
      </c>
      <c r="C263" s="660" t="s">
        <v>167</v>
      </c>
      <c r="D263" s="62" t="str">
        <f>VLOOKUP(C263,'Location Summary'!$C$4:$D$603,2,0)</f>
        <v>DD60+25</v>
      </c>
      <c r="E263" s="62" t="s">
        <v>403</v>
      </c>
      <c r="F263" s="107">
        <v>45705</v>
      </c>
      <c r="G263" s="107">
        <v>45722</v>
      </c>
      <c r="H263" s="60" t="s">
        <v>988</v>
      </c>
      <c r="I263" s="62">
        <f t="shared" si="45"/>
        <v>1042.68</v>
      </c>
      <c r="J263" s="62">
        <f t="shared" si="46"/>
        <v>13.88</v>
      </c>
      <c r="K263" s="62">
        <f t="shared" si="47"/>
        <v>194</v>
      </c>
      <c r="L263" s="62">
        <f t="shared" si="48"/>
        <v>12.18</v>
      </c>
      <c r="M263" s="554">
        <f t="shared" si="49"/>
        <v>3.1593010000000001</v>
      </c>
      <c r="N263" s="112">
        <f t="shared" si="44"/>
        <v>37.979999999999997</v>
      </c>
      <c r="O263" s="112" t="s">
        <v>1183</v>
      </c>
      <c r="P263" s="554" t="s">
        <v>1104</v>
      </c>
      <c r="Q263" s="973" t="s">
        <v>255</v>
      </c>
      <c r="R263" s="13">
        <f t="shared" si="50"/>
        <v>1613.0720000000001</v>
      </c>
    </row>
    <row r="264" spans="1:18" ht="21.75" customHeight="1">
      <c r="A264" s="14">
        <f>SUBTOTAL(103,$C$5:C264)</f>
        <v>11</v>
      </c>
      <c r="B264" s="10">
        <v>5</v>
      </c>
      <c r="C264" s="932" t="s">
        <v>1240</v>
      </c>
      <c r="D264" s="62" t="str">
        <f>VLOOKUP(C264,'Location Summary'!$C$4:$D$676,2,0)</f>
        <v>DA+3</v>
      </c>
      <c r="E264" s="62" t="s">
        <v>403</v>
      </c>
      <c r="F264" s="107">
        <v>45718</v>
      </c>
      <c r="G264" s="107">
        <v>45722</v>
      </c>
      <c r="H264" s="60" t="s">
        <v>1173</v>
      </c>
      <c r="I264" s="62">
        <f t="shared" si="45"/>
        <v>289.83999999999997</v>
      </c>
      <c r="J264" s="62">
        <f t="shared" si="46"/>
        <v>3.61</v>
      </c>
      <c r="K264" s="62">
        <f t="shared" si="47"/>
        <v>37.299999999999997</v>
      </c>
      <c r="L264" s="62">
        <f t="shared" si="48"/>
        <v>2.093</v>
      </c>
      <c r="M264" s="554">
        <f t="shared" si="49"/>
        <v>0.86599999999999999</v>
      </c>
      <c r="N264" s="112">
        <f t="shared" si="44"/>
        <v>7.39</v>
      </c>
      <c r="O264" s="112" t="s">
        <v>791</v>
      </c>
      <c r="P264" s="554" t="s">
        <v>765</v>
      </c>
      <c r="Q264" s="973" t="s">
        <v>255</v>
      </c>
      <c r="R264" s="13">
        <f t="shared" si="50"/>
        <v>314.28399999999999</v>
      </c>
    </row>
    <row r="265" spans="1:18" ht="21.75" hidden="1" customHeight="1">
      <c r="A265" s="14">
        <f>SUBTOTAL(103,$C$5:C265)</f>
        <v>11</v>
      </c>
      <c r="B265" s="10">
        <v>6</v>
      </c>
      <c r="C265" s="932" t="s">
        <v>58</v>
      </c>
      <c r="D265" s="62" t="str">
        <f>VLOOKUP(C265,'Location Summary'!$C$4:$D$603,2,0)</f>
        <v>DD60+18</v>
      </c>
      <c r="E265" s="62" t="s">
        <v>403</v>
      </c>
      <c r="F265" s="107">
        <v>45711</v>
      </c>
      <c r="G265" s="107">
        <v>45724</v>
      </c>
      <c r="H265" s="60" t="s">
        <v>1140</v>
      </c>
      <c r="I265" s="62">
        <f t="shared" si="45"/>
        <v>1042.68</v>
      </c>
      <c r="J265" s="62">
        <f t="shared" si="46"/>
        <v>13.88</v>
      </c>
      <c r="K265" s="62">
        <f t="shared" si="47"/>
        <v>194</v>
      </c>
      <c r="L265" s="62">
        <f t="shared" si="48"/>
        <v>12.18</v>
      </c>
      <c r="M265" s="554">
        <f t="shared" si="49"/>
        <v>3.1593010000000001</v>
      </c>
      <c r="N265" s="112">
        <f t="shared" si="44"/>
        <v>37.979999999999997</v>
      </c>
      <c r="O265" s="112" t="s">
        <v>993</v>
      </c>
      <c r="P265" s="554" t="s">
        <v>1104</v>
      </c>
      <c r="Q265" s="973" t="s">
        <v>255</v>
      </c>
      <c r="R265" s="13">
        <f t="shared" si="50"/>
        <v>1613.0720000000001</v>
      </c>
    </row>
    <row r="266" spans="1:18" ht="21.75" hidden="1" customHeight="1">
      <c r="A266" s="14">
        <f>SUBTOTAL(103,$C$5:C266)</f>
        <v>11</v>
      </c>
      <c r="B266" s="10">
        <v>7</v>
      </c>
      <c r="C266" s="932" t="s">
        <v>74</v>
      </c>
      <c r="D266" s="62" t="str">
        <f>VLOOKUP(C266,'Location Summary'!$C$4:$D$603,2,0)</f>
        <v>DB1+6</v>
      </c>
      <c r="E266" s="62" t="s">
        <v>403</v>
      </c>
      <c r="F266" s="107">
        <v>45713</v>
      </c>
      <c r="G266" s="107">
        <v>45724</v>
      </c>
      <c r="H266" s="60" t="s">
        <v>1167</v>
      </c>
      <c r="I266" s="62">
        <f t="shared" si="45"/>
        <v>484.04</v>
      </c>
      <c r="J266" s="62">
        <f t="shared" si="46"/>
        <v>6.23</v>
      </c>
      <c r="K266" s="62">
        <f t="shared" si="47"/>
        <v>70.319999999999993</v>
      </c>
      <c r="L266" s="62">
        <f t="shared" si="48"/>
        <v>3.3719999999999999</v>
      </c>
      <c r="M266" s="554">
        <f t="shared" si="49"/>
        <v>1.768</v>
      </c>
      <c r="N266" s="112">
        <f t="shared" ref="N266:N273" si="51">ROUND((I266*230.35+J266*10150.5+K266*11591.45+L266*93958.18+M266*7677.44)/10^5,2)</f>
        <v>13.2</v>
      </c>
      <c r="O266" s="112" t="s">
        <v>791</v>
      </c>
      <c r="P266" s="554" t="s">
        <v>765</v>
      </c>
      <c r="Q266" s="973" t="s">
        <v>255</v>
      </c>
      <c r="R266" s="13">
        <f t="shared" si="50"/>
        <v>589.97199999999998</v>
      </c>
    </row>
    <row r="267" spans="1:18" ht="21.75" customHeight="1">
      <c r="A267" s="14">
        <f>SUBTOTAL(103,$C$5:C267)</f>
        <v>12</v>
      </c>
      <c r="B267" s="10">
        <v>8</v>
      </c>
      <c r="C267" s="932" t="s">
        <v>1242</v>
      </c>
      <c r="D267" s="62" t="str">
        <f>VLOOKUP(C267,'Location Summary'!$C$4:$D$676,2,0)</f>
        <v>DA+0</v>
      </c>
      <c r="E267" s="62" t="s">
        <v>403</v>
      </c>
      <c r="F267" s="107">
        <v>45727</v>
      </c>
      <c r="G267" s="107">
        <v>45728</v>
      </c>
      <c r="H267" s="60" t="s">
        <v>1173</v>
      </c>
      <c r="I267" s="62">
        <f t="shared" si="45"/>
        <v>271.04000000000002</v>
      </c>
      <c r="J267" s="62">
        <f t="shared" si="46"/>
        <v>3.36</v>
      </c>
      <c r="K267" s="62">
        <f t="shared" si="47"/>
        <v>34.15</v>
      </c>
      <c r="L267" s="62">
        <f t="shared" si="48"/>
        <v>1.599</v>
      </c>
      <c r="M267" s="554">
        <f t="shared" si="49"/>
        <v>0.86599999999999999</v>
      </c>
      <c r="N267" s="112">
        <f t="shared" si="51"/>
        <v>6.49</v>
      </c>
      <c r="O267" s="112" t="s">
        <v>791</v>
      </c>
      <c r="P267" s="554" t="s">
        <v>1104</v>
      </c>
      <c r="Q267" s="973" t="s">
        <v>255</v>
      </c>
      <c r="R267" s="13">
        <f t="shared" si="50"/>
        <v>287.98399999999998</v>
      </c>
    </row>
    <row r="268" spans="1:18" ht="21.75" customHeight="1">
      <c r="A268" s="14">
        <f>SUBTOTAL(103,$C$5:C268)</f>
        <v>13</v>
      </c>
      <c r="B268" s="10">
        <v>9</v>
      </c>
      <c r="C268" s="932" t="s">
        <v>1241</v>
      </c>
      <c r="D268" s="62" t="str">
        <f>VLOOKUP(C268,'Location Summary'!$C$4:$D$676,2,0)</f>
        <v>DA+3</v>
      </c>
      <c r="E268" s="62" t="s">
        <v>403</v>
      </c>
      <c r="F268" s="107">
        <v>45722</v>
      </c>
      <c r="G268" s="107">
        <v>45729</v>
      </c>
      <c r="H268" s="60" t="s">
        <v>1173</v>
      </c>
      <c r="I268" s="62">
        <f t="shared" si="45"/>
        <v>289.83999999999997</v>
      </c>
      <c r="J268" s="62">
        <f t="shared" si="46"/>
        <v>3.61</v>
      </c>
      <c r="K268" s="62">
        <f t="shared" si="47"/>
        <v>37.299999999999997</v>
      </c>
      <c r="L268" s="62">
        <f t="shared" si="48"/>
        <v>2.093</v>
      </c>
      <c r="M268" s="554">
        <f t="shared" si="49"/>
        <v>0.86599999999999999</v>
      </c>
      <c r="N268" s="112">
        <f t="shared" si="51"/>
        <v>7.39</v>
      </c>
      <c r="O268" s="112" t="s">
        <v>791</v>
      </c>
      <c r="P268" s="554" t="s">
        <v>765</v>
      </c>
      <c r="Q268" s="973" t="s">
        <v>255</v>
      </c>
      <c r="R268" s="13">
        <f t="shared" si="50"/>
        <v>314.28399999999999</v>
      </c>
    </row>
    <row r="269" spans="1:18" ht="21.75" hidden="1" customHeight="1">
      <c r="A269" s="14">
        <f>SUBTOTAL(103,$C$5:C269)</f>
        <v>13</v>
      </c>
      <c r="B269" s="10">
        <v>10</v>
      </c>
      <c r="C269" s="932" t="s">
        <v>257</v>
      </c>
      <c r="D269" s="62" t="str">
        <f>VLOOKUP(C269,'Location Summary'!$C$4:$D$676,2,0)</f>
        <v>DB1+6</v>
      </c>
      <c r="E269" s="62" t="s">
        <v>403</v>
      </c>
      <c r="F269" s="107">
        <f>G261+1</f>
        <v>45722</v>
      </c>
      <c r="G269" s="107">
        <v>45732</v>
      </c>
      <c r="H269" s="60" t="s">
        <v>1215</v>
      </c>
      <c r="I269" s="62">
        <f t="shared" si="45"/>
        <v>484.04</v>
      </c>
      <c r="J269" s="62">
        <f t="shared" si="46"/>
        <v>6.23</v>
      </c>
      <c r="K269" s="62">
        <f t="shared" si="47"/>
        <v>70.319999999999993</v>
      </c>
      <c r="L269" s="62">
        <f t="shared" si="48"/>
        <v>3.3719999999999999</v>
      </c>
      <c r="M269" s="554">
        <f t="shared" si="49"/>
        <v>1.768</v>
      </c>
      <c r="N269" s="112">
        <f t="shared" si="51"/>
        <v>13.2</v>
      </c>
      <c r="O269" s="112" t="s">
        <v>1209</v>
      </c>
      <c r="P269" s="554" t="s">
        <v>1104</v>
      </c>
      <c r="Q269" s="973" t="s">
        <v>255</v>
      </c>
      <c r="R269" s="13">
        <f t="shared" si="50"/>
        <v>589.97199999999998</v>
      </c>
    </row>
    <row r="270" spans="1:18" ht="21.75" customHeight="1">
      <c r="A270" s="14">
        <f>SUBTOTAL(103,$C$5:C270)</f>
        <v>14</v>
      </c>
      <c r="B270" s="10">
        <v>11</v>
      </c>
      <c r="C270" s="932" t="s">
        <v>1243</v>
      </c>
      <c r="D270" s="62" t="str">
        <f>VLOOKUP(C270,'Location Summary'!$C$4:$D$676,2,0)</f>
        <v>DA+0</v>
      </c>
      <c r="E270" s="62" t="s">
        <v>403</v>
      </c>
      <c r="F270" s="107">
        <v>45731</v>
      </c>
      <c r="G270" s="107">
        <v>45733</v>
      </c>
      <c r="H270" s="60" t="s">
        <v>1173</v>
      </c>
      <c r="I270" s="62">
        <f t="shared" si="45"/>
        <v>271.04000000000002</v>
      </c>
      <c r="J270" s="62">
        <f t="shared" si="46"/>
        <v>3.36</v>
      </c>
      <c r="K270" s="62">
        <f t="shared" si="47"/>
        <v>34.15</v>
      </c>
      <c r="L270" s="62">
        <f t="shared" si="48"/>
        <v>1.599</v>
      </c>
      <c r="M270" s="554">
        <f t="shared" si="49"/>
        <v>0.86599999999999999</v>
      </c>
      <c r="N270" s="112">
        <f t="shared" si="51"/>
        <v>6.49</v>
      </c>
      <c r="O270" s="112" t="s">
        <v>791</v>
      </c>
      <c r="P270" s="554" t="s">
        <v>1104</v>
      </c>
      <c r="Q270" s="973" t="s">
        <v>255</v>
      </c>
      <c r="R270" s="13">
        <f t="shared" si="50"/>
        <v>287.98399999999998</v>
      </c>
    </row>
    <row r="271" spans="1:18" ht="21.75" hidden="1" customHeight="1">
      <c r="A271" s="14">
        <f>SUBTOTAL(103,$C$5:C271)</f>
        <v>14</v>
      </c>
      <c r="B271" s="10">
        <v>12</v>
      </c>
      <c r="C271" s="932" t="s">
        <v>1251</v>
      </c>
      <c r="D271" s="62" t="str">
        <f>VLOOKUP(C271,'Location Summary'!$C$4:$D$676,2,0)</f>
        <v>DA+3</v>
      </c>
      <c r="E271" s="62" t="s">
        <v>403</v>
      </c>
      <c r="F271" s="107">
        <v>45734</v>
      </c>
      <c r="G271" s="107">
        <v>45739</v>
      </c>
      <c r="H271" s="60" t="s">
        <v>1162</v>
      </c>
      <c r="I271" s="62">
        <f t="shared" si="45"/>
        <v>289.83999999999997</v>
      </c>
      <c r="J271" s="62">
        <f t="shared" si="46"/>
        <v>3.61</v>
      </c>
      <c r="K271" s="62">
        <f t="shared" si="47"/>
        <v>37.299999999999997</v>
      </c>
      <c r="L271" s="62">
        <f t="shared" si="48"/>
        <v>2.093</v>
      </c>
      <c r="M271" s="554">
        <f t="shared" si="49"/>
        <v>0.86599999999999999</v>
      </c>
      <c r="N271" s="112">
        <f t="shared" si="51"/>
        <v>7.39</v>
      </c>
      <c r="O271" s="112" t="s">
        <v>1163</v>
      </c>
      <c r="P271" s="554" t="s">
        <v>1104</v>
      </c>
      <c r="Q271" s="973" t="s">
        <v>255</v>
      </c>
      <c r="R271" s="13">
        <f t="shared" si="50"/>
        <v>314.28399999999999</v>
      </c>
    </row>
    <row r="272" spans="1:18" ht="21.75" hidden="1" customHeight="1">
      <c r="A272" s="14">
        <f>SUBTOTAL(103,$C$5:C272)</f>
        <v>14</v>
      </c>
      <c r="B272" s="10">
        <v>13</v>
      </c>
      <c r="C272" s="932" t="s">
        <v>457</v>
      </c>
      <c r="D272" s="62" t="str">
        <f>VLOOKUP(C272,'Location Summary'!$C$4:$D$676,2,0)</f>
        <v>DA+6</v>
      </c>
      <c r="E272" s="62" t="s">
        <v>403</v>
      </c>
      <c r="F272" s="107">
        <v>45729</v>
      </c>
      <c r="G272" s="107">
        <v>45739</v>
      </c>
      <c r="H272" s="60" t="s">
        <v>1215</v>
      </c>
      <c r="I272" s="62">
        <f t="shared" si="45"/>
        <v>289.83999999999997</v>
      </c>
      <c r="J272" s="62">
        <f t="shared" si="46"/>
        <v>3.61</v>
      </c>
      <c r="K272" s="62">
        <f t="shared" si="47"/>
        <v>37.299999999999997</v>
      </c>
      <c r="L272" s="62">
        <f t="shared" si="48"/>
        <v>2.093</v>
      </c>
      <c r="M272" s="554">
        <f t="shared" si="49"/>
        <v>0.86599999999999999</v>
      </c>
      <c r="N272" s="112">
        <f t="shared" si="51"/>
        <v>7.39</v>
      </c>
      <c r="O272" s="112" t="s">
        <v>1209</v>
      </c>
      <c r="P272" s="554" t="s">
        <v>1104</v>
      </c>
      <c r="Q272" s="973" t="s">
        <v>255</v>
      </c>
      <c r="R272" s="13">
        <f t="shared" si="50"/>
        <v>314.28399999999999</v>
      </c>
    </row>
    <row r="273" spans="1:18" ht="21.75" customHeight="1">
      <c r="A273" s="14">
        <f>SUBTOTAL(103,$C$5:C273)</f>
        <v>15</v>
      </c>
      <c r="B273" s="3">
        <v>14</v>
      </c>
      <c r="C273" s="932" t="s">
        <v>1265</v>
      </c>
      <c r="D273" s="608" t="str">
        <f>VLOOKUP(C273,'Location Summary'!$C$4:$D$676,2,0)</f>
        <v>DA+9</v>
      </c>
      <c r="E273" s="608" t="s">
        <v>403</v>
      </c>
      <c r="F273" s="57">
        <v>45735</v>
      </c>
      <c r="G273" s="57">
        <v>45739</v>
      </c>
      <c r="H273" s="69" t="s">
        <v>1173</v>
      </c>
      <c r="I273" s="608">
        <f t="shared" si="45"/>
        <v>289.83999999999997</v>
      </c>
      <c r="J273" s="608">
        <f t="shared" si="46"/>
        <v>3.61</v>
      </c>
      <c r="K273" s="608">
        <f t="shared" si="47"/>
        <v>37.299999999999997</v>
      </c>
      <c r="L273" s="608">
        <f t="shared" si="48"/>
        <v>2.093</v>
      </c>
      <c r="M273" s="933">
        <f t="shared" si="49"/>
        <v>0.86599999999999999</v>
      </c>
      <c r="N273" s="26">
        <f t="shared" si="51"/>
        <v>7.39</v>
      </c>
      <c r="O273" s="26" t="s">
        <v>1080</v>
      </c>
      <c r="P273" s="933" t="s">
        <v>1104</v>
      </c>
      <c r="Q273" s="973" t="s">
        <v>255</v>
      </c>
      <c r="R273" s="13">
        <f t="shared" si="50"/>
        <v>314.28399999999999</v>
      </c>
    </row>
    <row r="274" spans="1:18" ht="21.75" customHeight="1">
      <c r="A274" s="14">
        <f>SUBTOTAL(103,$C$5:C274)</f>
        <v>16</v>
      </c>
      <c r="B274" s="3">
        <v>15</v>
      </c>
      <c r="C274" s="932" t="s">
        <v>1264</v>
      </c>
      <c r="D274" s="608" t="str">
        <f>VLOOKUP(C274,'Location Summary'!$C$4:$D$676,2,0)</f>
        <v>DA+3</v>
      </c>
      <c r="E274" s="608" t="s">
        <v>403</v>
      </c>
      <c r="F274" s="57">
        <v>45739</v>
      </c>
      <c r="G274" s="57">
        <v>45742</v>
      </c>
      <c r="H274" s="69" t="s">
        <v>1173</v>
      </c>
      <c r="I274" s="608">
        <f t="shared" si="45"/>
        <v>289.83999999999997</v>
      </c>
      <c r="J274" s="608">
        <f t="shared" si="46"/>
        <v>3.61</v>
      </c>
      <c r="K274" s="608">
        <f t="shared" si="47"/>
        <v>37.299999999999997</v>
      </c>
      <c r="L274" s="608">
        <f t="shared" si="48"/>
        <v>2.093</v>
      </c>
      <c r="M274" s="933">
        <f t="shared" si="49"/>
        <v>0.86599999999999999</v>
      </c>
      <c r="N274" s="26">
        <f t="shared" ref="N274:N284" si="52">ROUND((I274*230.35+J274*10150.5+K274*11591.45+L274*93958.18+M274*7677.44)/10^5,2)</f>
        <v>7.39</v>
      </c>
      <c r="O274" s="26" t="s">
        <v>1080</v>
      </c>
      <c r="P274" s="933" t="s">
        <v>1104</v>
      </c>
      <c r="Q274" s="973" t="s">
        <v>255</v>
      </c>
      <c r="R274" s="13">
        <f t="shared" si="50"/>
        <v>314.28399999999999</v>
      </c>
    </row>
    <row r="275" spans="1:18" ht="21.75" hidden="1" customHeight="1">
      <c r="A275" s="14">
        <f>SUBTOTAL(103,$C$5:C275)</f>
        <v>16</v>
      </c>
      <c r="B275" s="3">
        <v>16</v>
      </c>
      <c r="C275" s="932" t="s">
        <v>1252</v>
      </c>
      <c r="D275" s="608" t="str">
        <f>VLOOKUP(C275,'Location Summary'!$C$4:$D$676,2,0)</f>
        <v>DA+3</v>
      </c>
      <c r="E275" s="608" t="s">
        <v>403</v>
      </c>
      <c r="F275" s="57">
        <v>45736</v>
      </c>
      <c r="G275" s="57">
        <v>45743</v>
      </c>
      <c r="H275" s="69" t="s">
        <v>1162</v>
      </c>
      <c r="I275" s="608">
        <f t="shared" si="45"/>
        <v>289.83999999999997</v>
      </c>
      <c r="J275" s="608">
        <f t="shared" si="46"/>
        <v>3.61</v>
      </c>
      <c r="K275" s="608">
        <f t="shared" si="47"/>
        <v>37.299999999999997</v>
      </c>
      <c r="L275" s="608">
        <f t="shared" si="48"/>
        <v>2.093</v>
      </c>
      <c r="M275" s="933">
        <f t="shared" si="49"/>
        <v>0.86599999999999999</v>
      </c>
      <c r="N275" s="26">
        <f t="shared" si="52"/>
        <v>7.39</v>
      </c>
      <c r="O275" s="26" t="s">
        <v>1163</v>
      </c>
      <c r="P275" s="933" t="s">
        <v>1104</v>
      </c>
      <c r="Q275" s="973" t="s">
        <v>255</v>
      </c>
      <c r="R275" s="13">
        <f t="shared" si="50"/>
        <v>314.28399999999999</v>
      </c>
    </row>
    <row r="276" spans="1:18" ht="21.75" hidden="1" customHeight="1">
      <c r="A276" s="14">
        <f>SUBTOTAL(103,$C$5:C276)</f>
        <v>16</v>
      </c>
      <c r="B276" s="3">
        <v>17</v>
      </c>
      <c r="C276" s="932" t="s">
        <v>206</v>
      </c>
      <c r="D276" s="608" t="str">
        <f>VLOOKUP(C276,'Location Summary'!$C$4:$D$676,2,0)</f>
        <v>DA+9</v>
      </c>
      <c r="E276" s="608" t="s">
        <v>1355</v>
      </c>
      <c r="F276" s="57">
        <f>G266</f>
        <v>45724</v>
      </c>
      <c r="G276" s="57">
        <v>45746</v>
      </c>
      <c r="H276" s="69" t="s">
        <v>1167</v>
      </c>
      <c r="I276" s="608">
        <v>323.91000000000003</v>
      </c>
      <c r="J276" s="608">
        <v>4.07</v>
      </c>
      <c r="K276" s="608">
        <v>47.75</v>
      </c>
      <c r="L276" s="608">
        <v>3.9489999999999998</v>
      </c>
      <c r="M276" s="933">
        <v>1.3660000000000001</v>
      </c>
      <c r="N276" s="26">
        <f t="shared" si="52"/>
        <v>10.51</v>
      </c>
      <c r="O276" s="26" t="s">
        <v>1356</v>
      </c>
      <c r="P276" s="933" t="s">
        <v>1104</v>
      </c>
      <c r="Q276" s="973" t="s">
        <v>255</v>
      </c>
      <c r="R276" s="13">
        <f t="shared" si="50"/>
        <v>399.90800000000002</v>
      </c>
    </row>
    <row r="277" spans="1:18" ht="21.75" customHeight="1">
      <c r="A277" s="14">
        <f>SUBTOTAL(103,$C$5:C277)</f>
        <v>17</v>
      </c>
      <c r="B277" s="3">
        <v>18</v>
      </c>
      <c r="C277" s="932" t="s">
        <v>1263</v>
      </c>
      <c r="D277" s="608" t="str">
        <f>VLOOKUP(C277,'Location Summary'!$C$4:$D$676,2,0)</f>
        <v>DB1+9</v>
      </c>
      <c r="E277" s="608" t="s">
        <v>403</v>
      </c>
      <c r="F277" s="57">
        <v>45742</v>
      </c>
      <c r="G277" s="57">
        <v>45746</v>
      </c>
      <c r="H277" s="69" t="s">
        <v>1173</v>
      </c>
      <c r="I277" s="608">
        <f t="shared" ref="I277:I283" si="53">VLOOKUP($D277,$D$323:$M$362,6,FALSE)</f>
        <v>484.04</v>
      </c>
      <c r="J277" s="608">
        <f t="shared" ref="J277:J283" si="54">VLOOKUP($D277,$D$323:$M$362,7,FALSE)</f>
        <v>6.23</v>
      </c>
      <c r="K277" s="608">
        <f t="shared" ref="K277:K283" si="55">VLOOKUP($D277,$D$323:$M$362,8,FALSE)</f>
        <v>70.319999999999993</v>
      </c>
      <c r="L277" s="608">
        <f t="shared" ref="L277:L283" si="56">VLOOKUP($D277,$D$323:$M$362,9,FALSE)</f>
        <v>3.3719999999999999</v>
      </c>
      <c r="M277" s="933">
        <f t="shared" ref="M277:M283" si="57">VLOOKUP($D277,$D$323:$M$362,10,FALSE)</f>
        <v>1.768</v>
      </c>
      <c r="N277" s="26">
        <f t="shared" si="52"/>
        <v>13.2</v>
      </c>
      <c r="O277" s="26" t="s">
        <v>1363</v>
      </c>
      <c r="P277" s="933" t="s">
        <v>1104</v>
      </c>
      <c r="Q277" s="973" t="s">
        <v>255</v>
      </c>
      <c r="R277" s="13">
        <f t="shared" si="50"/>
        <v>589.97199999999998</v>
      </c>
    </row>
    <row r="278" spans="1:18" ht="21.75" hidden="1" customHeight="1">
      <c r="A278" s="14">
        <f>SUBTOTAL(103,$C$5:C278)</f>
        <v>17</v>
      </c>
      <c r="B278" s="3">
        <v>19</v>
      </c>
      <c r="C278" s="932" t="s">
        <v>1253</v>
      </c>
      <c r="D278" s="608" t="str">
        <f>VLOOKUP(C278,'Location Summary'!$C$4:$D$676,2,0)</f>
        <v>DA+3</v>
      </c>
      <c r="E278" s="608" t="s">
        <v>403</v>
      </c>
      <c r="F278" s="57">
        <v>45743</v>
      </c>
      <c r="G278" s="57">
        <v>45746</v>
      </c>
      <c r="H278" s="69" t="s">
        <v>1162</v>
      </c>
      <c r="I278" s="608">
        <f t="shared" si="53"/>
        <v>289.83999999999997</v>
      </c>
      <c r="J278" s="608">
        <f t="shared" si="54"/>
        <v>3.61</v>
      </c>
      <c r="K278" s="608">
        <f t="shared" si="55"/>
        <v>37.299999999999997</v>
      </c>
      <c r="L278" s="608">
        <f t="shared" si="56"/>
        <v>2.093</v>
      </c>
      <c r="M278" s="933">
        <f t="shared" si="57"/>
        <v>0.86599999999999999</v>
      </c>
      <c r="N278" s="26">
        <f t="shared" si="52"/>
        <v>7.39</v>
      </c>
      <c r="O278" s="26" t="s">
        <v>1163</v>
      </c>
      <c r="P278" s="933" t="s">
        <v>1104</v>
      </c>
      <c r="Q278" s="973" t="s">
        <v>255</v>
      </c>
      <c r="R278" s="13">
        <f t="shared" si="50"/>
        <v>314.28399999999999</v>
      </c>
    </row>
    <row r="279" spans="1:18" s="308" customFormat="1" ht="21.75" hidden="1" customHeight="1">
      <c r="A279" s="986">
        <f>SUBTOTAL(103,$C$5:C279)</f>
        <v>17</v>
      </c>
      <c r="B279" s="608">
        <v>1</v>
      </c>
      <c r="C279" s="932" t="s">
        <v>672</v>
      </c>
      <c r="D279" s="608" t="str">
        <f>VLOOKUP(C279,'Location Summary'!$C$4:$D$676,2,0)</f>
        <v>DB1+12</v>
      </c>
      <c r="E279" s="608" t="s">
        <v>403</v>
      </c>
      <c r="F279" s="96">
        <v>45739</v>
      </c>
      <c r="G279" s="96">
        <v>45748</v>
      </c>
      <c r="H279" s="611" t="s">
        <v>1215</v>
      </c>
      <c r="I279" s="608">
        <f t="shared" si="53"/>
        <v>462.88</v>
      </c>
      <c r="J279" s="608">
        <f t="shared" si="54"/>
        <v>5.94</v>
      </c>
      <c r="K279" s="608">
        <f t="shared" si="55"/>
        <v>67.91</v>
      </c>
      <c r="L279" s="608">
        <f t="shared" si="56"/>
        <v>3.1507999999999998</v>
      </c>
      <c r="M279" s="933">
        <f t="shared" si="57"/>
        <v>1.752</v>
      </c>
      <c r="N279" s="933">
        <f t="shared" si="52"/>
        <v>12.64</v>
      </c>
      <c r="O279" s="933" t="s">
        <v>1209</v>
      </c>
      <c r="P279" s="933" t="s">
        <v>1104</v>
      </c>
      <c r="Q279" s="987" t="s">
        <v>255</v>
      </c>
      <c r="R279" s="13">
        <f t="shared" si="50"/>
        <v>569.41599999999994</v>
      </c>
    </row>
    <row r="280" spans="1:18" ht="21.75" customHeight="1">
      <c r="A280" s="14">
        <f>SUBTOTAL(103,$C$5:C280)</f>
        <v>18</v>
      </c>
      <c r="B280" s="3">
        <v>2</v>
      </c>
      <c r="C280" s="932" t="s">
        <v>1262</v>
      </c>
      <c r="D280" s="608" t="str">
        <f>VLOOKUP(C280,'Location Summary'!$C$4:$D$676,2,0)</f>
        <v>DA+0</v>
      </c>
      <c r="E280" s="608" t="s">
        <v>403</v>
      </c>
      <c r="F280" s="57">
        <v>45746</v>
      </c>
      <c r="G280" s="57">
        <v>45750</v>
      </c>
      <c r="H280" s="69" t="s">
        <v>1173</v>
      </c>
      <c r="I280" s="608">
        <f t="shared" si="53"/>
        <v>271.04000000000002</v>
      </c>
      <c r="J280" s="608">
        <f t="shared" si="54"/>
        <v>3.36</v>
      </c>
      <c r="K280" s="608">
        <f t="shared" si="55"/>
        <v>34.15</v>
      </c>
      <c r="L280" s="608">
        <f t="shared" si="56"/>
        <v>1.599</v>
      </c>
      <c r="M280" s="933">
        <f t="shared" si="57"/>
        <v>0.86599999999999999</v>
      </c>
      <c r="N280" s="26">
        <f t="shared" si="52"/>
        <v>6.49</v>
      </c>
      <c r="O280" s="26" t="s">
        <v>1363</v>
      </c>
      <c r="P280" s="933" t="s">
        <v>1104</v>
      </c>
      <c r="Q280" s="973" t="s">
        <v>255</v>
      </c>
      <c r="R280" s="13">
        <f t="shared" si="50"/>
        <v>287.98399999999998</v>
      </c>
    </row>
    <row r="281" spans="1:18" ht="21.75" hidden="1" customHeight="1">
      <c r="A281" s="14">
        <f>SUBTOTAL(103,$C$5:C281)</f>
        <v>18</v>
      </c>
      <c r="B281" s="3">
        <v>3</v>
      </c>
      <c r="C281" s="932" t="s">
        <v>1254</v>
      </c>
      <c r="D281" s="608" t="str">
        <f>VLOOKUP(C281,'Location Summary'!$C$4:$D$676,2,0)</f>
        <v>DA+3</v>
      </c>
      <c r="E281" s="608" t="s">
        <v>403</v>
      </c>
      <c r="F281" s="57">
        <v>45746</v>
      </c>
      <c r="G281" s="57">
        <v>45752</v>
      </c>
      <c r="H281" s="69" t="s">
        <v>1162</v>
      </c>
      <c r="I281" s="608">
        <f t="shared" si="53"/>
        <v>289.83999999999997</v>
      </c>
      <c r="J281" s="608">
        <f t="shared" si="54"/>
        <v>3.61</v>
      </c>
      <c r="K281" s="608">
        <f t="shared" si="55"/>
        <v>37.299999999999997</v>
      </c>
      <c r="L281" s="608">
        <f t="shared" si="56"/>
        <v>2.093</v>
      </c>
      <c r="M281" s="933">
        <f t="shared" si="57"/>
        <v>0.86599999999999999</v>
      </c>
      <c r="N281" s="26">
        <f t="shared" si="52"/>
        <v>7.39</v>
      </c>
      <c r="O281" s="26" t="s">
        <v>1404</v>
      </c>
      <c r="P281" s="933" t="s">
        <v>1104</v>
      </c>
      <c r="Q281" s="973" t="s">
        <v>255</v>
      </c>
      <c r="R281" s="13">
        <f t="shared" si="50"/>
        <v>314.28399999999999</v>
      </c>
    </row>
    <row r="282" spans="1:18" ht="21.75" hidden="1" customHeight="1">
      <c r="A282" s="14">
        <f>SUBTOTAL(103,$C$5:C282)</f>
        <v>18</v>
      </c>
      <c r="B282" s="3">
        <v>4</v>
      </c>
      <c r="C282" s="932" t="s">
        <v>1257</v>
      </c>
      <c r="D282" s="608" t="str">
        <f>VLOOKUP(C282,'Location Summary'!$C$4:$D$676,2,0)</f>
        <v>DA+3</v>
      </c>
      <c r="E282" s="608" t="s">
        <v>403</v>
      </c>
      <c r="F282" s="57">
        <v>45751</v>
      </c>
      <c r="G282" s="57">
        <v>45755</v>
      </c>
      <c r="H282" s="69" t="s">
        <v>1162</v>
      </c>
      <c r="I282" s="608">
        <f t="shared" si="53"/>
        <v>289.83999999999997</v>
      </c>
      <c r="J282" s="608">
        <f t="shared" si="54"/>
        <v>3.61</v>
      </c>
      <c r="K282" s="608">
        <f t="shared" si="55"/>
        <v>37.299999999999997</v>
      </c>
      <c r="L282" s="608">
        <f t="shared" si="56"/>
        <v>2.093</v>
      </c>
      <c r="M282" s="933">
        <f t="shared" si="57"/>
        <v>0.86599999999999999</v>
      </c>
      <c r="N282" s="26">
        <f t="shared" si="52"/>
        <v>7.39</v>
      </c>
      <c r="O282" s="26" t="s">
        <v>1404</v>
      </c>
      <c r="P282" s="933" t="s">
        <v>1104</v>
      </c>
      <c r="Q282" s="973" t="s">
        <v>255</v>
      </c>
      <c r="R282" s="13">
        <f t="shared" si="50"/>
        <v>314.28399999999999</v>
      </c>
    </row>
    <row r="283" spans="1:18" ht="21.75" customHeight="1">
      <c r="A283" s="14">
        <f>SUBTOTAL(103,$C$5:C283)</f>
        <v>19</v>
      </c>
      <c r="B283" s="3">
        <v>5</v>
      </c>
      <c r="C283" s="932" t="s">
        <v>1261</v>
      </c>
      <c r="D283" s="608" t="str">
        <f>VLOOKUP(C283,'Location Summary'!$C$4:$D$676,2,0)</f>
        <v>DA+3</v>
      </c>
      <c r="E283" s="608" t="s">
        <v>403</v>
      </c>
      <c r="F283" s="57">
        <v>45750</v>
      </c>
      <c r="G283" s="57">
        <v>45755</v>
      </c>
      <c r="H283" s="69" t="s">
        <v>1173</v>
      </c>
      <c r="I283" s="608">
        <f t="shared" si="53"/>
        <v>289.83999999999997</v>
      </c>
      <c r="J283" s="608">
        <f t="shared" si="54"/>
        <v>3.61</v>
      </c>
      <c r="K283" s="608">
        <f t="shared" si="55"/>
        <v>37.299999999999997</v>
      </c>
      <c r="L283" s="608">
        <f t="shared" si="56"/>
        <v>2.093</v>
      </c>
      <c r="M283" s="933">
        <f t="shared" si="57"/>
        <v>0.86599999999999999</v>
      </c>
      <c r="N283" s="26">
        <f t="shared" si="52"/>
        <v>7.39</v>
      </c>
      <c r="O283" s="26" t="s">
        <v>1363</v>
      </c>
      <c r="P283" s="933" t="s">
        <v>1104</v>
      </c>
      <c r="Q283" s="973" t="s">
        <v>255</v>
      </c>
      <c r="R283" s="13">
        <f t="shared" si="50"/>
        <v>314.28399999999999</v>
      </c>
    </row>
    <row r="284" spans="1:18" ht="21.75" hidden="1" customHeight="1">
      <c r="A284" s="14">
        <f>SUBTOTAL(103,$C$5:C284)</f>
        <v>19</v>
      </c>
      <c r="B284" s="3">
        <v>6</v>
      </c>
      <c r="C284" s="932" t="s">
        <v>875</v>
      </c>
      <c r="D284" s="608" t="str">
        <f>VLOOKUP(C284,'Location Summary'!$C$4:$D$676,2,0)</f>
        <v>DA+9</v>
      </c>
      <c r="E284" s="608" t="s">
        <v>1355</v>
      </c>
      <c r="F284" s="57">
        <v>45726</v>
      </c>
      <c r="G284" s="57">
        <v>45755</v>
      </c>
      <c r="H284" s="69" t="s">
        <v>1162</v>
      </c>
      <c r="I284" s="608">
        <v>323.91000000000003</v>
      </c>
      <c r="J284" s="608">
        <v>4.07</v>
      </c>
      <c r="K284" s="608">
        <v>47.75</v>
      </c>
      <c r="L284" s="608">
        <v>3.9489999999999998</v>
      </c>
      <c r="M284" s="933">
        <v>1.3660000000000001</v>
      </c>
      <c r="N284" s="26">
        <f t="shared" si="52"/>
        <v>10.51</v>
      </c>
      <c r="O284" s="26" t="s">
        <v>1210</v>
      </c>
      <c r="P284" s="933" t="s">
        <v>1104</v>
      </c>
      <c r="Q284" s="973" t="s">
        <v>255</v>
      </c>
      <c r="R284" s="13">
        <f t="shared" si="50"/>
        <v>399.90800000000002</v>
      </c>
    </row>
    <row r="285" spans="1:18" ht="21.75" customHeight="1">
      <c r="A285" s="14">
        <v>281</v>
      </c>
      <c r="B285" s="3">
        <v>7</v>
      </c>
      <c r="C285" s="932" t="s">
        <v>1260</v>
      </c>
      <c r="D285" s="608" t="str">
        <f>VLOOKUP(C285,'Location Summary'!$C$4:$D$676,2,0)</f>
        <v>DA+0</v>
      </c>
      <c r="E285" s="608" t="s">
        <v>403</v>
      </c>
      <c r="F285" s="57">
        <v>45755</v>
      </c>
      <c r="G285" s="57">
        <v>45757</v>
      </c>
      <c r="H285" s="69" t="s">
        <v>1173</v>
      </c>
      <c r="I285" s="608">
        <f>VLOOKUP($D285,$D$323:$M$362,6,FALSE)</f>
        <v>271.04000000000002</v>
      </c>
      <c r="J285" s="608">
        <f>VLOOKUP($D285,$D$323:$M$362,7,FALSE)</f>
        <v>3.36</v>
      </c>
      <c r="K285" s="608">
        <f>VLOOKUP($D285,$D$323:$M$362,8,FALSE)</f>
        <v>34.15</v>
      </c>
      <c r="L285" s="608">
        <f>VLOOKUP($D285,$D$323:$M$362,9,FALSE)</f>
        <v>1.599</v>
      </c>
      <c r="M285" s="933">
        <f>VLOOKUP($D285,$D$323:$M$362,10,FALSE)</f>
        <v>0.86599999999999999</v>
      </c>
      <c r="N285" s="26">
        <f t="shared" ref="N285:N298" si="58">ROUND((I285*230.35+J285*10150.5+K285*11591.45+L285*93958.18+M285*7677.44)/10^5,2)</f>
        <v>6.49</v>
      </c>
      <c r="O285" s="26" t="s">
        <v>1363</v>
      </c>
      <c r="P285" s="933" t="s">
        <v>1104</v>
      </c>
      <c r="Q285" s="973" t="s">
        <v>255</v>
      </c>
      <c r="R285" s="13">
        <f t="shared" si="50"/>
        <v>287.98399999999998</v>
      </c>
    </row>
    <row r="286" spans="1:18" ht="21.75" hidden="1" customHeight="1">
      <c r="A286" s="14">
        <v>282</v>
      </c>
      <c r="B286" s="3">
        <v>8</v>
      </c>
      <c r="C286" s="932" t="s">
        <v>876</v>
      </c>
      <c r="D286" s="608" t="str">
        <f>VLOOKUP(C286,'Location Summary'!$C$4:$D$603,2,0)</f>
        <v>DA+9</v>
      </c>
      <c r="E286" s="608" t="s">
        <v>1355</v>
      </c>
      <c r="F286" s="57">
        <v>45722</v>
      </c>
      <c r="G286" s="57">
        <v>45758</v>
      </c>
      <c r="H286" s="69" t="s">
        <v>1423</v>
      </c>
      <c r="I286" s="3">
        <v>323.91000000000003</v>
      </c>
      <c r="J286" s="3">
        <v>4.07</v>
      </c>
      <c r="K286" s="3">
        <v>47.75</v>
      </c>
      <c r="L286" s="3">
        <v>3.9489999999999998</v>
      </c>
      <c r="M286" s="933">
        <v>1.3660000000000001</v>
      </c>
      <c r="N286" s="26">
        <f t="shared" si="58"/>
        <v>10.51</v>
      </c>
      <c r="O286" s="26" t="s">
        <v>1210</v>
      </c>
      <c r="P286" s="933" t="s">
        <v>765</v>
      </c>
      <c r="Q286" s="973" t="s">
        <v>255</v>
      </c>
      <c r="R286" s="13">
        <f t="shared" si="50"/>
        <v>399.90800000000002</v>
      </c>
    </row>
    <row r="287" spans="1:18" ht="21.75" customHeight="1">
      <c r="A287" s="14">
        <f>SUBTOTAL(103,$C$5:C287)</f>
        <v>21</v>
      </c>
      <c r="B287" s="3">
        <v>9</v>
      </c>
      <c r="C287" s="932" t="s">
        <v>1259</v>
      </c>
      <c r="D287" s="608" t="str">
        <f>VLOOKUP(C287,'Location Summary'!$C$4:$D$676,2,0)</f>
        <v>DA+0</v>
      </c>
      <c r="E287" s="608" t="s">
        <v>403</v>
      </c>
      <c r="F287" s="57">
        <v>45757</v>
      </c>
      <c r="G287" s="57">
        <v>45759</v>
      </c>
      <c r="H287" s="69" t="s">
        <v>1173</v>
      </c>
      <c r="I287" s="608">
        <f>VLOOKUP($D287,$D$323:$M$362,6,FALSE)</f>
        <v>271.04000000000002</v>
      </c>
      <c r="J287" s="608">
        <f>VLOOKUP($D287,$D$323:$M$362,7,FALSE)</f>
        <v>3.36</v>
      </c>
      <c r="K287" s="608">
        <f>VLOOKUP($D287,$D$323:$M$362,8,FALSE)</f>
        <v>34.15</v>
      </c>
      <c r="L287" s="608">
        <f>VLOOKUP($D287,$D$323:$M$362,9,FALSE)</f>
        <v>1.599</v>
      </c>
      <c r="M287" s="933">
        <f>VLOOKUP($D287,$D$323:$M$362,10,FALSE)</f>
        <v>0.86599999999999999</v>
      </c>
      <c r="N287" s="26">
        <f>ROUND((I287*230.35+J287*10150.5+K287*11591.45+L287*93958.18+M287*7677.44)/10^5,2)</f>
        <v>6.49</v>
      </c>
      <c r="O287" s="26" t="s">
        <v>1363</v>
      </c>
      <c r="P287" s="933" t="s">
        <v>1104</v>
      </c>
      <c r="Q287" s="973" t="s">
        <v>255</v>
      </c>
      <c r="R287" s="13">
        <f t="shared" si="50"/>
        <v>287.98399999999998</v>
      </c>
    </row>
    <row r="288" spans="1:18" ht="21.75" hidden="1" customHeight="1">
      <c r="A288" s="14">
        <f>SUBTOTAL(103,$C$5:C288)</f>
        <v>21</v>
      </c>
      <c r="B288" s="3">
        <v>10</v>
      </c>
      <c r="C288" s="932" t="s">
        <v>590</v>
      </c>
      <c r="D288" s="608" t="str">
        <f>VLOOKUP(C288,'Location Summary'!$C$4:$D$676,2,0)</f>
        <v>DA-3</v>
      </c>
      <c r="E288" s="608" t="s">
        <v>403</v>
      </c>
      <c r="F288" s="57">
        <v>45737</v>
      </c>
      <c r="G288" s="57">
        <v>45759</v>
      </c>
      <c r="H288" s="69" t="s">
        <v>992</v>
      </c>
      <c r="I288" s="608">
        <f>VLOOKUP($D288,$D$323:$M$362,6,FALSE)</f>
        <v>271.04000000000002</v>
      </c>
      <c r="J288" s="608">
        <f>VLOOKUP($D288,$D$323:$M$362,7,FALSE)</f>
        <v>3.36</v>
      </c>
      <c r="K288" s="608">
        <f>VLOOKUP($D288,$D$323:$M$362,8,FALSE)</f>
        <v>34.15</v>
      </c>
      <c r="L288" s="608">
        <f>VLOOKUP($D288,$D$323:$M$362,9,FALSE)</f>
        <v>1.599</v>
      </c>
      <c r="M288" s="933">
        <f>VLOOKUP($D288,$D$323:$M$362,10,FALSE)</f>
        <v>0.86599999999999999</v>
      </c>
      <c r="N288" s="26">
        <f t="shared" si="58"/>
        <v>6.49</v>
      </c>
      <c r="O288" s="26" t="s">
        <v>1210</v>
      </c>
      <c r="P288" s="933" t="s">
        <v>1413</v>
      </c>
      <c r="Q288" s="973" t="s">
        <v>255</v>
      </c>
      <c r="R288" s="13">
        <f t="shared" si="50"/>
        <v>287.98399999999998</v>
      </c>
    </row>
    <row r="289" spans="1:18" ht="21.75" hidden="1" customHeight="1">
      <c r="A289" s="14">
        <f>SUBTOTAL(103,$C$5:C289)</f>
        <v>21</v>
      </c>
      <c r="B289" s="3">
        <v>11</v>
      </c>
      <c r="C289" s="932" t="s">
        <v>68</v>
      </c>
      <c r="D289" s="608" t="str">
        <f>VLOOKUP(C289,'Location Summary'!$C$4:$D$603,2,0)</f>
        <v>DA+9</v>
      </c>
      <c r="E289" s="608" t="s">
        <v>1355</v>
      </c>
      <c r="F289" s="57">
        <v>45717</v>
      </c>
      <c r="G289" s="57">
        <v>45761</v>
      </c>
      <c r="H289" s="69" t="s">
        <v>1423</v>
      </c>
      <c r="I289" s="608">
        <v>323.91000000000003</v>
      </c>
      <c r="J289" s="608">
        <v>4.07</v>
      </c>
      <c r="K289" s="608">
        <v>47.75</v>
      </c>
      <c r="L289" s="608">
        <v>3.9489999999999998</v>
      </c>
      <c r="M289" s="933">
        <v>1.3660000000000001</v>
      </c>
      <c r="N289" s="26">
        <f t="shared" si="58"/>
        <v>10.51</v>
      </c>
      <c r="O289" s="26" t="s">
        <v>1176</v>
      </c>
      <c r="P289" s="933" t="s">
        <v>765</v>
      </c>
      <c r="Q289" s="973" t="s">
        <v>255</v>
      </c>
      <c r="R289" s="13">
        <f t="shared" si="50"/>
        <v>399.90800000000002</v>
      </c>
    </row>
    <row r="290" spans="1:18" ht="21.75" hidden="1" customHeight="1">
      <c r="A290" s="14">
        <f>SUBTOTAL(103,$C$5:C290)</f>
        <v>21</v>
      </c>
      <c r="B290" s="3">
        <v>12</v>
      </c>
      <c r="C290" s="932" t="s">
        <v>589</v>
      </c>
      <c r="D290" s="608" t="str">
        <f>VLOOKUP(C290,'Location Summary'!$C$4:$D$676,2,0)</f>
        <v>DA+6</v>
      </c>
      <c r="E290" s="608" t="s">
        <v>403</v>
      </c>
      <c r="F290" s="57">
        <v>45756</v>
      </c>
      <c r="G290" s="57">
        <v>45762</v>
      </c>
      <c r="H290" s="69" t="s">
        <v>992</v>
      </c>
      <c r="I290" s="608">
        <f>VLOOKUP($D290,$D$323:$M$362,6,FALSE)</f>
        <v>289.83999999999997</v>
      </c>
      <c r="J290" s="608">
        <f>VLOOKUP($D290,$D$323:$M$362,7,FALSE)</f>
        <v>3.61</v>
      </c>
      <c r="K290" s="608">
        <f>VLOOKUP($D290,$D$323:$M$362,8,FALSE)</f>
        <v>37.299999999999997</v>
      </c>
      <c r="L290" s="608">
        <f>VLOOKUP($D290,$D$323:$M$362,9,FALSE)</f>
        <v>2.093</v>
      </c>
      <c r="M290" s="933">
        <f>VLOOKUP($D290,$D$323:$M$362,10,FALSE)</f>
        <v>0.86599999999999999</v>
      </c>
      <c r="N290" s="26">
        <f>ROUND((I290*230.35+J290*10150.5+K290*11591.45+L290*93958.18+M290*7677.44)/10^5,2)</f>
        <v>7.39</v>
      </c>
      <c r="O290" s="26" t="s">
        <v>1210</v>
      </c>
      <c r="P290" s="933" t="s">
        <v>1422</v>
      </c>
      <c r="Q290" s="973" t="s">
        <v>255</v>
      </c>
      <c r="R290" s="13">
        <f t="shared" si="50"/>
        <v>314.28399999999999</v>
      </c>
    </row>
    <row r="291" spans="1:18" ht="21.75" customHeight="1">
      <c r="A291" s="14">
        <f>SUBTOTAL(103,$C$5:C291)</f>
        <v>22</v>
      </c>
      <c r="B291" s="3">
        <v>13</v>
      </c>
      <c r="C291" s="932" t="s">
        <v>1258</v>
      </c>
      <c r="D291" s="608" t="str">
        <f>VLOOKUP(C291,'Location Summary'!$C$4:$D$676,2,0)</f>
        <v>DA+3</v>
      </c>
      <c r="E291" s="608" t="s">
        <v>403</v>
      </c>
      <c r="F291" s="57">
        <v>45757</v>
      </c>
      <c r="G291" s="57">
        <v>45762</v>
      </c>
      <c r="H291" s="69" t="s">
        <v>1173</v>
      </c>
      <c r="I291" s="608">
        <f>VLOOKUP($D291,$D$323:$M$362,6,FALSE)</f>
        <v>289.83999999999997</v>
      </c>
      <c r="J291" s="608">
        <f>VLOOKUP($D291,$D$323:$M$362,7,FALSE)</f>
        <v>3.61</v>
      </c>
      <c r="K291" s="608">
        <f>VLOOKUP($D291,$D$323:$M$362,8,FALSE)</f>
        <v>37.299999999999997</v>
      </c>
      <c r="L291" s="608">
        <f>VLOOKUP($D291,$D$323:$M$362,9,FALSE)</f>
        <v>2.093</v>
      </c>
      <c r="M291" s="933">
        <f>VLOOKUP($D291,$D$323:$M$362,10,FALSE)</f>
        <v>0.86599999999999999</v>
      </c>
      <c r="N291" s="26">
        <f>ROUND((I291*230.35+J291*10150.5+K291*11591.45+L291*93958.18+M291*7677.44)/10^5,2)</f>
        <v>7.39</v>
      </c>
      <c r="O291" s="26" t="s">
        <v>1363</v>
      </c>
      <c r="P291" s="933" t="s">
        <v>1104</v>
      </c>
      <c r="Q291" s="973" t="s">
        <v>255</v>
      </c>
      <c r="R291" s="13">
        <f t="shared" si="50"/>
        <v>314.28399999999999</v>
      </c>
    </row>
    <row r="292" spans="1:18" ht="21.75" hidden="1" customHeight="1">
      <c r="A292" s="14">
        <f>SUBTOTAL(103,$C$5:C292)</f>
        <v>22</v>
      </c>
      <c r="B292" s="3">
        <v>14</v>
      </c>
      <c r="C292" s="932" t="s">
        <v>11</v>
      </c>
      <c r="D292" s="608" t="str">
        <f>VLOOKUP(C292,'Location Summary'!$C$4:$D$676,2,0)</f>
        <v>DD60+18</v>
      </c>
      <c r="E292" s="608" t="s">
        <v>1355</v>
      </c>
      <c r="F292" s="57">
        <v>45743</v>
      </c>
      <c r="G292" s="57">
        <v>45763</v>
      </c>
      <c r="H292" s="69" t="s">
        <v>988</v>
      </c>
      <c r="I292" s="3">
        <v>1071.875</v>
      </c>
      <c r="J292" s="3">
        <f>3.57*4</f>
        <v>14.28</v>
      </c>
      <c r="K292" s="3">
        <f>36.01*4</f>
        <v>144.04</v>
      </c>
      <c r="L292" s="3">
        <v>18.759</v>
      </c>
      <c r="M292" s="933">
        <v>4.9779999999999998</v>
      </c>
      <c r="N292" s="26">
        <f>ROUND((I292*230.35+J292*10150.5+K292*11591.45+L292*93958.18+M292*7677.44)/10^5,2)</f>
        <v>38.619999999999997</v>
      </c>
      <c r="O292" s="26" t="s">
        <v>1412</v>
      </c>
      <c r="P292" s="933" t="s">
        <v>1104</v>
      </c>
      <c r="Q292" s="973" t="s">
        <v>255</v>
      </c>
      <c r="R292" s="13">
        <f t="shared" si="50"/>
        <v>1215.152</v>
      </c>
    </row>
    <row r="293" spans="1:18" ht="21.75" hidden="1" customHeight="1">
      <c r="A293" s="14">
        <f>SUBTOTAL(103,$C$5:C293)</f>
        <v>22</v>
      </c>
      <c r="B293" s="3">
        <v>15</v>
      </c>
      <c r="C293" s="932" t="s">
        <v>67</v>
      </c>
      <c r="D293" s="608" t="str">
        <f>VLOOKUP(C293,'Location Summary'!$C$4:$D$603,2,0)</f>
        <v>DB1+9</v>
      </c>
      <c r="E293" s="608" t="s">
        <v>1355</v>
      </c>
      <c r="F293" s="57">
        <v>45711</v>
      </c>
      <c r="G293" s="57">
        <v>45764</v>
      </c>
      <c r="H293" s="69" t="s">
        <v>1423</v>
      </c>
      <c r="I293" s="3">
        <v>484.04</v>
      </c>
      <c r="J293" s="3">
        <v>6.23</v>
      </c>
      <c r="K293" s="3">
        <v>78.87</v>
      </c>
      <c r="L293" s="3">
        <v>4.7530000000000001</v>
      </c>
      <c r="M293" s="3">
        <v>2.7090000000000001</v>
      </c>
      <c r="N293" s="26">
        <f t="shared" si="58"/>
        <v>15.56</v>
      </c>
      <c r="O293" s="26" t="s">
        <v>1210</v>
      </c>
      <c r="P293" s="933" t="s">
        <v>765</v>
      </c>
      <c r="Q293" s="973" t="s">
        <v>255</v>
      </c>
      <c r="R293" s="13">
        <f t="shared" si="50"/>
        <v>658.37200000000007</v>
      </c>
    </row>
    <row r="294" spans="1:18" ht="21.75" hidden="1" customHeight="1">
      <c r="A294" s="14">
        <f>SUBTOTAL(103,$C$5:C294)</f>
        <v>22</v>
      </c>
      <c r="B294" s="3">
        <v>16</v>
      </c>
      <c r="C294" s="932" t="s">
        <v>1256</v>
      </c>
      <c r="D294" s="608" t="str">
        <f>VLOOKUP(C294,'Location Summary'!$C$4:$D$676,2,0)</f>
        <v>DD45+3</v>
      </c>
      <c r="E294" s="608" t="s">
        <v>403</v>
      </c>
      <c r="F294" s="57">
        <v>45755</v>
      </c>
      <c r="G294" s="57">
        <v>45765</v>
      </c>
      <c r="H294" s="69" t="s">
        <v>1424</v>
      </c>
      <c r="I294" s="608">
        <f t="shared" ref="I294:I319" si="59">VLOOKUP($D294,$D$323:$M$362,6,FALSE)</f>
        <v>876</v>
      </c>
      <c r="J294" s="608">
        <f t="shared" ref="J294:J319" si="60">VLOOKUP($D294,$D$323:$M$362,7,FALSE)</f>
        <v>11.58</v>
      </c>
      <c r="K294" s="608">
        <f t="shared" ref="K294:K319" si="61">VLOOKUP($D294,$D$323:$M$362,8,FALSE)</f>
        <v>118.71</v>
      </c>
      <c r="L294" s="608">
        <f t="shared" ref="L294:L319" si="62">VLOOKUP($D294,$D$323:$M$362,9,FALSE)</f>
        <v>10.694000000000001</v>
      </c>
      <c r="M294" s="933">
        <f t="shared" ref="M294:M319" si="63">VLOOKUP($D294,$D$323:$M$362,10,FALSE)</f>
        <v>2.4947029999999999</v>
      </c>
      <c r="N294" s="26">
        <f>ROUND((I294*230.35+J294*10150.5+K294*11591.45+L294*93958.18+M294*7677.44)/10^5,2)</f>
        <v>27.19</v>
      </c>
      <c r="O294" s="26" t="s">
        <v>1404</v>
      </c>
      <c r="P294" s="933" t="s">
        <v>1104</v>
      </c>
      <c r="Q294" s="973" t="s">
        <v>255</v>
      </c>
      <c r="R294" s="13">
        <f t="shared" si="50"/>
        <v>1000.6319999999999</v>
      </c>
    </row>
    <row r="295" spans="1:18" ht="21.75" customHeight="1">
      <c r="A295" s="14">
        <f>SUBTOTAL(103,$C$5:C295)</f>
        <v>23</v>
      </c>
      <c r="B295" s="3">
        <v>17</v>
      </c>
      <c r="C295" s="932" t="s">
        <v>1266</v>
      </c>
      <c r="D295" s="608" t="str">
        <f>VLOOKUP(C295,'Location Summary'!$C$4:$D$676,2,0)</f>
        <v>DA+6</v>
      </c>
      <c r="E295" s="608" t="s">
        <v>403</v>
      </c>
      <c r="F295" s="57">
        <v>45763</v>
      </c>
      <c r="G295" s="57">
        <v>45766</v>
      </c>
      <c r="H295" s="69" t="s">
        <v>1173</v>
      </c>
      <c r="I295" s="608">
        <f t="shared" si="59"/>
        <v>289.83999999999997</v>
      </c>
      <c r="J295" s="608">
        <f t="shared" si="60"/>
        <v>3.61</v>
      </c>
      <c r="K295" s="608">
        <f t="shared" si="61"/>
        <v>37.299999999999997</v>
      </c>
      <c r="L295" s="608">
        <f t="shared" si="62"/>
        <v>2.093</v>
      </c>
      <c r="M295" s="933">
        <f t="shared" si="63"/>
        <v>0.86599999999999999</v>
      </c>
      <c r="N295" s="26">
        <f>ROUND((I295*230.35+J295*10150.5+K295*11591.45+L295*93958.18+M295*7677.44)/10^5,2)</f>
        <v>7.39</v>
      </c>
      <c r="O295" s="26" t="s">
        <v>1363</v>
      </c>
      <c r="P295" s="933" t="s">
        <v>1104</v>
      </c>
      <c r="Q295" s="973" t="s">
        <v>255</v>
      </c>
      <c r="R295" s="13">
        <f t="shared" si="50"/>
        <v>314.28399999999999</v>
      </c>
    </row>
    <row r="296" spans="1:18" ht="21.75" hidden="1" customHeight="1">
      <c r="A296" s="14">
        <f>SUBTOTAL(103,$C$5:C296)</f>
        <v>23</v>
      </c>
      <c r="B296" s="3">
        <v>18</v>
      </c>
      <c r="C296" s="932" t="s">
        <v>181</v>
      </c>
      <c r="D296" s="608" t="str">
        <f>VLOOKUP(C296,'Location Summary'!$C$4:$D$676,2,0)</f>
        <v>DA+6</v>
      </c>
      <c r="E296" s="608" t="s">
        <v>403</v>
      </c>
      <c r="F296" s="57">
        <v>45736</v>
      </c>
      <c r="G296" s="57">
        <v>45769</v>
      </c>
      <c r="H296" s="69" t="s">
        <v>1167</v>
      </c>
      <c r="I296" s="608">
        <f t="shared" si="59"/>
        <v>289.83999999999997</v>
      </c>
      <c r="J296" s="608">
        <f t="shared" si="60"/>
        <v>3.61</v>
      </c>
      <c r="K296" s="608">
        <f t="shared" si="61"/>
        <v>37.299999999999997</v>
      </c>
      <c r="L296" s="608">
        <f t="shared" si="62"/>
        <v>2.093</v>
      </c>
      <c r="M296" s="933">
        <f t="shared" si="63"/>
        <v>0.86599999999999999</v>
      </c>
      <c r="N296" s="26">
        <f t="shared" si="58"/>
        <v>7.39</v>
      </c>
      <c r="O296" s="26" t="s">
        <v>1436</v>
      </c>
      <c r="P296" s="933" t="s">
        <v>1413</v>
      </c>
      <c r="Q296" s="973" t="s">
        <v>255</v>
      </c>
      <c r="R296" s="13">
        <f t="shared" si="50"/>
        <v>314.28399999999999</v>
      </c>
    </row>
    <row r="297" spans="1:18" ht="21.75" hidden="1" customHeight="1">
      <c r="A297" s="14">
        <f>SUBTOTAL(103,$C$5:C297)</f>
        <v>23</v>
      </c>
      <c r="B297" s="3">
        <v>19</v>
      </c>
      <c r="C297" s="932" t="s">
        <v>1255</v>
      </c>
      <c r="D297" s="608" t="str">
        <f>VLOOKUP(C297,'Location Summary'!$C$4:$D$676,2,0)</f>
        <v>DA+6</v>
      </c>
      <c r="E297" s="608" t="s">
        <v>403</v>
      </c>
      <c r="F297" s="57">
        <v>45766</v>
      </c>
      <c r="G297" s="57">
        <v>45770</v>
      </c>
      <c r="H297" s="69" t="s">
        <v>1435</v>
      </c>
      <c r="I297" s="608">
        <f t="shared" si="59"/>
        <v>289.83999999999997</v>
      </c>
      <c r="J297" s="608">
        <f t="shared" si="60"/>
        <v>3.61</v>
      </c>
      <c r="K297" s="608">
        <f t="shared" si="61"/>
        <v>37.299999999999997</v>
      </c>
      <c r="L297" s="608">
        <f t="shared" si="62"/>
        <v>2.093</v>
      </c>
      <c r="M297" s="933">
        <f t="shared" si="63"/>
        <v>0.86599999999999999</v>
      </c>
      <c r="N297" s="26">
        <f>ROUND((I297*230.35+J297*10150.5+K297*11591.45+L297*93958.18+M297*7677.44)/10^5,2)</f>
        <v>7.39</v>
      </c>
      <c r="O297" s="26" t="s">
        <v>993</v>
      </c>
      <c r="P297" s="933" t="s">
        <v>1104</v>
      </c>
      <c r="Q297" s="973" t="s">
        <v>255</v>
      </c>
      <c r="R297" s="13">
        <f t="shared" si="50"/>
        <v>314.28399999999999</v>
      </c>
    </row>
    <row r="298" spans="1:18" ht="21.75" hidden="1" customHeight="1">
      <c r="A298" s="14">
        <f>SUBTOTAL(103,$C$5:C298)</f>
        <v>23</v>
      </c>
      <c r="B298" s="3">
        <v>20</v>
      </c>
      <c r="C298" s="932" t="s">
        <v>180</v>
      </c>
      <c r="D298" s="608" t="str">
        <f>VLOOKUP(C298,'Location Summary'!$C$4:$D$676,2,0)</f>
        <v>DA+6</v>
      </c>
      <c r="E298" s="608" t="s">
        <v>403</v>
      </c>
      <c r="F298" s="57">
        <v>45736</v>
      </c>
      <c r="G298" s="57">
        <v>45771</v>
      </c>
      <c r="H298" s="69" t="s">
        <v>1167</v>
      </c>
      <c r="I298" s="608">
        <f t="shared" si="59"/>
        <v>289.83999999999997</v>
      </c>
      <c r="J298" s="608">
        <f t="shared" si="60"/>
        <v>3.61</v>
      </c>
      <c r="K298" s="608">
        <f t="shared" si="61"/>
        <v>37.299999999999997</v>
      </c>
      <c r="L298" s="608">
        <f t="shared" si="62"/>
        <v>2.093</v>
      </c>
      <c r="M298" s="933">
        <f t="shared" si="63"/>
        <v>0.86599999999999999</v>
      </c>
      <c r="N298" s="26">
        <f t="shared" si="58"/>
        <v>7.39</v>
      </c>
      <c r="O298" s="26" t="s">
        <v>1436</v>
      </c>
      <c r="P298" s="933" t="s">
        <v>1413</v>
      </c>
      <c r="Q298" s="973" t="s">
        <v>255</v>
      </c>
      <c r="R298" s="13">
        <f t="shared" si="50"/>
        <v>314.28399999999999</v>
      </c>
    </row>
    <row r="299" spans="1:18" ht="21.75" hidden="1" customHeight="1">
      <c r="A299" s="14">
        <f>SUBTOTAL(103,$C$5:C299)</f>
        <v>23</v>
      </c>
      <c r="B299" s="3">
        <v>21</v>
      </c>
      <c r="C299" s="932" t="s">
        <v>482</v>
      </c>
      <c r="D299" s="608" t="str">
        <f>VLOOKUP(C299,'Location Summary'!$C$4:$D$676,2,0)</f>
        <v>DB1+12</v>
      </c>
      <c r="E299" s="608" t="s">
        <v>403</v>
      </c>
      <c r="F299" s="57">
        <v>45763</v>
      </c>
      <c r="G299" s="57">
        <v>45772</v>
      </c>
      <c r="H299" s="69" t="s">
        <v>988</v>
      </c>
      <c r="I299" s="608">
        <f t="shared" si="59"/>
        <v>462.88</v>
      </c>
      <c r="J299" s="608">
        <f t="shared" si="60"/>
        <v>5.94</v>
      </c>
      <c r="K299" s="608">
        <f t="shared" si="61"/>
        <v>67.91</v>
      </c>
      <c r="L299" s="608">
        <f t="shared" si="62"/>
        <v>3.1507999999999998</v>
      </c>
      <c r="M299" s="933">
        <f t="shared" si="63"/>
        <v>1.752</v>
      </c>
      <c r="N299" s="26">
        <f t="shared" ref="N299:N304" si="64">ROUND((I299*230.35+J299*10150.5+K299*11591.45+L299*93958.18+M299*7677.44)/10^5,2)</f>
        <v>12.64</v>
      </c>
      <c r="O299" s="26" t="s">
        <v>1183</v>
      </c>
      <c r="P299" s="933" t="s">
        <v>1104</v>
      </c>
      <c r="Q299" s="973" t="s">
        <v>255</v>
      </c>
      <c r="R299" s="13">
        <f t="shared" si="50"/>
        <v>569.41599999999994</v>
      </c>
    </row>
    <row r="300" spans="1:18" ht="21.75" customHeight="1">
      <c r="A300" s="14">
        <f>SUBTOTAL(103,$C$5:C300)</f>
        <v>24</v>
      </c>
      <c r="B300" s="3">
        <v>22</v>
      </c>
      <c r="C300" s="932" t="s">
        <v>256</v>
      </c>
      <c r="D300" s="608" t="str">
        <f>VLOOKUP(C300,'Location Summary'!$C$4:$D$676,2,0)</f>
        <v>DB2+9</v>
      </c>
      <c r="E300" s="608" t="s">
        <v>403</v>
      </c>
      <c r="F300" s="57">
        <v>45767</v>
      </c>
      <c r="G300" s="57">
        <v>45772</v>
      </c>
      <c r="H300" s="69" t="s">
        <v>1173</v>
      </c>
      <c r="I300" s="608">
        <f t="shared" si="59"/>
        <v>566.29</v>
      </c>
      <c r="J300" s="608">
        <f t="shared" si="60"/>
        <v>7.34</v>
      </c>
      <c r="K300" s="608">
        <f t="shared" si="61"/>
        <v>86.35</v>
      </c>
      <c r="L300" s="608">
        <f t="shared" si="62"/>
        <v>4.2603999999999997</v>
      </c>
      <c r="M300" s="933">
        <f t="shared" si="63"/>
        <v>1.768</v>
      </c>
      <c r="N300" s="26">
        <f t="shared" si="64"/>
        <v>16.2</v>
      </c>
      <c r="O300" s="26" t="s">
        <v>1363</v>
      </c>
      <c r="P300" s="933" t="s">
        <v>1104</v>
      </c>
      <c r="Q300" s="973" t="s">
        <v>255</v>
      </c>
      <c r="R300" s="13">
        <f t="shared" si="50"/>
        <v>723.096</v>
      </c>
    </row>
    <row r="301" spans="1:18" ht="22.5" hidden="1" customHeight="1">
      <c r="A301" s="14">
        <f>SUBTOTAL(103,$C$5:C301)</f>
        <v>24</v>
      </c>
      <c r="B301" s="3">
        <v>23</v>
      </c>
      <c r="C301" s="932" t="s">
        <v>179</v>
      </c>
      <c r="D301" s="608" t="str">
        <f>VLOOKUP(C301,'Location Summary'!$C$4:$D$676,2,0)</f>
        <v>DA+0</v>
      </c>
      <c r="E301" s="608" t="s">
        <v>403</v>
      </c>
      <c r="F301" s="57">
        <v>45770</v>
      </c>
      <c r="G301" s="57">
        <v>45776</v>
      </c>
      <c r="H301" s="69" t="s">
        <v>1167</v>
      </c>
      <c r="I301" s="608">
        <f t="shared" si="59"/>
        <v>271.04000000000002</v>
      </c>
      <c r="J301" s="608">
        <f t="shared" si="60"/>
        <v>3.36</v>
      </c>
      <c r="K301" s="608">
        <f t="shared" si="61"/>
        <v>34.15</v>
      </c>
      <c r="L301" s="608">
        <f t="shared" si="62"/>
        <v>1.599</v>
      </c>
      <c r="M301" s="933">
        <f t="shared" si="63"/>
        <v>0.86599999999999999</v>
      </c>
      <c r="N301" s="26">
        <f t="shared" si="64"/>
        <v>6.49</v>
      </c>
      <c r="O301" s="26" t="s">
        <v>1363</v>
      </c>
      <c r="P301" s="933" t="s">
        <v>1413</v>
      </c>
      <c r="Q301" s="973" t="s">
        <v>255</v>
      </c>
      <c r="R301" s="13">
        <f t="shared" si="50"/>
        <v>287.98399999999998</v>
      </c>
    </row>
    <row r="302" spans="1:18" ht="22.5" hidden="1" customHeight="1">
      <c r="A302" s="14">
        <f>SUBTOTAL(103,$C$5:C302)</f>
        <v>24</v>
      </c>
      <c r="B302" s="10">
        <v>1</v>
      </c>
      <c r="C302" s="660" t="s">
        <v>597</v>
      </c>
      <c r="D302" s="62" t="str">
        <f>VLOOKUP(C302,'Location Summary'!$C$4:$D$676,2,0)</f>
        <v>DA+3</v>
      </c>
      <c r="E302" s="62" t="s">
        <v>403</v>
      </c>
      <c r="F302" s="107">
        <v>45772</v>
      </c>
      <c r="G302" s="107">
        <v>45779</v>
      </c>
      <c r="H302" s="60" t="s">
        <v>992</v>
      </c>
      <c r="I302" s="62">
        <f t="shared" si="59"/>
        <v>289.83999999999997</v>
      </c>
      <c r="J302" s="62">
        <f t="shared" si="60"/>
        <v>3.61</v>
      </c>
      <c r="K302" s="62">
        <f t="shared" si="61"/>
        <v>37.299999999999997</v>
      </c>
      <c r="L302" s="62">
        <f t="shared" si="62"/>
        <v>2.093</v>
      </c>
      <c r="M302" s="554">
        <f t="shared" si="63"/>
        <v>0.86599999999999999</v>
      </c>
      <c r="N302" s="112">
        <f t="shared" si="64"/>
        <v>7.39</v>
      </c>
      <c r="O302" s="112" t="s">
        <v>1363</v>
      </c>
      <c r="P302" s="554" t="s">
        <v>1413</v>
      </c>
      <c r="Q302" s="973" t="s">
        <v>255</v>
      </c>
      <c r="R302" s="13">
        <f t="shared" si="50"/>
        <v>314.28399999999999</v>
      </c>
    </row>
    <row r="303" spans="1:18" ht="22.5" hidden="1" customHeight="1">
      <c r="A303" s="14">
        <f>SUBTOTAL(103,$C$5:C303)</f>
        <v>24</v>
      </c>
      <c r="B303" s="3">
        <v>2</v>
      </c>
      <c r="C303" s="932" t="s">
        <v>263</v>
      </c>
      <c r="D303" s="608" t="str">
        <f>VLOOKUP(C303,'Location Summary'!$C$4:$D$676,2,0)</f>
        <v>DB1+12</v>
      </c>
      <c r="E303" s="608" t="s">
        <v>403</v>
      </c>
      <c r="F303" s="57">
        <v>45758</v>
      </c>
      <c r="G303" s="57">
        <v>45780</v>
      </c>
      <c r="H303" s="69" t="s">
        <v>1430</v>
      </c>
      <c r="I303" s="991">
        <f t="shared" si="59"/>
        <v>462.88</v>
      </c>
      <c r="J303" s="608">
        <f t="shared" si="60"/>
        <v>5.94</v>
      </c>
      <c r="K303" s="608">
        <f t="shared" si="61"/>
        <v>67.91</v>
      </c>
      <c r="L303" s="608">
        <f t="shared" si="62"/>
        <v>3.1507999999999998</v>
      </c>
      <c r="M303" s="933">
        <f t="shared" si="63"/>
        <v>1.752</v>
      </c>
      <c r="N303" s="26">
        <f t="shared" si="64"/>
        <v>12.64</v>
      </c>
      <c r="O303" s="26" t="s">
        <v>1183</v>
      </c>
      <c r="P303" s="933" t="s">
        <v>1104</v>
      </c>
      <c r="Q303" s="973" t="s">
        <v>255</v>
      </c>
      <c r="R303" s="13">
        <f t="shared" si="50"/>
        <v>569.41599999999994</v>
      </c>
    </row>
    <row r="304" spans="1:18" ht="22.5" customHeight="1">
      <c r="A304" s="14">
        <f>SUBTOTAL(103,$C$5:C304)</f>
        <v>25</v>
      </c>
      <c r="B304" s="3">
        <v>3</v>
      </c>
      <c r="C304" s="932" t="s">
        <v>1244</v>
      </c>
      <c r="D304" s="608" t="str">
        <f>VLOOKUP(C304,'Location Summary'!$C$4:$D$676,2,0)</f>
        <v>DB1+9</v>
      </c>
      <c r="E304" s="608" t="s">
        <v>403</v>
      </c>
      <c r="F304" s="57">
        <v>45776</v>
      </c>
      <c r="G304" s="57">
        <v>45782</v>
      </c>
      <c r="H304" s="69" t="s">
        <v>1173</v>
      </c>
      <c r="I304" s="608">
        <f t="shared" si="59"/>
        <v>484.04</v>
      </c>
      <c r="J304" s="608">
        <f t="shared" si="60"/>
        <v>6.23</v>
      </c>
      <c r="K304" s="608">
        <f t="shared" si="61"/>
        <v>70.319999999999993</v>
      </c>
      <c r="L304" s="608">
        <f t="shared" si="62"/>
        <v>3.3719999999999999</v>
      </c>
      <c r="M304" s="933">
        <f t="shared" si="63"/>
        <v>1.768</v>
      </c>
      <c r="N304" s="26">
        <f t="shared" si="64"/>
        <v>13.2</v>
      </c>
      <c r="O304" s="26" t="s">
        <v>1363</v>
      </c>
      <c r="P304" s="933" t="s">
        <v>1413</v>
      </c>
      <c r="Q304" s="973" t="s">
        <v>255</v>
      </c>
      <c r="R304" s="13">
        <f t="shared" si="50"/>
        <v>589.97199999999998</v>
      </c>
    </row>
    <row r="305" spans="1:18" ht="22.5" customHeight="1">
      <c r="A305" s="14">
        <f>SUBTOTAL(103,$C$5:C305)</f>
        <v>26</v>
      </c>
      <c r="B305" s="3">
        <v>4</v>
      </c>
      <c r="C305" s="932" t="s">
        <v>1245</v>
      </c>
      <c r="D305" s="608" t="str">
        <f>VLOOKUP(C305,'Location Summary'!$C$4:$D$676,2,0)</f>
        <v>DB1+12</v>
      </c>
      <c r="E305" s="608" t="s">
        <v>403</v>
      </c>
      <c r="F305" s="57">
        <v>45782</v>
      </c>
      <c r="G305" s="57">
        <v>45784</v>
      </c>
      <c r="H305" s="69" t="s">
        <v>1173</v>
      </c>
      <c r="I305" s="608">
        <f t="shared" si="59"/>
        <v>462.88</v>
      </c>
      <c r="J305" s="608">
        <f t="shared" si="60"/>
        <v>5.94</v>
      </c>
      <c r="K305" s="608">
        <f t="shared" si="61"/>
        <v>67.91</v>
      </c>
      <c r="L305" s="608">
        <f t="shared" si="62"/>
        <v>3.1507999999999998</v>
      </c>
      <c r="M305" s="933">
        <f t="shared" si="63"/>
        <v>1.752</v>
      </c>
      <c r="N305" s="26">
        <f t="shared" ref="N305:N319" si="65">ROUND((I305*230.35+J305*10150.5+K305*11591.45+L305*93958.18+M305*7677.44)/10^5,2)</f>
        <v>12.64</v>
      </c>
      <c r="O305" s="26" t="s">
        <v>1363</v>
      </c>
      <c r="P305" s="933" t="s">
        <v>1413</v>
      </c>
      <c r="Q305" s="973" t="s">
        <v>255</v>
      </c>
      <c r="R305" s="13">
        <f t="shared" si="50"/>
        <v>569.41599999999994</v>
      </c>
    </row>
    <row r="306" spans="1:18" ht="22.5" hidden="1" customHeight="1">
      <c r="A306" s="14">
        <f>SUBTOTAL(103,$C$5:C306)</f>
        <v>26</v>
      </c>
      <c r="B306" s="3">
        <v>5</v>
      </c>
      <c r="C306" s="932" t="s">
        <v>426</v>
      </c>
      <c r="D306" s="608" t="str">
        <f>VLOOKUP(C306,'Location Summary'!$C$4:$D$676,2,0)</f>
        <v>DA-3</v>
      </c>
      <c r="E306" s="608" t="s">
        <v>403</v>
      </c>
      <c r="F306" s="57">
        <v>45773</v>
      </c>
      <c r="G306" s="57">
        <v>45786</v>
      </c>
      <c r="H306" s="69" t="s">
        <v>1440</v>
      </c>
      <c r="I306" s="608">
        <f t="shared" si="59"/>
        <v>271.04000000000002</v>
      </c>
      <c r="J306" s="608">
        <f t="shared" si="60"/>
        <v>3.36</v>
      </c>
      <c r="K306" s="608">
        <f t="shared" si="61"/>
        <v>34.15</v>
      </c>
      <c r="L306" s="608">
        <f t="shared" si="62"/>
        <v>1.599</v>
      </c>
      <c r="M306" s="933">
        <f t="shared" si="63"/>
        <v>0.86599999999999999</v>
      </c>
      <c r="N306" s="26">
        <f t="shared" si="65"/>
        <v>6.49</v>
      </c>
      <c r="O306" s="26" t="s">
        <v>1428</v>
      </c>
      <c r="P306" s="933" t="s">
        <v>1104</v>
      </c>
      <c r="Q306" s="973" t="s">
        <v>255</v>
      </c>
      <c r="R306" s="13">
        <f t="shared" si="50"/>
        <v>287.98399999999998</v>
      </c>
    </row>
    <row r="307" spans="1:18" ht="22.5" hidden="1" customHeight="1">
      <c r="A307" s="14">
        <f>SUBTOTAL(103,$C$5:C307)</f>
        <v>26</v>
      </c>
      <c r="B307" s="3">
        <v>6</v>
      </c>
      <c r="C307" s="932" t="s">
        <v>54</v>
      </c>
      <c r="D307" s="608" t="str">
        <f>VLOOKUP(C307,'Location Summary'!$C$4:$D$676,2,0)</f>
        <v>DB1+0</v>
      </c>
      <c r="E307" s="608" t="s">
        <v>403</v>
      </c>
      <c r="F307" s="57">
        <v>45775</v>
      </c>
      <c r="G307" s="57">
        <v>45790</v>
      </c>
      <c r="H307" s="69" t="s">
        <v>1167</v>
      </c>
      <c r="I307" s="608">
        <f t="shared" si="59"/>
        <v>479.12</v>
      </c>
      <c r="J307" s="608">
        <f t="shared" si="60"/>
        <v>6.16</v>
      </c>
      <c r="K307" s="608">
        <f t="shared" si="61"/>
        <v>69.760000000000005</v>
      </c>
      <c r="L307" s="608">
        <f t="shared" si="62"/>
        <v>3.26</v>
      </c>
      <c r="M307" s="933">
        <f t="shared" si="63"/>
        <v>1.768</v>
      </c>
      <c r="N307" s="26">
        <f t="shared" si="65"/>
        <v>13.01</v>
      </c>
      <c r="O307" s="26" t="s">
        <v>1183</v>
      </c>
      <c r="P307" s="933" t="s">
        <v>1104</v>
      </c>
      <c r="Q307" s="973" t="s">
        <v>255</v>
      </c>
      <c r="R307" s="13">
        <f t="shared" si="50"/>
        <v>585.18400000000008</v>
      </c>
    </row>
    <row r="308" spans="1:18" ht="22.5" hidden="1" customHeight="1">
      <c r="A308" s="14">
        <f>SUBTOTAL(103,$C$5:C308)</f>
        <v>26</v>
      </c>
      <c r="B308" s="3">
        <v>7</v>
      </c>
      <c r="C308" s="932" t="s">
        <v>425</v>
      </c>
      <c r="D308" s="608" t="str">
        <f>VLOOKUP(C308,'Location Summary'!$C$4:$D$676,2,0)</f>
        <v>DA+0</v>
      </c>
      <c r="E308" s="608" t="s">
        <v>403</v>
      </c>
      <c r="F308" s="57">
        <v>45782</v>
      </c>
      <c r="G308" s="57">
        <v>45790</v>
      </c>
      <c r="H308" s="69" t="s">
        <v>1440</v>
      </c>
      <c r="I308" s="608">
        <f t="shared" si="59"/>
        <v>271.04000000000002</v>
      </c>
      <c r="J308" s="608">
        <f t="shared" si="60"/>
        <v>3.36</v>
      </c>
      <c r="K308" s="608">
        <f t="shared" si="61"/>
        <v>34.15</v>
      </c>
      <c r="L308" s="608">
        <f t="shared" si="62"/>
        <v>1.599</v>
      </c>
      <c r="M308" s="933">
        <f t="shared" si="63"/>
        <v>0.86599999999999999</v>
      </c>
      <c r="N308" s="26">
        <f t="shared" si="65"/>
        <v>6.49</v>
      </c>
      <c r="O308" s="26" t="s">
        <v>1428</v>
      </c>
      <c r="P308" s="933" t="s">
        <v>1104</v>
      </c>
      <c r="Q308" s="973" t="s">
        <v>255</v>
      </c>
      <c r="R308" s="13">
        <f t="shared" si="50"/>
        <v>287.98399999999998</v>
      </c>
    </row>
    <row r="309" spans="1:18" ht="22.5" hidden="1" customHeight="1">
      <c r="A309" s="14">
        <f>SUBTOTAL(103,$C$5:C309)</f>
        <v>26</v>
      </c>
      <c r="B309" s="3">
        <v>8</v>
      </c>
      <c r="C309" s="932" t="s">
        <v>177</v>
      </c>
      <c r="D309" s="608" t="str">
        <f>VLOOKUP(C309,'Location Summary'!$C$4:$D$676,2,0)</f>
        <v>DA+3</v>
      </c>
      <c r="E309" s="608" t="s">
        <v>403</v>
      </c>
      <c r="F309" s="57">
        <v>45787</v>
      </c>
      <c r="G309" s="57">
        <v>45795</v>
      </c>
      <c r="H309" s="69" t="s">
        <v>1440</v>
      </c>
      <c r="I309" s="608">
        <f t="shared" si="59"/>
        <v>289.83999999999997</v>
      </c>
      <c r="J309" s="608">
        <f t="shared" si="60"/>
        <v>3.61</v>
      </c>
      <c r="K309" s="608">
        <f t="shared" si="61"/>
        <v>37.299999999999997</v>
      </c>
      <c r="L309" s="608">
        <f t="shared" si="62"/>
        <v>2.093</v>
      </c>
      <c r="M309" s="933">
        <f t="shared" si="63"/>
        <v>0.86599999999999999</v>
      </c>
      <c r="N309" s="26">
        <f t="shared" si="65"/>
        <v>7.39</v>
      </c>
      <c r="O309" s="26" t="s">
        <v>1183</v>
      </c>
      <c r="P309" s="933" t="s">
        <v>1104</v>
      </c>
      <c r="Q309" s="973" t="s">
        <v>255</v>
      </c>
      <c r="R309" s="13">
        <f t="shared" si="50"/>
        <v>314.28399999999999</v>
      </c>
    </row>
    <row r="310" spans="1:18" ht="22.5" hidden="1" customHeight="1">
      <c r="A310" s="14">
        <f>SUBTOTAL(103,$C$5:C310)</f>
        <v>26</v>
      </c>
      <c r="B310" s="3">
        <v>9</v>
      </c>
      <c r="C310" s="932" t="s">
        <v>176</v>
      </c>
      <c r="D310" s="608" t="str">
        <f>VLOOKUP(C310,'Location Summary'!$C$4:$D$676,2,0)</f>
        <v>DA+1.5</v>
      </c>
      <c r="E310" s="608" t="s">
        <v>403</v>
      </c>
      <c r="F310" s="57">
        <v>45795</v>
      </c>
      <c r="G310" s="57">
        <v>45799</v>
      </c>
      <c r="H310" s="69" t="s">
        <v>1440</v>
      </c>
      <c r="I310" s="608">
        <f t="shared" si="59"/>
        <v>289.83999999999997</v>
      </c>
      <c r="J310" s="608">
        <f t="shared" si="60"/>
        <v>3.61</v>
      </c>
      <c r="K310" s="608">
        <f t="shared" si="61"/>
        <v>37.299999999999997</v>
      </c>
      <c r="L310" s="608">
        <f t="shared" si="62"/>
        <v>2.093</v>
      </c>
      <c r="M310" s="933">
        <f t="shared" si="63"/>
        <v>0.86599999999999999</v>
      </c>
      <c r="N310" s="26">
        <f t="shared" si="65"/>
        <v>7.39</v>
      </c>
      <c r="O310" s="26" t="s">
        <v>1412</v>
      </c>
      <c r="P310" s="933" t="s">
        <v>1104</v>
      </c>
      <c r="Q310" s="973" t="s">
        <v>255</v>
      </c>
      <c r="R310" s="13">
        <f t="shared" si="50"/>
        <v>314.28399999999999</v>
      </c>
    </row>
    <row r="311" spans="1:18" ht="22.5" customHeight="1">
      <c r="A311" s="14">
        <f>SUBTOTAL(103,$C$5:C311)</f>
        <v>27</v>
      </c>
      <c r="B311" s="10">
        <v>10</v>
      </c>
      <c r="C311" s="660" t="s">
        <v>52</v>
      </c>
      <c r="D311" s="62" t="str">
        <f>VLOOKUP(C311,'Location Summary'!$C$4:$D$676,2,0)</f>
        <v>DD60+3</v>
      </c>
      <c r="E311" s="62" t="s">
        <v>403</v>
      </c>
      <c r="F311" s="107">
        <v>45795</v>
      </c>
      <c r="G311" s="107">
        <v>45803</v>
      </c>
      <c r="H311" s="60" t="s">
        <v>1173</v>
      </c>
      <c r="I311" s="62">
        <f t="shared" si="59"/>
        <v>1025.83</v>
      </c>
      <c r="J311" s="62">
        <f t="shared" si="60"/>
        <v>13.65</v>
      </c>
      <c r="K311" s="554">
        <f t="shared" si="61"/>
        <v>190.99</v>
      </c>
      <c r="L311" s="62">
        <f t="shared" si="62"/>
        <v>11.554</v>
      </c>
      <c r="M311" s="554">
        <f t="shared" si="63"/>
        <v>3.1593010000000001</v>
      </c>
      <c r="N311" s="112">
        <f t="shared" si="65"/>
        <v>36.99</v>
      </c>
      <c r="O311" s="112" t="s">
        <v>1462</v>
      </c>
      <c r="P311" s="554" t="s">
        <v>1104</v>
      </c>
      <c r="Q311" s="973" t="s">
        <v>255</v>
      </c>
      <c r="R311" s="13">
        <f t="shared" si="50"/>
        <v>1587.98</v>
      </c>
    </row>
    <row r="312" spans="1:18" ht="22.5" customHeight="1">
      <c r="A312" s="14">
        <f>SUBTOTAL(103,$C$5:C312)</f>
        <v>28</v>
      </c>
      <c r="B312" s="3">
        <v>1</v>
      </c>
      <c r="C312" s="932" t="s">
        <v>53</v>
      </c>
      <c r="D312" s="608" t="str">
        <f>VLOOKUP(C312,'Location Summary'!$C$4:$D$676,2,0)</f>
        <v>DD60+3</v>
      </c>
      <c r="E312" s="608" t="s">
        <v>403</v>
      </c>
      <c r="F312" s="57">
        <v>45795</v>
      </c>
      <c r="G312" s="57">
        <v>45810</v>
      </c>
      <c r="H312" s="69" t="s">
        <v>1173</v>
      </c>
      <c r="I312" s="608">
        <f t="shared" si="59"/>
        <v>1025.83</v>
      </c>
      <c r="J312" s="608">
        <f t="shared" si="60"/>
        <v>13.65</v>
      </c>
      <c r="K312" s="933">
        <f t="shared" si="61"/>
        <v>190.99</v>
      </c>
      <c r="L312" s="608">
        <f t="shared" si="62"/>
        <v>11.554</v>
      </c>
      <c r="M312" s="933">
        <f t="shared" si="63"/>
        <v>3.1593010000000001</v>
      </c>
      <c r="N312" s="26">
        <f t="shared" si="65"/>
        <v>36.99</v>
      </c>
      <c r="O312" s="26" t="s">
        <v>1428</v>
      </c>
      <c r="P312" s="933" t="s">
        <v>1104</v>
      </c>
      <c r="Q312" s="973" t="s">
        <v>255</v>
      </c>
      <c r="R312" s="13">
        <f t="shared" si="50"/>
        <v>1587.98</v>
      </c>
    </row>
    <row r="313" spans="1:18" ht="22.5" hidden="1" customHeight="1">
      <c r="A313" s="14">
        <f>SUBTOTAL(103,$C$5:C313)</f>
        <v>28</v>
      </c>
      <c r="B313" s="3">
        <v>2</v>
      </c>
      <c r="C313" s="932" t="s">
        <v>265</v>
      </c>
      <c r="D313" s="608" t="str">
        <f>VLOOKUP(C313,'Location Summary'!$C$4:$D$676,2,0)</f>
        <v>DD45+0</v>
      </c>
      <c r="E313" s="608" t="s">
        <v>403</v>
      </c>
      <c r="F313" s="57">
        <v>45804</v>
      </c>
      <c r="G313" s="57">
        <v>45816</v>
      </c>
      <c r="H313" s="69" t="s">
        <v>988</v>
      </c>
      <c r="I313" s="608">
        <f t="shared" si="59"/>
        <v>852</v>
      </c>
      <c r="J313" s="608">
        <f t="shared" si="60"/>
        <v>11.25</v>
      </c>
      <c r="K313" s="608">
        <f t="shared" si="61"/>
        <v>116.5</v>
      </c>
      <c r="L313" s="608">
        <f t="shared" si="62"/>
        <v>10.087999999999999</v>
      </c>
      <c r="M313" s="933">
        <f t="shared" si="63"/>
        <v>2.4947029999999999</v>
      </c>
      <c r="N313" s="26">
        <f t="shared" si="65"/>
        <v>26.28</v>
      </c>
      <c r="O313" s="26" t="s">
        <v>1428</v>
      </c>
      <c r="P313" s="933" t="s">
        <v>1104</v>
      </c>
      <c r="Q313" s="973" t="s">
        <v>255</v>
      </c>
      <c r="R313" s="13">
        <f t="shared" si="50"/>
        <v>981.5</v>
      </c>
    </row>
    <row r="314" spans="1:18" ht="22.5" hidden="1" customHeight="1">
      <c r="A314" s="14">
        <f>SUBTOTAL(103,$C$5:C314)</f>
        <v>28</v>
      </c>
      <c r="B314" s="3">
        <v>3</v>
      </c>
      <c r="C314" s="932" t="s">
        <v>266</v>
      </c>
      <c r="D314" s="608" t="str">
        <f>VLOOKUP(C314,'Location Summary'!$C$4:$D$676,2,0)</f>
        <v>DB1+9</v>
      </c>
      <c r="E314" s="608" t="s">
        <v>403</v>
      </c>
      <c r="F314" s="57">
        <v>45816</v>
      </c>
      <c r="G314" s="57">
        <v>45822</v>
      </c>
      <c r="H314" s="69" t="s">
        <v>988</v>
      </c>
      <c r="I314" s="608">
        <f t="shared" si="59"/>
        <v>484.04</v>
      </c>
      <c r="J314" s="608">
        <f t="shared" si="60"/>
        <v>6.23</v>
      </c>
      <c r="K314" s="608">
        <f t="shared" si="61"/>
        <v>70.319999999999993</v>
      </c>
      <c r="L314" s="608">
        <f t="shared" si="62"/>
        <v>3.3719999999999999</v>
      </c>
      <c r="M314" s="933">
        <f t="shared" si="63"/>
        <v>1.768</v>
      </c>
      <c r="N314" s="26">
        <f t="shared" si="65"/>
        <v>13.2</v>
      </c>
      <c r="O314" s="26" t="s">
        <v>1428</v>
      </c>
      <c r="P314" s="933" t="s">
        <v>1104</v>
      </c>
      <c r="Q314" s="973" t="s">
        <v>255</v>
      </c>
      <c r="R314" s="13">
        <f t="shared" si="50"/>
        <v>589.97199999999998</v>
      </c>
    </row>
    <row r="315" spans="1:18" ht="22.5" hidden="1" customHeight="1">
      <c r="A315" s="14">
        <f>SUBTOTAL(103,$C$5:C315)</f>
        <v>28</v>
      </c>
      <c r="B315" s="3">
        <v>4</v>
      </c>
      <c r="C315" s="932" t="s">
        <v>268</v>
      </c>
      <c r="D315" s="608" t="str">
        <f>VLOOKUP(C315,'Location Summary'!$C$4:$D$676,2,0)</f>
        <v>DD60+0</v>
      </c>
      <c r="E315" s="608" t="s">
        <v>403</v>
      </c>
      <c r="F315" s="57">
        <v>45820</v>
      </c>
      <c r="G315" s="57">
        <v>45835</v>
      </c>
      <c r="H315" s="69" t="s">
        <v>1440</v>
      </c>
      <c r="I315" s="608">
        <f t="shared" si="59"/>
        <v>997.27</v>
      </c>
      <c r="J315" s="608">
        <f t="shared" si="60"/>
        <v>13.25</v>
      </c>
      <c r="K315" s="608">
        <f t="shared" si="61"/>
        <v>185.89</v>
      </c>
      <c r="L315" s="608">
        <f t="shared" si="62"/>
        <v>10.698</v>
      </c>
      <c r="M315" s="933">
        <f t="shared" si="63"/>
        <v>3.1593010000000001</v>
      </c>
      <c r="N315" s="26">
        <f t="shared" si="65"/>
        <v>35.479999999999997</v>
      </c>
      <c r="O315" s="26" t="s">
        <v>1363</v>
      </c>
      <c r="P315" s="933" t="s">
        <v>1207</v>
      </c>
      <c r="Q315" s="973" t="s">
        <v>255</v>
      </c>
      <c r="R315" s="13">
        <f t="shared" si="50"/>
        <v>1545.4199999999998</v>
      </c>
    </row>
    <row r="316" spans="1:18" ht="21.75" hidden="1" customHeight="1">
      <c r="A316" s="14">
        <f>SUBTOTAL(103,$C$5:C316)</f>
        <v>28</v>
      </c>
      <c r="B316" s="10">
        <v>1</v>
      </c>
      <c r="C316" s="660" t="s">
        <v>1250</v>
      </c>
      <c r="D316" s="62" t="str">
        <f>VLOOKUP(C316,'Location Summary'!$C$4:$D$676,2,0)</f>
        <v>DA+0</v>
      </c>
      <c r="E316" s="716" t="s">
        <v>403</v>
      </c>
      <c r="F316" s="107">
        <v>45835</v>
      </c>
      <c r="G316" s="107">
        <v>45843</v>
      </c>
      <c r="H316" s="60" t="s">
        <v>1440</v>
      </c>
      <c r="I316" s="554">
        <f t="shared" si="59"/>
        <v>271.04000000000002</v>
      </c>
      <c r="J316" s="62">
        <f t="shared" si="60"/>
        <v>3.36</v>
      </c>
      <c r="K316" s="62">
        <f t="shared" si="61"/>
        <v>34.15</v>
      </c>
      <c r="L316" s="62">
        <f t="shared" si="62"/>
        <v>1.599</v>
      </c>
      <c r="M316" s="554">
        <f t="shared" si="63"/>
        <v>0.86599999999999999</v>
      </c>
      <c r="N316" s="112">
        <f t="shared" si="65"/>
        <v>6.49</v>
      </c>
      <c r="O316" s="112" t="s">
        <v>1363</v>
      </c>
      <c r="P316" s="554" t="s">
        <v>1104</v>
      </c>
      <c r="Q316" s="973" t="s">
        <v>255</v>
      </c>
      <c r="R316" s="13">
        <f t="shared" si="50"/>
        <v>287.98399999999998</v>
      </c>
    </row>
    <row r="317" spans="1:18" ht="22.5" hidden="1" customHeight="1">
      <c r="A317" s="14">
        <f>SUBTOTAL(103,$C$5:C317)</f>
        <v>28</v>
      </c>
      <c r="B317" s="3">
        <v>2</v>
      </c>
      <c r="C317" s="932" t="s">
        <v>1248</v>
      </c>
      <c r="D317" s="608" t="str">
        <f>VLOOKUP(C317,'Location Summary'!$C$4:$D$676,2,0)</f>
        <v>DD45+0</v>
      </c>
      <c r="E317" s="608" t="s">
        <v>403</v>
      </c>
      <c r="F317" s="57">
        <v>45843</v>
      </c>
      <c r="G317" s="57">
        <v>45852</v>
      </c>
      <c r="H317" s="69" t="s">
        <v>1440</v>
      </c>
      <c r="I317" s="608">
        <f t="shared" si="59"/>
        <v>852</v>
      </c>
      <c r="J317" s="608">
        <f t="shared" si="60"/>
        <v>11.25</v>
      </c>
      <c r="K317" s="608">
        <f t="shared" si="61"/>
        <v>116.5</v>
      </c>
      <c r="L317" s="608">
        <f t="shared" si="62"/>
        <v>10.087999999999999</v>
      </c>
      <c r="M317" s="933">
        <f t="shared" si="63"/>
        <v>2.4947029999999999</v>
      </c>
      <c r="N317" s="26">
        <f t="shared" si="65"/>
        <v>26.28</v>
      </c>
      <c r="O317" s="26" t="s">
        <v>1363</v>
      </c>
      <c r="P317" s="933" t="s">
        <v>1104</v>
      </c>
      <c r="Q317" s="973" t="s">
        <v>255</v>
      </c>
      <c r="R317" s="13">
        <f t="shared" si="50"/>
        <v>981.5</v>
      </c>
    </row>
    <row r="318" spans="1:18" ht="21.75" hidden="1" customHeight="1">
      <c r="A318" s="10">
        <f>SUBTOTAL(103,$C$5:C318)</f>
        <v>28</v>
      </c>
      <c r="B318" s="10">
        <v>1</v>
      </c>
      <c r="C318" s="660" t="s">
        <v>1772</v>
      </c>
      <c r="D318" s="62" t="s">
        <v>215</v>
      </c>
      <c r="E318" s="716" t="s">
        <v>403</v>
      </c>
      <c r="F318" s="107">
        <v>46032</v>
      </c>
      <c r="G318" s="107">
        <v>46045</v>
      </c>
      <c r="H318" s="60" t="s">
        <v>1167</v>
      </c>
      <c r="I318" s="62">
        <f t="shared" si="59"/>
        <v>566.29</v>
      </c>
      <c r="J318" s="62">
        <f t="shared" si="60"/>
        <v>7.34</v>
      </c>
      <c r="K318" s="62">
        <f t="shared" si="61"/>
        <v>86.35</v>
      </c>
      <c r="L318" s="62">
        <f t="shared" si="62"/>
        <v>4.2603999999999997</v>
      </c>
      <c r="M318" s="554">
        <f t="shared" si="63"/>
        <v>1.768</v>
      </c>
      <c r="N318" s="112">
        <f t="shared" si="65"/>
        <v>16.2</v>
      </c>
      <c r="O318" s="112" t="s">
        <v>1489</v>
      </c>
      <c r="P318" s="554" t="s">
        <v>1104</v>
      </c>
      <c r="Q318" s="973" t="s">
        <v>255</v>
      </c>
      <c r="R318" s="13">
        <f t="shared" si="50"/>
        <v>723.096</v>
      </c>
    </row>
    <row r="319" spans="1:18" ht="21.75" hidden="1" customHeight="1">
      <c r="A319" s="1119">
        <f>SUBTOTAL(103,$C$5:C319)</f>
        <v>28</v>
      </c>
      <c r="B319" s="10">
        <v>2</v>
      </c>
      <c r="C319" s="660" t="s">
        <v>1773</v>
      </c>
      <c r="D319" s="62" t="s">
        <v>428</v>
      </c>
      <c r="E319" s="716" t="s">
        <v>403</v>
      </c>
      <c r="F319" s="107">
        <v>46046</v>
      </c>
      <c r="G319" s="107">
        <v>46061</v>
      </c>
      <c r="H319" s="60" t="s">
        <v>1167</v>
      </c>
      <c r="I319" s="62">
        <f t="shared" si="59"/>
        <v>689.93</v>
      </c>
      <c r="J319" s="62">
        <f t="shared" si="60"/>
        <v>9.0299999999999994</v>
      </c>
      <c r="K319" s="62">
        <f t="shared" si="61"/>
        <v>112.22</v>
      </c>
      <c r="L319" s="554">
        <f t="shared" si="62"/>
        <v>5.8468</v>
      </c>
      <c r="M319" s="554">
        <f t="shared" si="63"/>
        <v>2.2349290000000002</v>
      </c>
      <c r="N319" s="112">
        <f t="shared" si="65"/>
        <v>21.18</v>
      </c>
      <c r="O319" s="112" t="s">
        <v>1489</v>
      </c>
      <c r="P319" s="554" t="s">
        <v>1104</v>
      </c>
      <c r="Q319" s="973" t="s">
        <v>255</v>
      </c>
      <c r="R319" s="13">
        <f t="shared" si="50"/>
        <v>937.49199999999996</v>
      </c>
    </row>
    <row r="320" spans="1:18" ht="21.75" hidden="1" customHeight="1">
      <c r="A320" s="14">
        <f>SUBTOTAL(103,$C$5:C320)</f>
        <v>28</v>
      </c>
      <c r="B320" s="10">
        <v>3</v>
      </c>
      <c r="C320" s="660" t="s">
        <v>1774</v>
      </c>
      <c r="D320" s="62" t="s">
        <v>215</v>
      </c>
      <c r="E320" s="716" t="s">
        <v>403</v>
      </c>
      <c r="F320" s="107">
        <v>46075</v>
      </c>
      <c r="G320" s="107">
        <v>46086</v>
      </c>
      <c r="H320" s="60" t="s">
        <v>1167</v>
      </c>
      <c r="I320" s="554">
        <v>566.29</v>
      </c>
      <c r="J320" s="62">
        <v>7.34</v>
      </c>
      <c r="K320" s="62">
        <v>86.35</v>
      </c>
      <c r="L320" s="62">
        <v>4.2603999999999997</v>
      </c>
      <c r="M320" s="554">
        <v>1.768</v>
      </c>
      <c r="N320" s="112">
        <v>16.2</v>
      </c>
      <c r="O320" s="112" t="s">
        <v>1489</v>
      </c>
      <c r="P320" s="554" t="s">
        <v>1104</v>
      </c>
      <c r="Q320" s="973" t="s">
        <v>255</v>
      </c>
      <c r="R320" s="13">
        <f t="shared" si="50"/>
        <v>723.096</v>
      </c>
    </row>
    <row r="321" spans="1:17" ht="9.75" hidden="1" customHeight="1">
      <c r="A321" s="13"/>
      <c r="B321" s="13"/>
      <c r="C321" s="979"/>
      <c r="D321" s="980"/>
      <c r="E321" s="981"/>
      <c r="F321" s="982"/>
      <c r="G321" s="983"/>
      <c r="H321" s="984"/>
      <c r="I321" s="13"/>
      <c r="J321" s="13"/>
      <c r="K321" s="13"/>
      <c r="L321" s="13"/>
      <c r="M321" s="276"/>
      <c r="N321" s="276"/>
      <c r="O321" s="276"/>
      <c r="P321" s="723"/>
      <c r="Q321" s="985"/>
    </row>
    <row r="322" spans="1:17" hidden="1">
      <c r="D322" s="32" t="s">
        <v>748</v>
      </c>
      <c r="I322" s="66" t="s">
        <v>851</v>
      </c>
      <c r="J322" s="66" t="s">
        <v>281</v>
      </c>
      <c r="K322" s="66" t="s">
        <v>282</v>
      </c>
      <c r="L322" s="66" t="s">
        <v>852</v>
      </c>
      <c r="M322" s="66" t="s">
        <v>853</v>
      </c>
      <c r="N322" s="66" t="s">
        <v>272</v>
      </c>
    </row>
    <row r="323" spans="1:17" hidden="1">
      <c r="D323" s="3" t="s">
        <v>4</v>
      </c>
      <c r="I323" s="10">
        <v>271.04000000000002</v>
      </c>
      <c r="J323" s="3">
        <v>3.36</v>
      </c>
      <c r="K323" s="3">
        <v>34.15</v>
      </c>
      <c r="L323" s="26">
        <v>1.599</v>
      </c>
      <c r="M323" s="26">
        <v>0.86599999999999999</v>
      </c>
      <c r="N323" s="448">
        <f t="shared" ref="N323:N365" si="66">ROUND((I323*230.35+J323*10150.5+K323*11591.45+L323*93958.18+M323*7677.44)/10^5,2)</f>
        <v>6.49</v>
      </c>
    </row>
    <row r="324" spans="1:17" hidden="1">
      <c r="D324" s="3" t="s">
        <v>154</v>
      </c>
      <c r="I324" s="10">
        <v>271.04000000000002</v>
      </c>
      <c r="J324" s="3">
        <v>3.36</v>
      </c>
      <c r="K324" s="3">
        <v>34.15</v>
      </c>
      <c r="L324" s="26">
        <v>1.599</v>
      </c>
      <c r="M324" s="26">
        <v>0.86599999999999999</v>
      </c>
      <c r="N324" s="448">
        <f t="shared" si="66"/>
        <v>6.49</v>
      </c>
    </row>
    <row r="325" spans="1:17" hidden="1">
      <c r="D325" s="3" t="s">
        <v>3</v>
      </c>
      <c r="I325" s="10">
        <v>271.04000000000002</v>
      </c>
      <c r="J325" s="3">
        <v>3.36</v>
      </c>
      <c r="K325" s="3">
        <v>34.15</v>
      </c>
      <c r="L325" s="26">
        <v>1.599</v>
      </c>
      <c r="M325" s="26">
        <v>0.86599999999999999</v>
      </c>
      <c r="N325" s="448">
        <f t="shared" si="66"/>
        <v>6.49</v>
      </c>
    </row>
    <row r="326" spans="1:17" hidden="1">
      <c r="D326" s="3" t="s">
        <v>170</v>
      </c>
      <c r="I326" s="10">
        <v>289.83999999999997</v>
      </c>
      <c r="J326" s="3">
        <v>3.61</v>
      </c>
      <c r="K326" s="3">
        <v>37.299999999999997</v>
      </c>
      <c r="L326" s="26">
        <v>2.093</v>
      </c>
      <c r="M326" s="26">
        <v>0.86599999999999999</v>
      </c>
      <c r="N326" s="448">
        <f t="shared" si="66"/>
        <v>7.39</v>
      </c>
    </row>
    <row r="327" spans="1:17" hidden="1">
      <c r="D327" s="3" t="s">
        <v>2</v>
      </c>
      <c r="I327" s="10">
        <v>289.83999999999997</v>
      </c>
      <c r="J327" s="3">
        <v>3.61</v>
      </c>
      <c r="K327" s="3">
        <v>37.299999999999997</v>
      </c>
      <c r="L327" s="26">
        <v>2.093</v>
      </c>
      <c r="M327" s="26">
        <v>0.86599999999999999</v>
      </c>
      <c r="N327" s="448">
        <f t="shared" si="66"/>
        <v>7.39</v>
      </c>
    </row>
    <row r="328" spans="1:17" hidden="1">
      <c r="D328" s="3" t="s">
        <v>987</v>
      </c>
      <c r="I328" s="10">
        <v>289.83999999999997</v>
      </c>
      <c r="J328" s="3">
        <v>3.61</v>
      </c>
      <c r="K328" s="3">
        <v>37.299999999999997</v>
      </c>
      <c r="L328" s="26">
        <v>2.093</v>
      </c>
      <c r="M328" s="26">
        <v>0.86599999999999999</v>
      </c>
      <c r="N328" s="448">
        <f t="shared" si="66"/>
        <v>7.39</v>
      </c>
    </row>
    <row r="329" spans="1:17" hidden="1">
      <c r="D329" s="3" t="s">
        <v>79</v>
      </c>
      <c r="I329" s="10">
        <v>289.83999999999997</v>
      </c>
      <c r="J329" s="3">
        <v>3.61</v>
      </c>
      <c r="K329" s="3">
        <v>37.299999999999997</v>
      </c>
      <c r="L329" s="26">
        <v>2.093</v>
      </c>
      <c r="M329" s="26">
        <v>0.86599999999999999</v>
      </c>
      <c r="N329" s="448">
        <f t="shared" si="66"/>
        <v>7.39</v>
      </c>
    </row>
    <row r="330" spans="1:17" hidden="1">
      <c r="D330" s="3" t="s">
        <v>49</v>
      </c>
      <c r="I330" s="10">
        <v>289.83999999999997</v>
      </c>
      <c r="J330" s="3">
        <v>3.61</v>
      </c>
      <c r="K330" s="3">
        <v>37.299999999999997</v>
      </c>
      <c r="L330" s="26">
        <v>2.093</v>
      </c>
      <c r="M330" s="26">
        <v>0.86599999999999999</v>
      </c>
      <c r="N330" s="448">
        <f t="shared" si="66"/>
        <v>7.39</v>
      </c>
    </row>
    <row r="331" spans="1:17" hidden="1">
      <c r="D331" s="3" t="s">
        <v>197</v>
      </c>
      <c r="I331" s="3">
        <v>479.12</v>
      </c>
      <c r="J331" s="3">
        <v>6.16</v>
      </c>
      <c r="K331" s="3">
        <v>69.760000000000005</v>
      </c>
      <c r="L331" s="26">
        <v>3.26</v>
      </c>
      <c r="M331" s="26">
        <v>1.768</v>
      </c>
      <c r="N331" s="623">
        <f t="shared" si="66"/>
        <v>13.01</v>
      </c>
    </row>
    <row r="332" spans="1:17" hidden="1">
      <c r="D332" s="3" t="s">
        <v>226</v>
      </c>
      <c r="I332" s="26">
        <v>484.04</v>
      </c>
      <c r="J332" s="3">
        <v>6.23</v>
      </c>
      <c r="K332" s="3">
        <v>70.319999999999993</v>
      </c>
      <c r="L332" s="3">
        <v>3.3719999999999999</v>
      </c>
      <c r="M332" s="26">
        <v>1.768</v>
      </c>
      <c r="N332" s="448">
        <f t="shared" si="66"/>
        <v>13.2</v>
      </c>
    </row>
    <row r="333" spans="1:17" hidden="1">
      <c r="D333" s="3" t="s">
        <v>227</v>
      </c>
      <c r="I333" s="26">
        <v>484.04</v>
      </c>
      <c r="J333" s="3">
        <v>6.23</v>
      </c>
      <c r="K333" s="3">
        <v>70.319999999999993</v>
      </c>
      <c r="L333" s="3">
        <v>3.3719999999999999</v>
      </c>
      <c r="M333" s="26">
        <v>1.768</v>
      </c>
      <c r="N333" s="448">
        <f t="shared" si="66"/>
        <v>13.2</v>
      </c>
    </row>
    <row r="334" spans="1:17" hidden="1">
      <c r="D334" s="3" t="s">
        <v>211</v>
      </c>
      <c r="I334" s="26">
        <v>484.04</v>
      </c>
      <c r="J334" s="3">
        <v>6.23</v>
      </c>
      <c r="K334" s="3">
        <v>70.319999999999993</v>
      </c>
      <c r="L334" s="3">
        <v>3.3719999999999999</v>
      </c>
      <c r="M334" s="26">
        <v>1.768</v>
      </c>
      <c r="N334" s="448">
        <f t="shared" si="66"/>
        <v>13.2</v>
      </c>
    </row>
    <row r="335" spans="1:17" hidden="1">
      <c r="D335" s="3" t="s">
        <v>401</v>
      </c>
      <c r="I335" s="3">
        <v>462.88</v>
      </c>
      <c r="J335" s="3">
        <v>5.94</v>
      </c>
      <c r="K335" s="3">
        <v>67.91</v>
      </c>
      <c r="L335" s="3">
        <v>3.1507999999999998</v>
      </c>
      <c r="M335" s="3">
        <v>1.752</v>
      </c>
      <c r="N335" s="448">
        <f t="shared" si="66"/>
        <v>12.64</v>
      </c>
    </row>
    <row r="336" spans="1:17" hidden="1">
      <c r="D336" s="3" t="s">
        <v>184</v>
      </c>
      <c r="I336" s="3">
        <v>560.96</v>
      </c>
      <c r="J336" s="3">
        <v>7.27</v>
      </c>
      <c r="K336" s="3">
        <v>85.67</v>
      </c>
      <c r="L336" s="3">
        <v>4.1547999999999998</v>
      </c>
      <c r="M336" s="26">
        <v>1.768</v>
      </c>
      <c r="N336" s="448">
        <f t="shared" si="66"/>
        <v>16</v>
      </c>
    </row>
    <row r="337" spans="4:14" ht="15.5" hidden="1">
      <c r="D337" s="3" t="s">
        <v>1105</v>
      </c>
      <c r="I337" s="3">
        <v>566.29</v>
      </c>
      <c r="J337" s="3">
        <v>7.34</v>
      </c>
      <c r="K337" s="3">
        <v>86.35</v>
      </c>
      <c r="L337" s="551">
        <v>4.2603999999999997</v>
      </c>
      <c r="M337" s="26">
        <v>1.768</v>
      </c>
      <c r="N337" s="448">
        <f t="shared" si="66"/>
        <v>16.2</v>
      </c>
    </row>
    <row r="338" spans="4:14" ht="15.5" hidden="1">
      <c r="D338" s="3" t="s">
        <v>228</v>
      </c>
      <c r="I338" s="3">
        <v>566.29</v>
      </c>
      <c r="J338" s="3">
        <v>7.34</v>
      </c>
      <c r="K338" s="3">
        <v>86.35</v>
      </c>
      <c r="L338" s="551">
        <v>4.2603999999999997</v>
      </c>
      <c r="M338" s="26">
        <v>1.768</v>
      </c>
      <c r="N338" s="448">
        <f t="shared" si="66"/>
        <v>16.2</v>
      </c>
    </row>
    <row r="339" spans="4:14" ht="15.5" hidden="1">
      <c r="D339" s="3" t="s">
        <v>229</v>
      </c>
      <c r="I339" s="3">
        <v>566.29</v>
      </c>
      <c r="J339" s="3">
        <v>7.34</v>
      </c>
      <c r="K339" s="3">
        <v>86.35</v>
      </c>
      <c r="L339" s="551">
        <v>4.2603999999999997</v>
      </c>
      <c r="M339" s="26">
        <v>1.768</v>
      </c>
      <c r="N339" s="448">
        <f t="shared" si="66"/>
        <v>16.2</v>
      </c>
    </row>
    <row r="340" spans="4:14" ht="15.5" hidden="1">
      <c r="D340" s="3" t="s">
        <v>215</v>
      </c>
      <c r="I340" s="3">
        <v>566.29</v>
      </c>
      <c r="J340" s="3">
        <v>7.34</v>
      </c>
      <c r="K340" s="3">
        <v>86.35</v>
      </c>
      <c r="L340" s="551">
        <v>4.2603999999999997</v>
      </c>
      <c r="M340" s="26">
        <v>1.768</v>
      </c>
      <c r="N340" s="448">
        <f t="shared" si="66"/>
        <v>16.2</v>
      </c>
    </row>
    <row r="341" spans="4:14" hidden="1">
      <c r="D341" s="3" t="s">
        <v>185</v>
      </c>
      <c r="I341" s="3">
        <v>606.15</v>
      </c>
      <c r="J341" s="3">
        <v>7.89</v>
      </c>
      <c r="K341" s="3">
        <v>93.55</v>
      </c>
      <c r="L341" s="26">
        <v>4.8167999999999997</v>
      </c>
      <c r="M341" s="26">
        <f t="shared" ref="M341:M349" si="67">2348.757/1000</f>
        <v>2.348757</v>
      </c>
      <c r="N341" s="448">
        <f t="shared" si="66"/>
        <v>17.75</v>
      </c>
    </row>
    <row r="342" spans="4:14" hidden="1">
      <c r="D342" s="3" t="s">
        <v>217</v>
      </c>
      <c r="I342" s="3">
        <v>609.84</v>
      </c>
      <c r="J342" s="3">
        <v>7.94</v>
      </c>
      <c r="K342" s="3">
        <v>94.04</v>
      </c>
      <c r="L342" s="3">
        <v>4.7939999999999996</v>
      </c>
      <c r="M342" s="26">
        <f t="shared" si="67"/>
        <v>2.348757</v>
      </c>
      <c r="N342" s="448">
        <f t="shared" si="66"/>
        <v>17.8</v>
      </c>
    </row>
    <row r="343" spans="4:14" hidden="1">
      <c r="D343" s="3" t="s">
        <v>214</v>
      </c>
      <c r="I343" s="3">
        <v>609.84</v>
      </c>
      <c r="J343" s="3">
        <v>7.94</v>
      </c>
      <c r="K343" s="3">
        <v>94.04</v>
      </c>
      <c r="L343" s="3">
        <v>4.7939999999999996</v>
      </c>
      <c r="M343" s="26">
        <f t="shared" si="67"/>
        <v>2.348757</v>
      </c>
      <c r="N343" s="448">
        <f t="shared" si="66"/>
        <v>17.8</v>
      </c>
    </row>
    <row r="344" spans="4:14" hidden="1">
      <c r="D344" s="3" t="s">
        <v>210</v>
      </c>
      <c r="I344" s="3">
        <v>609.84</v>
      </c>
      <c r="J344" s="3">
        <v>7.94</v>
      </c>
      <c r="K344" s="3">
        <v>94.04</v>
      </c>
      <c r="L344" s="3">
        <v>4.7939999999999996</v>
      </c>
      <c r="M344" s="26">
        <f t="shared" si="67"/>
        <v>2.348757</v>
      </c>
      <c r="N344" s="448">
        <f t="shared" si="66"/>
        <v>17.8</v>
      </c>
    </row>
    <row r="345" spans="4:14" hidden="1">
      <c r="D345" s="3" t="s">
        <v>173</v>
      </c>
      <c r="I345" s="3">
        <v>693.86</v>
      </c>
      <c r="J345" s="3">
        <v>9.09</v>
      </c>
      <c r="K345" s="3">
        <v>115.43</v>
      </c>
      <c r="L345" s="26">
        <v>5.6909999999999998</v>
      </c>
      <c r="M345" s="26">
        <f t="shared" si="67"/>
        <v>2.348757</v>
      </c>
      <c r="N345" s="112">
        <f t="shared" si="66"/>
        <v>21.43</v>
      </c>
    </row>
    <row r="346" spans="4:14" hidden="1">
      <c r="D346" s="3" t="s">
        <v>250</v>
      </c>
      <c r="I346" s="3">
        <v>693.86</v>
      </c>
      <c r="J346" s="3">
        <v>9.09</v>
      </c>
      <c r="K346" s="3">
        <v>115.43</v>
      </c>
      <c r="L346" s="26">
        <v>5.6909999999999998</v>
      </c>
      <c r="M346" s="26">
        <f t="shared" si="67"/>
        <v>2.348757</v>
      </c>
      <c r="N346" s="112">
        <f>ROUND((I346*230.35+J346*10150.5+K346*11591.45+L346*93958.18+M346*7677.44)/10^5,2)</f>
        <v>21.43</v>
      </c>
    </row>
    <row r="347" spans="4:14" hidden="1">
      <c r="D347" s="3" t="s">
        <v>219</v>
      </c>
      <c r="I347" s="3">
        <v>713.71</v>
      </c>
      <c r="J347" s="3">
        <v>9.36</v>
      </c>
      <c r="K347" s="3">
        <v>115.67</v>
      </c>
      <c r="L347" s="3">
        <v>6.2060000000000004</v>
      </c>
      <c r="M347" s="26">
        <f t="shared" si="67"/>
        <v>2.348757</v>
      </c>
      <c r="N347" s="448">
        <f t="shared" si="66"/>
        <v>22.01</v>
      </c>
    </row>
    <row r="348" spans="4:14" hidden="1">
      <c r="D348" s="3" t="s">
        <v>230</v>
      </c>
      <c r="I348" s="3">
        <v>713.71</v>
      </c>
      <c r="J348" s="3">
        <v>9.36</v>
      </c>
      <c r="K348" s="3">
        <v>115.67</v>
      </c>
      <c r="L348" s="3">
        <v>6.2060000000000004</v>
      </c>
      <c r="M348" s="26">
        <f t="shared" si="67"/>
        <v>2.348757</v>
      </c>
      <c r="N348" s="448">
        <f t="shared" si="66"/>
        <v>22.01</v>
      </c>
    </row>
    <row r="349" spans="4:14" hidden="1">
      <c r="D349" s="3" t="s">
        <v>216</v>
      </c>
      <c r="I349" s="3">
        <v>713.71</v>
      </c>
      <c r="J349" s="3">
        <v>9.36</v>
      </c>
      <c r="K349" s="3">
        <v>115.67</v>
      </c>
      <c r="L349" s="3">
        <v>6.2060000000000004</v>
      </c>
      <c r="M349" s="26">
        <f t="shared" si="67"/>
        <v>2.348757</v>
      </c>
      <c r="N349" s="448">
        <f t="shared" si="66"/>
        <v>22.01</v>
      </c>
    </row>
    <row r="350" spans="4:14" hidden="1">
      <c r="D350" s="3" t="s">
        <v>428</v>
      </c>
      <c r="I350" s="3">
        <v>689.93</v>
      </c>
      <c r="J350" s="3">
        <v>9.0299999999999994</v>
      </c>
      <c r="K350" s="3">
        <v>112.22</v>
      </c>
      <c r="L350" s="3">
        <v>5.8468</v>
      </c>
      <c r="M350" s="26">
        <f>2234.929/1000</f>
        <v>2.2349290000000002</v>
      </c>
      <c r="N350" s="448">
        <f t="shared" si="66"/>
        <v>21.18</v>
      </c>
    </row>
    <row r="351" spans="4:14" hidden="1">
      <c r="D351" s="3" t="s">
        <v>280</v>
      </c>
      <c r="I351" s="78">
        <v>852</v>
      </c>
      <c r="J351" s="3">
        <v>11.25</v>
      </c>
      <c r="K351" s="3">
        <v>116.5</v>
      </c>
      <c r="L351" s="3">
        <v>10.087999999999999</v>
      </c>
      <c r="M351" s="26">
        <f>2494.703/1000</f>
        <v>2.4947029999999999</v>
      </c>
      <c r="N351" s="448">
        <f t="shared" si="66"/>
        <v>26.28</v>
      </c>
    </row>
    <row r="352" spans="4:14" hidden="1">
      <c r="D352" s="3" t="s">
        <v>178</v>
      </c>
      <c r="I352" s="78">
        <v>852</v>
      </c>
      <c r="J352" s="3">
        <v>11.25</v>
      </c>
      <c r="K352" s="3">
        <v>116.5</v>
      </c>
      <c r="L352" s="3">
        <v>10.087999999999999</v>
      </c>
      <c r="M352" s="26">
        <f>2494.703/1000</f>
        <v>2.4947029999999999</v>
      </c>
      <c r="N352" s="448">
        <f t="shared" si="66"/>
        <v>26.28</v>
      </c>
    </row>
    <row r="353" spans="4:14" hidden="1">
      <c r="D353" s="3" t="s">
        <v>183</v>
      </c>
      <c r="I353" s="78">
        <v>876</v>
      </c>
      <c r="J353" s="3">
        <v>11.58</v>
      </c>
      <c r="K353" s="3">
        <v>118.71</v>
      </c>
      <c r="L353" s="3">
        <v>10.694000000000001</v>
      </c>
      <c r="M353" s="26">
        <f>2494.703/1000</f>
        <v>2.4947029999999999</v>
      </c>
      <c r="N353" s="448">
        <f t="shared" si="66"/>
        <v>27.19</v>
      </c>
    </row>
    <row r="354" spans="4:14" hidden="1">
      <c r="D354" s="3" t="s">
        <v>231</v>
      </c>
      <c r="I354" s="78">
        <v>876</v>
      </c>
      <c r="J354" s="3">
        <v>11.58</v>
      </c>
      <c r="K354" s="3">
        <v>118.71</v>
      </c>
      <c r="L354" s="3">
        <v>10.694000000000001</v>
      </c>
      <c r="M354" s="26">
        <f>2494.703/1000</f>
        <v>2.4947029999999999</v>
      </c>
      <c r="N354" s="448">
        <f t="shared" si="66"/>
        <v>27.19</v>
      </c>
    </row>
    <row r="355" spans="4:14" hidden="1">
      <c r="D355" s="3" t="s">
        <v>208</v>
      </c>
      <c r="I355" s="78">
        <v>876</v>
      </c>
      <c r="J355" s="3">
        <v>11.58</v>
      </c>
      <c r="K355" s="3">
        <v>118.71</v>
      </c>
      <c r="L355" s="3">
        <v>10.694000000000001</v>
      </c>
      <c r="M355" s="26">
        <f>2494.703/1000</f>
        <v>2.4947029999999999</v>
      </c>
      <c r="N355" s="448">
        <f t="shared" si="66"/>
        <v>27.19</v>
      </c>
    </row>
    <row r="356" spans="4:14" hidden="1">
      <c r="D356" s="3" t="s">
        <v>188</v>
      </c>
      <c r="I356" s="3">
        <v>997.27</v>
      </c>
      <c r="J356" s="3">
        <v>13.25</v>
      </c>
      <c r="K356" s="3">
        <v>185.89</v>
      </c>
      <c r="L356" s="3">
        <v>10.698</v>
      </c>
      <c r="M356" s="26">
        <f t="shared" ref="M356:M361" si="68">3159.301/1000</f>
        <v>3.1593010000000001</v>
      </c>
      <c r="N356" s="448">
        <f t="shared" si="66"/>
        <v>35.479999999999997</v>
      </c>
    </row>
    <row r="357" spans="4:14" hidden="1">
      <c r="D357" s="3" t="s">
        <v>213</v>
      </c>
      <c r="I357" s="3">
        <v>1025.83</v>
      </c>
      <c r="J357" s="3">
        <v>13.65</v>
      </c>
      <c r="K357" s="3">
        <v>190.99</v>
      </c>
      <c r="L357" s="3">
        <v>11.554</v>
      </c>
      <c r="M357" s="26">
        <f t="shared" si="68"/>
        <v>3.1593010000000001</v>
      </c>
      <c r="N357" s="448">
        <f t="shared" si="66"/>
        <v>36.99</v>
      </c>
    </row>
    <row r="358" spans="4:14" hidden="1">
      <c r="D358" s="3" t="s">
        <v>212</v>
      </c>
      <c r="I358" s="3">
        <v>1025.83</v>
      </c>
      <c r="J358" s="3">
        <v>13.65</v>
      </c>
      <c r="K358" s="3">
        <v>190.99</v>
      </c>
      <c r="L358" s="3">
        <v>11.554</v>
      </c>
      <c r="M358" s="26">
        <f t="shared" si="68"/>
        <v>3.1593010000000001</v>
      </c>
      <c r="N358" s="448">
        <f t="shared" si="66"/>
        <v>36.99</v>
      </c>
    </row>
    <row r="359" spans="4:14" hidden="1">
      <c r="D359" s="3" t="s">
        <v>209</v>
      </c>
      <c r="I359" s="3">
        <v>1025.83</v>
      </c>
      <c r="J359" s="3">
        <v>13.65</v>
      </c>
      <c r="K359" s="3">
        <v>190.99</v>
      </c>
      <c r="L359" s="3">
        <v>11.554</v>
      </c>
      <c r="M359" s="26">
        <f t="shared" si="68"/>
        <v>3.1593010000000001</v>
      </c>
      <c r="N359" s="448">
        <f t="shared" si="66"/>
        <v>36.99</v>
      </c>
    </row>
    <row r="360" spans="4:14" hidden="1">
      <c r="D360" s="3" t="s">
        <v>186</v>
      </c>
      <c r="I360" s="3">
        <v>1042.68</v>
      </c>
      <c r="J360" s="3">
        <v>13.88</v>
      </c>
      <c r="K360" s="3">
        <v>194</v>
      </c>
      <c r="L360" s="26">
        <v>12.18</v>
      </c>
      <c r="M360" s="26">
        <f t="shared" si="68"/>
        <v>3.1593010000000001</v>
      </c>
      <c r="N360" s="448">
        <f t="shared" si="66"/>
        <v>37.979999999999997</v>
      </c>
    </row>
    <row r="361" spans="4:14" hidden="1">
      <c r="D361" s="3" t="s">
        <v>218</v>
      </c>
      <c r="I361" s="3">
        <v>1042.68</v>
      </c>
      <c r="J361" s="3">
        <v>13.88</v>
      </c>
      <c r="K361" s="3">
        <v>194</v>
      </c>
      <c r="L361" s="26">
        <v>12.18</v>
      </c>
      <c r="M361" s="26">
        <f t="shared" si="68"/>
        <v>3.1593010000000001</v>
      </c>
      <c r="N361" s="448">
        <f t="shared" si="66"/>
        <v>37.979999999999997</v>
      </c>
    </row>
    <row r="362" spans="4:14" hidden="1">
      <c r="D362" s="3" t="s">
        <v>429</v>
      </c>
      <c r="I362" s="78">
        <v>999.64</v>
      </c>
      <c r="J362" s="3">
        <v>13.28</v>
      </c>
      <c r="K362" s="3">
        <v>186.31</v>
      </c>
      <c r="L362" s="26">
        <v>11.581</v>
      </c>
      <c r="M362" s="26">
        <f>3379.976/1000</f>
        <v>3.3799760000000001</v>
      </c>
      <c r="N362" s="448">
        <f t="shared" si="66"/>
        <v>36.39</v>
      </c>
    </row>
    <row r="363" spans="4:14">
      <c r="D363" s="3" t="s">
        <v>1425</v>
      </c>
      <c r="I363" s="3">
        <v>323.91000000000003</v>
      </c>
      <c r="J363" s="3">
        <v>4.07</v>
      </c>
      <c r="K363" s="3">
        <v>47.75</v>
      </c>
      <c r="L363" s="3">
        <v>3.9489999999999998</v>
      </c>
      <c r="M363" s="3">
        <v>1.3660000000000001</v>
      </c>
      <c r="N363" s="448">
        <f>ROUND((I363*230.35+J363*10150.5+K363*11591.45+L363*93958.18+M363*7677.44)/10^5,2)</f>
        <v>10.51</v>
      </c>
    </row>
    <row r="364" spans="4:14">
      <c r="D364" s="3" t="s">
        <v>1426</v>
      </c>
      <c r="I364" s="3">
        <v>484.04</v>
      </c>
      <c r="J364" s="3">
        <v>6.23</v>
      </c>
      <c r="K364" s="3">
        <v>78.87</v>
      </c>
      <c r="L364" s="3">
        <v>4.7530000000000001</v>
      </c>
      <c r="M364" s="3">
        <v>2.7090000000000001</v>
      </c>
      <c r="N364" s="448">
        <f t="shared" si="66"/>
        <v>15.56</v>
      </c>
    </row>
    <row r="365" spans="4:14">
      <c r="D365" s="3" t="s">
        <v>1427</v>
      </c>
      <c r="I365" s="3">
        <v>1071.875</v>
      </c>
      <c r="J365" s="3">
        <f>3.57*4</f>
        <v>14.28</v>
      </c>
      <c r="K365" s="3">
        <f>36.01*4</f>
        <v>144.04</v>
      </c>
      <c r="L365" s="3">
        <v>18.759</v>
      </c>
      <c r="M365" s="3">
        <v>4.9779999999999998</v>
      </c>
      <c r="N365" s="448">
        <f t="shared" si="66"/>
        <v>38.619999999999997</v>
      </c>
    </row>
    <row r="555" spans="1:17">
      <c r="A555" s="13"/>
      <c r="B555" s="13"/>
      <c r="C555" s="115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</row>
    <row r="556" spans="1:17">
      <c r="A556" s="13"/>
      <c r="B556" s="13"/>
      <c r="C556" s="115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</row>
    <row r="557" spans="1:17">
      <c r="A557" s="13"/>
      <c r="B557" s="13"/>
      <c r="C557" s="115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</row>
    <row r="558" spans="1:17">
      <c r="B558" s="103"/>
      <c r="C558" s="116"/>
      <c r="D558" s="103"/>
      <c r="E558" s="103"/>
      <c r="F558" s="103"/>
      <c r="G558" s="103"/>
      <c r="H558" s="104"/>
      <c r="I558" s="144"/>
      <c r="J558" s="105"/>
      <c r="K558" s="105"/>
      <c r="L558" s="142"/>
      <c r="M558" s="143"/>
      <c r="N558" s="106"/>
      <c r="O558" s="104"/>
      <c r="P558" s="104"/>
      <c r="Q558" s="104"/>
    </row>
  </sheetData>
  <autoFilter ref="A4:Q362" xr:uid="{00000000-0001-0000-0500-000000000000}">
    <filterColumn colId="7">
      <filters>
        <filter val="Karni Kripa Trading Company"/>
      </filters>
    </filterColumn>
  </autoFilter>
  <mergeCells count="2">
    <mergeCell ref="A1:Q1"/>
    <mergeCell ref="A2:Q2"/>
  </mergeCells>
  <phoneticPr fontId="6" type="noConversion"/>
  <conditionalFormatting sqref="C1:C2 C4:C321 C326:C331 C335:C337 C345:C347 C354:C379 C416:C432 C435:C437 C480:C503 C538:C557 C560:C65799">
    <cfRule type="expression" dxfId="69" priority="1159" stopIfTrue="1">
      <formula>AND(COUNTIF($C$560:$C$65799, C1)+COUNTIF($C$345:$C$347, C1)+COUNTIF($C$326:$C$331, C1)+COUNTIF($C$1:$C$27, C1)+COUNTIF($C$32:$C$143, C1)+COUNTIF($C$152:$C$296, C1)+COUNTIF($C$335:$C$336, C1)+COUNTIF($C$354:$C$379, C1)+COUNTIF($C$416:$C$432, C1)+COUNTIF($C$435:$C$437, C1)+COUNTIF($C$480:$C$503, C1)+COUNTIF($C$538:$C$557, C1)&gt;1,NOT(ISBLANK(C1)))</formula>
    </cfRule>
  </conditionalFormatting>
  <conditionalFormatting sqref="C1:C241 C243:C1048576">
    <cfRule type="duplicateValues" dxfId="68" priority="17"/>
    <cfRule type="duplicateValues" dxfId="67" priority="18"/>
  </conditionalFormatting>
  <conditionalFormatting sqref="C4:C321 C1:C2 C326:C331 C335:C337 C345:C347 C354:C379 C416:C432 C435:C437 C480:C503 C538:C557 C560:C65799">
    <cfRule type="expression" dxfId="66" priority="1141" stopIfTrue="1">
      <formula>AND(COUNTIF($C$560:$C$65799, C1)+COUNTIF($C$345:$C$347, C1)+COUNTIF($C$326:$C$331, C1)+COUNTIF($C$1:$C$16, C1)+COUNTIF($C$18:$C$27, C1)+COUNTIF($C$32:$C$143, C1)+COUNTIF($C$152:$C$296, C1)+COUNTIF($C$335:$C$336, C1)+COUNTIF($C$354:$C$379, C1)+COUNTIF($C$416:$C$432, C1)+COUNTIF($C$435:$C$437, C1)+COUNTIF($C$480:$C$503, C1)+COUNTIF($C$538:$C$557, C1)&gt;1,NOT(ISBLANK(C1)))</formula>
    </cfRule>
  </conditionalFormatting>
  <conditionalFormatting sqref="C5:C29 C32:C43 C45:C60">
    <cfRule type="expression" dxfId="65" priority="739" stopIfTrue="1">
      <formula>AND(COUNTIF($C$5:$C$29, C5)+COUNTIF($C$32:$C$35, C5)&gt;1,NOT(ISBLANK(C5)))</formula>
    </cfRule>
  </conditionalFormatting>
  <conditionalFormatting sqref="C28">
    <cfRule type="duplicateValues" dxfId="64" priority="115"/>
  </conditionalFormatting>
  <conditionalFormatting sqref="C30:C31">
    <cfRule type="duplicateValues" dxfId="63" priority="112"/>
    <cfRule type="duplicateValues" dxfId="62" priority="113"/>
    <cfRule type="duplicateValues" dxfId="61" priority="114"/>
  </conditionalFormatting>
  <conditionalFormatting sqref="C242">
    <cfRule type="duplicateValues" dxfId="60" priority="1"/>
    <cfRule type="duplicateValues" dxfId="59" priority="2"/>
  </conditionalFormatting>
  <conditionalFormatting sqref="C380:C382">
    <cfRule type="duplicateValues" dxfId="58" priority="98"/>
    <cfRule type="duplicateValues" dxfId="57" priority="99"/>
  </conditionalFormatting>
  <conditionalFormatting sqref="C383:C397">
    <cfRule type="duplicateValues" dxfId="56" priority="583"/>
  </conditionalFormatting>
  <conditionalFormatting sqref="C398:C399">
    <cfRule type="duplicateValues" dxfId="55" priority="93"/>
  </conditionalFormatting>
  <conditionalFormatting sqref="C400:C401">
    <cfRule type="duplicateValues" dxfId="54" priority="94"/>
  </conditionalFormatting>
  <conditionalFormatting sqref="C402:C406">
    <cfRule type="duplicateValues" dxfId="53" priority="95"/>
  </conditionalFormatting>
  <conditionalFormatting sqref="C558:E558">
    <cfRule type="cellIs" dxfId="52" priority="74" operator="lessThan">
      <formula>0</formula>
    </cfRule>
  </conditionalFormatting>
  <pageMargins left="0.19" right="0.2" top="0.75" bottom="0.75" header="0.3" footer="0.3"/>
  <pageSetup paperSize="9" scale="62" fitToHeight="0" orientation="landscape" r:id="rId1"/>
  <rowBreaks count="6" manualBreakCount="6">
    <brk id="29" max="16" man="1"/>
    <brk id="56" max="16" man="1"/>
    <brk id="84" max="16" man="1"/>
    <brk id="111" max="16" man="1"/>
    <brk id="140" max="16" man="1"/>
    <brk id="236" max="16" man="1"/>
  </rowBreaks>
  <ignoredErrors>
    <ignoredError sqref="F206 F213 D264 D289 D293 D286" formula="1"/>
  </ignoredError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3F870-0A18-45A5-8938-2C75126AE1DE}">
  <sheetPr>
    <tabColor rgb="FFFFFF00"/>
  </sheetPr>
  <dimension ref="A1:H65"/>
  <sheetViews>
    <sheetView zoomScale="86" workbookViewId="0">
      <selection activeCell="C23" sqref="C23"/>
    </sheetView>
  </sheetViews>
  <sheetFormatPr defaultRowHeight="14.5"/>
  <cols>
    <col min="2" max="2" width="15.7265625" customWidth="1"/>
    <col min="3" max="3" width="18.54296875" customWidth="1"/>
    <col min="4" max="5" width="13.1796875" customWidth="1"/>
    <col min="6" max="6" width="21.54296875" customWidth="1"/>
    <col min="7" max="7" width="15.81640625" customWidth="1"/>
    <col min="8" max="8" width="19.54296875" customWidth="1"/>
  </cols>
  <sheetData>
    <row r="1" spans="1:8" ht="1.5" customHeight="1"/>
    <row r="2" spans="1:8" ht="18.5">
      <c r="A2" s="1629" t="s">
        <v>1668</v>
      </c>
      <c r="B2" s="1629"/>
      <c r="C2" s="1629"/>
      <c r="D2" s="1629"/>
      <c r="E2" s="1629"/>
      <c r="F2" s="1629"/>
      <c r="G2" s="1629"/>
      <c r="H2" s="1629"/>
    </row>
    <row r="3" spans="1:8" ht="26.25" customHeight="1">
      <c r="A3" s="1170" t="s">
        <v>1662</v>
      </c>
      <c r="B3" s="1170" t="s">
        <v>1663</v>
      </c>
      <c r="C3" s="1170" t="s">
        <v>44</v>
      </c>
      <c r="D3" s="1170" t="s">
        <v>1664</v>
      </c>
      <c r="E3" s="1170" t="s">
        <v>1674</v>
      </c>
      <c r="F3" s="1170" t="s">
        <v>1665</v>
      </c>
      <c r="G3" s="1170" t="s">
        <v>1666</v>
      </c>
      <c r="H3" s="1170" t="s">
        <v>1667</v>
      </c>
    </row>
    <row r="4" spans="1:8">
      <c r="A4" s="68">
        <v>1</v>
      </c>
      <c r="B4" s="1169" t="s">
        <v>268</v>
      </c>
      <c r="C4" s="1169" t="s">
        <v>188</v>
      </c>
      <c r="D4" s="68" t="s">
        <v>387</v>
      </c>
      <c r="E4" s="68">
        <v>918</v>
      </c>
      <c r="F4" s="89"/>
      <c r="G4" s="68"/>
      <c r="H4" s="89"/>
    </row>
    <row r="5" spans="1:8">
      <c r="A5" s="68">
        <v>2</v>
      </c>
      <c r="B5" s="717" t="s">
        <v>1248</v>
      </c>
      <c r="C5" s="717" t="s">
        <v>178</v>
      </c>
      <c r="D5" s="68" t="s">
        <v>498</v>
      </c>
      <c r="E5" s="68">
        <v>918</v>
      </c>
      <c r="F5" s="89"/>
      <c r="G5" s="89" t="s">
        <v>255</v>
      </c>
      <c r="H5" s="89" t="s">
        <v>1669</v>
      </c>
    </row>
    <row r="6" spans="1:8">
      <c r="A6" s="68">
        <v>3</v>
      </c>
      <c r="B6" s="612" t="s">
        <v>1256</v>
      </c>
      <c r="C6" s="612" t="s">
        <v>183</v>
      </c>
      <c r="D6" s="68" t="s">
        <v>498</v>
      </c>
      <c r="E6" s="68">
        <v>918</v>
      </c>
      <c r="F6" s="89"/>
      <c r="G6" s="89" t="s">
        <v>255</v>
      </c>
      <c r="H6" s="89" t="s">
        <v>1669</v>
      </c>
    </row>
    <row r="7" spans="1:8">
      <c r="A7" s="68">
        <v>4</v>
      </c>
      <c r="B7" s="612" t="s">
        <v>1263</v>
      </c>
      <c r="C7" s="612" t="s">
        <v>211</v>
      </c>
      <c r="D7" s="68" t="s">
        <v>389</v>
      </c>
      <c r="E7" s="68">
        <f t="shared" ref="E7:E18" si="0">23*36</f>
        <v>828</v>
      </c>
      <c r="F7" s="89"/>
      <c r="G7" s="89" t="s">
        <v>255</v>
      </c>
      <c r="H7" s="89" t="s">
        <v>1669</v>
      </c>
    </row>
    <row r="8" spans="1:8">
      <c r="A8" s="68">
        <v>5</v>
      </c>
      <c r="B8" s="717" t="s">
        <v>256</v>
      </c>
      <c r="C8" s="717" t="s">
        <v>215</v>
      </c>
      <c r="D8" s="68" t="s">
        <v>388</v>
      </c>
      <c r="E8" s="68">
        <f t="shared" si="0"/>
        <v>828</v>
      </c>
      <c r="F8" s="89"/>
      <c r="G8" s="89" t="s">
        <v>255</v>
      </c>
      <c r="H8" s="89" t="s">
        <v>1669</v>
      </c>
    </row>
    <row r="9" spans="1:8">
      <c r="A9" s="68">
        <v>6</v>
      </c>
      <c r="B9" s="612" t="s">
        <v>890</v>
      </c>
      <c r="C9" s="612" t="s">
        <v>226</v>
      </c>
      <c r="D9" s="68" t="s">
        <v>389</v>
      </c>
      <c r="E9" s="68">
        <f t="shared" si="0"/>
        <v>828</v>
      </c>
      <c r="F9" s="89"/>
      <c r="G9" s="89" t="s">
        <v>255</v>
      </c>
      <c r="H9" s="89" t="s">
        <v>1669</v>
      </c>
    </row>
    <row r="10" spans="1:8">
      <c r="A10" s="68">
        <v>7</v>
      </c>
      <c r="B10" s="612" t="s">
        <v>257</v>
      </c>
      <c r="C10" s="612" t="s">
        <v>227</v>
      </c>
      <c r="D10" s="68" t="s">
        <v>389</v>
      </c>
      <c r="E10" s="68">
        <f t="shared" si="0"/>
        <v>828</v>
      </c>
      <c r="F10" s="89"/>
      <c r="G10" s="89" t="s">
        <v>255</v>
      </c>
      <c r="H10" s="89" t="s">
        <v>1669</v>
      </c>
    </row>
    <row r="11" spans="1:8">
      <c r="A11" s="68">
        <v>8</v>
      </c>
      <c r="B11" s="612" t="s">
        <v>672</v>
      </c>
      <c r="C11" s="612" t="s">
        <v>401</v>
      </c>
      <c r="D11" s="68" t="s">
        <v>389</v>
      </c>
      <c r="E11" s="68">
        <f t="shared" si="0"/>
        <v>828</v>
      </c>
      <c r="F11" s="89"/>
      <c r="G11" s="89" t="s">
        <v>255</v>
      </c>
      <c r="H11" s="89" t="s">
        <v>1669</v>
      </c>
    </row>
    <row r="12" spans="1:8">
      <c r="A12" s="68">
        <v>9</v>
      </c>
      <c r="B12" s="612" t="s">
        <v>258</v>
      </c>
      <c r="C12" s="612" t="s">
        <v>211</v>
      </c>
      <c r="D12" s="68" t="s">
        <v>389</v>
      </c>
      <c r="E12" s="68">
        <f t="shared" si="0"/>
        <v>828</v>
      </c>
      <c r="F12" s="89"/>
      <c r="G12" s="89" t="s">
        <v>255</v>
      </c>
      <c r="H12" s="89" t="s">
        <v>1669</v>
      </c>
    </row>
    <row r="13" spans="1:8">
      <c r="A13" s="68">
        <v>10</v>
      </c>
      <c r="B13" s="612" t="s">
        <v>261</v>
      </c>
      <c r="C13" s="612" t="s">
        <v>184</v>
      </c>
      <c r="D13" s="68" t="s">
        <v>388</v>
      </c>
      <c r="E13" s="68">
        <f t="shared" si="0"/>
        <v>828</v>
      </c>
      <c r="F13" s="89"/>
      <c r="G13" s="89" t="s">
        <v>255</v>
      </c>
      <c r="H13" s="89" t="s">
        <v>1669</v>
      </c>
    </row>
    <row r="14" spans="1:8">
      <c r="A14" s="68">
        <v>11</v>
      </c>
      <c r="B14" s="612" t="s">
        <v>491</v>
      </c>
      <c r="C14" s="612" t="s">
        <v>227</v>
      </c>
      <c r="D14" s="68" t="s">
        <v>389</v>
      </c>
      <c r="E14" s="68">
        <f t="shared" si="0"/>
        <v>828</v>
      </c>
      <c r="F14" s="89"/>
      <c r="G14" s="89" t="s">
        <v>255</v>
      </c>
      <c r="H14" s="89" t="s">
        <v>1669</v>
      </c>
    </row>
    <row r="15" spans="1:8">
      <c r="A15" s="68">
        <v>12</v>
      </c>
      <c r="B15" s="612" t="s">
        <v>262</v>
      </c>
      <c r="C15" s="612" t="s">
        <v>197</v>
      </c>
      <c r="D15" s="68" t="s">
        <v>389</v>
      </c>
      <c r="E15" s="68">
        <f t="shared" si="0"/>
        <v>828</v>
      </c>
      <c r="F15" s="89"/>
      <c r="G15" s="89" t="s">
        <v>255</v>
      </c>
      <c r="H15" s="89" t="s">
        <v>1669</v>
      </c>
    </row>
    <row r="16" spans="1:8">
      <c r="A16" s="68">
        <v>13</v>
      </c>
      <c r="B16" s="612" t="s">
        <v>482</v>
      </c>
      <c r="C16" s="612" t="s">
        <v>401</v>
      </c>
      <c r="D16" s="68" t="s">
        <v>389</v>
      </c>
      <c r="E16" s="68">
        <f t="shared" si="0"/>
        <v>828</v>
      </c>
      <c r="F16" s="89"/>
      <c r="G16" s="89" t="s">
        <v>255</v>
      </c>
      <c r="H16" s="89" t="s">
        <v>1669</v>
      </c>
    </row>
    <row r="17" spans="1:8">
      <c r="A17" s="68">
        <v>14</v>
      </c>
      <c r="B17" s="612" t="s">
        <v>263</v>
      </c>
      <c r="C17" s="612" t="s">
        <v>401</v>
      </c>
      <c r="D17" s="68" t="s">
        <v>389</v>
      </c>
      <c r="E17" s="68">
        <f t="shared" si="0"/>
        <v>828</v>
      </c>
      <c r="F17" s="89"/>
      <c r="G17" s="89" t="s">
        <v>255</v>
      </c>
      <c r="H17" s="89" t="s">
        <v>1669</v>
      </c>
    </row>
    <row r="18" spans="1:8">
      <c r="A18" s="68">
        <v>15</v>
      </c>
      <c r="B18" s="612" t="s">
        <v>264</v>
      </c>
      <c r="C18" s="612" t="s">
        <v>227</v>
      </c>
      <c r="D18" s="68" t="s">
        <v>389</v>
      </c>
      <c r="E18" s="68">
        <f t="shared" si="0"/>
        <v>828</v>
      </c>
      <c r="F18" s="89"/>
      <c r="G18" s="89" t="s">
        <v>255</v>
      </c>
      <c r="H18" s="89" t="s">
        <v>1669</v>
      </c>
    </row>
    <row r="19" spans="1:8">
      <c r="A19" s="68">
        <v>16</v>
      </c>
      <c r="B19" s="612" t="s">
        <v>265</v>
      </c>
      <c r="C19" s="612" t="s">
        <v>178</v>
      </c>
      <c r="D19" s="68" t="s">
        <v>498</v>
      </c>
      <c r="E19" s="68">
        <v>918</v>
      </c>
      <c r="F19" s="89"/>
      <c r="G19" s="89" t="s">
        <v>255</v>
      </c>
      <c r="H19" s="89" t="s">
        <v>1669</v>
      </c>
    </row>
    <row r="20" spans="1:8">
      <c r="A20" s="68">
        <v>17</v>
      </c>
      <c r="B20" s="612" t="s">
        <v>266</v>
      </c>
      <c r="C20" s="612" t="s">
        <v>211</v>
      </c>
      <c r="D20" s="68" t="s">
        <v>389</v>
      </c>
      <c r="E20" s="68">
        <f>23*36</f>
        <v>828</v>
      </c>
      <c r="F20" s="89"/>
      <c r="G20" s="89"/>
      <c r="H20" s="89"/>
    </row>
    <row r="21" spans="1:8">
      <c r="A21" s="68">
        <v>18</v>
      </c>
      <c r="B21" s="612" t="s">
        <v>267</v>
      </c>
      <c r="C21" s="612" t="s">
        <v>209</v>
      </c>
      <c r="D21" s="68" t="s">
        <v>387</v>
      </c>
      <c r="E21" s="68">
        <v>918</v>
      </c>
      <c r="F21" s="89"/>
      <c r="G21" s="89"/>
      <c r="H21" s="89"/>
    </row>
    <row r="22" spans="1:8">
      <c r="A22" s="68">
        <v>19</v>
      </c>
      <c r="B22" s="612" t="s">
        <v>483</v>
      </c>
      <c r="C22" s="612" t="s">
        <v>211</v>
      </c>
      <c r="D22" s="68" t="s">
        <v>389</v>
      </c>
      <c r="E22" s="68">
        <f>23*36</f>
        <v>828</v>
      </c>
      <c r="F22" s="89"/>
      <c r="G22" s="89"/>
      <c r="H22" s="89"/>
    </row>
    <row r="23" spans="1:8">
      <c r="A23" s="68">
        <v>20</v>
      </c>
      <c r="B23" s="612" t="s">
        <v>11</v>
      </c>
      <c r="C23" s="612" t="s">
        <v>218</v>
      </c>
      <c r="D23" s="68" t="s">
        <v>387</v>
      </c>
      <c r="E23" s="68">
        <v>918</v>
      </c>
      <c r="F23" s="89"/>
      <c r="G23" s="89"/>
      <c r="H23" s="89"/>
    </row>
    <row r="24" spans="1:8">
      <c r="A24" s="68">
        <v>21</v>
      </c>
      <c r="B24" s="612" t="s">
        <v>167</v>
      </c>
      <c r="C24" s="612" t="s">
        <v>218</v>
      </c>
      <c r="D24" s="68" t="s">
        <v>387</v>
      </c>
      <c r="E24" s="68">
        <v>918</v>
      </c>
      <c r="F24" s="89"/>
      <c r="G24" s="89"/>
      <c r="H24" s="89"/>
    </row>
    <row r="25" spans="1:8">
      <c r="A25" s="68">
        <v>22</v>
      </c>
      <c r="B25" s="612" t="s">
        <v>12</v>
      </c>
      <c r="C25" s="612" t="s">
        <v>173</v>
      </c>
      <c r="D25" s="68" t="s">
        <v>497</v>
      </c>
      <c r="E25" s="68"/>
      <c r="F25" s="89"/>
      <c r="G25" s="89"/>
      <c r="H25" s="89"/>
    </row>
    <row r="26" spans="1:8">
      <c r="A26" s="68">
        <v>23</v>
      </c>
      <c r="B26" s="612" t="s">
        <v>13</v>
      </c>
      <c r="C26" s="612" t="s">
        <v>217</v>
      </c>
      <c r="D26" s="68" t="s">
        <v>1235</v>
      </c>
      <c r="E26" s="68"/>
      <c r="F26" s="89"/>
      <c r="G26" s="89"/>
      <c r="H26" s="89"/>
    </row>
    <row r="27" spans="1:8">
      <c r="A27" s="68">
        <v>24</v>
      </c>
      <c r="B27" s="612" t="s">
        <v>51</v>
      </c>
      <c r="C27" s="612" t="s">
        <v>229</v>
      </c>
      <c r="D27" s="68" t="s">
        <v>388</v>
      </c>
      <c r="E27" s="68">
        <f>23*36</f>
        <v>828</v>
      </c>
      <c r="F27" s="89"/>
      <c r="G27" s="89"/>
      <c r="H27" s="89"/>
    </row>
    <row r="28" spans="1:8">
      <c r="A28" s="68">
        <v>25</v>
      </c>
      <c r="B28" s="612" t="s">
        <v>52</v>
      </c>
      <c r="C28" s="612" t="s">
        <v>213</v>
      </c>
      <c r="D28" s="68" t="s">
        <v>387</v>
      </c>
      <c r="E28" s="68">
        <v>918</v>
      </c>
      <c r="F28" s="89"/>
      <c r="G28" s="89"/>
      <c r="H28" s="89"/>
    </row>
    <row r="29" spans="1:8">
      <c r="A29" s="68">
        <v>26</v>
      </c>
      <c r="B29" s="612" t="s">
        <v>53</v>
      </c>
      <c r="C29" s="612" t="s">
        <v>213</v>
      </c>
      <c r="D29" s="68" t="s">
        <v>387</v>
      </c>
      <c r="E29" s="68">
        <v>918</v>
      </c>
      <c r="F29" s="89"/>
      <c r="G29" s="89"/>
      <c r="H29" s="89"/>
    </row>
    <row r="30" spans="1:8">
      <c r="A30" s="68">
        <v>27</v>
      </c>
      <c r="B30" s="612" t="s">
        <v>54</v>
      </c>
      <c r="C30" s="612" t="s">
        <v>197</v>
      </c>
      <c r="D30" s="68" t="s">
        <v>389</v>
      </c>
      <c r="E30" s="68">
        <f>23*36</f>
        <v>828</v>
      </c>
      <c r="F30" s="89"/>
      <c r="G30" s="89"/>
      <c r="H30" s="89"/>
    </row>
    <row r="31" spans="1:8">
      <c r="A31" s="68">
        <v>28</v>
      </c>
      <c r="B31" s="612" t="s">
        <v>55</v>
      </c>
      <c r="C31" s="612" t="s">
        <v>428</v>
      </c>
      <c r="D31" s="68" t="s">
        <v>497</v>
      </c>
      <c r="E31" s="68"/>
      <c r="F31" s="89"/>
      <c r="G31" s="89"/>
      <c r="H31" s="89"/>
    </row>
    <row r="32" spans="1:8">
      <c r="A32" s="68">
        <v>29</v>
      </c>
      <c r="B32" s="612" t="s">
        <v>56</v>
      </c>
      <c r="C32" s="612" t="s">
        <v>215</v>
      </c>
      <c r="D32" s="68" t="s">
        <v>388</v>
      </c>
      <c r="E32" s="68">
        <f>23*36</f>
        <v>828</v>
      </c>
      <c r="F32" s="89"/>
      <c r="G32" s="89"/>
      <c r="H32" s="89"/>
    </row>
    <row r="33" spans="1:8">
      <c r="A33" s="68">
        <v>30</v>
      </c>
      <c r="B33" s="612" t="s">
        <v>674</v>
      </c>
      <c r="C33" s="612" t="s">
        <v>211</v>
      </c>
      <c r="D33" s="68" t="s">
        <v>389</v>
      </c>
      <c r="E33" s="68">
        <f>23*36</f>
        <v>828</v>
      </c>
      <c r="F33" s="89"/>
      <c r="G33" s="89"/>
      <c r="H33" s="89"/>
    </row>
    <row r="34" spans="1:8">
      <c r="A34" s="68">
        <v>31</v>
      </c>
      <c r="B34" s="612" t="s">
        <v>57</v>
      </c>
      <c r="C34" s="612" t="s">
        <v>186</v>
      </c>
      <c r="D34" s="68" t="s">
        <v>387</v>
      </c>
      <c r="E34" s="68">
        <v>918</v>
      </c>
      <c r="F34" s="89"/>
      <c r="G34" s="89"/>
      <c r="H34" s="89"/>
    </row>
    <row r="35" spans="1:8">
      <c r="A35" s="68">
        <v>32</v>
      </c>
      <c r="B35" s="612" t="s">
        <v>58</v>
      </c>
      <c r="C35" s="612" t="s">
        <v>186</v>
      </c>
      <c r="D35" s="68" t="s">
        <v>387</v>
      </c>
      <c r="E35" s="68">
        <v>918</v>
      </c>
      <c r="F35" s="89"/>
      <c r="G35" s="89"/>
      <c r="H35" s="89"/>
    </row>
    <row r="36" spans="1:8">
      <c r="A36" s="68">
        <v>33</v>
      </c>
      <c r="B36" s="612" t="s">
        <v>59</v>
      </c>
      <c r="C36" s="612" t="s">
        <v>429</v>
      </c>
      <c r="D36" s="68" t="s">
        <v>387</v>
      </c>
      <c r="E36" s="68">
        <v>918</v>
      </c>
      <c r="F36" s="89"/>
      <c r="G36" s="89"/>
      <c r="H36" s="89"/>
    </row>
    <row r="37" spans="1:8">
      <c r="A37" s="68">
        <v>34</v>
      </c>
      <c r="B37" s="612" t="s">
        <v>60</v>
      </c>
      <c r="C37" s="612" t="s">
        <v>429</v>
      </c>
      <c r="D37" s="68" t="s">
        <v>387</v>
      </c>
      <c r="E37" s="68">
        <v>918</v>
      </c>
      <c r="F37" s="89"/>
      <c r="G37" s="89"/>
      <c r="H37" s="89"/>
    </row>
    <row r="38" spans="1:8">
      <c r="A38" s="68">
        <v>35</v>
      </c>
      <c r="B38" s="612" t="s">
        <v>63</v>
      </c>
      <c r="C38" s="612" t="s">
        <v>173</v>
      </c>
      <c r="D38" s="68" t="s">
        <v>497</v>
      </c>
      <c r="E38" s="68"/>
      <c r="F38" s="89"/>
      <c r="G38" s="89"/>
      <c r="H38" s="89"/>
    </row>
    <row r="39" spans="1:8">
      <c r="A39" s="68">
        <v>36</v>
      </c>
      <c r="B39" s="612" t="s">
        <v>64</v>
      </c>
      <c r="C39" s="612" t="s">
        <v>185</v>
      </c>
      <c r="D39" s="68" t="s">
        <v>1235</v>
      </c>
      <c r="E39" s="68"/>
      <c r="F39" s="89"/>
      <c r="G39" s="89"/>
      <c r="H39" s="89"/>
    </row>
    <row r="40" spans="1:8">
      <c r="A40" s="68">
        <v>37</v>
      </c>
      <c r="B40" s="612" t="s">
        <v>898</v>
      </c>
      <c r="C40" s="612" t="s">
        <v>197</v>
      </c>
      <c r="D40" s="68" t="s">
        <v>389</v>
      </c>
      <c r="E40" s="68">
        <f t="shared" ref="E40:E50" si="1">23*36</f>
        <v>828</v>
      </c>
      <c r="F40" s="89"/>
      <c r="G40" s="89" t="s">
        <v>255</v>
      </c>
      <c r="H40" s="89" t="s">
        <v>1670</v>
      </c>
    </row>
    <row r="41" spans="1:8">
      <c r="A41" s="68">
        <v>38</v>
      </c>
      <c r="B41" s="612" t="s">
        <v>65</v>
      </c>
      <c r="C41" s="612" t="s">
        <v>197</v>
      </c>
      <c r="D41" s="68" t="s">
        <v>389</v>
      </c>
      <c r="E41" s="68">
        <f t="shared" si="1"/>
        <v>828</v>
      </c>
      <c r="F41" s="89"/>
      <c r="G41" s="89" t="s">
        <v>255</v>
      </c>
      <c r="H41" s="89" t="s">
        <v>1670</v>
      </c>
    </row>
    <row r="42" spans="1:8">
      <c r="A42" s="68">
        <v>39</v>
      </c>
      <c r="B42" s="612" t="s">
        <v>9</v>
      </c>
      <c r="C42" s="612" t="s">
        <v>197</v>
      </c>
      <c r="D42" s="68" t="s">
        <v>389</v>
      </c>
      <c r="E42" s="68">
        <f t="shared" si="1"/>
        <v>828</v>
      </c>
      <c r="F42" s="89"/>
      <c r="G42" s="89" t="s">
        <v>255</v>
      </c>
      <c r="H42" s="89" t="s">
        <v>1670</v>
      </c>
    </row>
    <row r="43" spans="1:8">
      <c r="A43" s="68">
        <v>40</v>
      </c>
      <c r="B43" s="612" t="s">
        <v>10</v>
      </c>
      <c r="C43" s="612" t="s">
        <v>184</v>
      </c>
      <c r="D43" s="68" t="s">
        <v>388</v>
      </c>
      <c r="E43" s="68">
        <f t="shared" si="1"/>
        <v>828</v>
      </c>
      <c r="F43" s="89"/>
      <c r="G43" s="89" t="s">
        <v>255</v>
      </c>
      <c r="H43" s="89" t="s">
        <v>1670</v>
      </c>
    </row>
    <row r="44" spans="1:8">
      <c r="A44" s="68">
        <v>41</v>
      </c>
      <c r="B44" s="612" t="s">
        <v>773</v>
      </c>
      <c r="C44" s="612" t="s">
        <v>211</v>
      </c>
      <c r="D44" s="68" t="s">
        <v>389</v>
      </c>
      <c r="E44" s="68">
        <f t="shared" si="1"/>
        <v>828</v>
      </c>
      <c r="F44" s="89"/>
      <c r="G44" s="89" t="s">
        <v>255</v>
      </c>
      <c r="H44" s="89" t="s">
        <v>1670</v>
      </c>
    </row>
    <row r="45" spans="1:8">
      <c r="A45" s="68">
        <v>42</v>
      </c>
      <c r="B45" s="612" t="s">
        <v>67</v>
      </c>
      <c r="C45" s="612" t="s">
        <v>211</v>
      </c>
      <c r="D45" s="68" t="s">
        <v>389</v>
      </c>
      <c r="E45" s="68">
        <f t="shared" si="1"/>
        <v>828</v>
      </c>
      <c r="F45" s="89"/>
      <c r="G45" s="89" t="s">
        <v>255</v>
      </c>
      <c r="H45" s="89" t="s">
        <v>1670</v>
      </c>
    </row>
    <row r="46" spans="1:8">
      <c r="A46" s="68">
        <v>43</v>
      </c>
      <c r="B46" s="717" t="s">
        <v>166</v>
      </c>
      <c r="C46" s="717" t="s">
        <v>227</v>
      </c>
      <c r="D46" s="68" t="s">
        <v>389</v>
      </c>
      <c r="E46" s="68">
        <f t="shared" si="1"/>
        <v>828</v>
      </c>
      <c r="F46" s="89"/>
      <c r="G46" s="89" t="s">
        <v>255</v>
      </c>
      <c r="H46" s="89" t="s">
        <v>1670</v>
      </c>
    </row>
    <row r="47" spans="1:8">
      <c r="A47" s="68">
        <v>44</v>
      </c>
      <c r="B47" s="717" t="s">
        <v>71</v>
      </c>
      <c r="C47" s="717" t="s">
        <v>184</v>
      </c>
      <c r="D47" s="68" t="s">
        <v>388</v>
      </c>
      <c r="E47" s="68">
        <f t="shared" si="1"/>
        <v>828</v>
      </c>
      <c r="F47" s="89"/>
      <c r="G47" s="89"/>
      <c r="H47" s="89"/>
    </row>
    <row r="48" spans="1:8">
      <c r="A48" s="68">
        <v>45</v>
      </c>
      <c r="B48" s="612" t="s">
        <v>8</v>
      </c>
      <c r="C48" s="612" t="s">
        <v>228</v>
      </c>
      <c r="D48" s="68" t="s">
        <v>388</v>
      </c>
      <c r="E48" s="68">
        <f t="shared" si="1"/>
        <v>828</v>
      </c>
      <c r="F48" s="89"/>
      <c r="G48" s="89"/>
      <c r="H48" s="89"/>
    </row>
    <row r="49" spans="1:8">
      <c r="A49" s="68">
        <v>46</v>
      </c>
      <c r="B49" s="612" t="s">
        <v>1069</v>
      </c>
      <c r="C49" s="612" t="s">
        <v>211</v>
      </c>
      <c r="D49" s="68" t="s">
        <v>389</v>
      </c>
      <c r="E49" s="68">
        <f t="shared" si="1"/>
        <v>828</v>
      </c>
      <c r="F49" s="89"/>
      <c r="G49" s="89"/>
      <c r="H49" s="89"/>
    </row>
    <row r="50" spans="1:8">
      <c r="A50" s="68">
        <v>47</v>
      </c>
      <c r="B50" s="717" t="s">
        <v>1772</v>
      </c>
      <c r="C50" s="717" t="s">
        <v>215</v>
      </c>
      <c r="D50" s="68" t="s">
        <v>388</v>
      </c>
      <c r="E50" s="68">
        <f t="shared" si="1"/>
        <v>828</v>
      </c>
      <c r="F50" s="89"/>
      <c r="G50" s="89"/>
      <c r="H50" s="89"/>
    </row>
    <row r="51" spans="1:8">
      <c r="A51" s="68">
        <v>48</v>
      </c>
      <c r="B51" s="717" t="s">
        <v>1773</v>
      </c>
      <c r="C51" s="717" t="s">
        <v>428</v>
      </c>
      <c r="D51" s="68" t="s">
        <v>497</v>
      </c>
      <c r="E51" s="68"/>
      <c r="F51" s="89"/>
      <c r="G51" s="89"/>
      <c r="H51" s="89"/>
    </row>
    <row r="52" spans="1:8">
      <c r="A52" s="68">
        <v>49</v>
      </c>
      <c r="B52" s="717" t="s">
        <v>1774</v>
      </c>
      <c r="C52" s="717" t="s">
        <v>215</v>
      </c>
      <c r="D52" s="68" t="s">
        <v>388</v>
      </c>
      <c r="E52" s="68">
        <f t="shared" ref="E52:E61" si="2">23*36</f>
        <v>828</v>
      </c>
      <c r="F52" s="89"/>
      <c r="G52" s="89"/>
      <c r="H52" s="89"/>
    </row>
    <row r="53" spans="1:8">
      <c r="A53" s="68">
        <v>50</v>
      </c>
      <c r="B53" s="612" t="s">
        <v>775</v>
      </c>
      <c r="C53" s="612" t="s">
        <v>197</v>
      </c>
      <c r="D53" s="68" t="s">
        <v>389</v>
      </c>
      <c r="E53" s="68">
        <f t="shared" si="2"/>
        <v>828</v>
      </c>
      <c r="F53" s="89"/>
      <c r="G53" s="89"/>
      <c r="H53" s="89"/>
    </row>
    <row r="54" spans="1:8">
      <c r="A54" s="68">
        <v>51</v>
      </c>
      <c r="B54" s="717" t="s">
        <v>72</v>
      </c>
      <c r="C54" s="717" t="s">
        <v>226</v>
      </c>
      <c r="D54" s="68" t="s">
        <v>389</v>
      </c>
      <c r="E54" s="68">
        <f t="shared" si="2"/>
        <v>828</v>
      </c>
      <c r="F54" s="89"/>
      <c r="G54" s="89" t="s">
        <v>255</v>
      </c>
      <c r="H54" s="89" t="s">
        <v>1670</v>
      </c>
    </row>
    <row r="55" spans="1:8">
      <c r="A55" s="68">
        <v>52</v>
      </c>
      <c r="B55" s="612" t="s">
        <v>73</v>
      </c>
      <c r="C55" s="612" t="s">
        <v>184</v>
      </c>
      <c r="D55" s="68" t="s">
        <v>388</v>
      </c>
      <c r="E55" s="68">
        <f t="shared" si="2"/>
        <v>828</v>
      </c>
      <c r="F55" s="89"/>
      <c r="G55" s="89" t="s">
        <v>255</v>
      </c>
      <c r="H55" s="89" t="s">
        <v>1670</v>
      </c>
    </row>
    <row r="56" spans="1:8">
      <c r="A56" s="68">
        <v>53</v>
      </c>
      <c r="B56" s="717" t="s">
        <v>74</v>
      </c>
      <c r="C56" s="717" t="s">
        <v>227</v>
      </c>
      <c r="D56" s="68" t="s">
        <v>389</v>
      </c>
      <c r="E56" s="68">
        <f t="shared" si="2"/>
        <v>828</v>
      </c>
      <c r="F56" s="89"/>
      <c r="G56" s="89"/>
      <c r="H56" s="89"/>
    </row>
    <row r="57" spans="1:8">
      <c r="A57" s="68">
        <v>54</v>
      </c>
      <c r="B57" s="612" t="s">
        <v>638</v>
      </c>
      <c r="C57" s="612" t="s">
        <v>211</v>
      </c>
      <c r="D57" s="68" t="s">
        <v>389</v>
      </c>
      <c r="E57" s="68">
        <f t="shared" si="2"/>
        <v>828</v>
      </c>
      <c r="F57" s="89"/>
      <c r="G57" s="89"/>
      <c r="H57" s="89"/>
    </row>
    <row r="58" spans="1:8">
      <c r="A58" s="68">
        <v>55</v>
      </c>
      <c r="B58" s="612" t="s">
        <v>75</v>
      </c>
      <c r="C58" s="612" t="s">
        <v>211</v>
      </c>
      <c r="D58" s="68" t="s">
        <v>389</v>
      </c>
      <c r="E58" s="68">
        <f t="shared" si="2"/>
        <v>828</v>
      </c>
      <c r="F58" s="89"/>
      <c r="G58" s="89"/>
      <c r="H58" s="89"/>
    </row>
    <row r="59" spans="1:8">
      <c r="A59" s="68">
        <v>56</v>
      </c>
      <c r="B59" s="612" t="s">
        <v>77</v>
      </c>
      <c r="C59" s="612" t="s">
        <v>184</v>
      </c>
      <c r="D59" s="68" t="s">
        <v>388</v>
      </c>
      <c r="E59" s="68">
        <f t="shared" si="2"/>
        <v>828</v>
      </c>
      <c r="F59" s="89"/>
      <c r="G59" s="89"/>
      <c r="H59" s="89"/>
    </row>
    <row r="60" spans="1:8">
      <c r="A60" s="68">
        <v>57</v>
      </c>
      <c r="B60" s="612" t="s">
        <v>1784</v>
      </c>
      <c r="C60" s="612" t="s">
        <v>211</v>
      </c>
      <c r="D60" s="68" t="s">
        <v>389</v>
      </c>
      <c r="E60" s="68">
        <f t="shared" si="2"/>
        <v>828</v>
      </c>
      <c r="F60" s="89"/>
      <c r="G60" s="89"/>
      <c r="H60" s="89"/>
    </row>
    <row r="61" spans="1:8">
      <c r="A61" s="68">
        <v>58</v>
      </c>
      <c r="B61" s="612" t="s">
        <v>78</v>
      </c>
      <c r="C61" s="612" t="s">
        <v>197</v>
      </c>
      <c r="D61" s="68" t="s">
        <v>389</v>
      </c>
      <c r="E61" s="68">
        <f t="shared" si="2"/>
        <v>828</v>
      </c>
      <c r="F61" s="89"/>
      <c r="G61" s="89"/>
      <c r="H61" s="89"/>
    </row>
    <row r="62" spans="1:8">
      <c r="A62" s="68">
        <v>59</v>
      </c>
      <c r="B62" s="717" t="s">
        <v>1785</v>
      </c>
      <c r="C62" s="717" t="s">
        <v>1661</v>
      </c>
      <c r="D62" s="68" t="s">
        <v>1225</v>
      </c>
      <c r="E62" s="68"/>
      <c r="F62" s="89"/>
      <c r="G62" s="89"/>
      <c r="H62" s="89"/>
    </row>
    <row r="63" spans="1:8">
      <c r="A63" s="68">
        <v>60</v>
      </c>
      <c r="B63" s="612" t="s">
        <v>7</v>
      </c>
      <c r="C63" s="612" t="s">
        <v>227</v>
      </c>
      <c r="D63" s="68" t="s">
        <v>389</v>
      </c>
      <c r="E63" s="68">
        <f>23*36</f>
        <v>828</v>
      </c>
      <c r="F63" s="89"/>
      <c r="G63" s="89"/>
      <c r="H63" s="89"/>
    </row>
    <row r="64" spans="1:8">
      <c r="A64" s="68">
        <v>61</v>
      </c>
      <c r="B64" s="612" t="s">
        <v>1244</v>
      </c>
      <c r="C64" s="612" t="s">
        <v>211</v>
      </c>
      <c r="D64" s="68" t="s">
        <v>389</v>
      </c>
      <c r="E64" s="68">
        <f>23*36</f>
        <v>828</v>
      </c>
      <c r="F64" s="89"/>
      <c r="G64" s="89"/>
      <c r="H64" s="89"/>
    </row>
    <row r="65" spans="1:8">
      <c r="A65" s="68">
        <v>62</v>
      </c>
      <c r="B65" s="612" t="s">
        <v>1245</v>
      </c>
      <c r="C65" s="612" t="s">
        <v>401</v>
      </c>
      <c r="D65" s="68" t="s">
        <v>389</v>
      </c>
      <c r="E65" s="68">
        <f>23*36</f>
        <v>828</v>
      </c>
      <c r="F65" s="89"/>
      <c r="G65" s="89"/>
      <c r="H65" s="89"/>
    </row>
  </sheetData>
  <autoFilter ref="A3:H65" xr:uid="{C913F870-0A18-45A5-8938-2C75126AE1DE}"/>
  <mergeCells count="1">
    <mergeCell ref="A2:H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22">
    <tabColor rgb="FF00B0F0"/>
  </sheetPr>
  <dimension ref="B1:L64"/>
  <sheetViews>
    <sheetView showGridLines="0" zoomScaleNormal="100" workbookViewId="0">
      <pane ySplit="3" topLeftCell="A10" activePane="bottomLeft" state="frozen"/>
      <selection activeCell="D60" sqref="D60"/>
      <selection pane="bottomLeft" activeCell="K24" sqref="K24"/>
    </sheetView>
  </sheetViews>
  <sheetFormatPr defaultRowHeight="14.5"/>
  <cols>
    <col min="1" max="1" width="0.81640625" customWidth="1"/>
    <col min="3" max="3" width="10.81640625" bestFit="1" customWidth="1"/>
    <col min="6" max="6" width="24.54296875" customWidth="1"/>
    <col min="8" max="8" width="19.453125" customWidth="1"/>
    <col min="9" max="9" width="17.26953125" customWidth="1"/>
    <col min="10" max="10" width="17.453125" customWidth="1"/>
    <col min="11" max="11" width="10.54296875" customWidth="1"/>
    <col min="12" max="12" width="17.6328125" customWidth="1"/>
    <col min="13" max="13" width="0.1796875" customWidth="1"/>
  </cols>
  <sheetData>
    <row r="1" spans="2:12">
      <c r="B1" s="1630" t="str">
        <f>TA413_PBNTL!A1</f>
        <v xml:space="preserve"> TA413 : 765 KV D/C Bikaner III - Neemrana II TL02</v>
      </c>
      <c r="C1" s="1631"/>
      <c r="D1" s="1631"/>
      <c r="E1" s="1631"/>
      <c r="F1" s="1631"/>
      <c r="G1" s="1631"/>
      <c r="H1" s="1631"/>
      <c r="I1" s="1631"/>
      <c r="J1" s="1631"/>
      <c r="K1" s="1631"/>
      <c r="L1" s="1632"/>
    </row>
    <row r="2" spans="2:12">
      <c r="B2" s="97" t="s">
        <v>289</v>
      </c>
      <c r="C2" s="1633" t="s">
        <v>95</v>
      </c>
      <c r="D2" s="1633" t="s">
        <v>96</v>
      </c>
      <c r="E2" s="1633" t="s">
        <v>290</v>
      </c>
      <c r="F2" s="1633" t="s">
        <v>291</v>
      </c>
      <c r="G2" s="1633" t="s">
        <v>292</v>
      </c>
      <c r="H2" s="1633" t="s">
        <v>293</v>
      </c>
      <c r="I2" s="1630" t="s">
        <v>294</v>
      </c>
      <c r="J2" s="1631"/>
      <c r="K2" s="1632"/>
      <c r="L2" s="1633" t="s">
        <v>1</v>
      </c>
    </row>
    <row r="3" spans="2:12">
      <c r="B3" s="98" t="s">
        <v>295</v>
      </c>
      <c r="C3" s="1634"/>
      <c r="D3" s="1634"/>
      <c r="E3" s="1634"/>
      <c r="F3" s="1634"/>
      <c r="G3" s="1634"/>
      <c r="H3" s="1634"/>
      <c r="I3" s="98" t="s">
        <v>296</v>
      </c>
      <c r="J3" s="98" t="s">
        <v>297</v>
      </c>
      <c r="K3" s="98" t="s">
        <v>298</v>
      </c>
      <c r="L3" s="1634"/>
    </row>
    <row r="4" spans="2:12">
      <c r="B4" s="1630" t="s">
        <v>1768</v>
      </c>
      <c r="C4" s="1631"/>
      <c r="D4" s="1631"/>
      <c r="E4" s="1631"/>
      <c r="F4" s="1631"/>
      <c r="G4" s="1631"/>
      <c r="H4" s="1631"/>
      <c r="I4" s="1631"/>
      <c r="J4" s="1631"/>
      <c r="K4" s="1631"/>
      <c r="L4" s="1632"/>
    </row>
    <row r="5" spans="2:12" ht="29.5" customHeight="1">
      <c r="B5" s="123">
        <f>+SUBTOTAL(3,$C$5:$C5)</f>
        <v>1</v>
      </c>
      <c r="C5" s="123" t="s">
        <v>302</v>
      </c>
      <c r="D5" s="123" t="s">
        <v>348</v>
      </c>
      <c r="E5" s="124">
        <v>329.72800000000001</v>
      </c>
      <c r="F5" s="125" t="s">
        <v>941</v>
      </c>
      <c r="G5" s="123" t="s">
        <v>347</v>
      </c>
      <c r="H5" s="123" t="s">
        <v>50</v>
      </c>
      <c r="I5" s="1010" t="s">
        <v>1467</v>
      </c>
      <c r="J5" s="1010" t="s">
        <v>1467</v>
      </c>
      <c r="K5" s="126"/>
      <c r="L5" s="127"/>
    </row>
    <row r="6" spans="2:12" ht="29.5" customHeight="1">
      <c r="B6" s="123">
        <f>+SUBTOTAL(3,$C$5:$C6)</f>
        <v>2</v>
      </c>
      <c r="C6" s="123" t="s">
        <v>350</v>
      </c>
      <c r="D6" s="123" t="s">
        <v>351</v>
      </c>
      <c r="E6" s="124">
        <v>223.816</v>
      </c>
      <c r="F6" s="1256" t="s">
        <v>349</v>
      </c>
      <c r="G6" s="123" t="s">
        <v>1188</v>
      </c>
      <c r="H6" s="123" t="s">
        <v>50</v>
      </c>
      <c r="I6" s="123" t="s">
        <v>1439</v>
      </c>
      <c r="J6" s="123" t="s">
        <v>1439</v>
      </c>
      <c r="K6" s="126" t="s">
        <v>255</v>
      </c>
      <c r="L6" s="126" t="s">
        <v>255</v>
      </c>
    </row>
    <row r="7" spans="2:12" ht="29.5" customHeight="1">
      <c r="B7" s="123">
        <f>+SUBTOTAL(3,$C$5:$C7)</f>
        <v>3</v>
      </c>
      <c r="C7" s="123" t="s">
        <v>355</v>
      </c>
      <c r="D7" s="123" t="s">
        <v>356</v>
      </c>
      <c r="E7" s="124">
        <v>259.048</v>
      </c>
      <c r="F7" s="125" t="s">
        <v>943</v>
      </c>
      <c r="G7" s="123" t="s">
        <v>347</v>
      </c>
      <c r="H7" s="123" t="s">
        <v>50</v>
      </c>
      <c r="I7" s="123" t="s">
        <v>1454</v>
      </c>
      <c r="J7" s="123" t="s">
        <v>1454</v>
      </c>
      <c r="K7" s="126"/>
      <c r="L7" s="126"/>
    </row>
    <row r="8" spans="2:12" ht="29.5" customHeight="1">
      <c r="B8" s="123">
        <f>+SUBTOTAL(3,$C$5:$C8)</f>
        <v>4</v>
      </c>
      <c r="C8" s="123" t="s">
        <v>357</v>
      </c>
      <c r="D8" s="123" t="s">
        <v>299</v>
      </c>
      <c r="E8" s="124">
        <v>244.029</v>
      </c>
      <c r="F8" s="1256" t="s">
        <v>942</v>
      </c>
      <c r="G8" s="123" t="s">
        <v>347</v>
      </c>
      <c r="H8" s="123" t="s">
        <v>50</v>
      </c>
      <c r="I8" s="123" t="s">
        <v>1455</v>
      </c>
      <c r="J8" s="123" t="s">
        <v>1455</v>
      </c>
      <c r="K8" s="126" t="s">
        <v>255</v>
      </c>
      <c r="L8" s="126" t="s">
        <v>255</v>
      </c>
    </row>
    <row r="9" spans="2:12" ht="29.5" customHeight="1">
      <c r="B9" s="123">
        <f>+SUBTOTAL(3,$C$5:$C9)</f>
        <v>5</v>
      </c>
      <c r="C9" s="123" t="s">
        <v>300</v>
      </c>
      <c r="D9" s="123" t="s">
        <v>358</v>
      </c>
      <c r="E9" s="124">
        <v>203.47900000000001</v>
      </c>
      <c r="F9" s="1256" t="s">
        <v>359</v>
      </c>
      <c r="G9" s="123" t="s">
        <v>161</v>
      </c>
      <c r="H9" s="123" t="s">
        <v>50</v>
      </c>
      <c r="I9" s="123" t="s">
        <v>1456</v>
      </c>
      <c r="J9" s="123" t="s">
        <v>1456</v>
      </c>
      <c r="K9" s="126"/>
      <c r="L9" s="127"/>
    </row>
    <row r="10" spans="2:12" ht="29.5" customHeight="1">
      <c r="B10" s="123">
        <v>6</v>
      </c>
      <c r="C10" s="123" t="s">
        <v>1268</v>
      </c>
      <c r="D10" s="123" t="s">
        <v>1269</v>
      </c>
      <c r="E10" s="124">
        <v>208</v>
      </c>
      <c r="F10" s="125" t="s">
        <v>1368</v>
      </c>
      <c r="G10" s="123" t="s">
        <v>347</v>
      </c>
      <c r="H10" s="123" t="s">
        <v>50</v>
      </c>
      <c r="I10" s="123" t="s">
        <v>1457</v>
      </c>
      <c r="J10" s="123" t="s">
        <v>1549</v>
      </c>
      <c r="K10" s="126"/>
      <c r="L10" s="127"/>
    </row>
    <row r="11" spans="2:12" ht="29.5" customHeight="1">
      <c r="B11" s="1635" t="s">
        <v>940</v>
      </c>
      <c r="C11" s="1636"/>
      <c r="D11" s="1636"/>
      <c r="E11" s="1636"/>
      <c r="F11" s="1636"/>
      <c r="G11" s="1636"/>
      <c r="H11" s="1636"/>
      <c r="I11" s="1636"/>
      <c r="J11" s="1636"/>
      <c r="K11" s="1636"/>
      <c r="L11" s="1637"/>
    </row>
    <row r="12" spans="2:12" ht="29.5" customHeight="1">
      <c r="B12" s="99">
        <f>+SUBTOTAL(3,$C$5:$C12)</f>
        <v>7</v>
      </c>
      <c r="C12" s="99" t="s">
        <v>301</v>
      </c>
      <c r="D12" s="99" t="s">
        <v>302</v>
      </c>
      <c r="E12" s="100">
        <v>242.893</v>
      </c>
      <c r="F12" s="101" t="s">
        <v>346</v>
      </c>
      <c r="G12" s="101"/>
      <c r="H12" s="123" t="s">
        <v>50</v>
      </c>
      <c r="I12" s="128" t="s">
        <v>1466</v>
      </c>
      <c r="J12" s="128" t="s">
        <v>1466</v>
      </c>
      <c r="K12" s="126" t="s">
        <v>255</v>
      </c>
      <c r="L12" s="1382" t="s">
        <v>255</v>
      </c>
    </row>
    <row r="13" spans="2:12" ht="29.5" customHeight="1">
      <c r="B13" s="99">
        <f>+SUBTOTAL(3,$C$5:$C13)</f>
        <v>8</v>
      </c>
      <c r="C13" s="99" t="s">
        <v>360</v>
      </c>
      <c r="D13" s="99" t="s">
        <v>361</v>
      </c>
      <c r="E13" s="100">
        <v>211.209</v>
      </c>
      <c r="F13" s="101" t="s">
        <v>1446</v>
      </c>
      <c r="G13" s="101"/>
      <c r="H13" s="123" t="s">
        <v>50</v>
      </c>
      <c r="I13" s="128" t="s">
        <v>1375</v>
      </c>
      <c r="J13" s="128" t="s">
        <v>1375</v>
      </c>
      <c r="K13" s="126" t="s">
        <v>255</v>
      </c>
      <c r="L13" s="1382" t="s">
        <v>255</v>
      </c>
    </row>
    <row r="14" spans="2:12" hidden="1">
      <c r="B14" s="1630" t="s">
        <v>345</v>
      </c>
      <c r="C14" s="1631"/>
      <c r="D14" s="1631"/>
      <c r="E14" s="1631"/>
      <c r="F14" s="1631"/>
      <c r="G14" s="1631"/>
      <c r="H14" s="1631"/>
      <c r="I14" s="1631"/>
      <c r="J14" s="1631"/>
      <c r="K14" s="1631"/>
      <c r="L14" s="1632"/>
    </row>
    <row r="15" spans="2:12" hidden="1">
      <c r="B15" s="99">
        <f>+SUBTOTAL(3,$C$5:$C15)</f>
        <v>9</v>
      </c>
      <c r="C15" s="99" t="s">
        <v>344</v>
      </c>
      <c r="D15" s="99" t="s">
        <v>343</v>
      </c>
      <c r="E15" s="100">
        <v>311.12599999999998</v>
      </c>
      <c r="F15" s="101" t="s">
        <v>365</v>
      </c>
      <c r="G15" s="101"/>
      <c r="H15" s="125"/>
      <c r="I15" s="125"/>
      <c r="J15" s="128"/>
      <c r="K15" s="126"/>
      <c r="L15" s="102"/>
    </row>
    <row r="16" spans="2:12" hidden="1">
      <c r="B16" s="99">
        <f>+SUBTOTAL(3,$C$5:$C16)</f>
        <v>10</v>
      </c>
      <c r="C16" s="99" t="s">
        <v>362</v>
      </c>
      <c r="D16" s="99" t="s">
        <v>363</v>
      </c>
      <c r="E16" s="100">
        <v>4333.3690000000006</v>
      </c>
      <c r="F16" s="101" t="s">
        <v>364</v>
      </c>
      <c r="G16" s="101"/>
      <c r="H16" s="125"/>
      <c r="I16" s="125"/>
      <c r="J16" s="128"/>
      <c r="K16" s="126"/>
      <c r="L16" s="102"/>
    </row>
    <row r="17" spans="2:12" ht="29.5" customHeight="1">
      <c r="B17" s="1630" t="s">
        <v>341</v>
      </c>
      <c r="C17" s="1631"/>
      <c r="D17" s="1631"/>
      <c r="E17" s="1631"/>
      <c r="F17" s="1631"/>
      <c r="G17" s="1631"/>
      <c r="H17" s="1631"/>
      <c r="I17" s="1631"/>
      <c r="J17" s="1631"/>
      <c r="K17" s="1631"/>
      <c r="L17" s="1632"/>
    </row>
    <row r="18" spans="2:12" ht="29.5" customHeight="1">
      <c r="B18" s="99">
        <f>+SUBTOTAL(3,$C$5:$C18)</f>
        <v>11</v>
      </c>
      <c r="C18" s="99" t="s">
        <v>352</v>
      </c>
      <c r="D18" s="99" t="s">
        <v>353</v>
      </c>
      <c r="E18" s="100">
        <v>279.36</v>
      </c>
      <c r="F18" s="101" t="s">
        <v>354</v>
      </c>
      <c r="G18" s="101"/>
      <c r="H18" s="123" t="s">
        <v>50</v>
      </c>
      <c r="I18" s="128" t="s">
        <v>1465</v>
      </c>
      <c r="J18" s="128" t="s">
        <v>1465</v>
      </c>
      <c r="K18" s="126"/>
      <c r="L18" s="127"/>
    </row>
    <row r="19" spans="2:12" ht="29.5" hidden="1" customHeight="1">
      <c r="B19" s="1630" t="s">
        <v>342</v>
      </c>
      <c r="C19" s="1631"/>
      <c r="D19" s="1631"/>
      <c r="E19" s="1631"/>
      <c r="F19" s="1631"/>
      <c r="G19" s="1631"/>
      <c r="H19" s="1631"/>
      <c r="I19" s="1631"/>
      <c r="J19" s="1631"/>
      <c r="K19" s="1631"/>
      <c r="L19" s="1632"/>
    </row>
    <row r="20" spans="2:12" ht="21.75" hidden="1" customHeight="1">
      <c r="B20" s="99">
        <f>+SUBTOTAL(3,$C$5:$C20)</f>
        <v>12</v>
      </c>
      <c r="C20" s="99" t="s">
        <v>351</v>
      </c>
      <c r="D20" s="99" t="s">
        <v>366</v>
      </c>
      <c r="E20" s="100">
        <v>5020</v>
      </c>
      <c r="F20" s="101" t="s">
        <v>367</v>
      </c>
      <c r="G20" s="101"/>
      <c r="H20" s="101"/>
      <c r="I20" s="125"/>
      <c r="J20" s="125"/>
      <c r="K20" s="102"/>
      <c r="L20" s="99"/>
    </row>
    <row r="21" spans="2:12" hidden="1"/>
    <row r="58" spans="2:2">
      <c r="B58" t="s">
        <v>528</v>
      </c>
    </row>
    <row r="59" spans="2:2">
      <c r="B59" t="s">
        <v>529</v>
      </c>
    </row>
    <row r="60" spans="2:2">
      <c r="B60" t="s">
        <v>530</v>
      </c>
    </row>
    <row r="61" spans="2:2">
      <c r="B61" t="s">
        <v>531</v>
      </c>
    </row>
    <row r="62" spans="2:2">
      <c r="B62" t="s">
        <v>532</v>
      </c>
    </row>
    <row r="63" spans="2:2">
      <c r="B63" t="s">
        <v>533</v>
      </c>
    </row>
    <row r="64" spans="2:2">
      <c r="B64" t="s">
        <v>534</v>
      </c>
    </row>
  </sheetData>
  <mergeCells count="14">
    <mergeCell ref="B19:L19"/>
    <mergeCell ref="B1:L1"/>
    <mergeCell ref="C2:C3"/>
    <mergeCell ref="D2:D3"/>
    <mergeCell ref="E2:E3"/>
    <mergeCell ref="F2:F3"/>
    <mergeCell ref="G2:G3"/>
    <mergeCell ref="H2:H3"/>
    <mergeCell ref="I2:K2"/>
    <mergeCell ref="L2:L3"/>
    <mergeCell ref="B4:L4"/>
    <mergeCell ref="B11:L11"/>
    <mergeCell ref="B17:L17"/>
    <mergeCell ref="B14:L14"/>
  </mergeCells>
  <conditionalFormatting sqref="H1:H20">
    <cfRule type="cellIs" dxfId="51" priority="3" operator="equal">
      <formula>"Hold"</formula>
    </cfRule>
    <cfRule type="cellIs" dxfId="50" priority="4" operator="equal">
      <formula>"Approved"</formula>
    </cfRule>
  </conditionalFormatting>
  <pageMargins left="0.66" right="0.49" top="0.75" bottom="0.32" header="0.3" footer="0.3"/>
  <pageSetup paperSize="9" scale="81" orientation="landscape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4">
    <tabColor rgb="FFFFFF00"/>
    <pageSetUpPr fitToPage="1"/>
  </sheetPr>
  <dimension ref="A1:O1048553"/>
  <sheetViews>
    <sheetView showGridLines="0" zoomScaleNormal="100" workbookViewId="0">
      <pane ySplit="4" topLeftCell="A37" activePane="bottomLeft" state="frozen"/>
      <selection pane="bottomLeft" activeCell="B5" sqref="B5:B211"/>
    </sheetView>
  </sheetViews>
  <sheetFormatPr defaultColWidth="9.1796875" defaultRowHeight="14.5"/>
  <cols>
    <col min="1" max="1" width="6.26953125" style="45" customWidth="1"/>
    <col min="2" max="2" width="17.81640625" style="45" customWidth="1"/>
    <col min="3" max="3" width="13.453125" style="110" bestFit="1" customWidth="1"/>
    <col min="4" max="4" width="13.26953125" style="45" customWidth="1"/>
    <col min="5" max="5" width="13" style="90" customWidth="1"/>
    <col min="6" max="6" width="15" style="45" bestFit="1" customWidth="1"/>
    <col min="7" max="7" width="14.81640625" style="45" bestFit="1" customWidth="1"/>
    <col min="8" max="8" width="9.81640625" style="45" customWidth="1"/>
    <col min="9" max="9" width="37.7265625" style="45" customWidth="1"/>
    <col min="10" max="10" width="13.81640625" style="45" customWidth="1"/>
    <col min="11" max="11" width="19.453125" style="73" customWidth="1"/>
    <col min="12" max="12" width="14.81640625" style="45" customWidth="1"/>
    <col min="13" max="13" width="15.7265625" style="45" customWidth="1"/>
    <col min="14" max="14" width="14.7265625" style="45" bestFit="1" customWidth="1"/>
    <col min="15" max="16384" width="9.1796875" style="45"/>
  </cols>
  <sheetData>
    <row r="1" spans="1:14" s="42" customFormat="1" ht="17.25" customHeight="1">
      <c r="A1" s="39" t="s">
        <v>145</v>
      </c>
      <c r="B1" s="40"/>
      <c r="C1" s="109"/>
      <c r="D1" s="40"/>
      <c r="E1" s="40"/>
      <c r="F1" s="41"/>
      <c r="G1" s="41"/>
      <c r="H1" s="41"/>
      <c r="I1" s="87" t="str">
        <f>TA413_PBNTL!M1</f>
        <v>17.07.2026</v>
      </c>
      <c r="K1" s="74"/>
    </row>
    <row r="2" spans="1:14" s="42" customFormat="1">
      <c r="A2" s="1638" t="str">
        <f>TA413_PBNTL!A3</f>
        <v>Name of Line: 765 KV D/C Bikaner III - Neemrana II TL02                                                                                                                                                                                                                     LOA Value: 378 Crore</v>
      </c>
      <c r="B2" s="1638"/>
      <c r="C2" s="1638"/>
      <c r="D2" s="1638"/>
      <c r="E2" s="1638"/>
      <c r="F2" s="1638"/>
      <c r="G2" s="1638"/>
      <c r="H2" s="1638"/>
      <c r="I2" s="1638"/>
      <c r="J2" s="91"/>
      <c r="K2" s="74"/>
    </row>
    <row r="3" spans="1:14" s="43" customFormat="1" ht="14.5" customHeight="1">
      <c r="A3" s="1639" t="s">
        <v>284</v>
      </c>
      <c r="B3" s="1639"/>
      <c r="C3" s="1639"/>
      <c r="D3" s="1639"/>
      <c r="E3" s="1639"/>
      <c r="F3" s="1639"/>
      <c r="G3" s="1639"/>
      <c r="H3" s="1639"/>
      <c r="I3" s="1639"/>
      <c r="J3" s="1639"/>
      <c r="K3" s="1639"/>
      <c r="L3" s="1639"/>
      <c r="M3" s="1639"/>
      <c r="N3" s="1639"/>
    </row>
    <row r="4" spans="1:14" s="44" customFormat="1" ht="59.25" customHeight="1">
      <c r="A4" s="88" t="s">
        <v>146</v>
      </c>
      <c r="B4" s="88" t="s">
        <v>43</v>
      </c>
      <c r="C4" s="88" t="s">
        <v>147</v>
      </c>
      <c r="D4" s="88" t="s">
        <v>14</v>
      </c>
      <c r="E4" s="88" t="s">
        <v>148</v>
      </c>
      <c r="F4" s="88" t="s">
        <v>149</v>
      </c>
      <c r="G4" s="88" t="s">
        <v>306</v>
      </c>
      <c r="H4" s="88" t="s">
        <v>150</v>
      </c>
      <c r="I4" s="88" t="s">
        <v>151</v>
      </c>
      <c r="J4" s="88" t="s">
        <v>152</v>
      </c>
      <c r="K4" s="88" t="s">
        <v>235</v>
      </c>
      <c r="L4" s="88" t="s">
        <v>236</v>
      </c>
      <c r="M4" s="88" t="s">
        <v>237</v>
      </c>
      <c r="N4" s="88" t="s">
        <v>238</v>
      </c>
    </row>
    <row r="5" spans="1:14" s="707" customFormat="1" ht="27.75" customHeight="1">
      <c r="A5" s="690">
        <v>1</v>
      </c>
      <c r="B5" s="691" t="s">
        <v>411</v>
      </c>
      <c r="C5" s="692" t="str">
        <f>VLOOKUP(B5,'Location Summary'!$C$4:$D$603,2,FALSE)</f>
        <v>DA+3</v>
      </c>
      <c r="D5" s="693" t="s">
        <v>99</v>
      </c>
      <c r="E5" s="694">
        <v>45446</v>
      </c>
      <c r="F5" s="694">
        <v>45449</v>
      </c>
      <c r="G5" s="694">
        <v>45450</v>
      </c>
      <c r="H5" s="695">
        <f>(G5-E5)</f>
        <v>4</v>
      </c>
      <c r="I5" s="725" t="s">
        <v>749</v>
      </c>
      <c r="J5" s="695" t="s">
        <v>663</v>
      </c>
      <c r="K5" s="705" t="s">
        <v>655</v>
      </c>
      <c r="L5" s="706">
        <v>9784543356</v>
      </c>
      <c r="M5" s="706" t="s">
        <v>658</v>
      </c>
      <c r="N5" s="706" t="s">
        <v>656</v>
      </c>
    </row>
    <row r="6" spans="1:14" s="707" customFormat="1" ht="27.75" customHeight="1">
      <c r="A6" s="690">
        <v>2</v>
      </c>
      <c r="B6" s="691" t="s">
        <v>412</v>
      </c>
      <c r="C6" s="692" t="str">
        <f>VLOOKUP(B6,'Location Summary'!$C$4:$D$603,2,FALSE)</f>
        <v>DA+3</v>
      </c>
      <c r="D6" s="693" t="s">
        <v>99</v>
      </c>
      <c r="E6" s="694">
        <v>45446</v>
      </c>
      <c r="F6" s="694">
        <v>45449</v>
      </c>
      <c r="G6" s="694">
        <v>45450</v>
      </c>
      <c r="H6" s="695">
        <f t="shared" ref="H6:H65" si="0">(G6-E6)</f>
        <v>4</v>
      </c>
      <c r="I6" s="725" t="s">
        <v>749</v>
      </c>
      <c r="J6" s="695" t="s">
        <v>663</v>
      </c>
      <c r="K6" s="705" t="s">
        <v>657</v>
      </c>
      <c r="L6" s="706">
        <v>9950185902</v>
      </c>
      <c r="M6" s="706" t="s">
        <v>658</v>
      </c>
      <c r="N6" s="706" t="s">
        <v>656</v>
      </c>
    </row>
    <row r="7" spans="1:14" s="707" customFormat="1" ht="27.75" customHeight="1">
      <c r="A7" s="690">
        <f t="shared" ref="A7:A45" si="1">A6+1</f>
        <v>3</v>
      </c>
      <c r="B7" s="691" t="s">
        <v>413</v>
      </c>
      <c r="C7" s="692" t="str">
        <f>VLOOKUP(B7,'Location Summary'!$C$4:$D$603,2,FALSE)</f>
        <v>DA+3</v>
      </c>
      <c r="D7" s="693" t="s">
        <v>99</v>
      </c>
      <c r="E7" s="694">
        <v>45457</v>
      </c>
      <c r="F7" s="694">
        <v>45460</v>
      </c>
      <c r="G7" s="694">
        <v>45460</v>
      </c>
      <c r="H7" s="695">
        <f>(G7-E7)</f>
        <v>3</v>
      </c>
      <c r="I7" s="725" t="s">
        <v>749</v>
      </c>
      <c r="J7" s="695" t="s">
        <v>663</v>
      </c>
      <c r="K7" s="708" t="s">
        <v>675</v>
      </c>
      <c r="L7" s="709">
        <v>9929783632</v>
      </c>
      <c r="M7" s="710" t="s">
        <v>676</v>
      </c>
      <c r="N7" s="706" t="s">
        <v>656</v>
      </c>
    </row>
    <row r="8" spans="1:14" s="707" customFormat="1" ht="27.75" customHeight="1">
      <c r="A8" s="690">
        <f t="shared" si="1"/>
        <v>4</v>
      </c>
      <c r="B8" s="696" t="s">
        <v>417</v>
      </c>
      <c r="C8" s="692" t="str">
        <f>VLOOKUP(B8,'Location Summary'!$C$4:$D$603,2,FALSE)</f>
        <v>DA+9</v>
      </c>
      <c r="D8" s="693" t="s">
        <v>695</v>
      </c>
      <c r="E8" s="694">
        <v>45472</v>
      </c>
      <c r="F8" s="694">
        <v>45483</v>
      </c>
      <c r="G8" s="694">
        <v>45483</v>
      </c>
      <c r="H8" s="695">
        <f t="shared" si="0"/>
        <v>11</v>
      </c>
      <c r="I8" s="725" t="s">
        <v>694</v>
      </c>
      <c r="J8" s="695" t="s">
        <v>663</v>
      </c>
      <c r="K8" s="705" t="s">
        <v>696</v>
      </c>
      <c r="L8" s="706">
        <v>9950488419</v>
      </c>
      <c r="M8" s="706" t="s">
        <v>698</v>
      </c>
      <c r="N8" s="706" t="s">
        <v>656</v>
      </c>
    </row>
    <row r="9" spans="1:14" s="707" customFormat="1" ht="27.75" customHeight="1">
      <c r="A9" s="697">
        <f t="shared" si="1"/>
        <v>5</v>
      </c>
      <c r="B9" s="698" t="s">
        <v>418</v>
      </c>
      <c r="C9" s="692" t="str">
        <f>VLOOKUP(B9,'Location Summary'!$C$4:$D$603,2,FALSE)</f>
        <v>DA+0</v>
      </c>
      <c r="D9" s="699" t="s">
        <v>99</v>
      </c>
      <c r="E9" s="694">
        <v>45472</v>
      </c>
      <c r="F9" s="694">
        <v>45483</v>
      </c>
      <c r="G9" s="694">
        <v>45483</v>
      </c>
      <c r="H9" s="695">
        <f t="shared" si="0"/>
        <v>11</v>
      </c>
      <c r="I9" s="725" t="s">
        <v>694</v>
      </c>
      <c r="J9" s="700" t="s">
        <v>663</v>
      </c>
      <c r="K9" s="705" t="s">
        <v>697</v>
      </c>
      <c r="L9" s="706">
        <v>8003383931</v>
      </c>
      <c r="M9" s="706" t="s">
        <v>698</v>
      </c>
      <c r="N9" s="706" t="s">
        <v>656</v>
      </c>
    </row>
    <row r="10" spans="1:14" s="707" customFormat="1" ht="27.75" customHeight="1">
      <c r="A10" s="697">
        <f t="shared" si="1"/>
        <v>6</v>
      </c>
      <c r="B10" s="698" t="s">
        <v>448</v>
      </c>
      <c r="C10" s="692" t="str">
        <f>VLOOKUP(B10,'Location Summary'!$C$4:$D$603,2,FALSE)</f>
        <v>DA+0</v>
      </c>
      <c r="D10" s="699" t="s">
        <v>99</v>
      </c>
      <c r="E10" s="694">
        <v>45478</v>
      </c>
      <c r="F10" s="694">
        <v>45479</v>
      </c>
      <c r="G10" s="694">
        <v>45479</v>
      </c>
      <c r="H10" s="695">
        <f t="shared" si="0"/>
        <v>1</v>
      </c>
      <c r="I10" s="725" t="s">
        <v>1200</v>
      </c>
      <c r="J10" s="700" t="s">
        <v>663</v>
      </c>
      <c r="K10" s="705"/>
      <c r="L10" s="706"/>
      <c r="M10" s="706"/>
      <c r="N10" s="706"/>
    </row>
    <row r="11" spans="1:14" s="707" customFormat="1" ht="27.75" customHeight="1">
      <c r="A11" s="697">
        <f t="shared" si="1"/>
        <v>7</v>
      </c>
      <c r="B11" s="698" t="s">
        <v>397</v>
      </c>
      <c r="C11" s="692" t="str">
        <f>VLOOKUP(B11,'Location Summary'!$C$4:$D$603,2,FALSE)</f>
        <v>DA+9</v>
      </c>
      <c r="D11" s="699" t="s">
        <v>99</v>
      </c>
      <c r="E11" s="694">
        <v>45478</v>
      </c>
      <c r="F11" s="694">
        <v>45481</v>
      </c>
      <c r="G11" s="694">
        <v>45482</v>
      </c>
      <c r="H11" s="695">
        <f t="shared" si="0"/>
        <v>4</v>
      </c>
      <c r="I11" s="725" t="s">
        <v>1200</v>
      </c>
      <c r="J11" s="700" t="s">
        <v>663</v>
      </c>
      <c r="K11" s="705"/>
      <c r="L11" s="706"/>
      <c r="M11" s="706"/>
      <c r="N11" s="706"/>
    </row>
    <row r="12" spans="1:14" s="707" customFormat="1" ht="27.75" customHeight="1">
      <c r="A12" s="697">
        <f t="shared" si="1"/>
        <v>8</v>
      </c>
      <c r="B12" s="698" t="s">
        <v>422</v>
      </c>
      <c r="C12" s="692" t="str">
        <f>VLOOKUP(B12,'Location Summary'!$C$4:$D$603,2,FALSE)</f>
        <v>DA+0</v>
      </c>
      <c r="D12" s="699" t="s">
        <v>99</v>
      </c>
      <c r="E12" s="694">
        <v>45481</v>
      </c>
      <c r="F12" s="694">
        <v>45483</v>
      </c>
      <c r="G12" s="694">
        <v>45483</v>
      </c>
      <c r="H12" s="695">
        <f t="shared" si="0"/>
        <v>2</v>
      </c>
      <c r="I12" s="725" t="s">
        <v>1200</v>
      </c>
      <c r="J12" s="700" t="s">
        <v>663</v>
      </c>
      <c r="K12" s="711" t="s">
        <v>767</v>
      </c>
      <c r="L12" s="700" t="s">
        <v>768</v>
      </c>
      <c r="M12" s="706" t="s">
        <v>698</v>
      </c>
      <c r="N12" s="706" t="s">
        <v>656</v>
      </c>
    </row>
    <row r="13" spans="1:14" s="707" customFormat="1" ht="27.75" customHeight="1">
      <c r="A13" s="697">
        <f t="shared" si="1"/>
        <v>9</v>
      </c>
      <c r="B13" s="698" t="s">
        <v>450</v>
      </c>
      <c r="C13" s="692" t="str">
        <f>VLOOKUP(B13,'Location Summary'!$C$4:$D$603,2,FALSE)</f>
        <v>DA+4.5</v>
      </c>
      <c r="D13" s="699" t="s">
        <v>99</v>
      </c>
      <c r="E13" s="694">
        <v>45478</v>
      </c>
      <c r="F13" s="694">
        <v>45496</v>
      </c>
      <c r="G13" s="694">
        <v>45496</v>
      </c>
      <c r="H13" s="695">
        <f t="shared" si="0"/>
        <v>18</v>
      </c>
      <c r="I13" s="725" t="s">
        <v>1200</v>
      </c>
      <c r="J13" s="700" t="s">
        <v>663</v>
      </c>
      <c r="K13" s="705" t="s">
        <v>754</v>
      </c>
      <c r="L13" s="706">
        <v>9443165335</v>
      </c>
      <c r="M13" s="706"/>
      <c r="N13" s="706"/>
    </row>
    <row r="14" spans="1:14" s="707" customFormat="1" ht="27.75" customHeight="1">
      <c r="A14" s="697">
        <f t="shared" si="1"/>
        <v>10</v>
      </c>
      <c r="B14" s="698" t="s">
        <v>155</v>
      </c>
      <c r="C14" s="692" t="str">
        <f>VLOOKUP(B14,'Location Summary'!$C$4:$D$603,2,FALSE)</f>
        <v>DA+1.5</v>
      </c>
      <c r="D14" s="699" t="s">
        <v>99</v>
      </c>
      <c r="E14" s="694">
        <v>45492</v>
      </c>
      <c r="F14" s="694">
        <v>45510</v>
      </c>
      <c r="G14" s="694">
        <v>45510</v>
      </c>
      <c r="H14" s="695">
        <f t="shared" si="0"/>
        <v>18</v>
      </c>
      <c r="I14" s="725" t="s">
        <v>1200</v>
      </c>
      <c r="J14" s="700" t="s">
        <v>663</v>
      </c>
      <c r="K14" s="705"/>
      <c r="L14" s="706"/>
      <c r="M14" s="706"/>
      <c r="N14" s="706"/>
    </row>
    <row r="15" spans="1:14" s="707" customFormat="1" ht="27.75" customHeight="1">
      <c r="A15" s="700">
        <f t="shared" si="1"/>
        <v>11</v>
      </c>
      <c r="B15" s="701" t="s">
        <v>174</v>
      </c>
      <c r="C15" s="692" t="str">
        <f>VLOOKUP(B15,'Location Summary'!$C$4:$D$603,2,FALSE)</f>
        <v>DA-3</v>
      </c>
      <c r="D15" s="699" t="s">
        <v>99</v>
      </c>
      <c r="E15" s="694">
        <v>45463</v>
      </c>
      <c r="F15" s="694">
        <v>45692</v>
      </c>
      <c r="G15" s="694">
        <v>45692</v>
      </c>
      <c r="H15" s="695">
        <f t="shared" si="0"/>
        <v>229</v>
      </c>
      <c r="I15" s="725" t="s">
        <v>1200</v>
      </c>
      <c r="J15" s="700" t="s">
        <v>663</v>
      </c>
      <c r="K15" s="1640" t="s">
        <v>866</v>
      </c>
      <c r="L15" s="1643">
        <v>6350519091</v>
      </c>
      <c r="M15" s="1643" t="s">
        <v>867</v>
      </c>
      <c r="N15" s="1643" t="s">
        <v>656</v>
      </c>
    </row>
    <row r="16" spans="1:14" s="707" customFormat="1" ht="27.75" customHeight="1">
      <c r="A16" s="700">
        <f t="shared" si="1"/>
        <v>12</v>
      </c>
      <c r="B16" s="702" t="s">
        <v>175</v>
      </c>
      <c r="C16" s="692" t="str">
        <f>VLOOKUP(B16,'Location Summary'!$C$4:$D$603,2,FALSE)</f>
        <v>DA-3</v>
      </c>
      <c r="D16" s="699" t="s">
        <v>99</v>
      </c>
      <c r="E16" s="694">
        <v>45463</v>
      </c>
      <c r="F16" s="694">
        <v>45692</v>
      </c>
      <c r="G16" s="694">
        <v>45692</v>
      </c>
      <c r="H16" s="695">
        <f t="shared" si="0"/>
        <v>229</v>
      </c>
      <c r="I16" s="725" t="s">
        <v>1200</v>
      </c>
      <c r="J16" s="700" t="s">
        <v>663</v>
      </c>
      <c r="K16" s="1641"/>
      <c r="L16" s="1644"/>
      <c r="M16" s="1644"/>
      <c r="N16" s="1644"/>
    </row>
    <row r="17" spans="1:14" s="707" customFormat="1" ht="27.75" customHeight="1">
      <c r="A17" s="700">
        <f t="shared" si="1"/>
        <v>13</v>
      </c>
      <c r="B17" s="701" t="s">
        <v>176</v>
      </c>
      <c r="C17" s="692" t="str">
        <f>VLOOKUP(B17,'Location Summary'!$C$4:$D$603,2,FALSE)</f>
        <v>DA+1.5</v>
      </c>
      <c r="D17" s="699" t="s">
        <v>99</v>
      </c>
      <c r="E17" s="694">
        <v>45463</v>
      </c>
      <c r="F17" s="694">
        <v>45791</v>
      </c>
      <c r="G17" s="694">
        <v>45791</v>
      </c>
      <c r="H17" s="695">
        <f t="shared" si="0"/>
        <v>328</v>
      </c>
      <c r="I17" s="725" t="s">
        <v>1200</v>
      </c>
      <c r="J17" s="700" t="s">
        <v>663</v>
      </c>
      <c r="K17" s="1641"/>
      <c r="L17" s="1644"/>
      <c r="M17" s="1644"/>
      <c r="N17" s="1644"/>
    </row>
    <row r="18" spans="1:14" s="707" customFormat="1" ht="27.75" customHeight="1">
      <c r="A18" s="700">
        <f t="shared" si="1"/>
        <v>14</v>
      </c>
      <c r="B18" s="701" t="s">
        <v>177</v>
      </c>
      <c r="C18" s="692" t="str">
        <f>VLOOKUP(B18,'Location Summary'!$C$4:$D$603,2,FALSE)</f>
        <v>DA+3</v>
      </c>
      <c r="D18" s="699" t="s">
        <v>99</v>
      </c>
      <c r="E18" s="694">
        <v>45463</v>
      </c>
      <c r="F18" s="694">
        <v>45787</v>
      </c>
      <c r="G18" s="694">
        <v>45787</v>
      </c>
      <c r="H18" s="695">
        <f>(G18-E18)</f>
        <v>324</v>
      </c>
      <c r="I18" s="725" t="s">
        <v>1200</v>
      </c>
      <c r="J18" s="700" t="s">
        <v>663</v>
      </c>
      <c r="K18" s="1642"/>
      <c r="L18" s="1645"/>
      <c r="M18" s="1645"/>
      <c r="N18" s="1645"/>
    </row>
    <row r="19" spans="1:14" s="707" customFormat="1" ht="27.75" customHeight="1">
      <c r="A19" s="690">
        <f t="shared" si="1"/>
        <v>15</v>
      </c>
      <c r="B19" s="696" t="s">
        <v>425</v>
      </c>
      <c r="C19" s="692" t="str">
        <f>VLOOKUP(B19,'Location Summary'!$C$4:$D$603,2,FALSE)</f>
        <v>DA+0</v>
      </c>
      <c r="D19" s="699" t="s">
        <v>99</v>
      </c>
      <c r="E19" s="694">
        <v>45463</v>
      </c>
      <c r="F19" s="694">
        <v>45782</v>
      </c>
      <c r="G19" s="694">
        <v>45782</v>
      </c>
      <c r="H19" s="695">
        <f t="shared" si="0"/>
        <v>319</v>
      </c>
      <c r="I19" s="725" t="s">
        <v>1200</v>
      </c>
      <c r="J19" s="695" t="s">
        <v>663</v>
      </c>
      <c r="K19" s="705" t="s">
        <v>684</v>
      </c>
      <c r="L19" s="706">
        <v>9509364739</v>
      </c>
      <c r="M19" s="706" t="s">
        <v>685</v>
      </c>
      <c r="N19" s="706" t="s">
        <v>656</v>
      </c>
    </row>
    <row r="20" spans="1:14" s="707" customFormat="1" ht="27.75" customHeight="1">
      <c r="A20" s="690">
        <f t="shared" si="1"/>
        <v>16</v>
      </c>
      <c r="B20" s="696" t="s">
        <v>426</v>
      </c>
      <c r="C20" s="692" t="str">
        <f>VLOOKUP(B20,'Location Summary'!$C$4:$D$603,2,FALSE)</f>
        <v>DA-3</v>
      </c>
      <c r="D20" s="699" t="s">
        <v>99</v>
      </c>
      <c r="E20" s="694">
        <v>45463</v>
      </c>
      <c r="F20" s="694">
        <v>45767</v>
      </c>
      <c r="G20" s="694">
        <v>45767</v>
      </c>
      <c r="H20" s="695">
        <f t="shared" si="0"/>
        <v>304</v>
      </c>
      <c r="I20" s="725" t="s">
        <v>1200</v>
      </c>
      <c r="J20" s="695" t="s">
        <v>663</v>
      </c>
      <c r="K20" s="705"/>
      <c r="L20" s="706"/>
      <c r="M20" s="706"/>
      <c r="N20" s="706"/>
    </row>
    <row r="21" spans="1:14" s="707" customFormat="1" ht="27.75" customHeight="1">
      <c r="A21" s="690">
        <f t="shared" si="1"/>
        <v>17</v>
      </c>
      <c r="B21" s="696" t="s">
        <v>54</v>
      </c>
      <c r="C21" s="692" t="str">
        <f>VLOOKUP(B21,'Location Summary'!$C$4:$D$603,2,FALSE)</f>
        <v>DB1+0</v>
      </c>
      <c r="D21" s="699" t="s">
        <v>99</v>
      </c>
      <c r="E21" s="694">
        <v>45513</v>
      </c>
      <c r="F21" s="694">
        <v>45775</v>
      </c>
      <c r="G21" s="694">
        <v>45775</v>
      </c>
      <c r="H21" s="695">
        <f t="shared" si="0"/>
        <v>262</v>
      </c>
      <c r="I21" s="725" t="s">
        <v>1200</v>
      </c>
      <c r="J21" s="695" t="s">
        <v>663</v>
      </c>
      <c r="K21" s="705"/>
      <c r="L21" s="706"/>
      <c r="M21" s="706"/>
      <c r="N21" s="706"/>
    </row>
    <row r="22" spans="1:14" s="707" customFormat="1" ht="27.75" customHeight="1">
      <c r="A22" s="690">
        <f t="shared" si="1"/>
        <v>18</v>
      </c>
      <c r="B22" s="696" t="s">
        <v>179</v>
      </c>
      <c r="C22" s="692" t="str">
        <f>VLOOKUP(B22,'Location Summary'!$C$4:$D$603,2,FALSE)</f>
        <v>DA+0</v>
      </c>
      <c r="D22" s="699" t="s">
        <v>99</v>
      </c>
      <c r="E22" s="694">
        <v>45513</v>
      </c>
      <c r="F22" s="694">
        <v>45770</v>
      </c>
      <c r="G22" s="694">
        <v>45770</v>
      </c>
      <c r="H22" s="695">
        <f t="shared" si="0"/>
        <v>257</v>
      </c>
      <c r="I22" s="725" t="s">
        <v>1200</v>
      </c>
      <c r="J22" s="695" t="s">
        <v>663</v>
      </c>
      <c r="K22" s="705"/>
      <c r="L22" s="706"/>
      <c r="M22" s="706"/>
      <c r="N22" s="706"/>
    </row>
    <row r="23" spans="1:14" s="707" customFormat="1" ht="27.75" customHeight="1">
      <c r="A23" s="690">
        <f t="shared" si="1"/>
        <v>19</v>
      </c>
      <c r="B23" s="696" t="s">
        <v>180</v>
      </c>
      <c r="C23" s="692" t="str">
        <f>VLOOKUP(B23,'Location Summary'!$C$4:$D$603,2,FALSE)</f>
        <v>DA+6</v>
      </c>
      <c r="D23" s="699" t="s">
        <v>99</v>
      </c>
      <c r="E23" s="694">
        <v>45513</v>
      </c>
      <c r="F23" s="694">
        <v>45736</v>
      </c>
      <c r="G23" s="694">
        <v>45736</v>
      </c>
      <c r="H23" s="695">
        <f t="shared" si="0"/>
        <v>223</v>
      </c>
      <c r="I23" s="725" t="s">
        <v>1200</v>
      </c>
      <c r="J23" s="695" t="s">
        <v>663</v>
      </c>
      <c r="K23" s="705"/>
      <c r="L23" s="706"/>
      <c r="M23" s="706"/>
      <c r="N23" s="706"/>
    </row>
    <row r="24" spans="1:14" s="707" customFormat="1" ht="27.75" customHeight="1">
      <c r="A24" s="690">
        <f t="shared" si="1"/>
        <v>20</v>
      </c>
      <c r="B24" s="696" t="s">
        <v>181</v>
      </c>
      <c r="C24" s="692" t="str">
        <f>VLOOKUP(B24,'Location Summary'!$C$4:$D$603,2,FALSE)</f>
        <v>DA+6</v>
      </c>
      <c r="D24" s="699" t="s">
        <v>99</v>
      </c>
      <c r="E24" s="694">
        <v>45513</v>
      </c>
      <c r="F24" s="694">
        <v>45707</v>
      </c>
      <c r="G24" s="694">
        <v>45707</v>
      </c>
      <c r="H24" s="695">
        <f t="shared" si="0"/>
        <v>194</v>
      </c>
      <c r="I24" s="725" t="s">
        <v>1200</v>
      </c>
      <c r="J24" s="695" t="s">
        <v>663</v>
      </c>
      <c r="K24" s="705"/>
      <c r="L24" s="706"/>
      <c r="M24" s="706"/>
      <c r="N24" s="706"/>
    </row>
    <row r="25" spans="1:14" s="707" customFormat="1" ht="27.75" customHeight="1">
      <c r="A25" s="690">
        <f t="shared" si="1"/>
        <v>21</v>
      </c>
      <c r="B25" s="696" t="s">
        <v>182</v>
      </c>
      <c r="C25" s="692" t="str">
        <f>VLOOKUP(B25,'Location Summary'!$C$4:$D$603,2,FALSE)</f>
        <v>DA+0</v>
      </c>
      <c r="D25" s="699" t="s">
        <v>99</v>
      </c>
      <c r="E25" s="694">
        <v>45513</v>
      </c>
      <c r="F25" s="694">
        <v>45694</v>
      </c>
      <c r="G25" s="694">
        <v>45694</v>
      </c>
      <c r="H25" s="695">
        <f t="shared" si="0"/>
        <v>181</v>
      </c>
      <c r="I25" s="725" t="s">
        <v>1200</v>
      </c>
      <c r="J25" s="695" t="s">
        <v>663</v>
      </c>
      <c r="K25" s="705"/>
      <c r="L25" s="706"/>
      <c r="M25" s="706"/>
      <c r="N25" s="706"/>
    </row>
    <row r="26" spans="1:14" s="707" customFormat="1" ht="27.75" customHeight="1">
      <c r="A26" s="690">
        <f t="shared" si="1"/>
        <v>22</v>
      </c>
      <c r="B26" s="696" t="s">
        <v>427</v>
      </c>
      <c r="C26" s="692" t="str">
        <f>VLOOKUP(B26,'Location Summary'!$C$4:$D$603,2,FALSE)</f>
        <v>DA+0</v>
      </c>
      <c r="D26" s="699" t="s">
        <v>99</v>
      </c>
      <c r="E26" s="694">
        <v>45513</v>
      </c>
      <c r="F26" s="694">
        <v>45694</v>
      </c>
      <c r="G26" s="694">
        <v>45694</v>
      </c>
      <c r="H26" s="695">
        <f t="shared" si="0"/>
        <v>181</v>
      </c>
      <c r="I26" s="725" t="s">
        <v>1200</v>
      </c>
      <c r="J26" s="695" t="s">
        <v>663</v>
      </c>
      <c r="K26" s="705"/>
      <c r="L26" s="706"/>
      <c r="M26" s="706"/>
      <c r="N26" s="706"/>
    </row>
    <row r="27" spans="1:14" s="707" customFormat="1" ht="27.75" customHeight="1">
      <c r="A27" s="690">
        <f t="shared" si="1"/>
        <v>23</v>
      </c>
      <c r="B27" s="696" t="s">
        <v>55</v>
      </c>
      <c r="C27" s="692" t="str">
        <f>VLOOKUP(B27,'Location Summary'!$C$4:$D$603,2,FALSE)</f>
        <v>DC2+15</v>
      </c>
      <c r="D27" s="699" t="s">
        <v>99</v>
      </c>
      <c r="E27" s="694">
        <v>45513</v>
      </c>
      <c r="F27" s="694">
        <v>45655</v>
      </c>
      <c r="G27" s="694">
        <v>45655</v>
      </c>
      <c r="H27" s="695">
        <f t="shared" si="0"/>
        <v>142</v>
      </c>
      <c r="I27" s="725" t="s">
        <v>1200</v>
      </c>
      <c r="J27" s="695" t="s">
        <v>663</v>
      </c>
      <c r="K27" s="705"/>
      <c r="L27" s="706"/>
      <c r="M27" s="706"/>
      <c r="N27" s="706"/>
    </row>
    <row r="28" spans="1:14" s="707" customFormat="1" ht="27.75" customHeight="1">
      <c r="A28" s="690">
        <f t="shared" si="1"/>
        <v>24</v>
      </c>
      <c r="B28" s="696" t="s">
        <v>370</v>
      </c>
      <c r="C28" s="692" t="str">
        <f>VLOOKUP(B28,'Location Summary'!$C$4:$D$603,2,FALSE)</f>
        <v>DA+3</v>
      </c>
      <c r="D28" s="699" t="s">
        <v>99</v>
      </c>
      <c r="E28" s="694">
        <v>45480</v>
      </c>
      <c r="F28" s="694">
        <v>45699</v>
      </c>
      <c r="G28" s="694">
        <v>45699</v>
      </c>
      <c r="H28" s="695">
        <f t="shared" si="0"/>
        <v>219</v>
      </c>
      <c r="I28" s="725" t="s">
        <v>1200</v>
      </c>
      <c r="J28" s="695" t="s">
        <v>663</v>
      </c>
      <c r="K28" s="705" t="s">
        <v>868</v>
      </c>
      <c r="L28" s="706">
        <v>9413384744</v>
      </c>
      <c r="M28" s="706" t="s">
        <v>869</v>
      </c>
      <c r="N28" s="706" t="s">
        <v>656</v>
      </c>
    </row>
    <row r="29" spans="1:14" s="707" customFormat="1" ht="27.75" customHeight="1">
      <c r="A29" s="690">
        <f t="shared" si="1"/>
        <v>25</v>
      </c>
      <c r="B29" s="696" t="s">
        <v>406</v>
      </c>
      <c r="C29" s="692" t="str">
        <f>VLOOKUP(B29,'Location Summary'!$C$4:$D$603,2,FALSE)</f>
        <v>DA+9</v>
      </c>
      <c r="D29" s="693" t="s">
        <v>99</v>
      </c>
      <c r="E29" s="694">
        <v>45480</v>
      </c>
      <c r="F29" s="694">
        <v>45699</v>
      </c>
      <c r="G29" s="694">
        <v>45699</v>
      </c>
      <c r="H29" s="695">
        <f t="shared" si="0"/>
        <v>219</v>
      </c>
      <c r="I29" s="725" t="s">
        <v>1200</v>
      </c>
      <c r="J29" s="695" t="s">
        <v>663</v>
      </c>
      <c r="K29" s="705"/>
      <c r="L29" s="706"/>
      <c r="M29" s="706"/>
      <c r="N29" s="706"/>
    </row>
    <row r="30" spans="1:14" s="707" customFormat="1" ht="27.75" customHeight="1">
      <c r="A30" s="690">
        <f t="shared" si="1"/>
        <v>26</v>
      </c>
      <c r="B30" s="696" t="s">
        <v>407</v>
      </c>
      <c r="C30" s="692" t="str">
        <f>VLOOKUP(B30,'Location Summary'!$C$4:$D$603,2,FALSE)</f>
        <v>DA+0</v>
      </c>
      <c r="D30" s="693" t="s">
        <v>99</v>
      </c>
      <c r="E30" s="694">
        <v>45480</v>
      </c>
      <c r="F30" s="694">
        <v>45710</v>
      </c>
      <c r="G30" s="694">
        <v>45710</v>
      </c>
      <c r="H30" s="695">
        <f t="shared" si="0"/>
        <v>230</v>
      </c>
      <c r="I30" s="725" t="s">
        <v>1200</v>
      </c>
      <c r="J30" s="695" t="s">
        <v>663</v>
      </c>
      <c r="K30" s="705"/>
      <c r="L30" s="706"/>
      <c r="M30" s="706"/>
      <c r="N30" s="706"/>
    </row>
    <row r="31" spans="1:14" s="707" customFormat="1" ht="27.75" customHeight="1">
      <c r="A31" s="690">
        <f t="shared" si="1"/>
        <v>27</v>
      </c>
      <c r="B31" s="696" t="s">
        <v>408</v>
      </c>
      <c r="C31" s="692" t="str">
        <f>VLOOKUP(B31,'Location Summary'!$C$4:$D$603,2,FALSE)</f>
        <v>DA+0</v>
      </c>
      <c r="D31" s="693" t="s">
        <v>99</v>
      </c>
      <c r="E31" s="694">
        <v>45480</v>
      </c>
      <c r="F31" s="694">
        <v>45699</v>
      </c>
      <c r="G31" s="694">
        <v>45699</v>
      </c>
      <c r="H31" s="695">
        <f t="shared" si="0"/>
        <v>219</v>
      </c>
      <c r="I31" s="725" t="s">
        <v>1200</v>
      </c>
      <c r="J31" s="695" t="s">
        <v>663</v>
      </c>
      <c r="K31" s="705"/>
      <c r="L31" s="706"/>
      <c r="M31" s="706"/>
      <c r="N31" s="706"/>
    </row>
    <row r="32" spans="1:14" s="707" customFormat="1" ht="27.75" customHeight="1">
      <c r="A32" s="690">
        <f t="shared" si="1"/>
        <v>28</v>
      </c>
      <c r="B32" s="696" t="s">
        <v>62</v>
      </c>
      <c r="C32" s="692" t="str">
        <f>VLOOKUP(B32,'Location Summary'!$C$4:$D$603,2,FALSE)</f>
        <v>DA-1.5</v>
      </c>
      <c r="D32" s="693" t="s">
        <v>99</v>
      </c>
      <c r="E32" s="694">
        <v>45492</v>
      </c>
      <c r="F32" s="694">
        <v>45549</v>
      </c>
      <c r="G32" s="694">
        <v>45549</v>
      </c>
      <c r="H32" s="695">
        <f t="shared" si="0"/>
        <v>57</v>
      </c>
      <c r="I32" s="725" t="s">
        <v>1200</v>
      </c>
      <c r="J32" s="695" t="s">
        <v>663</v>
      </c>
      <c r="K32" s="705" t="s">
        <v>865</v>
      </c>
      <c r="L32" s="706">
        <v>9461942441</v>
      </c>
      <c r="M32" s="706" t="s">
        <v>861</v>
      </c>
      <c r="N32" s="706" t="s">
        <v>656</v>
      </c>
    </row>
    <row r="33" spans="1:15" s="707" customFormat="1" ht="27.75" customHeight="1">
      <c r="A33" s="690">
        <f t="shared" si="1"/>
        <v>29</v>
      </c>
      <c r="B33" s="696" t="s">
        <v>153</v>
      </c>
      <c r="C33" s="692" t="str">
        <f>VLOOKUP(B33,'Location Summary'!$C$4:$D$603,2,FALSE)</f>
        <v>DA+1.5</v>
      </c>
      <c r="D33" s="693" t="s">
        <v>99</v>
      </c>
      <c r="E33" s="694">
        <v>45492</v>
      </c>
      <c r="F33" s="694">
        <v>45564</v>
      </c>
      <c r="G33" s="694">
        <v>45564</v>
      </c>
      <c r="H33" s="695">
        <f t="shared" si="0"/>
        <v>72</v>
      </c>
      <c r="I33" s="725" t="s">
        <v>1200</v>
      </c>
      <c r="J33" s="695" t="s">
        <v>663</v>
      </c>
      <c r="K33" s="705" t="s">
        <v>864</v>
      </c>
      <c r="L33" s="706">
        <v>9876037318</v>
      </c>
      <c r="M33" s="706" t="s">
        <v>861</v>
      </c>
      <c r="N33" s="706" t="s">
        <v>656</v>
      </c>
    </row>
    <row r="34" spans="1:15" s="707" customFormat="1" ht="27.75" customHeight="1">
      <c r="A34" s="690">
        <f t="shared" si="1"/>
        <v>30</v>
      </c>
      <c r="B34" s="696" t="s">
        <v>156</v>
      </c>
      <c r="C34" s="692" t="str">
        <f>VLOOKUP(B34,'Location Summary'!$C$4:$D$603,2,FALSE)</f>
        <v>DA-1.5</v>
      </c>
      <c r="D34" s="693" t="s">
        <v>99</v>
      </c>
      <c r="E34" s="694">
        <v>45492</v>
      </c>
      <c r="F34" s="694">
        <v>45521</v>
      </c>
      <c r="G34" s="694">
        <v>45521</v>
      </c>
      <c r="H34" s="695">
        <f t="shared" si="0"/>
        <v>29</v>
      </c>
      <c r="I34" s="725" t="s">
        <v>1200</v>
      </c>
      <c r="J34" s="700" t="s">
        <v>663</v>
      </c>
      <c r="K34" s="705" t="s">
        <v>863</v>
      </c>
      <c r="L34" s="706">
        <v>9928935365</v>
      </c>
      <c r="M34" s="706" t="s">
        <v>861</v>
      </c>
      <c r="N34" s="706" t="s">
        <v>656</v>
      </c>
    </row>
    <row r="35" spans="1:15" s="707" customFormat="1" ht="27.75" customHeight="1">
      <c r="A35" s="690">
        <f t="shared" si="1"/>
        <v>31</v>
      </c>
      <c r="B35" s="696" t="s">
        <v>162</v>
      </c>
      <c r="C35" s="692" t="str">
        <f>VLOOKUP(B35,'Location Summary'!$C$4:$D$603,2,FALSE)</f>
        <v>DA-3</v>
      </c>
      <c r="D35" s="693" t="s">
        <v>99</v>
      </c>
      <c r="E35" s="694">
        <v>45492</v>
      </c>
      <c r="F35" s="694">
        <v>45571</v>
      </c>
      <c r="G35" s="694">
        <v>45571</v>
      </c>
      <c r="H35" s="695">
        <f t="shared" si="0"/>
        <v>79</v>
      </c>
      <c r="I35" s="725" t="s">
        <v>1200</v>
      </c>
      <c r="J35" s="700" t="s">
        <v>663</v>
      </c>
      <c r="K35" s="705" t="s">
        <v>862</v>
      </c>
      <c r="L35" s="706">
        <v>7297945033</v>
      </c>
      <c r="M35" s="706" t="s">
        <v>861</v>
      </c>
      <c r="N35" s="706" t="s">
        <v>656</v>
      </c>
    </row>
    <row r="36" spans="1:15" s="707" customFormat="1" ht="27.75" customHeight="1">
      <c r="A36" s="690">
        <f t="shared" si="1"/>
        <v>32</v>
      </c>
      <c r="B36" s="696" t="s">
        <v>392</v>
      </c>
      <c r="C36" s="692" t="str">
        <f>VLOOKUP(B36,'Location Summary'!$C$4:$D$603,2,FALSE)</f>
        <v>DA+9</v>
      </c>
      <c r="D36" s="693" t="s">
        <v>99</v>
      </c>
      <c r="E36" s="694">
        <v>45497</v>
      </c>
      <c r="F36" s="694">
        <v>45633</v>
      </c>
      <c r="G36" s="694">
        <v>45633</v>
      </c>
      <c r="H36" s="695">
        <f t="shared" si="0"/>
        <v>136</v>
      </c>
      <c r="I36" s="725" t="s">
        <v>1200</v>
      </c>
      <c r="J36" s="700" t="s">
        <v>663</v>
      </c>
      <c r="K36" s="705" t="s">
        <v>841</v>
      </c>
      <c r="L36" s="706">
        <v>9983260872</v>
      </c>
      <c r="M36" s="706" t="s">
        <v>859</v>
      </c>
      <c r="N36" s="706" t="s">
        <v>656</v>
      </c>
    </row>
    <row r="37" spans="1:15" s="707" customFormat="1" ht="27.75" customHeight="1">
      <c r="A37" s="690">
        <f t="shared" si="1"/>
        <v>33</v>
      </c>
      <c r="B37" s="696" t="s">
        <v>393</v>
      </c>
      <c r="C37" s="692" t="str">
        <f>VLOOKUP(B37,'Location Summary'!$C$4:$D$603,2,FALSE)</f>
        <v>DA+6</v>
      </c>
      <c r="D37" s="693" t="s">
        <v>99</v>
      </c>
      <c r="E37" s="694">
        <v>45497</v>
      </c>
      <c r="F37" s="694">
        <v>45636</v>
      </c>
      <c r="G37" s="694">
        <v>45636</v>
      </c>
      <c r="H37" s="695">
        <f t="shared" si="0"/>
        <v>139</v>
      </c>
      <c r="I37" s="725" t="s">
        <v>1200</v>
      </c>
      <c r="J37" s="700" t="s">
        <v>663</v>
      </c>
      <c r="K37" s="705" t="s">
        <v>842</v>
      </c>
      <c r="L37" s="706">
        <v>9799581738</v>
      </c>
      <c r="M37" s="706" t="s">
        <v>860</v>
      </c>
      <c r="N37" s="706" t="s">
        <v>656</v>
      </c>
    </row>
    <row r="38" spans="1:15" s="707" customFormat="1" ht="27.75" customHeight="1">
      <c r="A38" s="690">
        <f t="shared" si="1"/>
        <v>34</v>
      </c>
      <c r="B38" s="696" t="s">
        <v>496</v>
      </c>
      <c r="C38" s="692" t="str">
        <f>VLOOKUP(B38,'Location Summary'!$C$4:$D$603,2,FALSE)</f>
        <v>DA+3</v>
      </c>
      <c r="D38" s="693" t="s">
        <v>99</v>
      </c>
      <c r="E38" s="694">
        <v>45498</v>
      </c>
      <c r="F38" s="694">
        <v>45514</v>
      </c>
      <c r="G38" s="694">
        <v>45514</v>
      </c>
      <c r="H38" s="695">
        <f t="shared" si="0"/>
        <v>16</v>
      </c>
      <c r="I38" s="725" t="s">
        <v>1200</v>
      </c>
      <c r="J38" s="695" t="s">
        <v>663</v>
      </c>
      <c r="K38" s="705" t="s">
        <v>857</v>
      </c>
      <c r="L38" s="706">
        <v>9351238162</v>
      </c>
      <c r="M38" s="706" t="s">
        <v>858</v>
      </c>
      <c r="N38" s="706" t="s">
        <v>656</v>
      </c>
    </row>
    <row r="39" spans="1:15" s="707" customFormat="1" ht="27.75" customHeight="1">
      <c r="A39" s="690">
        <f t="shared" si="1"/>
        <v>35</v>
      </c>
      <c r="B39" s="696" t="s">
        <v>431</v>
      </c>
      <c r="C39" s="692" t="str">
        <f>VLOOKUP(B39,'Location Summary'!$C$4:$D$603,2,FALSE)</f>
        <v>DA+0</v>
      </c>
      <c r="D39" s="693" t="s">
        <v>99</v>
      </c>
      <c r="E39" s="694">
        <v>45499</v>
      </c>
      <c r="F39" s="694">
        <v>45581</v>
      </c>
      <c r="G39" s="694">
        <v>45581</v>
      </c>
      <c r="H39" s="695">
        <f t="shared" si="0"/>
        <v>82</v>
      </c>
      <c r="I39" s="725" t="s">
        <v>1200</v>
      </c>
      <c r="J39" s="695" t="s">
        <v>663</v>
      </c>
      <c r="K39" s="711" t="s">
        <v>974</v>
      </c>
      <c r="L39" s="706">
        <v>9414141385</v>
      </c>
      <c r="M39" s="706" t="s">
        <v>861</v>
      </c>
      <c r="N39" s="706" t="s">
        <v>656</v>
      </c>
    </row>
    <row r="40" spans="1:15" s="707" customFormat="1" ht="27.75" customHeight="1">
      <c r="A40" s="690">
        <f t="shared" si="1"/>
        <v>36</v>
      </c>
      <c r="B40" s="696" t="s">
        <v>434</v>
      </c>
      <c r="C40" s="692" t="str">
        <f>VLOOKUP(B40,'Location Summary'!$C$4:$D$603,2,FALSE)</f>
        <v>DA+0</v>
      </c>
      <c r="D40" s="693" t="s">
        <v>99</v>
      </c>
      <c r="E40" s="694">
        <v>45500</v>
      </c>
      <c r="F40" s="694">
        <v>45502</v>
      </c>
      <c r="G40" s="694">
        <v>45502</v>
      </c>
      <c r="H40" s="695">
        <f t="shared" si="0"/>
        <v>2</v>
      </c>
      <c r="I40" s="725" t="s">
        <v>1200</v>
      </c>
      <c r="J40" s="695" t="s">
        <v>663</v>
      </c>
      <c r="K40" s="705" t="s">
        <v>850</v>
      </c>
      <c r="L40" s="706">
        <v>9828203300</v>
      </c>
      <c r="M40" s="706"/>
      <c r="N40" s="706"/>
    </row>
    <row r="41" spans="1:15" s="712" customFormat="1" ht="27.75" customHeight="1">
      <c r="A41" s="690">
        <f t="shared" si="1"/>
        <v>37</v>
      </c>
      <c r="B41" s="696" t="s">
        <v>400</v>
      </c>
      <c r="C41" s="692" t="str">
        <f>VLOOKUP(B41,'Location Summary'!$C$4:$D$603,2,FALSE)</f>
        <v>DA+9</v>
      </c>
      <c r="D41" s="693" t="s">
        <v>99</v>
      </c>
      <c r="E41" s="694">
        <v>45501</v>
      </c>
      <c r="F41" s="694">
        <v>45683</v>
      </c>
      <c r="G41" s="694">
        <v>45683</v>
      </c>
      <c r="H41" s="695">
        <f t="shared" si="0"/>
        <v>182</v>
      </c>
      <c r="I41" s="725" t="s">
        <v>1168</v>
      </c>
      <c r="J41" s="695" t="s">
        <v>663</v>
      </c>
      <c r="K41" s="705" t="s">
        <v>855</v>
      </c>
      <c r="L41" s="706">
        <v>9680661751</v>
      </c>
      <c r="M41" s="706" t="s">
        <v>856</v>
      </c>
      <c r="N41" s="706" t="s">
        <v>656</v>
      </c>
    </row>
    <row r="42" spans="1:15" s="712" customFormat="1" ht="27.75" customHeight="1">
      <c r="A42" s="690">
        <f t="shared" si="1"/>
        <v>38</v>
      </c>
      <c r="B42" s="696" t="s">
        <v>415</v>
      </c>
      <c r="C42" s="692" t="str">
        <f>VLOOKUP(B42,'Location Summary'!$C$4:$D$603,2,FALSE)</f>
        <v>DA+6</v>
      </c>
      <c r="D42" s="693" t="s">
        <v>99</v>
      </c>
      <c r="E42" s="694">
        <v>45455</v>
      </c>
      <c r="F42" s="694">
        <v>45650</v>
      </c>
      <c r="G42" s="694">
        <v>45650</v>
      </c>
      <c r="H42" s="695">
        <f t="shared" si="0"/>
        <v>195</v>
      </c>
      <c r="I42" s="725" t="s">
        <v>1201</v>
      </c>
      <c r="J42" s="695" t="s">
        <v>663</v>
      </c>
      <c r="K42" s="705"/>
      <c r="L42" s="706"/>
      <c r="M42" s="706"/>
      <c r="N42" s="706"/>
    </row>
    <row r="43" spans="1:15" s="712" customFormat="1" ht="27.75" customHeight="1">
      <c r="A43" s="690">
        <f t="shared" si="1"/>
        <v>39</v>
      </c>
      <c r="B43" s="696" t="s">
        <v>308</v>
      </c>
      <c r="C43" s="692" t="str">
        <f>VLOOKUP(B43,'Location Summary'!$C$4:$D$603,2,FALSE)</f>
        <v>DA+6</v>
      </c>
      <c r="D43" s="693" t="s">
        <v>99</v>
      </c>
      <c r="E43" s="694">
        <v>45455</v>
      </c>
      <c r="F43" s="694">
        <v>45650</v>
      </c>
      <c r="G43" s="694">
        <v>45650</v>
      </c>
      <c r="H43" s="695">
        <f t="shared" si="0"/>
        <v>195</v>
      </c>
      <c r="I43" s="725" t="s">
        <v>1201</v>
      </c>
      <c r="J43" s="695" t="s">
        <v>663</v>
      </c>
      <c r="K43" s="705" t="s">
        <v>870</v>
      </c>
      <c r="L43" s="706">
        <v>9950997590</v>
      </c>
      <c r="M43" s="706" t="s">
        <v>869</v>
      </c>
      <c r="N43" s="706" t="s">
        <v>656</v>
      </c>
    </row>
    <row r="44" spans="1:15" s="712" customFormat="1" ht="27.75" customHeight="1">
      <c r="A44" s="690">
        <f t="shared" si="1"/>
        <v>40</v>
      </c>
      <c r="B44" s="696" t="s">
        <v>423</v>
      </c>
      <c r="C44" s="692" t="str">
        <f>VLOOKUP(B44,'Location Summary'!$C$4:$D$603,2,FALSE)</f>
        <v>DA+6</v>
      </c>
      <c r="D44" s="693" t="s">
        <v>99</v>
      </c>
      <c r="E44" s="694">
        <v>45490</v>
      </c>
      <c r="F44" s="694">
        <v>45650</v>
      </c>
      <c r="G44" s="694">
        <v>45650</v>
      </c>
      <c r="H44" s="695">
        <f t="shared" si="0"/>
        <v>160</v>
      </c>
      <c r="I44" s="725" t="s">
        <v>1201</v>
      </c>
      <c r="J44" s="695" t="s">
        <v>663</v>
      </c>
      <c r="K44" s="705" t="s">
        <v>871</v>
      </c>
      <c r="L44" s="706">
        <v>9660960166</v>
      </c>
      <c r="M44" s="706" t="s">
        <v>872</v>
      </c>
      <c r="N44" s="706" t="s">
        <v>656</v>
      </c>
    </row>
    <row r="45" spans="1:15" s="712" customFormat="1" ht="27.75" customHeight="1">
      <c r="A45" s="690">
        <f t="shared" si="1"/>
        <v>41</v>
      </c>
      <c r="B45" s="696" t="s">
        <v>899</v>
      </c>
      <c r="C45" s="692" t="str">
        <f>VLOOKUP(B45,'Location Summary'!$C$4:$D$603,2,FALSE)</f>
        <v>DA+6</v>
      </c>
      <c r="D45" s="693" t="s">
        <v>99</v>
      </c>
      <c r="E45" s="694">
        <v>45504</v>
      </c>
      <c r="F45" s="694">
        <v>45508</v>
      </c>
      <c r="G45" s="694">
        <v>45508</v>
      </c>
      <c r="H45" s="695">
        <f t="shared" si="0"/>
        <v>4</v>
      </c>
      <c r="I45" s="725" t="s">
        <v>1201</v>
      </c>
      <c r="J45" s="695" t="s">
        <v>663</v>
      </c>
      <c r="K45" s="711" t="s">
        <v>1204</v>
      </c>
      <c r="L45" s="706">
        <v>9001870250</v>
      </c>
      <c r="M45" s="706" t="s">
        <v>861</v>
      </c>
      <c r="N45" s="706" t="s">
        <v>656</v>
      </c>
      <c r="O45" s="713"/>
    </row>
    <row r="46" spans="1:15" s="712" customFormat="1" ht="27.75" customHeight="1">
      <c r="A46" s="690">
        <f t="shared" ref="A46:A106" si="2">A45+1</f>
        <v>42</v>
      </c>
      <c r="B46" s="696" t="s">
        <v>900</v>
      </c>
      <c r="C46" s="692" t="str">
        <f>VLOOKUP(B46,'Location Summary'!$C$4:$D$603,2,FALSE)</f>
        <v>DA+6</v>
      </c>
      <c r="D46" s="693" t="s">
        <v>99</v>
      </c>
      <c r="E46" s="694">
        <v>45504</v>
      </c>
      <c r="F46" s="694">
        <v>45508</v>
      </c>
      <c r="G46" s="694">
        <v>45508</v>
      </c>
      <c r="H46" s="695">
        <f t="shared" si="0"/>
        <v>4</v>
      </c>
      <c r="I46" s="725" t="s">
        <v>1201</v>
      </c>
      <c r="J46" s="695" t="s">
        <v>663</v>
      </c>
      <c r="K46" s="705" t="s">
        <v>878</v>
      </c>
      <c r="L46" s="706">
        <v>9001870250</v>
      </c>
      <c r="M46" s="706" t="s">
        <v>861</v>
      </c>
      <c r="N46" s="706" t="s">
        <v>656</v>
      </c>
    </row>
    <row r="47" spans="1:15" s="712" customFormat="1" ht="27.75" customHeight="1">
      <c r="A47" s="690">
        <f t="shared" si="2"/>
        <v>43</v>
      </c>
      <c r="B47" s="696" t="s">
        <v>902</v>
      </c>
      <c r="C47" s="692" t="str">
        <f>VLOOKUP(B47,'Location Summary'!$C$4:$D$603,2,FALSE)</f>
        <v>DA+3</v>
      </c>
      <c r="D47" s="693" t="s">
        <v>99</v>
      </c>
      <c r="E47" s="694">
        <v>45506</v>
      </c>
      <c r="F47" s="694">
        <v>45521</v>
      </c>
      <c r="G47" s="694">
        <v>45521</v>
      </c>
      <c r="H47" s="695">
        <f t="shared" si="0"/>
        <v>15</v>
      </c>
      <c r="I47" s="725" t="s">
        <v>1201</v>
      </c>
      <c r="J47" s="695" t="s">
        <v>663</v>
      </c>
      <c r="K47" s="705"/>
      <c r="L47" s="706"/>
      <c r="M47" s="706"/>
      <c r="N47" s="706"/>
    </row>
    <row r="48" spans="1:15" s="712" customFormat="1" ht="27.75" customHeight="1">
      <c r="A48" s="690">
        <f t="shared" si="2"/>
        <v>44</v>
      </c>
      <c r="B48" s="696" t="s">
        <v>903</v>
      </c>
      <c r="C48" s="692" t="str">
        <f>VLOOKUP(B48,'Location Summary'!$C$4:$D$603,2,FALSE)</f>
        <v>DA+6</v>
      </c>
      <c r="D48" s="693" t="s">
        <v>99</v>
      </c>
      <c r="E48" s="694">
        <v>45506</v>
      </c>
      <c r="F48" s="694">
        <v>45524</v>
      </c>
      <c r="G48" s="694">
        <v>45524</v>
      </c>
      <c r="H48" s="695">
        <f t="shared" si="0"/>
        <v>18</v>
      </c>
      <c r="I48" s="725" t="s">
        <v>1201</v>
      </c>
      <c r="J48" s="695" t="s">
        <v>663</v>
      </c>
      <c r="K48" s="705"/>
      <c r="L48" s="706"/>
      <c r="M48" s="706"/>
      <c r="N48" s="706"/>
    </row>
    <row r="49" spans="1:14" s="712" customFormat="1" ht="27.75" customHeight="1">
      <c r="A49" s="690">
        <f t="shared" si="2"/>
        <v>45</v>
      </c>
      <c r="B49" s="696" t="s">
        <v>458</v>
      </c>
      <c r="C49" s="692" t="str">
        <f>VLOOKUP(B49,'Location Summary'!$C$4:$D$603,2,FALSE)</f>
        <v>DA+9</v>
      </c>
      <c r="D49" s="693" t="s">
        <v>99</v>
      </c>
      <c r="E49" s="694">
        <v>45506</v>
      </c>
      <c r="F49" s="694">
        <v>45554</v>
      </c>
      <c r="G49" s="694">
        <v>45554</v>
      </c>
      <c r="H49" s="695">
        <f t="shared" si="0"/>
        <v>48</v>
      </c>
      <c r="I49" s="725" t="s">
        <v>1201</v>
      </c>
      <c r="J49" s="695" t="s">
        <v>663</v>
      </c>
      <c r="K49" s="705"/>
      <c r="L49" s="706"/>
      <c r="M49" s="706"/>
      <c r="N49" s="706"/>
    </row>
    <row r="50" spans="1:14" s="712" customFormat="1" ht="27.75" customHeight="1">
      <c r="A50" s="690">
        <f t="shared" si="2"/>
        <v>46</v>
      </c>
      <c r="B50" s="696" t="s">
        <v>460</v>
      </c>
      <c r="C50" s="692" t="str">
        <f>VLOOKUP(B50,'Location Summary'!$C$4:$D$603,2,FALSE)</f>
        <v>DA-1.5</v>
      </c>
      <c r="D50" s="693" t="s">
        <v>99</v>
      </c>
      <c r="E50" s="694">
        <v>45506</v>
      </c>
      <c r="F50" s="694">
        <v>45510</v>
      </c>
      <c r="G50" s="694">
        <v>45510</v>
      </c>
      <c r="H50" s="695">
        <f t="shared" si="0"/>
        <v>4</v>
      </c>
      <c r="I50" s="725" t="s">
        <v>1201</v>
      </c>
      <c r="J50" s="695" t="s">
        <v>663</v>
      </c>
      <c r="K50" s="705"/>
      <c r="L50" s="706"/>
      <c r="M50" s="706"/>
      <c r="N50" s="706"/>
    </row>
    <row r="51" spans="1:14" s="712" customFormat="1" ht="27.75" customHeight="1">
      <c r="A51" s="690">
        <f t="shared" si="2"/>
        <v>47</v>
      </c>
      <c r="B51" s="696" t="s">
        <v>477</v>
      </c>
      <c r="C51" s="692" t="str">
        <f>VLOOKUP(B51,'Location Summary'!$C$4:$D$603,2,FALSE)</f>
        <v>DA+6</v>
      </c>
      <c r="D51" s="693" t="s">
        <v>99</v>
      </c>
      <c r="E51" s="694">
        <v>45506</v>
      </c>
      <c r="F51" s="694">
        <v>45617</v>
      </c>
      <c r="G51" s="694">
        <v>45617</v>
      </c>
      <c r="H51" s="695">
        <f t="shared" si="0"/>
        <v>111</v>
      </c>
      <c r="I51" s="725" t="s">
        <v>1201</v>
      </c>
      <c r="J51" s="695" t="s">
        <v>663</v>
      </c>
      <c r="K51" s="705"/>
      <c r="L51" s="706"/>
      <c r="M51" s="706"/>
      <c r="N51" s="706"/>
    </row>
    <row r="52" spans="1:14" s="712" customFormat="1" ht="27.75" customHeight="1">
      <c r="A52" s="690">
        <f t="shared" si="2"/>
        <v>48</v>
      </c>
      <c r="B52" s="696" t="s">
        <v>478</v>
      </c>
      <c r="C52" s="692" t="str">
        <f>VLOOKUP(B52,'Location Summary'!$C$4:$D$603,2,FALSE)</f>
        <v>DA+9</v>
      </c>
      <c r="D52" s="693" t="s">
        <v>99</v>
      </c>
      <c r="E52" s="694">
        <v>45506</v>
      </c>
      <c r="F52" s="694">
        <v>45568</v>
      </c>
      <c r="G52" s="694">
        <v>45568</v>
      </c>
      <c r="H52" s="695">
        <f t="shared" si="0"/>
        <v>62</v>
      </c>
      <c r="I52" s="725" t="s">
        <v>1201</v>
      </c>
      <c r="J52" s="695" t="s">
        <v>663</v>
      </c>
      <c r="K52" s="705"/>
      <c r="L52" s="706"/>
      <c r="M52" s="706"/>
      <c r="N52" s="706"/>
    </row>
    <row r="53" spans="1:14" s="712" customFormat="1" ht="27.75" customHeight="1">
      <c r="A53" s="690">
        <f t="shared" si="2"/>
        <v>49</v>
      </c>
      <c r="B53" s="696" t="s">
        <v>444</v>
      </c>
      <c r="C53" s="692" t="str">
        <f>VLOOKUP(B53,'Location Summary'!$C$4:$D$603,2,FALSE)</f>
        <v>DA-1.5</v>
      </c>
      <c r="D53" s="693" t="s">
        <v>99</v>
      </c>
      <c r="E53" s="694">
        <v>45506</v>
      </c>
      <c r="F53" s="694">
        <f>E53</f>
        <v>45506</v>
      </c>
      <c r="G53" s="694">
        <f>F53+5</f>
        <v>45511</v>
      </c>
      <c r="H53" s="695">
        <f t="shared" si="0"/>
        <v>5</v>
      </c>
      <c r="I53" s="725" t="s">
        <v>1201</v>
      </c>
      <c r="J53" s="695" t="s">
        <v>663</v>
      </c>
      <c r="K53" s="705"/>
      <c r="L53" s="706"/>
      <c r="M53" s="706"/>
      <c r="N53" s="706"/>
    </row>
    <row r="54" spans="1:14" s="712" customFormat="1" ht="27.75" customHeight="1">
      <c r="A54" s="690">
        <f t="shared" si="2"/>
        <v>50</v>
      </c>
      <c r="B54" s="696" t="s">
        <v>495</v>
      </c>
      <c r="C54" s="692" t="str">
        <f>VLOOKUP(B54,'Location Summary'!$C$4:$D$603,2,FALSE)</f>
        <v>DA+3</v>
      </c>
      <c r="D54" s="693" t="s">
        <v>99</v>
      </c>
      <c r="E54" s="694">
        <v>45522</v>
      </c>
      <c r="F54" s="694">
        <v>45525</v>
      </c>
      <c r="G54" s="694">
        <v>45525</v>
      </c>
      <c r="H54" s="695">
        <f t="shared" si="0"/>
        <v>3</v>
      </c>
      <c r="I54" s="725" t="s">
        <v>1202</v>
      </c>
      <c r="J54" s="695" t="s">
        <v>663</v>
      </c>
      <c r="K54" s="705"/>
      <c r="L54" s="706"/>
      <c r="M54" s="706"/>
      <c r="N54" s="706"/>
    </row>
    <row r="55" spans="1:14" s="712" customFormat="1" ht="27.75" customHeight="1">
      <c r="A55" s="690">
        <f t="shared" si="2"/>
        <v>51</v>
      </c>
      <c r="B55" s="696" t="s">
        <v>66</v>
      </c>
      <c r="C55" s="692" t="s">
        <v>79</v>
      </c>
      <c r="D55" s="693" t="s">
        <v>99</v>
      </c>
      <c r="E55" s="694">
        <v>45524</v>
      </c>
      <c r="F55" s="694">
        <v>45560</v>
      </c>
      <c r="G55" s="694">
        <v>45560</v>
      </c>
      <c r="H55" s="695">
        <f t="shared" si="0"/>
        <v>36</v>
      </c>
      <c r="I55" s="725" t="s">
        <v>1203</v>
      </c>
      <c r="J55" s="695" t="s">
        <v>663</v>
      </c>
      <c r="K55" s="705" t="s">
        <v>975</v>
      </c>
      <c r="L55" s="706">
        <v>9417442909</v>
      </c>
      <c r="M55" s="706" t="s">
        <v>976</v>
      </c>
      <c r="N55" s="706"/>
    </row>
    <row r="56" spans="1:14" s="712" customFormat="1" ht="27.75" customHeight="1">
      <c r="A56" s="690">
        <f t="shared" si="2"/>
        <v>52</v>
      </c>
      <c r="B56" s="696" t="s">
        <v>494</v>
      </c>
      <c r="C56" s="692" t="str">
        <f>VLOOKUP(B56,'Location Summary'!$C$4:$D$603,2,FALSE)</f>
        <v>DA+3</v>
      </c>
      <c r="D56" s="693" t="s">
        <v>99</v>
      </c>
      <c r="E56" s="694">
        <v>45524</v>
      </c>
      <c r="F56" s="694">
        <v>45541</v>
      </c>
      <c r="G56" s="694">
        <v>45541</v>
      </c>
      <c r="H56" s="695">
        <f t="shared" si="0"/>
        <v>17</v>
      </c>
      <c r="I56" s="725" t="s">
        <v>977</v>
      </c>
      <c r="J56" s="695" t="s">
        <v>663</v>
      </c>
      <c r="K56" s="705"/>
      <c r="L56" s="706"/>
      <c r="M56" s="706"/>
      <c r="N56" s="706"/>
    </row>
    <row r="57" spans="1:14" s="712" customFormat="1" ht="27.75" customHeight="1">
      <c r="A57" s="690">
        <f t="shared" si="2"/>
        <v>53</v>
      </c>
      <c r="B57" s="696" t="s">
        <v>493</v>
      </c>
      <c r="C57" s="692" t="str">
        <f>VLOOKUP(B57,'Location Summary'!$C$4:$D$603,2,FALSE)</f>
        <v>DA+3</v>
      </c>
      <c r="D57" s="693" t="s">
        <v>99</v>
      </c>
      <c r="E57" s="694">
        <v>45524</v>
      </c>
      <c r="F57" s="694">
        <v>45535</v>
      </c>
      <c r="G57" s="694">
        <v>45535</v>
      </c>
      <c r="H57" s="695">
        <f t="shared" si="0"/>
        <v>11</v>
      </c>
      <c r="I57" s="725" t="s">
        <v>977</v>
      </c>
      <c r="J57" s="695" t="s">
        <v>663</v>
      </c>
      <c r="K57" s="705"/>
      <c r="L57" s="706"/>
      <c r="M57" s="706"/>
      <c r="N57" s="706"/>
    </row>
    <row r="58" spans="1:14" s="712" customFormat="1" ht="27.75" customHeight="1">
      <c r="A58" s="690">
        <f t="shared" si="2"/>
        <v>54</v>
      </c>
      <c r="B58" s="696" t="s">
        <v>492</v>
      </c>
      <c r="C58" s="692" t="str">
        <f>VLOOKUP(B58,'Location Summary'!$C$4:$D$603,2,FALSE)</f>
        <v>DA+1.5</v>
      </c>
      <c r="D58" s="693" t="s">
        <v>99</v>
      </c>
      <c r="E58" s="694">
        <v>45524</v>
      </c>
      <c r="F58" s="694">
        <v>45530</v>
      </c>
      <c r="G58" s="694">
        <v>45530</v>
      </c>
      <c r="H58" s="695">
        <f t="shared" si="0"/>
        <v>6</v>
      </c>
      <c r="I58" s="725" t="s">
        <v>977</v>
      </c>
      <c r="J58" s="695" t="s">
        <v>663</v>
      </c>
      <c r="K58" s="705"/>
      <c r="L58" s="706"/>
      <c r="M58" s="706"/>
      <c r="N58" s="706"/>
    </row>
    <row r="59" spans="1:14" s="712" customFormat="1" ht="27.75" customHeight="1">
      <c r="A59" s="690">
        <f t="shared" si="2"/>
        <v>55</v>
      </c>
      <c r="B59" s="696" t="s">
        <v>69</v>
      </c>
      <c r="C59" s="692" t="str">
        <f>VLOOKUP(B59,'Location Summary'!$C$4:$D$603,2,FALSE)</f>
        <v>DA+9</v>
      </c>
      <c r="D59" s="693" t="s">
        <v>99</v>
      </c>
      <c r="E59" s="694">
        <v>45530</v>
      </c>
      <c r="F59" s="694">
        <v>45604</v>
      </c>
      <c r="G59" s="694">
        <v>45604</v>
      </c>
      <c r="H59" s="695">
        <f t="shared" si="0"/>
        <v>74</v>
      </c>
      <c r="I59" s="725" t="s">
        <v>977</v>
      </c>
      <c r="J59" s="695" t="s">
        <v>663</v>
      </c>
      <c r="K59" s="705" t="s">
        <v>855</v>
      </c>
      <c r="L59" s="706">
        <v>9694236631</v>
      </c>
      <c r="M59" s="706" t="s">
        <v>997</v>
      </c>
      <c r="N59" s="706" t="s">
        <v>1002</v>
      </c>
    </row>
    <row r="60" spans="1:14" s="712" customFormat="1" ht="27.75" customHeight="1">
      <c r="A60" s="690">
        <f t="shared" si="2"/>
        <v>56</v>
      </c>
      <c r="B60" s="696" t="s">
        <v>572</v>
      </c>
      <c r="C60" s="692" t="str">
        <f>VLOOKUP(B60,'Location Summary'!$C$4:$D$603,2,FALSE)</f>
        <v>DA+3</v>
      </c>
      <c r="D60" s="693" t="s">
        <v>99</v>
      </c>
      <c r="E60" s="694">
        <v>45530</v>
      </c>
      <c r="F60" s="694">
        <v>45587</v>
      </c>
      <c r="G60" s="694">
        <v>45587</v>
      </c>
      <c r="H60" s="695">
        <f t="shared" si="0"/>
        <v>57</v>
      </c>
      <c r="I60" s="725" t="s">
        <v>990</v>
      </c>
      <c r="J60" s="695" t="s">
        <v>663</v>
      </c>
      <c r="K60" s="705" t="s">
        <v>1000</v>
      </c>
      <c r="L60" s="706">
        <v>8107475410</v>
      </c>
      <c r="M60" s="706" t="s">
        <v>997</v>
      </c>
      <c r="N60" s="706" t="s">
        <v>1002</v>
      </c>
    </row>
    <row r="61" spans="1:14" s="712" customFormat="1" ht="27.75" customHeight="1">
      <c r="A61" s="690">
        <f t="shared" si="2"/>
        <v>57</v>
      </c>
      <c r="B61" s="696" t="s">
        <v>573</v>
      </c>
      <c r="C61" s="692" t="str">
        <f>VLOOKUP(B61,'Location Summary'!$C$4:$D$603,2,FALSE)</f>
        <v>DA+1.5</v>
      </c>
      <c r="D61" s="693" t="s">
        <v>99</v>
      </c>
      <c r="E61" s="694">
        <v>45530</v>
      </c>
      <c r="F61" s="694">
        <v>45587</v>
      </c>
      <c r="G61" s="694">
        <v>45587</v>
      </c>
      <c r="H61" s="695">
        <f t="shared" si="0"/>
        <v>57</v>
      </c>
      <c r="I61" s="725" t="s">
        <v>990</v>
      </c>
      <c r="J61" s="695" t="s">
        <v>663</v>
      </c>
      <c r="K61" s="705" t="s">
        <v>1001</v>
      </c>
      <c r="L61" s="706">
        <v>9549065761</v>
      </c>
      <c r="M61" s="706" t="s">
        <v>997</v>
      </c>
      <c r="N61" s="706" t="s">
        <v>1002</v>
      </c>
    </row>
    <row r="62" spans="1:14" s="712" customFormat="1" ht="27.75" customHeight="1">
      <c r="A62" s="690">
        <f t="shared" si="2"/>
        <v>58</v>
      </c>
      <c r="B62" s="696" t="s">
        <v>569</v>
      </c>
      <c r="C62" s="692" t="str">
        <f>VLOOKUP(B62,'Location Summary'!$C$4:$D$603,2,FALSE)</f>
        <v>DA+0</v>
      </c>
      <c r="D62" s="693" t="s">
        <v>99</v>
      </c>
      <c r="E62" s="694">
        <v>45535</v>
      </c>
      <c r="F62" s="694">
        <v>45544</v>
      </c>
      <c r="G62" s="694">
        <v>45582</v>
      </c>
      <c r="H62" s="695">
        <f t="shared" si="0"/>
        <v>47</v>
      </c>
      <c r="I62" s="725" t="s">
        <v>990</v>
      </c>
      <c r="J62" s="695" t="s">
        <v>663</v>
      </c>
      <c r="K62" s="705" t="s">
        <v>998</v>
      </c>
      <c r="L62" s="706">
        <v>9024013985</v>
      </c>
      <c r="M62" s="706" t="s">
        <v>999</v>
      </c>
      <c r="N62" s="706" t="s">
        <v>1002</v>
      </c>
    </row>
    <row r="63" spans="1:14" s="712" customFormat="1" ht="27.75" customHeight="1">
      <c r="A63" s="690">
        <f t="shared" si="2"/>
        <v>59</v>
      </c>
      <c r="B63" s="696" t="s">
        <v>430</v>
      </c>
      <c r="C63" s="692" t="str">
        <f>VLOOKUP(B63,'Location Summary'!$C$4:$D$603,2,FALSE)</f>
        <v>DA+6</v>
      </c>
      <c r="D63" s="693" t="s">
        <v>99</v>
      </c>
      <c r="E63" s="694">
        <v>45532</v>
      </c>
      <c r="F63" s="694">
        <v>45537</v>
      </c>
      <c r="G63" s="694">
        <v>45537</v>
      </c>
      <c r="H63" s="695">
        <f t="shared" si="0"/>
        <v>5</v>
      </c>
      <c r="I63" s="725" t="s">
        <v>990</v>
      </c>
      <c r="J63" s="695" t="s">
        <v>663</v>
      </c>
      <c r="K63" s="705" t="s">
        <v>996</v>
      </c>
      <c r="L63" s="706">
        <v>8290697615</v>
      </c>
      <c r="M63" s="706" t="s">
        <v>995</v>
      </c>
      <c r="N63" s="706" t="s">
        <v>656</v>
      </c>
    </row>
    <row r="64" spans="1:14" s="712" customFormat="1" ht="27.75" customHeight="1">
      <c r="A64" s="690">
        <f t="shared" si="2"/>
        <v>60</v>
      </c>
      <c r="B64" s="696" t="s">
        <v>61</v>
      </c>
      <c r="C64" s="692" t="str">
        <f>VLOOKUP(B64,'Location Summary'!$C$4:$D$603,2,FALSE)</f>
        <v>DA+9</v>
      </c>
      <c r="D64" s="693" t="s">
        <v>99</v>
      </c>
      <c r="E64" s="694">
        <v>45535</v>
      </c>
      <c r="F64" s="694">
        <v>45555</v>
      </c>
      <c r="G64" s="694">
        <v>45555</v>
      </c>
      <c r="H64" s="695">
        <f t="shared" si="0"/>
        <v>20</v>
      </c>
      <c r="I64" s="725" t="s">
        <v>990</v>
      </c>
      <c r="J64" s="695" t="s">
        <v>663</v>
      </c>
      <c r="K64" s="705" t="s">
        <v>994</v>
      </c>
      <c r="L64" s="706">
        <v>8904727514</v>
      </c>
      <c r="M64" s="706" t="s">
        <v>995</v>
      </c>
      <c r="N64" s="706" t="s">
        <v>656</v>
      </c>
    </row>
    <row r="65" spans="1:14" s="712" customFormat="1" ht="27.75" customHeight="1">
      <c r="A65" s="690">
        <f t="shared" si="2"/>
        <v>61</v>
      </c>
      <c r="B65" s="696" t="s">
        <v>1070</v>
      </c>
      <c r="C65" s="692" t="str">
        <f>VLOOKUP(B65,'Location Summary'!$C$4:$D$603,2,FALSE)</f>
        <v>DA+3</v>
      </c>
      <c r="D65" s="693" t="s">
        <v>99</v>
      </c>
      <c r="E65" s="694">
        <v>45545</v>
      </c>
      <c r="F65" s="694">
        <v>45546</v>
      </c>
      <c r="G65" s="694">
        <v>45546</v>
      </c>
      <c r="H65" s="695">
        <f t="shared" si="0"/>
        <v>1</v>
      </c>
      <c r="I65" s="725" t="s">
        <v>990</v>
      </c>
      <c r="J65" s="695" t="s">
        <v>663</v>
      </c>
      <c r="K65" s="705" t="s">
        <v>1006</v>
      </c>
      <c r="L65" s="706">
        <v>9137269295</v>
      </c>
      <c r="M65" s="706" t="s">
        <v>1007</v>
      </c>
      <c r="N65" s="706" t="s">
        <v>656</v>
      </c>
    </row>
    <row r="66" spans="1:14" s="712" customFormat="1" ht="27.75" customHeight="1">
      <c r="A66" s="690">
        <f t="shared" si="2"/>
        <v>62</v>
      </c>
      <c r="B66" s="696" t="s">
        <v>530</v>
      </c>
      <c r="C66" s="692" t="s">
        <v>2</v>
      </c>
      <c r="D66" s="693" t="s">
        <v>29</v>
      </c>
      <c r="E66" s="694">
        <v>45566</v>
      </c>
      <c r="F66" s="694">
        <v>45689</v>
      </c>
      <c r="G66" s="694">
        <v>45693</v>
      </c>
      <c r="H66" s="695">
        <f t="shared" ref="H66:H71" si="3">(G66-E66)</f>
        <v>127</v>
      </c>
      <c r="I66" s="725" t="s">
        <v>1065</v>
      </c>
      <c r="J66" s="695" t="s">
        <v>663</v>
      </c>
      <c r="K66" s="705" t="s">
        <v>1444</v>
      </c>
      <c r="L66" s="706"/>
      <c r="M66" s="706"/>
      <c r="N66" s="706"/>
    </row>
    <row r="67" spans="1:14" s="712" customFormat="1" ht="27.75" customHeight="1">
      <c r="A67" s="690">
        <f t="shared" si="2"/>
        <v>63</v>
      </c>
      <c r="B67" s="696" t="s">
        <v>256</v>
      </c>
      <c r="C67" s="692" t="str">
        <f>VLOOKUP(B67,'Location Summary'!$C$4:$D$603,2,FALSE)</f>
        <v>DB2+9</v>
      </c>
      <c r="D67" s="693" t="s">
        <v>99</v>
      </c>
      <c r="E67" s="694">
        <v>45561</v>
      </c>
      <c r="F67" s="694">
        <v>45766</v>
      </c>
      <c r="G67" s="694">
        <v>45766</v>
      </c>
      <c r="H67" s="695">
        <f t="shared" si="3"/>
        <v>205</v>
      </c>
      <c r="I67" s="725" t="s">
        <v>1065</v>
      </c>
      <c r="J67" s="695" t="s">
        <v>663</v>
      </c>
      <c r="K67" s="705" t="s">
        <v>1444</v>
      </c>
      <c r="L67" s="706"/>
      <c r="M67" s="706"/>
      <c r="N67" s="706"/>
    </row>
    <row r="68" spans="1:14" s="712" customFormat="1" ht="27.75" customHeight="1">
      <c r="A68" s="690">
        <f t="shared" si="2"/>
        <v>64</v>
      </c>
      <c r="B68" s="696" t="s">
        <v>452</v>
      </c>
      <c r="C68" s="692" t="s">
        <v>79</v>
      </c>
      <c r="D68" s="693" t="s">
        <v>99</v>
      </c>
      <c r="E68" s="694">
        <v>45561</v>
      </c>
      <c r="F68" s="694">
        <v>45689</v>
      </c>
      <c r="G68" s="694">
        <v>45693</v>
      </c>
      <c r="H68" s="695">
        <f t="shared" si="3"/>
        <v>132</v>
      </c>
      <c r="I68" s="725" t="s">
        <v>1211</v>
      </c>
      <c r="J68" s="695" t="s">
        <v>663</v>
      </c>
      <c r="K68" s="705" t="s">
        <v>1444</v>
      </c>
      <c r="L68" s="706"/>
      <c r="M68" s="706"/>
      <c r="N68" s="706"/>
    </row>
    <row r="69" spans="1:14" s="712" customFormat="1" ht="27.75" customHeight="1">
      <c r="A69" s="690">
        <f t="shared" si="2"/>
        <v>65</v>
      </c>
      <c r="B69" s="696" t="s">
        <v>453</v>
      </c>
      <c r="C69" s="692" t="s">
        <v>2</v>
      </c>
      <c r="D69" s="693" t="s">
        <v>99</v>
      </c>
      <c r="E69" s="694">
        <v>45561</v>
      </c>
      <c r="F69" s="694">
        <v>45689</v>
      </c>
      <c r="G69" s="694">
        <v>45693</v>
      </c>
      <c r="H69" s="695">
        <f t="shared" si="3"/>
        <v>132</v>
      </c>
      <c r="I69" s="725" t="s">
        <v>1211</v>
      </c>
      <c r="J69" s="695" t="s">
        <v>663</v>
      </c>
      <c r="K69" s="705" t="s">
        <v>1444</v>
      </c>
      <c r="L69" s="706"/>
      <c r="M69" s="706"/>
      <c r="N69" s="706"/>
    </row>
    <row r="70" spans="1:14" s="712" customFormat="1" ht="27.75" customHeight="1">
      <c r="A70" s="690">
        <f t="shared" si="2"/>
        <v>66</v>
      </c>
      <c r="B70" s="696" t="s">
        <v>454</v>
      </c>
      <c r="C70" s="692" t="s">
        <v>2</v>
      </c>
      <c r="D70" s="693" t="s">
        <v>99</v>
      </c>
      <c r="E70" s="694">
        <v>45561</v>
      </c>
      <c r="F70" s="694">
        <v>45689</v>
      </c>
      <c r="G70" s="694">
        <v>45693</v>
      </c>
      <c r="H70" s="695">
        <f t="shared" si="3"/>
        <v>132</v>
      </c>
      <c r="I70" s="725" t="s">
        <v>1211</v>
      </c>
      <c r="J70" s="695" t="s">
        <v>663</v>
      </c>
      <c r="K70" s="705" t="s">
        <v>1444</v>
      </c>
      <c r="L70" s="706"/>
      <c r="M70" s="706"/>
      <c r="N70" s="706"/>
    </row>
    <row r="71" spans="1:14" s="712" customFormat="1" ht="27.75" customHeight="1">
      <c r="A71" s="690">
        <f t="shared" si="2"/>
        <v>67</v>
      </c>
      <c r="B71" s="696" t="s">
        <v>455</v>
      </c>
      <c r="C71" s="692" t="s">
        <v>79</v>
      </c>
      <c r="D71" s="693" t="s">
        <v>99</v>
      </c>
      <c r="E71" s="694">
        <v>45561</v>
      </c>
      <c r="F71" s="694">
        <v>45689</v>
      </c>
      <c r="G71" s="694">
        <v>45693</v>
      </c>
      <c r="H71" s="695">
        <f t="shared" si="3"/>
        <v>132</v>
      </c>
      <c r="I71" s="725" t="s">
        <v>1211</v>
      </c>
      <c r="J71" s="695" t="s">
        <v>663</v>
      </c>
      <c r="K71" s="705" t="s">
        <v>1444</v>
      </c>
      <c r="L71" s="706"/>
      <c r="M71" s="706"/>
      <c r="N71" s="706"/>
    </row>
    <row r="72" spans="1:14" s="712" customFormat="1" ht="27.75" customHeight="1">
      <c r="A72" s="690">
        <f t="shared" si="2"/>
        <v>68</v>
      </c>
      <c r="B72" s="696" t="s">
        <v>257</v>
      </c>
      <c r="C72" s="692" t="str">
        <f>VLOOKUP(B72,'Location Summary'!$C$4:$D$603,2,FALSE)</f>
        <v>DB1+6</v>
      </c>
      <c r="D72" s="693" t="s">
        <v>99</v>
      </c>
      <c r="E72" s="694">
        <v>45550</v>
      </c>
      <c r="F72" s="694">
        <v>45721</v>
      </c>
      <c r="G72" s="694">
        <v>45721</v>
      </c>
      <c r="H72" s="695">
        <f t="shared" ref="H72:H86" si="4">(G72-E72)</f>
        <v>171</v>
      </c>
      <c r="I72" s="725" t="s">
        <v>1065</v>
      </c>
      <c r="J72" s="695" t="s">
        <v>663</v>
      </c>
      <c r="K72" s="705"/>
      <c r="L72" s="706"/>
      <c r="M72" s="706"/>
      <c r="N72" s="706"/>
    </row>
    <row r="73" spans="1:14" s="712" customFormat="1" ht="27.75" customHeight="1">
      <c r="A73" s="690">
        <f t="shared" si="2"/>
        <v>69</v>
      </c>
      <c r="B73" s="696" t="s">
        <v>457</v>
      </c>
      <c r="C73" s="692" t="str">
        <f>VLOOKUP(B73,'Location Summary'!$C$4:$D$603,2,FALSE)</f>
        <v>DA+6</v>
      </c>
      <c r="D73" s="693" t="s">
        <v>99</v>
      </c>
      <c r="E73" s="694">
        <v>45550</v>
      </c>
      <c r="F73" s="694">
        <v>45727</v>
      </c>
      <c r="G73" s="694">
        <v>45727</v>
      </c>
      <c r="H73" s="695">
        <f t="shared" si="4"/>
        <v>177</v>
      </c>
      <c r="I73" s="725" t="s">
        <v>1065</v>
      </c>
      <c r="J73" s="695" t="s">
        <v>663</v>
      </c>
      <c r="K73" s="705"/>
      <c r="L73" s="706"/>
      <c r="M73" s="706"/>
      <c r="N73" s="706"/>
    </row>
    <row r="74" spans="1:14" s="712" customFormat="1" ht="27.75" customHeight="1">
      <c r="A74" s="690">
        <f t="shared" si="2"/>
        <v>70</v>
      </c>
      <c r="B74" s="696" t="s">
        <v>461</v>
      </c>
      <c r="C74" s="692" t="str">
        <f>VLOOKUP(B74,'Location Summary'!$C$4:$D$603,2,FALSE)</f>
        <v>DA+6</v>
      </c>
      <c r="D74" s="693" t="s">
        <v>99</v>
      </c>
      <c r="E74" s="694">
        <v>45550</v>
      </c>
      <c r="F74" s="694">
        <v>45583</v>
      </c>
      <c r="G74" s="694">
        <v>45583</v>
      </c>
      <c r="H74" s="695">
        <f t="shared" si="4"/>
        <v>33</v>
      </c>
      <c r="I74" s="725" t="s">
        <v>1065</v>
      </c>
      <c r="J74" s="695" t="s">
        <v>663</v>
      </c>
      <c r="K74" s="705"/>
      <c r="L74" s="706"/>
      <c r="M74" s="706"/>
      <c r="N74" s="706"/>
    </row>
    <row r="75" spans="1:14" s="712" customFormat="1" ht="27.75" customHeight="1">
      <c r="A75" s="690">
        <f t="shared" si="2"/>
        <v>71</v>
      </c>
      <c r="B75" s="696" t="s">
        <v>258</v>
      </c>
      <c r="C75" s="692" t="str">
        <f>VLOOKUP(B75,'Location Summary'!$C$4:$D$603,2,FALSE)</f>
        <v>DB1+9</v>
      </c>
      <c r="D75" s="693" t="s">
        <v>99</v>
      </c>
      <c r="E75" s="694">
        <v>45555</v>
      </c>
      <c r="F75" s="694" t="s">
        <v>1077</v>
      </c>
      <c r="G75" s="694" t="s">
        <v>1077</v>
      </c>
      <c r="H75" s="695">
        <f t="shared" si="4"/>
        <v>17</v>
      </c>
      <c r="I75" s="725" t="s">
        <v>1065</v>
      </c>
      <c r="J75" s="695" t="s">
        <v>663</v>
      </c>
      <c r="K75" s="705"/>
      <c r="L75" s="706"/>
      <c r="M75" s="706"/>
      <c r="N75" s="706"/>
    </row>
    <row r="76" spans="1:14" s="712" customFormat="1" ht="27.75" customHeight="1">
      <c r="A76" s="690">
        <f t="shared" si="2"/>
        <v>72</v>
      </c>
      <c r="B76" s="696" t="s">
        <v>469</v>
      </c>
      <c r="C76" s="692" t="str">
        <f>VLOOKUP(B76,'Location Summary'!$C$4:$D$603,2,FALSE)</f>
        <v>DA+9</v>
      </c>
      <c r="D76" s="693" t="s">
        <v>99</v>
      </c>
      <c r="E76" s="694">
        <v>45555</v>
      </c>
      <c r="F76" s="694">
        <v>45581</v>
      </c>
      <c r="G76" s="694">
        <v>45581</v>
      </c>
      <c r="H76" s="695">
        <f t="shared" si="4"/>
        <v>26</v>
      </c>
      <c r="I76" s="725" t="s">
        <v>990</v>
      </c>
      <c r="J76" s="695" t="s">
        <v>663</v>
      </c>
      <c r="K76" s="705"/>
      <c r="L76" s="706"/>
      <c r="M76" s="706"/>
      <c r="N76" s="706"/>
    </row>
    <row r="77" spans="1:14" s="712" customFormat="1" ht="27.75" customHeight="1">
      <c r="A77" s="690">
        <f t="shared" si="2"/>
        <v>73</v>
      </c>
      <c r="B77" s="696" t="s">
        <v>471</v>
      </c>
      <c r="C77" s="692" t="str">
        <f>VLOOKUP(B77,'Location Summary'!$C$4:$D$603,2,FALSE)</f>
        <v>DA+1.5</v>
      </c>
      <c r="D77" s="693" t="s">
        <v>99</v>
      </c>
      <c r="E77" s="694">
        <v>45558</v>
      </c>
      <c r="F77" s="694">
        <v>45576</v>
      </c>
      <c r="G77" s="694">
        <v>45576</v>
      </c>
      <c r="H77" s="695">
        <f t="shared" si="4"/>
        <v>18</v>
      </c>
      <c r="I77" s="725" t="s">
        <v>990</v>
      </c>
      <c r="J77" s="695" t="s">
        <v>663</v>
      </c>
      <c r="K77" s="705"/>
      <c r="L77" s="706"/>
      <c r="M77" s="706"/>
      <c r="N77" s="706"/>
    </row>
    <row r="78" spans="1:14" s="712" customFormat="1" ht="27.75" customHeight="1">
      <c r="A78" s="690">
        <f t="shared" si="2"/>
        <v>74</v>
      </c>
      <c r="B78" s="696" t="s">
        <v>472</v>
      </c>
      <c r="C78" s="692" t="str">
        <f>VLOOKUP(B78,'Location Summary'!$C$4:$D$603,2,FALSE)</f>
        <v>DA+3</v>
      </c>
      <c r="D78" s="693" t="s">
        <v>99</v>
      </c>
      <c r="E78" s="694">
        <v>45558</v>
      </c>
      <c r="F78" s="694">
        <v>45591</v>
      </c>
      <c r="G78" s="694">
        <v>45591</v>
      </c>
      <c r="H78" s="695">
        <f t="shared" si="4"/>
        <v>33</v>
      </c>
      <c r="I78" s="725" t="s">
        <v>990</v>
      </c>
      <c r="J78" s="695" t="s">
        <v>663</v>
      </c>
      <c r="K78" s="705"/>
      <c r="L78" s="706"/>
      <c r="M78" s="706"/>
      <c r="N78" s="706"/>
    </row>
    <row r="79" spans="1:14" s="712" customFormat="1" ht="27.75" customHeight="1">
      <c r="A79" s="690">
        <f t="shared" si="2"/>
        <v>75</v>
      </c>
      <c r="B79" s="696" t="s">
        <v>589</v>
      </c>
      <c r="C79" s="692" t="str">
        <f>VLOOKUP(B79,'Location Summary'!$C$4:$D$603,2,FALSE)</f>
        <v>DA+6</v>
      </c>
      <c r="D79" s="693" t="s">
        <v>99</v>
      </c>
      <c r="E79" s="694">
        <v>45562</v>
      </c>
      <c r="F79" s="694">
        <v>45589</v>
      </c>
      <c r="G79" s="694">
        <v>45589</v>
      </c>
      <c r="H79" s="695">
        <f t="shared" si="4"/>
        <v>27</v>
      </c>
      <c r="I79" s="725" t="s">
        <v>990</v>
      </c>
      <c r="J79" s="695" t="s">
        <v>663</v>
      </c>
      <c r="K79" s="705" t="s">
        <v>1073</v>
      </c>
      <c r="L79" s="706">
        <v>8696414081</v>
      </c>
      <c r="M79" s="706" t="s">
        <v>997</v>
      </c>
      <c r="N79" s="706" t="s">
        <v>656</v>
      </c>
    </row>
    <row r="80" spans="1:14" s="712" customFormat="1" ht="27.75" customHeight="1">
      <c r="A80" s="690">
        <f t="shared" si="2"/>
        <v>76</v>
      </c>
      <c r="B80" s="696" t="s">
        <v>604</v>
      </c>
      <c r="C80" s="692" t="str">
        <f>VLOOKUP(B80,'Location Summary'!$C$4:$D$603,2,FALSE)</f>
        <v>DA+9</v>
      </c>
      <c r="D80" s="693" t="s">
        <v>99</v>
      </c>
      <c r="E80" s="694">
        <v>45568</v>
      </c>
      <c r="F80" s="694">
        <v>45607</v>
      </c>
      <c r="G80" s="694">
        <v>45607</v>
      </c>
      <c r="H80" s="695">
        <f t="shared" si="4"/>
        <v>39</v>
      </c>
      <c r="I80" s="725" t="s">
        <v>990</v>
      </c>
      <c r="J80" s="695" t="s">
        <v>663</v>
      </c>
      <c r="K80" s="705" t="s">
        <v>1074</v>
      </c>
      <c r="L80" s="706">
        <v>9649766361</v>
      </c>
      <c r="M80" s="706" t="s">
        <v>1075</v>
      </c>
      <c r="N80" s="706" t="s">
        <v>656</v>
      </c>
    </row>
    <row r="81" spans="1:14" s="712" customFormat="1" ht="27.75" customHeight="1">
      <c r="A81" s="690">
        <f t="shared" si="2"/>
        <v>77</v>
      </c>
      <c r="B81" s="696" t="s">
        <v>605</v>
      </c>
      <c r="C81" s="692" t="str">
        <f>VLOOKUP(B81,'Location Summary'!$C$4:$D$603,2,FALSE)</f>
        <v>DA+3</v>
      </c>
      <c r="D81" s="693" t="s">
        <v>99</v>
      </c>
      <c r="E81" s="694">
        <v>45568</v>
      </c>
      <c r="F81" s="694">
        <v>45612</v>
      </c>
      <c r="G81" s="694">
        <v>45612</v>
      </c>
      <c r="H81" s="695">
        <f t="shared" si="4"/>
        <v>44</v>
      </c>
      <c r="I81" s="725" t="s">
        <v>990</v>
      </c>
      <c r="J81" s="695" t="s">
        <v>663</v>
      </c>
      <c r="K81" s="705" t="s">
        <v>1076</v>
      </c>
      <c r="L81" s="706">
        <v>7568731460</v>
      </c>
      <c r="M81" s="706" t="s">
        <v>1075</v>
      </c>
      <c r="N81" s="706" t="s">
        <v>656</v>
      </c>
    </row>
    <row r="82" spans="1:14" s="712" customFormat="1" ht="27.75" customHeight="1">
      <c r="A82" s="690">
        <f t="shared" si="2"/>
        <v>78</v>
      </c>
      <c r="B82" s="696" t="s">
        <v>166</v>
      </c>
      <c r="C82" s="692" t="str">
        <f>VLOOKUP(B82,'Location Summary'!$C$4:$D$603,2,FALSE)</f>
        <v>DB1+6</v>
      </c>
      <c r="D82" s="693" t="s">
        <v>99</v>
      </c>
      <c r="E82" s="694">
        <v>45581</v>
      </c>
      <c r="F82" s="694">
        <v>45606</v>
      </c>
      <c r="G82" s="694">
        <v>45606</v>
      </c>
      <c r="H82" s="695">
        <f t="shared" si="4"/>
        <v>25</v>
      </c>
      <c r="I82" s="725" t="s">
        <v>990</v>
      </c>
      <c r="J82" s="695" t="s">
        <v>663</v>
      </c>
      <c r="K82" s="705"/>
      <c r="L82" s="706"/>
      <c r="M82" s="706"/>
      <c r="N82" s="706"/>
    </row>
    <row r="83" spans="1:14" s="712" customFormat="1" ht="27.75" customHeight="1">
      <c r="A83" s="690">
        <f t="shared" si="2"/>
        <v>79</v>
      </c>
      <c r="B83" s="696" t="s">
        <v>270</v>
      </c>
      <c r="C83" s="692" t="s">
        <v>184</v>
      </c>
      <c r="D83" s="693" t="s">
        <v>99</v>
      </c>
      <c r="E83" s="694">
        <v>45581</v>
      </c>
      <c r="F83" s="694">
        <v>45689</v>
      </c>
      <c r="G83" s="694">
        <v>45693</v>
      </c>
      <c r="H83" s="695">
        <f t="shared" si="4"/>
        <v>112</v>
      </c>
      <c r="I83" s="725" t="s">
        <v>1103</v>
      </c>
      <c r="J83" s="695" t="s">
        <v>663</v>
      </c>
      <c r="K83" s="705" t="s">
        <v>1444</v>
      </c>
      <c r="L83" s="706"/>
      <c r="M83" s="706"/>
      <c r="N83" s="706"/>
    </row>
    <row r="84" spans="1:14" s="712" customFormat="1" ht="27.75" customHeight="1">
      <c r="A84" s="690">
        <f t="shared" si="2"/>
        <v>80</v>
      </c>
      <c r="B84" s="696" t="s">
        <v>526</v>
      </c>
      <c r="C84" s="692" t="s">
        <v>2</v>
      </c>
      <c r="D84" s="693" t="s">
        <v>99</v>
      </c>
      <c r="E84" s="694">
        <v>45581</v>
      </c>
      <c r="F84" s="694">
        <v>45689</v>
      </c>
      <c r="G84" s="694">
        <v>45693</v>
      </c>
      <c r="H84" s="695">
        <f t="shared" si="4"/>
        <v>112</v>
      </c>
      <c r="I84" s="725" t="s">
        <v>1103</v>
      </c>
      <c r="J84" s="695" t="s">
        <v>663</v>
      </c>
      <c r="K84" s="705" t="s">
        <v>1444</v>
      </c>
      <c r="L84" s="706"/>
      <c r="M84" s="706"/>
      <c r="N84" s="706"/>
    </row>
    <row r="85" spans="1:14" s="712" customFormat="1" ht="27.75" customHeight="1">
      <c r="A85" s="690">
        <f t="shared" si="2"/>
        <v>81</v>
      </c>
      <c r="B85" s="696" t="s">
        <v>527</v>
      </c>
      <c r="C85" s="692" t="s">
        <v>79</v>
      </c>
      <c r="D85" s="693" t="s">
        <v>99</v>
      </c>
      <c r="E85" s="694">
        <v>45581</v>
      </c>
      <c r="F85" s="694">
        <v>45689</v>
      </c>
      <c r="G85" s="694">
        <v>45693</v>
      </c>
      <c r="H85" s="695">
        <f t="shared" si="4"/>
        <v>112</v>
      </c>
      <c r="I85" s="725" t="s">
        <v>1103</v>
      </c>
      <c r="J85" s="695" t="s">
        <v>663</v>
      </c>
      <c r="K85" s="705" t="s">
        <v>1444</v>
      </c>
      <c r="L85" s="706"/>
      <c r="M85" s="706"/>
      <c r="N85" s="706"/>
    </row>
    <row r="86" spans="1:14" s="712" customFormat="1" ht="27.75" customHeight="1">
      <c r="A86" s="690">
        <f t="shared" si="2"/>
        <v>82</v>
      </c>
      <c r="B86" s="696" t="s">
        <v>528</v>
      </c>
      <c r="C86" s="692" t="s">
        <v>2</v>
      </c>
      <c r="D86" s="693" t="s">
        <v>99</v>
      </c>
      <c r="E86" s="694">
        <v>45581</v>
      </c>
      <c r="F86" s="694">
        <v>45689</v>
      </c>
      <c r="G86" s="694">
        <v>45693</v>
      </c>
      <c r="H86" s="695">
        <f t="shared" si="4"/>
        <v>112</v>
      </c>
      <c r="I86" s="725" t="s">
        <v>1103</v>
      </c>
      <c r="J86" s="695" t="s">
        <v>663</v>
      </c>
      <c r="K86" s="705" t="s">
        <v>1444</v>
      </c>
      <c r="L86" s="706"/>
      <c r="M86" s="706"/>
      <c r="N86" s="706"/>
    </row>
    <row r="87" spans="1:14" s="712" customFormat="1" ht="27.75" customHeight="1">
      <c r="A87" s="690">
        <f t="shared" si="2"/>
        <v>83</v>
      </c>
      <c r="B87" s="696" t="s">
        <v>171</v>
      </c>
      <c r="C87" s="692" t="str">
        <f>VLOOKUP(B87,'Location Summary'!$C$4:$D$603,2,FALSE)</f>
        <v>DA+3</v>
      </c>
      <c r="D87" s="693" t="s">
        <v>99</v>
      </c>
      <c r="E87" s="694">
        <v>45637</v>
      </c>
      <c r="F87" s="694">
        <v>45659</v>
      </c>
      <c r="G87" s="694">
        <v>45659</v>
      </c>
      <c r="H87" s="695">
        <f t="shared" ref="H87:H104" si="5">(G87-E87)</f>
        <v>22</v>
      </c>
      <c r="I87" s="725" t="s">
        <v>990</v>
      </c>
      <c r="J87" s="695" t="s">
        <v>663</v>
      </c>
      <c r="K87" s="705"/>
      <c r="L87" s="706"/>
      <c r="M87" s="706"/>
      <c r="N87" s="706"/>
    </row>
    <row r="88" spans="1:14" s="712" customFormat="1" ht="27.75" customHeight="1">
      <c r="A88" s="690">
        <f t="shared" si="2"/>
        <v>84</v>
      </c>
      <c r="B88" s="696" t="s">
        <v>78</v>
      </c>
      <c r="C88" s="692" t="str">
        <f>VLOOKUP(B88,'Location Summary'!$C$4:$D$603,2,FALSE)</f>
        <v>DB1+0</v>
      </c>
      <c r="D88" s="693" t="s">
        <v>99</v>
      </c>
      <c r="E88" s="694">
        <v>45637</v>
      </c>
      <c r="F88" s="694">
        <v>45651</v>
      </c>
      <c r="G88" s="694">
        <v>45651</v>
      </c>
      <c r="H88" s="695">
        <f t="shared" si="5"/>
        <v>14</v>
      </c>
      <c r="I88" s="725" t="s">
        <v>1065</v>
      </c>
      <c r="J88" s="695" t="s">
        <v>663</v>
      </c>
      <c r="K88" s="705"/>
      <c r="L88" s="706"/>
      <c r="M88" s="706"/>
      <c r="N88" s="706"/>
    </row>
    <row r="89" spans="1:14" s="712" customFormat="1" ht="27.75" customHeight="1">
      <c r="A89" s="690">
        <f t="shared" si="2"/>
        <v>85</v>
      </c>
      <c r="B89" s="696" t="s">
        <v>642</v>
      </c>
      <c r="C89" s="692" t="str">
        <f>VLOOKUP(B89,'Location Summary'!$C$4:$D$603,2,FALSE)</f>
        <v>DA-1.5</v>
      </c>
      <c r="D89" s="693" t="s">
        <v>99</v>
      </c>
      <c r="E89" s="694">
        <v>45637</v>
      </c>
      <c r="F89" s="694">
        <v>45651</v>
      </c>
      <c r="G89" s="694">
        <v>45651</v>
      </c>
      <c r="H89" s="695">
        <f t="shared" si="5"/>
        <v>14</v>
      </c>
      <c r="I89" s="725" t="s">
        <v>990</v>
      </c>
      <c r="J89" s="695" t="s">
        <v>663</v>
      </c>
      <c r="K89" s="705"/>
      <c r="L89" s="706"/>
      <c r="M89" s="706"/>
      <c r="N89" s="706"/>
    </row>
    <row r="90" spans="1:14" s="712" customFormat="1" ht="27.75" customHeight="1">
      <c r="A90" s="690">
        <f t="shared" si="2"/>
        <v>86</v>
      </c>
      <c r="B90" s="696" t="s">
        <v>643</v>
      </c>
      <c r="C90" s="692" t="str">
        <f>VLOOKUP(B90,'Location Summary'!$C$4:$D$603,2,FALSE)</f>
        <v>DA+6</v>
      </c>
      <c r="D90" s="693" t="s">
        <v>99</v>
      </c>
      <c r="E90" s="694">
        <v>45637</v>
      </c>
      <c r="F90" s="694">
        <v>45651</v>
      </c>
      <c r="G90" s="694">
        <v>45651</v>
      </c>
      <c r="H90" s="695">
        <f t="shared" si="5"/>
        <v>14</v>
      </c>
      <c r="I90" s="725" t="s">
        <v>990</v>
      </c>
      <c r="J90" s="695" t="s">
        <v>663</v>
      </c>
      <c r="K90" s="705"/>
      <c r="L90" s="706"/>
      <c r="M90" s="706"/>
      <c r="N90" s="706"/>
    </row>
    <row r="91" spans="1:14" s="712" customFormat="1" ht="27.75" customHeight="1">
      <c r="A91" s="690">
        <f t="shared" si="2"/>
        <v>87</v>
      </c>
      <c r="B91" s="696" t="s">
        <v>644</v>
      </c>
      <c r="C91" s="692" t="str">
        <f>VLOOKUP(B91,'Location Summary'!$C$4:$D$603,2,FALSE)</f>
        <v>DA-1.5</v>
      </c>
      <c r="D91" s="693" t="s">
        <v>99</v>
      </c>
      <c r="E91" s="694">
        <v>45637</v>
      </c>
      <c r="F91" s="694">
        <v>45651</v>
      </c>
      <c r="G91" s="694">
        <v>45651</v>
      </c>
      <c r="H91" s="695">
        <f t="shared" si="5"/>
        <v>14</v>
      </c>
      <c r="I91" s="725" t="s">
        <v>990</v>
      </c>
      <c r="J91" s="695" t="s">
        <v>663</v>
      </c>
      <c r="K91" s="705"/>
      <c r="L91" s="706"/>
      <c r="M91" s="706"/>
      <c r="N91" s="706"/>
    </row>
    <row r="92" spans="1:14" s="712" customFormat="1" ht="27.75" customHeight="1">
      <c r="A92" s="690">
        <f t="shared" si="2"/>
        <v>88</v>
      </c>
      <c r="B92" s="696" t="s">
        <v>645</v>
      </c>
      <c r="C92" s="692" t="str">
        <f>VLOOKUP(B92,'Location Summary'!$C$4:$D$603,2,FALSE)</f>
        <v>DA+0</v>
      </c>
      <c r="D92" s="693" t="s">
        <v>99</v>
      </c>
      <c r="E92" s="694">
        <v>45637</v>
      </c>
      <c r="F92" s="694">
        <v>45651</v>
      </c>
      <c r="G92" s="694">
        <v>45651</v>
      </c>
      <c r="H92" s="695">
        <f t="shared" si="5"/>
        <v>14</v>
      </c>
      <c r="I92" s="725" t="s">
        <v>990</v>
      </c>
      <c r="J92" s="695" t="s">
        <v>663</v>
      </c>
      <c r="K92" s="705"/>
      <c r="L92" s="706"/>
      <c r="M92" s="706"/>
      <c r="N92" s="706"/>
    </row>
    <row r="93" spans="1:14" s="712" customFormat="1" ht="27.75" customHeight="1">
      <c r="A93" s="690">
        <f t="shared" si="2"/>
        <v>89</v>
      </c>
      <c r="B93" s="696" t="s">
        <v>1785</v>
      </c>
      <c r="C93" s="692" t="str">
        <f>VLOOKUP(B93,'Location Summary'!$C$4:$D$603,2,FALSE)</f>
        <v>DC2+0</v>
      </c>
      <c r="D93" s="693" t="s">
        <v>99</v>
      </c>
      <c r="E93" s="694">
        <v>45637</v>
      </c>
      <c r="F93" s="694">
        <v>45651</v>
      </c>
      <c r="G93" s="694">
        <v>45651</v>
      </c>
      <c r="H93" s="695">
        <f t="shared" si="5"/>
        <v>14</v>
      </c>
      <c r="I93" s="725" t="s">
        <v>990</v>
      </c>
      <c r="J93" s="695" t="s">
        <v>663</v>
      </c>
      <c r="K93" s="705"/>
      <c r="L93" s="706"/>
      <c r="M93" s="706"/>
      <c r="N93" s="706"/>
    </row>
    <row r="94" spans="1:14" s="712" customFormat="1" ht="27.75" customHeight="1">
      <c r="A94" s="690">
        <f t="shared" si="2"/>
        <v>90</v>
      </c>
      <c r="B94" s="696" t="s">
        <v>647</v>
      </c>
      <c r="C94" s="692" t="str">
        <f>VLOOKUP(B94,'Location Summary'!$C$4:$D$603,2,FALSE)</f>
        <v>DA+3</v>
      </c>
      <c r="D94" s="693" t="s">
        <v>99</v>
      </c>
      <c r="E94" s="694">
        <v>45637</v>
      </c>
      <c r="F94" s="694">
        <v>45651</v>
      </c>
      <c r="G94" s="694">
        <v>45651</v>
      </c>
      <c r="H94" s="695">
        <f t="shared" si="5"/>
        <v>14</v>
      </c>
      <c r="I94" s="725" t="s">
        <v>990</v>
      </c>
      <c r="J94" s="695" t="s">
        <v>663</v>
      </c>
      <c r="K94" s="705"/>
      <c r="L94" s="706"/>
      <c r="M94" s="706"/>
      <c r="N94" s="706"/>
    </row>
    <row r="95" spans="1:14" s="712" customFormat="1" ht="27.75" customHeight="1">
      <c r="A95" s="690">
        <f t="shared" si="2"/>
        <v>91</v>
      </c>
      <c r="B95" s="696" t="s">
        <v>648</v>
      </c>
      <c r="C95" s="692" t="str">
        <f>VLOOKUP(B95,'Location Summary'!$C$4:$D$603,2,FALSE)</f>
        <v>DA+0</v>
      </c>
      <c r="D95" s="693" t="s">
        <v>99</v>
      </c>
      <c r="E95" s="694">
        <v>45637</v>
      </c>
      <c r="F95" s="694">
        <v>45651</v>
      </c>
      <c r="G95" s="694">
        <v>45651</v>
      </c>
      <c r="H95" s="695">
        <f t="shared" si="5"/>
        <v>14</v>
      </c>
      <c r="I95" s="725" t="s">
        <v>990</v>
      </c>
      <c r="J95" s="695" t="s">
        <v>663</v>
      </c>
      <c r="K95" s="705"/>
      <c r="L95" s="706"/>
      <c r="M95" s="706"/>
      <c r="N95" s="706"/>
    </row>
    <row r="96" spans="1:14" s="712" customFormat="1" ht="27.75" customHeight="1">
      <c r="A96" s="690">
        <f t="shared" si="2"/>
        <v>92</v>
      </c>
      <c r="B96" s="696" t="s">
        <v>649</v>
      </c>
      <c r="C96" s="692" t="str">
        <f>VLOOKUP(B96,'Location Summary'!$C$4:$D$603,2,FALSE)</f>
        <v>DA+9</v>
      </c>
      <c r="D96" s="693" t="s">
        <v>99</v>
      </c>
      <c r="E96" s="694">
        <v>45637</v>
      </c>
      <c r="F96" s="694">
        <v>45651</v>
      </c>
      <c r="G96" s="694">
        <v>45651</v>
      </c>
      <c r="H96" s="695">
        <f t="shared" si="5"/>
        <v>14</v>
      </c>
      <c r="I96" s="725" t="s">
        <v>990</v>
      </c>
      <c r="J96" s="695" t="s">
        <v>663</v>
      </c>
      <c r="K96" s="705"/>
      <c r="L96" s="706"/>
      <c r="M96" s="706"/>
      <c r="N96" s="706"/>
    </row>
    <row r="97" spans="1:14" s="712" customFormat="1" ht="27.75" customHeight="1">
      <c r="A97" s="690">
        <f t="shared" si="2"/>
        <v>93</v>
      </c>
      <c r="B97" s="696" t="s">
        <v>7</v>
      </c>
      <c r="C97" s="692" t="str">
        <f>VLOOKUP(B97,'Location Summary'!$C$4:$D$603,2,FALSE)</f>
        <v>DB1+6</v>
      </c>
      <c r="D97" s="693" t="s">
        <v>99</v>
      </c>
      <c r="E97" s="694">
        <v>45637</v>
      </c>
      <c r="F97" s="694">
        <v>45651</v>
      </c>
      <c r="G97" s="694">
        <v>45651</v>
      </c>
      <c r="H97" s="695">
        <f t="shared" si="5"/>
        <v>14</v>
      </c>
      <c r="I97" s="725" t="s">
        <v>990</v>
      </c>
      <c r="J97" s="695" t="s">
        <v>663</v>
      </c>
      <c r="K97" s="705"/>
      <c r="L97" s="706"/>
      <c r="M97" s="706"/>
      <c r="N97" s="706"/>
    </row>
    <row r="98" spans="1:14" s="712" customFormat="1" ht="27.75" customHeight="1">
      <c r="A98" s="690">
        <f t="shared" si="2"/>
        <v>94</v>
      </c>
      <c r="B98" s="696" t="s">
        <v>590</v>
      </c>
      <c r="C98" s="692" t="str">
        <f>VLOOKUP(B98,'Location Summary'!$C$4:$D$603,2,FALSE)</f>
        <v>DA-3</v>
      </c>
      <c r="D98" s="693" t="s">
        <v>99</v>
      </c>
      <c r="E98" s="694">
        <v>45698</v>
      </c>
      <c r="F98" s="694">
        <v>45736</v>
      </c>
      <c r="G98" s="694">
        <v>45736</v>
      </c>
      <c r="H98" s="695">
        <f t="shared" si="5"/>
        <v>38</v>
      </c>
      <c r="I98" s="725" t="s">
        <v>1212</v>
      </c>
      <c r="J98" s="695" t="s">
        <v>663</v>
      </c>
      <c r="K98" s="705"/>
      <c r="L98" s="706"/>
      <c r="M98" s="706"/>
      <c r="N98" s="706"/>
    </row>
    <row r="99" spans="1:14" s="712" customFormat="1" ht="27.75" customHeight="1">
      <c r="A99" s="690">
        <f t="shared" si="2"/>
        <v>95</v>
      </c>
      <c r="B99" s="696" t="s">
        <v>58</v>
      </c>
      <c r="C99" s="692" t="str">
        <f>VLOOKUP(B99,'Location Summary'!$C$4:$D$603,2,FALSE)</f>
        <v>DD60+18</v>
      </c>
      <c r="D99" s="693" t="s">
        <v>99</v>
      </c>
      <c r="E99" s="694">
        <v>45697</v>
      </c>
      <c r="F99" s="694">
        <v>45711</v>
      </c>
      <c r="G99" s="694">
        <v>45711</v>
      </c>
      <c r="H99" s="695">
        <f t="shared" si="5"/>
        <v>14</v>
      </c>
      <c r="I99" s="725" t="s">
        <v>990</v>
      </c>
      <c r="J99" s="695" t="s">
        <v>663</v>
      </c>
      <c r="K99" s="705"/>
      <c r="L99" s="706"/>
      <c r="M99" s="706"/>
      <c r="N99" s="706"/>
    </row>
    <row r="100" spans="1:14" s="712" customFormat="1" ht="27.75" customHeight="1">
      <c r="A100" s="690">
        <f t="shared" si="2"/>
        <v>96</v>
      </c>
      <c r="B100" s="696" t="s">
        <v>59</v>
      </c>
      <c r="C100" s="692" t="str">
        <f>VLOOKUP(B100,'Location Summary'!$C$4:$D$603,2,FALSE)</f>
        <v>DD60+35</v>
      </c>
      <c r="D100" s="693" t="s">
        <v>99</v>
      </c>
      <c r="E100" s="694">
        <v>45697</v>
      </c>
      <c r="F100" s="694">
        <v>45704</v>
      </c>
      <c r="G100" s="694">
        <v>45704</v>
      </c>
      <c r="H100" s="695">
        <f t="shared" si="5"/>
        <v>7</v>
      </c>
      <c r="I100" s="725" t="s">
        <v>990</v>
      </c>
      <c r="J100" s="695" t="s">
        <v>663</v>
      </c>
      <c r="K100" s="705"/>
      <c r="L100" s="706"/>
      <c r="M100" s="706"/>
      <c r="N100" s="706"/>
    </row>
    <row r="101" spans="1:14" s="712" customFormat="1" ht="27.75" customHeight="1">
      <c r="A101" s="690">
        <f t="shared" si="2"/>
        <v>97</v>
      </c>
      <c r="B101" s="696" t="s">
        <v>60</v>
      </c>
      <c r="C101" s="692" t="str">
        <f>VLOOKUP(B101,'Location Summary'!$C$4:$D$603,2,FALSE)</f>
        <v>DD60+35</v>
      </c>
      <c r="D101" s="693" t="s">
        <v>99</v>
      </c>
      <c r="E101" s="694">
        <v>45697</v>
      </c>
      <c r="F101" s="694">
        <v>45701</v>
      </c>
      <c r="G101" s="694">
        <v>45701</v>
      </c>
      <c r="H101" s="695">
        <f t="shared" si="5"/>
        <v>4</v>
      </c>
      <c r="I101" s="725" t="s">
        <v>990</v>
      </c>
      <c r="J101" s="695" t="s">
        <v>663</v>
      </c>
      <c r="K101" s="705"/>
      <c r="L101" s="706"/>
      <c r="M101" s="706"/>
      <c r="N101" s="706"/>
    </row>
    <row r="102" spans="1:14" s="712" customFormat="1" ht="27.75" customHeight="1">
      <c r="A102" s="690">
        <f>A101+1</f>
        <v>98</v>
      </c>
      <c r="B102" s="696" t="s">
        <v>1219</v>
      </c>
      <c r="C102" s="692"/>
      <c r="D102" s="693" t="s">
        <v>99</v>
      </c>
      <c r="E102" s="704">
        <v>45603</v>
      </c>
      <c r="F102" s="694">
        <v>45694</v>
      </c>
      <c r="G102" s="694">
        <v>45694</v>
      </c>
      <c r="H102" s="695">
        <f t="shared" si="5"/>
        <v>91</v>
      </c>
      <c r="I102" s="725" t="s">
        <v>1213</v>
      </c>
      <c r="J102" s="695" t="s">
        <v>663</v>
      </c>
      <c r="K102" s="705"/>
      <c r="L102" s="706"/>
      <c r="M102" s="706"/>
      <c r="N102" s="706"/>
    </row>
    <row r="103" spans="1:14" s="712" customFormat="1" ht="27.75" customHeight="1">
      <c r="A103" s="690">
        <f t="shared" si="2"/>
        <v>99</v>
      </c>
      <c r="B103" s="703" t="s">
        <v>1220</v>
      </c>
      <c r="C103" s="692"/>
      <c r="D103" s="693" t="s">
        <v>1229</v>
      </c>
      <c r="E103" s="704">
        <v>45601</v>
      </c>
      <c r="F103" s="704">
        <v>45670</v>
      </c>
      <c r="G103" s="704">
        <v>45707</v>
      </c>
      <c r="H103" s="695">
        <f t="shared" si="5"/>
        <v>106</v>
      </c>
      <c r="I103" s="725" t="s">
        <v>1214</v>
      </c>
      <c r="J103" s="726" t="s">
        <v>663</v>
      </c>
      <c r="K103" s="715"/>
      <c r="L103" s="714"/>
      <c r="M103" s="714"/>
      <c r="N103" s="714"/>
    </row>
    <row r="104" spans="1:14" s="712" customFormat="1" ht="27.75" customHeight="1">
      <c r="A104" s="690">
        <f t="shared" si="2"/>
        <v>100</v>
      </c>
      <c r="B104" s="696" t="s">
        <v>1226</v>
      </c>
      <c r="C104" s="692"/>
      <c r="D104" s="693" t="s">
        <v>1227</v>
      </c>
      <c r="E104" s="704">
        <v>45697</v>
      </c>
      <c r="F104" s="694">
        <v>45708</v>
      </c>
      <c r="G104" s="694">
        <v>45708</v>
      </c>
      <c r="H104" s="695">
        <f t="shared" si="5"/>
        <v>11</v>
      </c>
      <c r="I104" s="725" t="s">
        <v>1228</v>
      </c>
      <c r="J104" s="695" t="s">
        <v>663</v>
      </c>
      <c r="K104" s="705"/>
      <c r="L104" s="706"/>
      <c r="M104" s="706"/>
      <c r="N104" s="706"/>
    </row>
    <row r="105" spans="1:14" s="712" customFormat="1" ht="27.75" customHeight="1">
      <c r="A105" s="690">
        <f t="shared" si="2"/>
        <v>101</v>
      </c>
      <c r="B105" s="696" t="s">
        <v>1373</v>
      </c>
      <c r="C105" s="692"/>
      <c r="D105" s="693" t="s">
        <v>99</v>
      </c>
      <c r="E105" s="704">
        <v>45696</v>
      </c>
      <c r="F105" s="694">
        <v>45708</v>
      </c>
      <c r="G105" s="694">
        <v>45708</v>
      </c>
      <c r="H105" s="695">
        <f t="shared" ref="H105:H112" si="6">(G105-E105)</f>
        <v>12</v>
      </c>
      <c r="I105" s="725" t="s">
        <v>1230</v>
      </c>
      <c r="J105" s="695" t="s">
        <v>663</v>
      </c>
      <c r="K105" s="705"/>
      <c r="L105" s="706"/>
      <c r="M105" s="706"/>
      <c r="N105" s="706"/>
    </row>
    <row r="106" spans="1:14" s="712" customFormat="1" ht="27.75" customHeight="1">
      <c r="A106" s="690">
        <f t="shared" si="2"/>
        <v>102</v>
      </c>
      <c r="B106" s="696" t="s">
        <v>597</v>
      </c>
      <c r="C106" s="692" t="str">
        <f>VLOOKUP(B106,'Location Summary'!$C$4:$D$603,2,FALSE)</f>
        <v>DA+3</v>
      </c>
      <c r="D106" s="693" t="s">
        <v>99</v>
      </c>
      <c r="E106" s="704">
        <v>45712</v>
      </c>
      <c r="F106" s="694">
        <v>45954</v>
      </c>
      <c r="G106" s="694">
        <v>45954</v>
      </c>
      <c r="H106" s="695">
        <f t="shared" si="6"/>
        <v>242</v>
      </c>
      <c r="I106" s="725" t="s">
        <v>1201</v>
      </c>
      <c r="J106" s="695" t="s">
        <v>663</v>
      </c>
      <c r="K106" s="705"/>
      <c r="L106" s="706"/>
      <c r="M106" s="706"/>
      <c r="N106" s="706"/>
    </row>
    <row r="107" spans="1:14" s="712" customFormat="1" ht="27.75" customHeight="1">
      <c r="A107" s="690">
        <v>104</v>
      </c>
      <c r="B107" s="696" t="s">
        <v>1556</v>
      </c>
      <c r="C107" s="692"/>
      <c r="D107" s="693" t="s">
        <v>1227</v>
      </c>
      <c r="E107" s="704">
        <v>45737</v>
      </c>
      <c r="F107" s="694">
        <v>45748</v>
      </c>
      <c r="G107" s="694">
        <v>45748</v>
      </c>
      <c r="H107" s="695">
        <f t="shared" si="6"/>
        <v>11</v>
      </c>
      <c r="I107" s="725" t="s">
        <v>1364</v>
      </c>
      <c r="J107" s="695" t="s">
        <v>663</v>
      </c>
      <c r="K107" s="711" t="s">
        <v>1365</v>
      </c>
      <c r="L107" s="700" t="s">
        <v>1366</v>
      </c>
      <c r="M107" s="706" t="s">
        <v>1367</v>
      </c>
      <c r="N107" s="706"/>
    </row>
    <row r="108" spans="1:14" s="712" customFormat="1" ht="27.75" customHeight="1">
      <c r="A108" s="690">
        <v>105</v>
      </c>
      <c r="B108" s="696" t="s">
        <v>610</v>
      </c>
      <c r="C108" s="692" t="str">
        <f>VLOOKUP(B108,'Location Summary'!$C$4:$D$603,2,FALSE)</f>
        <v>DA+1.5</v>
      </c>
      <c r="D108" s="693" t="s">
        <v>1227</v>
      </c>
      <c r="E108" s="704">
        <v>45737</v>
      </c>
      <c r="F108" s="694">
        <v>45743</v>
      </c>
      <c r="G108" s="694">
        <v>45743</v>
      </c>
      <c r="H108" s="695">
        <f t="shared" si="6"/>
        <v>6</v>
      </c>
      <c r="I108" s="725" t="s">
        <v>1364</v>
      </c>
      <c r="J108" s="695" t="s">
        <v>663</v>
      </c>
      <c r="K108" s="705"/>
      <c r="L108" s="706"/>
      <c r="M108" s="706"/>
      <c r="N108" s="706"/>
    </row>
    <row r="109" spans="1:14" s="712" customFormat="1" ht="27.75" customHeight="1">
      <c r="A109" s="690">
        <v>106</v>
      </c>
      <c r="B109" s="696" t="s">
        <v>611</v>
      </c>
      <c r="C109" s="692" t="str">
        <f>VLOOKUP(B109,'Location Summary'!$C$4:$D$603,2,FALSE)</f>
        <v>DA+3</v>
      </c>
      <c r="D109" s="693" t="s">
        <v>1227</v>
      </c>
      <c r="E109" s="704">
        <v>45737</v>
      </c>
      <c r="F109" s="694">
        <v>45743</v>
      </c>
      <c r="G109" s="694">
        <v>45743</v>
      </c>
      <c r="H109" s="695">
        <f t="shared" si="6"/>
        <v>6</v>
      </c>
      <c r="I109" s="725" t="s">
        <v>1364</v>
      </c>
      <c r="J109" s="695" t="s">
        <v>663</v>
      </c>
      <c r="K109" s="705"/>
      <c r="L109" s="706"/>
      <c r="M109" s="706"/>
      <c r="N109" s="706"/>
    </row>
    <row r="110" spans="1:14" s="712" customFormat="1" ht="27.75" customHeight="1">
      <c r="A110" s="690">
        <v>107</v>
      </c>
      <c r="B110" s="696" t="s">
        <v>8</v>
      </c>
      <c r="C110" s="692" t="str">
        <f>VLOOKUP(B110,'Location Summary'!$C$4:$D$603,2,FALSE)</f>
        <v>DB2+3</v>
      </c>
      <c r="D110" s="693" t="s">
        <v>1343</v>
      </c>
      <c r="E110" s="704">
        <v>45709</v>
      </c>
      <c r="F110" s="694">
        <v>46043</v>
      </c>
      <c r="G110" s="694">
        <v>46043</v>
      </c>
      <c r="H110" s="695">
        <f t="shared" si="6"/>
        <v>334</v>
      </c>
      <c r="I110" s="725" t="s">
        <v>990</v>
      </c>
      <c r="J110" s="695" t="s">
        <v>663</v>
      </c>
      <c r="K110" s="705" t="s">
        <v>1401</v>
      </c>
      <c r="L110" s="706">
        <v>9828813423</v>
      </c>
      <c r="M110" s="706"/>
      <c r="N110" s="706"/>
    </row>
    <row r="111" spans="1:14" s="712" customFormat="1" ht="27.75" customHeight="1">
      <c r="A111" s="690">
        <v>108</v>
      </c>
      <c r="B111" s="696" t="s">
        <v>602</v>
      </c>
      <c r="C111" s="692" t="str">
        <f>VLOOKUP(B111,'Location Summary'!$C$4:$D$603,2,FALSE)</f>
        <v>DA+3</v>
      </c>
      <c r="D111" s="693" t="s">
        <v>1343</v>
      </c>
      <c r="E111" s="704">
        <v>45709</v>
      </c>
      <c r="F111" s="694">
        <v>46032</v>
      </c>
      <c r="G111" s="694">
        <v>46032</v>
      </c>
      <c r="H111" s="695">
        <f t="shared" si="6"/>
        <v>323</v>
      </c>
      <c r="I111" s="725" t="s">
        <v>990</v>
      </c>
      <c r="J111" s="695" t="s">
        <v>663</v>
      </c>
      <c r="K111" s="712" t="s">
        <v>1400</v>
      </c>
      <c r="L111" s="706">
        <v>9672784822</v>
      </c>
      <c r="M111" s="706"/>
      <c r="N111" s="706"/>
    </row>
    <row r="112" spans="1:14" s="712" customFormat="1" ht="27.75" customHeight="1">
      <c r="A112" s="690">
        <v>109</v>
      </c>
      <c r="B112" s="696" t="s">
        <v>603</v>
      </c>
      <c r="C112" s="692" t="str">
        <f>VLOOKUP(B112,'Location Summary'!$C$4:$D$603,2,FALSE)</f>
        <v>DA-1.5</v>
      </c>
      <c r="D112" s="693" t="s">
        <v>1343</v>
      </c>
      <c r="E112" s="704">
        <v>45709</v>
      </c>
      <c r="F112" s="694">
        <v>46032</v>
      </c>
      <c r="G112" s="694">
        <v>46032</v>
      </c>
      <c r="H112" s="695">
        <f t="shared" si="6"/>
        <v>323</v>
      </c>
      <c r="I112" s="725" t="s">
        <v>990</v>
      </c>
      <c r="J112" s="695" t="s">
        <v>663</v>
      </c>
      <c r="K112" s="705" t="s">
        <v>1399</v>
      </c>
      <c r="L112" s="706">
        <v>8890266896</v>
      </c>
      <c r="M112" s="706"/>
      <c r="N112" s="706"/>
    </row>
    <row r="113" spans="1:14" s="712" customFormat="1" ht="27.75" customHeight="1">
      <c r="A113" s="690">
        <v>110</v>
      </c>
      <c r="B113" s="696" t="s">
        <v>168</v>
      </c>
      <c r="C113" s="692" t="e">
        <f>VLOOKUP(B113,'Location Summary'!$C$4:$D$603,2,FALSE)</f>
        <v>#N/A</v>
      </c>
      <c r="D113" s="693" t="s">
        <v>1343</v>
      </c>
      <c r="E113" s="704">
        <v>45709</v>
      </c>
      <c r="F113" s="694"/>
      <c r="G113" s="694"/>
      <c r="H113" s="695"/>
      <c r="I113" s="725" t="s">
        <v>990</v>
      </c>
      <c r="J113" s="695"/>
      <c r="K113" s="705" t="s">
        <v>1402</v>
      </c>
      <c r="L113" s="706">
        <v>8302174002</v>
      </c>
      <c r="M113" s="706"/>
      <c r="N113" s="706"/>
    </row>
    <row r="114" spans="1:14" s="712" customFormat="1" ht="27.75" customHeight="1">
      <c r="A114" s="690">
        <v>111</v>
      </c>
      <c r="B114" s="696" t="s">
        <v>1255</v>
      </c>
      <c r="C114" s="692" t="str">
        <f>VLOOKUP(B114,'Location Summary'!$C$4:$D$603,2,FALSE)</f>
        <v>DA+6</v>
      </c>
      <c r="D114" s="693" t="s">
        <v>99</v>
      </c>
      <c r="E114" s="704">
        <v>45745</v>
      </c>
      <c r="F114" s="694">
        <v>45766</v>
      </c>
      <c r="G114" s="694">
        <v>45766</v>
      </c>
      <c r="H114" s="695">
        <f t="shared" ref="H114:H120" si="7">(G114-E114)</f>
        <v>21</v>
      </c>
      <c r="I114" s="725" t="s">
        <v>1410</v>
      </c>
      <c r="J114" s="695" t="s">
        <v>663</v>
      </c>
      <c r="K114" s="705" t="s">
        <v>1411</v>
      </c>
      <c r="L114" s="706">
        <v>8824821647</v>
      </c>
      <c r="M114" s="706"/>
      <c r="N114" s="706"/>
    </row>
    <row r="115" spans="1:14" s="712" customFormat="1" ht="27.75" customHeight="1">
      <c r="A115" s="690">
        <v>112</v>
      </c>
      <c r="B115" s="696" t="s">
        <v>256</v>
      </c>
      <c r="C115" s="692" t="str">
        <f>VLOOKUP(B115,'Location Summary'!$C$4:$D$603,2,FALSE)</f>
        <v>DB2+9</v>
      </c>
      <c r="D115" s="693" t="s">
        <v>99</v>
      </c>
      <c r="E115" s="704">
        <v>45745</v>
      </c>
      <c r="F115" s="694">
        <v>45766</v>
      </c>
      <c r="G115" s="694">
        <v>45766</v>
      </c>
      <c r="H115" s="695">
        <v>0</v>
      </c>
      <c r="I115" s="725" t="s">
        <v>1410</v>
      </c>
      <c r="J115" s="695" t="s">
        <v>663</v>
      </c>
      <c r="K115" s="705" t="s">
        <v>1414</v>
      </c>
      <c r="L115" s="706">
        <v>9829622661</v>
      </c>
      <c r="M115" s="706"/>
      <c r="N115" s="706"/>
    </row>
    <row r="116" spans="1:14" s="712" customFormat="1" ht="27.75" customHeight="1">
      <c r="A116" s="690">
        <v>113</v>
      </c>
      <c r="B116" s="696" t="s">
        <v>1438</v>
      </c>
      <c r="C116" s="692"/>
      <c r="D116" s="693" t="s">
        <v>99</v>
      </c>
      <c r="E116" s="704">
        <v>45762</v>
      </c>
      <c r="F116" s="694" t="s">
        <v>1447</v>
      </c>
      <c r="G116" s="694" t="s">
        <v>1447</v>
      </c>
      <c r="H116" s="695">
        <f t="shared" si="7"/>
        <v>17</v>
      </c>
      <c r="I116" s="725" t="s">
        <v>1434</v>
      </c>
      <c r="J116" s="695" t="s">
        <v>663</v>
      </c>
      <c r="K116" s="705"/>
      <c r="L116" s="706"/>
      <c r="M116" s="706"/>
      <c r="N116" s="706"/>
    </row>
    <row r="117" spans="1:14" s="712" customFormat="1" ht="27.75" customHeight="1">
      <c r="A117" s="690">
        <v>114</v>
      </c>
      <c r="B117" s="696" t="s">
        <v>1244</v>
      </c>
      <c r="C117" s="692" t="s">
        <v>211</v>
      </c>
      <c r="D117" s="693" t="s">
        <v>99</v>
      </c>
      <c r="E117" s="704">
        <v>45773</v>
      </c>
      <c r="F117" s="694">
        <v>45776</v>
      </c>
      <c r="G117" s="694">
        <v>45776</v>
      </c>
      <c r="H117" s="695">
        <f t="shared" si="7"/>
        <v>3</v>
      </c>
      <c r="I117" s="725" t="s">
        <v>1441</v>
      </c>
      <c r="J117" s="695" t="s">
        <v>663</v>
      </c>
      <c r="K117" s="705" t="s">
        <v>1442</v>
      </c>
      <c r="L117" s="706">
        <v>9950238877</v>
      </c>
      <c r="M117" s="706" t="s">
        <v>1443</v>
      </c>
      <c r="N117" s="706"/>
    </row>
    <row r="118" spans="1:14" s="712" customFormat="1" ht="27.75" customHeight="1">
      <c r="A118" s="690">
        <v>115</v>
      </c>
      <c r="B118" s="696" t="s">
        <v>268</v>
      </c>
      <c r="C118" s="692" t="str">
        <f>VLOOKUP(B118,'Location Summary'!$C$4:$D$603,2,FALSE)</f>
        <v>DD60+0</v>
      </c>
      <c r="D118" s="693" t="s">
        <v>99</v>
      </c>
      <c r="E118" s="704">
        <v>45780</v>
      </c>
      <c r="F118" s="694">
        <v>45814</v>
      </c>
      <c r="G118" s="694">
        <v>45814</v>
      </c>
      <c r="H118" s="695">
        <f t="shared" si="7"/>
        <v>34</v>
      </c>
      <c r="I118" s="725" t="s">
        <v>1448</v>
      </c>
      <c r="J118" s="695" t="s">
        <v>663</v>
      </c>
      <c r="K118" s="705"/>
      <c r="L118" s="706"/>
      <c r="M118" s="706"/>
      <c r="N118" s="706"/>
    </row>
    <row r="119" spans="1:14" s="712" customFormat="1" ht="27.75" customHeight="1">
      <c r="A119" s="690">
        <f>A118+1</f>
        <v>116</v>
      </c>
      <c r="B119" s="696" t="s">
        <v>1248</v>
      </c>
      <c r="C119" s="692" t="str">
        <f>VLOOKUP(B119,'Location Summary'!$C$4:$D$603,2,FALSE)</f>
        <v>DD45+0</v>
      </c>
      <c r="D119" s="693" t="s">
        <v>99</v>
      </c>
      <c r="E119" s="704">
        <v>45762</v>
      </c>
      <c r="F119" s="694">
        <v>45843</v>
      </c>
      <c r="G119" s="694">
        <v>45843</v>
      </c>
      <c r="H119" s="695">
        <f t="shared" si="7"/>
        <v>81</v>
      </c>
      <c r="I119" s="725" t="s">
        <v>1448</v>
      </c>
      <c r="J119" s="695" t="s">
        <v>663</v>
      </c>
      <c r="K119" s="705"/>
      <c r="L119" s="706"/>
      <c r="M119" s="706"/>
      <c r="N119" s="706"/>
    </row>
    <row r="120" spans="1:14" s="712" customFormat="1" ht="27.75" customHeight="1">
      <c r="A120" s="690">
        <f>A119+1</f>
        <v>117</v>
      </c>
      <c r="B120" s="696" t="s">
        <v>1250</v>
      </c>
      <c r="C120" s="692" t="str">
        <f>VLOOKUP(B120,'Location Summary'!$C$4:$D$603,2,FALSE)</f>
        <v>DA+0</v>
      </c>
      <c r="D120" s="693" t="s">
        <v>99</v>
      </c>
      <c r="E120" s="704">
        <v>45780</v>
      </c>
      <c r="F120" s="694">
        <v>45835</v>
      </c>
      <c r="G120" s="694">
        <v>45835</v>
      </c>
      <c r="H120" s="695">
        <f t="shared" si="7"/>
        <v>55</v>
      </c>
      <c r="I120" s="725" t="s">
        <v>1448</v>
      </c>
      <c r="J120" s="695" t="s">
        <v>663</v>
      </c>
      <c r="K120" s="705"/>
      <c r="L120" s="706"/>
      <c r="M120" s="706"/>
      <c r="N120" s="706"/>
    </row>
    <row r="121" spans="1:14" s="712" customFormat="1" ht="27.75" customHeight="1">
      <c r="A121" s="690">
        <f t="shared" ref="A121:A188" si="8">A120+1</f>
        <v>118</v>
      </c>
      <c r="B121" s="696" t="s">
        <v>601</v>
      </c>
      <c r="C121" s="692" t="e">
        <f>VLOOKUP(B121,'Location Summary'!$C$4:$D$603,2,FALSE)</f>
        <v>#N/A</v>
      </c>
      <c r="D121" s="693" t="s">
        <v>1343</v>
      </c>
      <c r="E121" s="704">
        <v>45709</v>
      </c>
      <c r="F121" s="694"/>
      <c r="G121" s="694"/>
      <c r="H121" s="695"/>
      <c r="I121" s="725" t="s">
        <v>990</v>
      </c>
      <c r="J121" s="695"/>
      <c r="K121" s="705"/>
      <c r="L121" s="706"/>
      <c r="M121" s="706"/>
      <c r="N121" s="706"/>
    </row>
    <row r="122" spans="1:14" s="712" customFormat="1" ht="27.75" customHeight="1">
      <c r="A122" s="690">
        <f t="shared" si="8"/>
        <v>119</v>
      </c>
      <c r="B122" s="696" t="s">
        <v>597</v>
      </c>
      <c r="C122" s="692" t="str">
        <f>VLOOKUP(B122,'Location Summary'!$C$4:$D$603,2,FALSE)</f>
        <v>DA+3</v>
      </c>
      <c r="D122" s="693" t="s">
        <v>1343</v>
      </c>
      <c r="E122" s="704">
        <v>45843</v>
      </c>
      <c r="F122" s="694">
        <v>46056</v>
      </c>
      <c r="G122" s="694">
        <v>46056</v>
      </c>
      <c r="H122" s="695">
        <f t="shared" ref="H122:H128" si="9">(G122-E122)</f>
        <v>213</v>
      </c>
      <c r="I122" s="725" t="s">
        <v>990</v>
      </c>
      <c r="J122" s="695" t="s">
        <v>663</v>
      </c>
      <c r="K122" s="705"/>
      <c r="L122" s="706"/>
      <c r="M122" s="706"/>
      <c r="N122" s="706"/>
    </row>
    <row r="123" spans="1:14" s="712" customFormat="1" ht="27.75" customHeight="1">
      <c r="A123" s="690">
        <f t="shared" si="8"/>
        <v>120</v>
      </c>
      <c r="B123" s="696" t="s">
        <v>590</v>
      </c>
      <c r="C123" s="692" t="str">
        <f>VLOOKUP(B123,'Location Summary'!$C$4:$D$603,2,FALSE)</f>
        <v>DA-3</v>
      </c>
      <c r="D123" s="693" t="s">
        <v>1343</v>
      </c>
      <c r="E123" s="704">
        <v>45843</v>
      </c>
      <c r="F123" s="694">
        <v>45878</v>
      </c>
      <c r="G123" s="694">
        <v>45989</v>
      </c>
      <c r="H123" s="695">
        <f t="shared" si="9"/>
        <v>146</v>
      </c>
      <c r="I123" s="725" t="s">
        <v>990</v>
      </c>
      <c r="J123" s="695" t="s">
        <v>663</v>
      </c>
      <c r="K123" s="705"/>
      <c r="L123" s="706"/>
      <c r="M123" s="706"/>
      <c r="N123" s="706"/>
    </row>
    <row r="124" spans="1:14" s="712" customFormat="1" ht="27.75" customHeight="1">
      <c r="A124" s="690">
        <f t="shared" si="8"/>
        <v>121</v>
      </c>
      <c r="B124" s="696" t="s">
        <v>589</v>
      </c>
      <c r="C124" s="692" t="str">
        <f>VLOOKUP(B124,'Location Summary'!$C$4:$D$603,2,FALSE)</f>
        <v>DA+6</v>
      </c>
      <c r="D124" s="693" t="s">
        <v>1343</v>
      </c>
      <c r="E124" s="704">
        <v>45843</v>
      </c>
      <c r="F124" s="694">
        <v>45866</v>
      </c>
      <c r="G124" s="694">
        <v>45866</v>
      </c>
      <c r="H124" s="695">
        <f t="shared" si="9"/>
        <v>23</v>
      </c>
      <c r="I124" s="725" t="s">
        <v>990</v>
      </c>
      <c r="J124" s="695" t="s">
        <v>663</v>
      </c>
      <c r="K124" s="705"/>
      <c r="L124" s="706"/>
      <c r="M124" s="706"/>
      <c r="N124" s="706"/>
    </row>
    <row r="125" spans="1:14" s="712" customFormat="1" ht="27.75" customHeight="1">
      <c r="A125" s="690">
        <f t="shared" si="8"/>
        <v>122</v>
      </c>
      <c r="B125" s="696" t="s">
        <v>573</v>
      </c>
      <c r="C125" s="692" t="str">
        <f>VLOOKUP(B125,'Location Summary'!$C$4:$D$603,2,FALSE)</f>
        <v>DA+1.5</v>
      </c>
      <c r="D125" s="693" t="s">
        <v>1343</v>
      </c>
      <c r="E125" s="704">
        <v>45843</v>
      </c>
      <c r="F125" s="694">
        <v>45886</v>
      </c>
      <c r="G125" s="694">
        <v>45886</v>
      </c>
      <c r="H125" s="695">
        <f t="shared" si="9"/>
        <v>43</v>
      </c>
      <c r="I125" s="725" t="s">
        <v>990</v>
      </c>
      <c r="J125" s="695" t="s">
        <v>663</v>
      </c>
      <c r="K125" s="705"/>
      <c r="L125" s="706"/>
      <c r="M125" s="706"/>
      <c r="N125" s="706"/>
    </row>
    <row r="126" spans="1:14" s="712" customFormat="1" ht="27.75" customHeight="1">
      <c r="A126" s="690">
        <f t="shared" si="8"/>
        <v>123</v>
      </c>
      <c r="B126" s="696" t="s">
        <v>571</v>
      </c>
      <c r="C126" s="692" t="str">
        <f>VLOOKUP(B126,'Location Summary'!$C$4:$D$603,2,FALSE)</f>
        <v>DA+6</v>
      </c>
      <c r="D126" s="693" t="s">
        <v>1343</v>
      </c>
      <c r="E126" s="704">
        <v>45843</v>
      </c>
      <c r="F126" s="694">
        <v>45860</v>
      </c>
      <c r="G126" s="694">
        <v>45860</v>
      </c>
      <c r="H126" s="695">
        <f t="shared" si="9"/>
        <v>17</v>
      </c>
      <c r="I126" s="725" t="s">
        <v>990</v>
      </c>
      <c r="J126" s="695" t="s">
        <v>663</v>
      </c>
      <c r="K126" s="705"/>
      <c r="L126" s="706"/>
      <c r="M126" s="706"/>
      <c r="N126" s="706"/>
    </row>
    <row r="127" spans="1:14" s="712" customFormat="1" ht="27.75" customHeight="1">
      <c r="A127" s="690">
        <f t="shared" si="8"/>
        <v>124</v>
      </c>
      <c r="B127" s="696" t="s">
        <v>187</v>
      </c>
      <c r="C127" s="692" t="str">
        <f>VLOOKUP(B127,'Location Summary'!$C$4:$D$603,2,FALSE)</f>
        <v>DA+3</v>
      </c>
      <c r="D127" s="693" t="s">
        <v>1343</v>
      </c>
      <c r="E127" s="704">
        <v>45843</v>
      </c>
      <c r="F127" s="694">
        <v>45904</v>
      </c>
      <c r="G127" s="694">
        <v>45904</v>
      </c>
      <c r="H127" s="695">
        <f t="shared" si="9"/>
        <v>61</v>
      </c>
      <c r="I127" s="725" t="s">
        <v>990</v>
      </c>
      <c r="J127" s="695" t="s">
        <v>663</v>
      </c>
      <c r="K127" s="705"/>
      <c r="L127" s="706"/>
      <c r="M127" s="706"/>
      <c r="N127" s="706"/>
    </row>
    <row r="128" spans="1:14" s="712" customFormat="1" ht="27.75" customHeight="1">
      <c r="A128" s="690">
        <f t="shared" si="8"/>
        <v>125</v>
      </c>
      <c r="B128" s="696" t="s">
        <v>70</v>
      </c>
      <c r="C128" s="692" t="str">
        <f>VLOOKUP(B128,'Location Summary'!$C$4:$D$603,2,FALSE)</f>
        <v>DA+3</v>
      </c>
      <c r="D128" s="693" t="s">
        <v>1343</v>
      </c>
      <c r="E128" s="704">
        <v>45843</v>
      </c>
      <c r="F128" s="694">
        <v>45898</v>
      </c>
      <c r="G128" s="694">
        <v>45898</v>
      </c>
      <c r="H128" s="695">
        <f t="shared" si="9"/>
        <v>55</v>
      </c>
      <c r="I128" s="725" t="s">
        <v>990</v>
      </c>
      <c r="J128" s="695" t="s">
        <v>663</v>
      </c>
      <c r="K128" s="705"/>
      <c r="L128" s="706"/>
      <c r="M128" s="706"/>
      <c r="N128" s="706"/>
    </row>
    <row r="129" spans="1:14" s="712" customFormat="1" ht="27.75" customHeight="1">
      <c r="A129" s="690">
        <f t="shared" si="8"/>
        <v>126</v>
      </c>
      <c r="B129" s="696" t="s">
        <v>69</v>
      </c>
      <c r="C129" s="692" t="str">
        <f>VLOOKUP(B129,'Location Summary'!$C$4:$D$603,2,FALSE)</f>
        <v>DA+9</v>
      </c>
      <c r="D129" s="693" t="s">
        <v>1343</v>
      </c>
      <c r="E129" s="704">
        <v>45843</v>
      </c>
      <c r="F129" s="694">
        <v>45878</v>
      </c>
      <c r="G129" s="694">
        <v>45878</v>
      </c>
      <c r="H129" s="695">
        <f>(G129-E129)</f>
        <v>35</v>
      </c>
      <c r="I129" s="725" t="s">
        <v>990</v>
      </c>
      <c r="J129" s="695" t="s">
        <v>663</v>
      </c>
      <c r="K129" s="705"/>
      <c r="L129" s="706"/>
      <c r="M129" s="706"/>
      <c r="N129" s="706"/>
    </row>
    <row r="130" spans="1:14" s="712" customFormat="1" ht="27.75" customHeight="1">
      <c r="A130" s="690">
        <f t="shared" si="8"/>
        <v>127</v>
      </c>
      <c r="B130" s="696" t="s">
        <v>68</v>
      </c>
      <c r="C130" s="692" t="str">
        <f>VLOOKUP(B130,'Location Summary'!$C$4:$D$603,2,FALSE)</f>
        <v>DA+9</v>
      </c>
      <c r="D130" s="693" t="s">
        <v>1343</v>
      </c>
      <c r="E130" s="704">
        <v>45843</v>
      </c>
      <c r="F130" s="694">
        <v>45893</v>
      </c>
      <c r="G130" s="694">
        <v>45893</v>
      </c>
      <c r="H130" s="695">
        <f>(G130-E130)</f>
        <v>50</v>
      </c>
      <c r="I130" s="725" t="s">
        <v>990</v>
      </c>
      <c r="J130" s="695" t="s">
        <v>663</v>
      </c>
      <c r="K130" s="705"/>
      <c r="L130" s="706"/>
      <c r="M130" s="706"/>
      <c r="N130" s="706"/>
    </row>
    <row r="131" spans="1:14" s="712" customFormat="1" ht="27.75" customHeight="1">
      <c r="A131" s="690">
        <f t="shared" si="8"/>
        <v>128</v>
      </c>
      <c r="B131" s="696" t="s">
        <v>67</v>
      </c>
      <c r="C131" s="692" t="str">
        <f>VLOOKUP(B131,'Location Summary'!$C$4:$D$603,2,FALSE)</f>
        <v>DB1+9</v>
      </c>
      <c r="D131" s="693" t="s">
        <v>1343</v>
      </c>
      <c r="E131" s="704">
        <v>45843</v>
      </c>
      <c r="F131" s="694">
        <v>45902</v>
      </c>
      <c r="G131" s="694">
        <v>45902</v>
      </c>
      <c r="H131" s="695">
        <f>(G131-E131)</f>
        <v>59</v>
      </c>
      <c r="I131" s="725" t="s">
        <v>990</v>
      </c>
      <c r="J131" s="695" t="s">
        <v>663</v>
      </c>
      <c r="K131" s="705"/>
      <c r="L131" s="706"/>
      <c r="M131" s="706"/>
      <c r="N131" s="706"/>
    </row>
    <row r="132" spans="1:14" s="712" customFormat="1" ht="27.75" customHeight="1">
      <c r="A132" s="690">
        <f t="shared" si="8"/>
        <v>129</v>
      </c>
      <c r="B132" s="696" t="s">
        <v>774</v>
      </c>
      <c r="C132" s="692" t="str">
        <f>VLOOKUP(B132,'Location Summary'!$C$4:$D$603,2,FALSE)</f>
        <v>DA+6</v>
      </c>
      <c r="D132" s="693" t="s">
        <v>1343</v>
      </c>
      <c r="E132" s="704">
        <v>45843</v>
      </c>
      <c r="F132" s="694">
        <v>45882</v>
      </c>
      <c r="G132" s="694">
        <v>45882</v>
      </c>
      <c r="H132" s="695">
        <f t="shared" ref="H132:H140" si="10">(G132-E132)</f>
        <v>39</v>
      </c>
      <c r="I132" s="725" t="s">
        <v>990</v>
      </c>
      <c r="J132" s="695" t="s">
        <v>663</v>
      </c>
      <c r="K132" s="705"/>
      <c r="L132" s="706"/>
      <c r="M132" s="706"/>
      <c r="N132" s="706"/>
    </row>
    <row r="133" spans="1:14" s="712" customFormat="1" ht="27.75" customHeight="1">
      <c r="A133" s="690">
        <f t="shared" si="8"/>
        <v>130</v>
      </c>
      <c r="B133" s="696" t="s">
        <v>773</v>
      </c>
      <c r="C133" s="692" t="str">
        <f>VLOOKUP(B133,'Location Summary'!$C$4:$D$603,2,FALSE)</f>
        <v>DB1+9</v>
      </c>
      <c r="D133" s="693" t="s">
        <v>1343</v>
      </c>
      <c r="E133" s="704">
        <v>45843</v>
      </c>
      <c r="F133" s="694">
        <v>45869</v>
      </c>
      <c r="G133" s="694">
        <v>45869</v>
      </c>
      <c r="H133" s="695">
        <f t="shared" si="10"/>
        <v>26</v>
      </c>
      <c r="I133" s="725" t="s">
        <v>990</v>
      </c>
      <c r="J133" s="695" t="s">
        <v>663</v>
      </c>
      <c r="K133" s="705"/>
      <c r="L133" s="706"/>
      <c r="M133" s="706"/>
      <c r="N133" s="706"/>
    </row>
    <row r="134" spans="1:14" s="712" customFormat="1" ht="27.75" customHeight="1">
      <c r="A134" s="690">
        <f t="shared" si="8"/>
        <v>131</v>
      </c>
      <c r="B134" s="696" t="s">
        <v>164</v>
      </c>
      <c r="C134" s="692" t="str">
        <f>VLOOKUP(B134,'Location Summary'!$C$4:$D$603,2,FALSE)</f>
        <v>DA+3</v>
      </c>
      <c r="D134" s="693" t="s">
        <v>1343</v>
      </c>
      <c r="E134" s="704">
        <v>45873</v>
      </c>
      <c r="F134" s="694">
        <v>45881</v>
      </c>
      <c r="G134" s="694">
        <v>45881</v>
      </c>
      <c r="H134" s="695">
        <f t="shared" si="10"/>
        <v>8</v>
      </c>
      <c r="I134" s="725" t="s">
        <v>1490</v>
      </c>
      <c r="J134" s="695" t="s">
        <v>663</v>
      </c>
      <c r="K134" s="705"/>
      <c r="L134" s="706"/>
      <c r="M134" s="706"/>
      <c r="N134" s="706"/>
    </row>
    <row r="135" spans="1:14" s="712" customFormat="1" ht="27.75" customHeight="1">
      <c r="A135" s="690">
        <f t="shared" si="8"/>
        <v>132</v>
      </c>
      <c r="B135" s="696" t="s">
        <v>13</v>
      </c>
      <c r="C135" s="692" t="str">
        <f>VLOOKUP(B135,'Location Summary'!$C$4:$D$603,2,FALSE)</f>
        <v>DC1+3</v>
      </c>
      <c r="D135" s="693" t="s">
        <v>1343</v>
      </c>
      <c r="E135" s="704">
        <v>45936</v>
      </c>
      <c r="F135" s="694">
        <v>45980</v>
      </c>
      <c r="G135" s="694">
        <v>45985</v>
      </c>
      <c r="H135" s="695">
        <f t="shared" si="10"/>
        <v>49</v>
      </c>
      <c r="I135" s="725" t="s">
        <v>1572</v>
      </c>
      <c r="J135" s="695" t="s">
        <v>663</v>
      </c>
      <c r="K135" s="705"/>
      <c r="L135" s="706"/>
      <c r="M135" s="706"/>
      <c r="N135" s="706"/>
    </row>
    <row r="136" spans="1:14" s="712" customFormat="1" ht="27.75" customHeight="1">
      <c r="A136" s="690">
        <f t="shared" si="8"/>
        <v>133</v>
      </c>
      <c r="B136" s="696" t="s">
        <v>1248</v>
      </c>
      <c r="C136" s="692" t="str">
        <f>VLOOKUP(B136,'Location Summary'!$C$4:$D$603,2,FALSE)</f>
        <v>DD45+0</v>
      </c>
      <c r="D136" s="693" t="s">
        <v>1343</v>
      </c>
      <c r="E136" s="704">
        <v>45891</v>
      </c>
      <c r="F136" s="694">
        <v>46021</v>
      </c>
      <c r="G136" s="694">
        <v>46021</v>
      </c>
      <c r="H136" s="695">
        <f t="shared" si="10"/>
        <v>130</v>
      </c>
      <c r="I136" s="725" t="s">
        <v>1561</v>
      </c>
      <c r="J136" s="695" t="s">
        <v>663</v>
      </c>
      <c r="K136" s="705"/>
      <c r="L136" s="706"/>
      <c r="M136" s="706"/>
      <c r="N136" s="706"/>
    </row>
    <row r="137" spans="1:14" s="712" customFormat="1" ht="27.75" customHeight="1">
      <c r="A137" s="690">
        <f t="shared" si="8"/>
        <v>134</v>
      </c>
      <c r="B137" s="696" t="s">
        <v>407</v>
      </c>
      <c r="C137" s="692" t="str">
        <f>VLOOKUP(B137,'Location Summary'!$C$4:$D$603,2,FALSE)</f>
        <v>DA+0</v>
      </c>
      <c r="D137" s="693" t="s">
        <v>1343</v>
      </c>
      <c r="E137" s="704">
        <v>45870</v>
      </c>
      <c r="F137" s="694">
        <v>45994</v>
      </c>
      <c r="G137" s="694">
        <f>F137</f>
        <v>45994</v>
      </c>
      <c r="H137" s="695">
        <f t="shared" si="10"/>
        <v>124</v>
      </c>
      <c r="I137" s="725" t="s">
        <v>1560</v>
      </c>
      <c r="J137" s="695" t="s">
        <v>663</v>
      </c>
      <c r="K137" s="705"/>
      <c r="L137" s="706"/>
      <c r="M137" s="706"/>
      <c r="N137" s="706"/>
    </row>
    <row r="138" spans="1:14" s="712" customFormat="1" ht="27.75" customHeight="1">
      <c r="A138" s="690">
        <f t="shared" si="8"/>
        <v>135</v>
      </c>
      <c r="B138" s="696" t="s">
        <v>265</v>
      </c>
      <c r="C138" s="692" t="str">
        <f>VLOOKUP(B138,'Location Summary'!$C$4:$D$603,2,FALSE)</f>
        <v>DD45+0</v>
      </c>
      <c r="D138" s="693" t="s">
        <v>1343</v>
      </c>
      <c r="E138" s="704">
        <v>45870</v>
      </c>
      <c r="F138" s="694">
        <v>45973</v>
      </c>
      <c r="G138" s="694">
        <v>45973</v>
      </c>
      <c r="H138" s="695">
        <f t="shared" si="10"/>
        <v>103</v>
      </c>
      <c r="I138" s="725" t="s">
        <v>1557</v>
      </c>
      <c r="J138" s="695" t="s">
        <v>663</v>
      </c>
      <c r="K138" s="705"/>
      <c r="L138" s="706"/>
      <c r="M138" s="706"/>
      <c r="N138" s="706"/>
    </row>
    <row r="139" spans="1:14" s="712" customFormat="1" ht="27.75" customHeight="1">
      <c r="A139" s="690">
        <f t="shared" si="8"/>
        <v>136</v>
      </c>
      <c r="B139" s="696" t="s">
        <v>267</v>
      </c>
      <c r="C139" s="692" t="str">
        <f>VLOOKUP(B139,'Location Summary'!$C$4:$D$603,2,FALSE)</f>
        <v>DD60+9</v>
      </c>
      <c r="D139" s="693" t="s">
        <v>1343</v>
      </c>
      <c r="E139" s="704">
        <v>45903</v>
      </c>
      <c r="F139" s="694">
        <v>46007</v>
      </c>
      <c r="G139" s="694">
        <v>46007</v>
      </c>
      <c r="H139" s="695">
        <f t="shared" si="10"/>
        <v>104</v>
      </c>
      <c r="I139" s="725" t="s">
        <v>1562</v>
      </c>
      <c r="J139" s="695" t="s">
        <v>663</v>
      </c>
      <c r="K139" s="705"/>
      <c r="L139" s="706"/>
      <c r="M139" s="706"/>
      <c r="N139" s="706"/>
    </row>
    <row r="140" spans="1:14" s="712" customFormat="1" ht="27.75" customHeight="1">
      <c r="A140" s="690">
        <f t="shared" si="8"/>
        <v>137</v>
      </c>
      <c r="B140" s="696" t="s">
        <v>483</v>
      </c>
      <c r="C140" s="692" t="str">
        <f>VLOOKUP(B140,'Location Summary'!$C$4:$D$603,2,FALSE)</f>
        <v>DB1+9</v>
      </c>
      <c r="D140" s="693" t="s">
        <v>1343</v>
      </c>
      <c r="E140" s="704">
        <v>45903</v>
      </c>
      <c r="F140" s="694">
        <v>46008</v>
      </c>
      <c r="G140" s="694">
        <v>46008</v>
      </c>
      <c r="H140" s="695">
        <f t="shared" si="10"/>
        <v>105</v>
      </c>
      <c r="I140" s="725" t="s">
        <v>1563</v>
      </c>
      <c r="J140" s="695" t="s">
        <v>663</v>
      </c>
      <c r="K140" s="705"/>
      <c r="L140" s="706"/>
      <c r="M140" s="706"/>
      <c r="N140" s="706"/>
    </row>
    <row r="141" spans="1:14" s="712" customFormat="1" ht="27.75" customHeight="1">
      <c r="A141" s="690">
        <f t="shared" si="8"/>
        <v>138</v>
      </c>
      <c r="B141" s="696" t="s">
        <v>11</v>
      </c>
      <c r="C141" s="692" t="str">
        <f>VLOOKUP(B141,'Location Summary'!$C$4:$D$603,2,FALSE)</f>
        <v>DD60+18</v>
      </c>
      <c r="D141" s="693" t="s">
        <v>1343</v>
      </c>
      <c r="E141" s="704">
        <v>45903</v>
      </c>
      <c r="F141" s="694">
        <v>45991</v>
      </c>
      <c r="G141" s="694">
        <v>45991</v>
      </c>
      <c r="H141" s="695">
        <f t="shared" ref="H141:H148" si="11">G141-E141</f>
        <v>88</v>
      </c>
      <c r="I141" s="725" t="s">
        <v>1564</v>
      </c>
      <c r="J141" s="695" t="s">
        <v>663</v>
      </c>
      <c r="K141" s="705"/>
      <c r="L141" s="706"/>
      <c r="M141" s="706"/>
      <c r="N141" s="706"/>
    </row>
    <row r="142" spans="1:14" s="712" customFormat="1" ht="27.75" customHeight="1">
      <c r="A142" s="690">
        <f t="shared" si="8"/>
        <v>139</v>
      </c>
      <c r="B142" s="696" t="s">
        <v>308</v>
      </c>
      <c r="C142" s="692" t="str">
        <f>VLOOKUP(B142,'Location Summary'!$C$4:$D$603,2,FALSE)</f>
        <v>DA+6</v>
      </c>
      <c r="D142" s="693" t="s">
        <v>1343</v>
      </c>
      <c r="E142" s="704">
        <v>45903</v>
      </c>
      <c r="F142" s="694">
        <v>45987</v>
      </c>
      <c r="G142" s="694">
        <v>45987</v>
      </c>
      <c r="H142" s="695">
        <f t="shared" si="11"/>
        <v>84</v>
      </c>
      <c r="I142" s="725" t="s">
        <v>1565</v>
      </c>
      <c r="J142" s="695" t="s">
        <v>663</v>
      </c>
      <c r="K142" s="705"/>
      <c r="L142" s="706"/>
      <c r="M142" s="706"/>
      <c r="N142" s="706"/>
    </row>
    <row r="143" spans="1:14" s="712" customFormat="1" ht="29">
      <c r="A143" s="690">
        <f t="shared" si="8"/>
        <v>140</v>
      </c>
      <c r="B143" s="696" t="s">
        <v>420</v>
      </c>
      <c r="C143" s="692" t="str">
        <f>VLOOKUP(B143,'Location Summary'!$C$4:$D$603,2,FALSE)</f>
        <v>DA+0</v>
      </c>
      <c r="D143" s="693" t="s">
        <v>1343</v>
      </c>
      <c r="E143" s="704">
        <v>45903</v>
      </c>
      <c r="F143" s="694">
        <v>45983</v>
      </c>
      <c r="G143" s="694">
        <v>45983</v>
      </c>
      <c r="H143" s="695">
        <f t="shared" si="11"/>
        <v>80</v>
      </c>
      <c r="I143" s="725" t="s">
        <v>1566</v>
      </c>
      <c r="J143" s="695" t="s">
        <v>663</v>
      </c>
      <c r="K143" s="705"/>
      <c r="L143" s="706"/>
      <c r="M143" s="706"/>
      <c r="N143" s="706"/>
    </row>
    <row r="144" spans="1:14" s="712" customFormat="1" ht="27.75" customHeight="1">
      <c r="A144" s="690">
        <f t="shared" si="8"/>
        <v>141</v>
      </c>
      <c r="B144" s="696" t="s">
        <v>421</v>
      </c>
      <c r="C144" s="692" t="str">
        <f>VLOOKUP(B144,'Location Summary'!$C$4:$D$603,2,FALSE)</f>
        <v>DA-1.5</v>
      </c>
      <c r="D144" s="693" t="s">
        <v>1343</v>
      </c>
      <c r="E144" s="704">
        <v>45903</v>
      </c>
      <c r="F144" s="694">
        <v>45977</v>
      </c>
      <c r="G144" s="694">
        <v>45977</v>
      </c>
      <c r="H144" s="695">
        <f t="shared" si="11"/>
        <v>74</v>
      </c>
      <c r="I144" s="725" t="s">
        <v>1557</v>
      </c>
      <c r="J144" s="695" t="s">
        <v>663</v>
      </c>
      <c r="K144" s="705"/>
      <c r="L144" s="706"/>
      <c r="M144" s="706"/>
      <c r="N144" s="706"/>
    </row>
    <row r="145" spans="1:14" s="712" customFormat="1" ht="27.75" customHeight="1">
      <c r="A145" s="690">
        <f t="shared" si="8"/>
        <v>142</v>
      </c>
      <c r="B145" s="696" t="s">
        <v>422</v>
      </c>
      <c r="C145" s="692" t="str">
        <f>VLOOKUP(B145,'Location Summary'!$C$4:$D$603,2,FALSE)</f>
        <v>DA+0</v>
      </c>
      <c r="D145" s="693" t="s">
        <v>1343</v>
      </c>
      <c r="E145" s="704">
        <v>45903</v>
      </c>
      <c r="F145" s="694">
        <v>45996</v>
      </c>
      <c r="G145" s="694">
        <v>45996</v>
      </c>
      <c r="H145" s="695">
        <f t="shared" si="11"/>
        <v>93</v>
      </c>
      <c r="I145" s="725" t="s">
        <v>1567</v>
      </c>
      <c r="J145" s="695" t="s">
        <v>663</v>
      </c>
      <c r="K145" s="705"/>
      <c r="L145" s="706"/>
      <c r="M145" s="706"/>
      <c r="N145" s="706"/>
    </row>
    <row r="146" spans="1:14" s="712" customFormat="1" ht="27.75" customHeight="1">
      <c r="A146" s="690">
        <f t="shared" si="8"/>
        <v>143</v>
      </c>
      <c r="B146" s="696" t="s">
        <v>423</v>
      </c>
      <c r="C146" s="692" t="str">
        <f>VLOOKUP(B146,'Location Summary'!$C$4:$D$603,2,FALSE)</f>
        <v>DA+6</v>
      </c>
      <c r="D146" s="693" t="s">
        <v>1343</v>
      </c>
      <c r="E146" s="704">
        <v>45903</v>
      </c>
      <c r="F146" s="694">
        <v>45986</v>
      </c>
      <c r="G146" s="694">
        <v>45986</v>
      </c>
      <c r="H146" s="695">
        <f t="shared" si="11"/>
        <v>83</v>
      </c>
      <c r="I146" s="725" t="s">
        <v>1568</v>
      </c>
      <c r="J146" s="695" t="s">
        <v>663</v>
      </c>
      <c r="K146" s="705"/>
      <c r="L146" s="706"/>
      <c r="M146" s="706"/>
      <c r="N146" s="706"/>
    </row>
    <row r="147" spans="1:14" s="712" customFormat="1" ht="27.75" customHeight="1">
      <c r="A147" s="690">
        <f t="shared" si="8"/>
        <v>144</v>
      </c>
      <c r="B147" s="696" t="s">
        <v>12</v>
      </c>
      <c r="C147" s="692" t="str">
        <f>VLOOKUP(B147,'Location Summary'!$C$4:$D$603,2,FALSE)</f>
        <v>DC2+0</v>
      </c>
      <c r="D147" s="693" t="s">
        <v>1343</v>
      </c>
      <c r="E147" s="704">
        <v>45903</v>
      </c>
      <c r="F147" s="694">
        <v>46059</v>
      </c>
      <c r="G147" s="694">
        <v>46124</v>
      </c>
      <c r="H147" s="695">
        <f t="shared" si="11"/>
        <v>221</v>
      </c>
      <c r="I147" s="725" t="s">
        <v>1571</v>
      </c>
      <c r="J147" s="695" t="s">
        <v>663</v>
      </c>
      <c r="K147" s="705"/>
      <c r="L147" s="706"/>
      <c r="M147" s="706"/>
      <c r="N147" s="706"/>
    </row>
    <row r="148" spans="1:14" s="712" customFormat="1" ht="27.75" customHeight="1">
      <c r="A148" s="690">
        <f t="shared" si="8"/>
        <v>145</v>
      </c>
      <c r="B148" s="696" t="s">
        <v>181</v>
      </c>
      <c r="C148" s="692" t="str">
        <f>VLOOKUP(B148,'Location Summary'!$C$4:$D$603,2,FALSE)</f>
        <v>DA+6</v>
      </c>
      <c r="D148" s="693" t="s">
        <v>1343</v>
      </c>
      <c r="E148" s="704">
        <v>45912</v>
      </c>
      <c r="F148" s="694">
        <v>45980</v>
      </c>
      <c r="G148" s="694">
        <v>45980</v>
      </c>
      <c r="H148" s="695">
        <f t="shared" si="11"/>
        <v>68</v>
      </c>
      <c r="I148" s="725" t="s">
        <v>1566</v>
      </c>
      <c r="J148" s="695" t="s">
        <v>663</v>
      </c>
      <c r="K148" s="705"/>
      <c r="L148" s="706"/>
      <c r="M148" s="706"/>
      <c r="N148" s="706"/>
    </row>
    <row r="149" spans="1:14" s="712" customFormat="1" ht="27.75" customHeight="1">
      <c r="A149" s="690">
        <f t="shared" si="8"/>
        <v>146</v>
      </c>
      <c r="B149" s="696" t="s">
        <v>674</v>
      </c>
      <c r="C149" s="692" t="str">
        <f>VLOOKUP(B149,'Location Summary'!$C$4:$D$603,2,FALSE)</f>
        <v>DB1+9</v>
      </c>
      <c r="D149" s="693" t="s">
        <v>1343</v>
      </c>
      <c r="E149" s="704">
        <v>45912</v>
      </c>
      <c r="F149" s="694">
        <v>45975</v>
      </c>
      <c r="G149" s="694">
        <v>45975</v>
      </c>
      <c r="H149" s="695">
        <f t="shared" ref="H149:H155" si="12">G149-E149</f>
        <v>63</v>
      </c>
      <c r="I149" s="725" t="s">
        <v>1541</v>
      </c>
      <c r="J149" s="695" t="s">
        <v>663</v>
      </c>
      <c r="K149" s="705"/>
      <c r="L149" s="706"/>
      <c r="M149" s="706"/>
      <c r="N149" s="706"/>
    </row>
    <row r="150" spans="1:14" s="712" customFormat="1" ht="27.75" customHeight="1">
      <c r="A150" s="690">
        <f t="shared" si="8"/>
        <v>147</v>
      </c>
      <c r="B150" s="696" t="s">
        <v>61</v>
      </c>
      <c r="C150" s="692" t="str">
        <f>VLOOKUP(B150,'Location Summary'!$C$4:$D$603,2,FALSE)</f>
        <v>DA+9</v>
      </c>
      <c r="D150" s="693" t="s">
        <v>1343</v>
      </c>
      <c r="E150" s="704">
        <v>45903</v>
      </c>
      <c r="F150" s="694">
        <v>45977</v>
      </c>
      <c r="G150" s="694">
        <v>45995</v>
      </c>
      <c r="H150" s="695">
        <f t="shared" si="12"/>
        <v>92</v>
      </c>
      <c r="I150" s="725" t="s">
        <v>1541</v>
      </c>
      <c r="J150" s="695" t="s">
        <v>663</v>
      </c>
      <c r="K150" s="705"/>
      <c r="L150" s="706"/>
      <c r="M150" s="706"/>
      <c r="N150" s="706"/>
    </row>
    <row r="151" spans="1:14" s="712" customFormat="1" ht="29">
      <c r="A151" s="690">
        <f t="shared" si="8"/>
        <v>148</v>
      </c>
      <c r="B151" s="696" t="s">
        <v>62</v>
      </c>
      <c r="C151" s="692" t="str">
        <f>VLOOKUP(B151,'Location Summary'!$C$4:$D$603,2,FALSE)</f>
        <v>DA-1.5</v>
      </c>
      <c r="D151" s="693" t="s">
        <v>1343</v>
      </c>
      <c r="E151" s="704">
        <v>45903</v>
      </c>
      <c r="F151" s="694">
        <v>45981</v>
      </c>
      <c r="G151" s="694">
        <v>45981</v>
      </c>
      <c r="H151" s="695">
        <f t="shared" si="12"/>
        <v>78</v>
      </c>
      <c r="I151" s="725" t="s">
        <v>1569</v>
      </c>
      <c r="J151" s="695" t="s">
        <v>663</v>
      </c>
      <c r="K151" s="705"/>
      <c r="L151" s="706"/>
      <c r="M151" s="706"/>
      <c r="N151" s="706"/>
    </row>
    <row r="152" spans="1:14" s="712" customFormat="1" ht="27.75" customHeight="1">
      <c r="A152" s="690">
        <f t="shared" si="8"/>
        <v>149</v>
      </c>
      <c r="B152" s="696" t="s">
        <v>153</v>
      </c>
      <c r="C152" s="692" t="str">
        <f>VLOOKUP(B152,'Location Summary'!$C$4:$D$603,2,FALSE)</f>
        <v>DA+1.5</v>
      </c>
      <c r="D152" s="693" t="s">
        <v>1343</v>
      </c>
      <c r="E152" s="704">
        <v>45903</v>
      </c>
      <c r="F152" s="694">
        <v>45977</v>
      </c>
      <c r="G152" s="694">
        <v>45988</v>
      </c>
      <c r="H152" s="695">
        <f t="shared" si="12"/>
        <v>85</v>
      </c>
      <c r="I152" s="725" t="s">
        <v>1541</v>
      </c>
      <c r="J152" s="695" t="s">
        <v>663</v>
      </c>
      <c r="K152" s="705"/>
      <c r="L152" s="706"/>
      <c r="M152" s="706"/>
      <c r="N152" s="706"/>
    </row>
    <row r="153" spans="1:14" s="712" customFormat="1" ht="27.75" customHeight="1">
      <c r="A153" s="690">
        <f t="shared" si="8"/>
        <v>150</v>
      </c>
      <c r="B153" s="696" t="s">
        <v>431</v>
      </c>
      <c r="C153" s="692" t="str">
        <f>VLOOKUP(B153,'Location Summary'!$C$4:$D$603,2,FALSE)</f>
        <v>DA+0</v>
      </c>
      <c r="D153" s="693" t="s">
        <v>1343</v>
      </c>
      <c r="E153" s="704">
        <v>45903</v>
      </c>
      <c r="F153" s="694">
        <v>46001</v>
      </c>
      <c r="G153" s="694">
        <v>46001</v>
      </c>
      <c r="H153" s="695">
        <f t="shared" si="12"/>
        <v>98</v>
      </c>
      <c r="I153" s="725" t="s">
        <v>1558</v>
      </c>
      <c r="J153" s="695" t="s">
        <v>663</v>
      </c>
      <c r="K153" s="705"/>
      <c r="L153" s="706"/>
      <c r="M153" s="706"/>
      <c r="N153" s="706"/>
    </row>
    <row r="154" spans="1:14" s="712" customFormat="1" ht="27.75" customHeight="1">
      <c r="A154" s="690">
        <f t="shared" si="8"/>
        <v>151</v>
      </c>
      <c r="B154" s="696" t="s">
        <v>901</v>
      </c>
      <c r="C154" s="692" t="str">
        <f>VLOOKUP(B154,'Location Summary'!$C$4:$D$603,2,FALSE)</f>
        <v>DA+6</v>
      </c>
      <c r="D154" s="693" t="s">
        <v>1343</v>
      </c>
      <c r="E154" s="704">
        <v>45903</v>
      </c>
      <c r="F154" s="694">
        <v>45986</v>
      </c>
      <c r="G154" s="694">
        <v>45986</v>
      </c>
      <c r="H154" s="695">
        <f t="shared" si="12"/>
        <v>83</v>
      </c>
      <c r="I154" s="725" t="s">
        <v>1559</v>
      </c>
      <c r="J154" s="695" t="s">
        <v>663</v>
      </c>
      <c r="K154" s="705"/>
      <c r="L154" s="706"/>
      <c r="M154" s="706"/>
      <c r="N154" s="706"/>
    </row>
    <row r="155" spans="1:14" s="712" customFormat="1" ht="27.75" customHeight="1">
      <c r="A155" s="690">
        <f t="shared" si="8"/>
        <v>152</v>
      </c>
      <c r="B155" s="696" t="s">
        <v>438</v>
      </c>
      <c r="C155" s="692" t="str">
        <f>VLOOKUP(B155,'Location Summary'!$C$4:$D$603,2,FALSE)</f>
        <v>DA+0</v>
      </c>
      <c r="D155" s="693" t="s">
        <v>1343</v>
      </c>
      <c r="E155" s="704">
        <v>45927</v>
      </c>
      <c r="F155" s="694" t="s">
        <v>1598</v>
      </c>
      <c r="G155" s="694" t="s">
        <v>1598</v>
      </c>
      <c r="H155" s="695">
        <f t="shared" si="12"/>
        <v>84</v>
      </c>
      <c r="I155" s="725" t="s">
        <v>1559</v>
      </c>
      <c r="J155" s="695" t="s">
        <v>663</v>
      </c>
      <c r="K155" s="705"/>
      <c r="L155" s="706"/>
      <c r="M155" s="706"/>
      <c r="N155" s="706"/>
    </row>
    <row r="156" spans="1:14" s="712" customFormat="1" ht="27.75" customHeight="1">
      <c r="A156" s="690">
        <f t="shared" si="8"/>
        <v>153</v>
      </c>
      <c r="B156" s="696" t="s">
        <v>78</v>
      </c>
      <c r="C156" s="692" t="str">
        <f>VLOOKUP(B156,'Location Summary'!$C$4:$D$603,2,FALSE)</f>
        <v>DB1+0</v>
      </c>
      <c r="D156" s="693" t="s">
        <v>1343</v>
      </c>
      <c r="E156" s="704">
        <v>45872</v>
      </c>
      <c r="F156" s="694">
        <v>45989</v>
      </c>
      <c r="G156" s="694">
        <v>45989</v>
      </c>
      <c r="H156" s="695">
        <f t="shared" ref="H156:H169" si="13">G156-E156</f>
        <v>117</v>
      </c>
      <c r="I156" s="725" t="s">
        <v>1570</v>
      </c>
      <c r="J156" s="695" t="s">
        <v>663</v>
      </c>
      <c r="K156" s="705"/>
      <c r="L156" s="706"/>
      <c r="M156" s="706"/>
      <c r="N156" s="706"/>
    </row>
    <row r="157" spans="1:14" s="712" customFormat="1" ht="27.75" customHeight="1">
      <c r="A157" s="690">
        <f t="shared" si="8"/>
        <v>154</v>
      </c>
      <c r="B157" s="696" t="s">
        <v>642</v>
      </c>
      <c r="C157" s="692" t="str">
        <f>VLOOKUP(B157,'Location Summary'!$C$4:$D$603,2,FALSE)</f>
        <v>DA-1.5</v>
      </c>
      <c r="D157" s="693" t="s">
        <v>1343</v>
      </c>
      <c r="E157" s="704">
        <v>45872</v>
      </c>
      <c r="F157" s="694">
        <v>45989</v>
      </c>
      <c r="G157" s="694">
        <v>45989</v>
      </c>
      <c r="H157" s="695">
        <f t="shared" si="13"/>
        <v>117</v>
      </c>
      <c r="I157" s="725" t="s">
        <v>1570</v>
      </c>
      <c r="J157" s="695" t="s">
        <v>663</v>
      </c>
      <c r="K157" s="705"/>
      <c r="L157" s="706"/>
      <c r="M157" s="706"/>
      <c r="N157" s="706"/>
    </row>
    <row r="158" spans="1:14" s="712" customFormat="1" ht="27.75" customHeight="1">
      <c r="A158" s="690">
        <f t="shared" si="8"/>
        <v>155</v>
      </c>
      <c r="B158" s="696" t="s">
        <v>165</v>
      </c>
      <c r="C158" s="692" t="str">
        <f>VLOOKUP(B158,'Location Summary'!$C$4:$D$603,2,FALSE)</f>
        <v>DA+9</v>
      </c>
      <c r="D158" s="693" t="s">
        <v>1227</v>
      </c>
      <c r="E158" s="704">
        <v>45963</v>
      </c>
      <c r="F158" s="694">
        <v>45979</v>
      </c>
      <c r="G158" s="694">
        <v>45979</v>
      </c>
      <c r="H158" s="695">
        <f t="shared" si="13"/>
        <v>16</v>
      </c>
      <c r="I158" s="725" t="s">
        <v>990</v>
      </c>
      <c r="J158" s="695" t="s">
        <v>663</v>
      </c>
      <c r="K158" s="705"/>
      <c r="L158" s="706"/>
      <c r="M158" s="706"/>
      <c r="N158" s="706"/>
    </row>
    <row r="159" spans="1:14" s="712" customFormat="1" ht="27.75" customHeight="1">
      <c r="A159" s="690">
        <f t="shared" si="8"/>
        <v>156</v>
      </c>
      <c r="B159" s="696" t="s">
        <v>569</v>
      </c>
      <c r="C159" s="692" t="str">
        <f>VLOOKUP(B159,'Location Summary'!$C$4:$D$603,2,FALSE)</f>
        <v>DA+0</v>
      </c>
      <c r="D159" s="693" t="s">
        <v>1227</v>
      </c>
      <c r="E159" s="704">
        <v>45963</v>
      </c>
      <c r="F159" s="694">
        <v>45975</v>
      </c>
      <c r="G159" s="694">
        <v>46025</v>
      </c>
      <c r="H159" s="695">
        <f t="shared" si="13"/>
        <v>62</v>
      </c>
      <c r="I159" s="725" t="s">
        <v>990</v>
      </c>
      <c r="J159" s="695" t="s">
        <v>663</v>
      </c>
      <c r="K159" s="705"/>
      <c r="L159" s="706"/>
      <c r="M159" s="706"/>
      <c r="N159" s="706"/>
    </row>
    <row r="160" spans="1:14" s="712" customFormat="1" ht="27.75" customHeight="1">
      <c r="A160" s="690">
        <f t="shared" si="8"/>
        <v>157</v>
      </c>
      <c r="B160" s="696" t="s">
        <v>774</v>
      </c>
      <c r="C160" s="692" t="str">
        <f>VLOOKUP(B160,'Location Summary'!$C$4:$D$603,2,FALSE)</f>
        <v>DA+6</v>
      </c>
      <c r="D160" s="693" t="s">
        <v>1227</v>
      </c>
      <c r="E160" s="704">
        <v>45963</v>
      </c>
      <c r="F160" s="694">
        <v>46021</v>
      </c>
      <c r="G160" s="694">
        <v>46021</v>
      </c>
      <c r="H160" s="695">
        <f t="shared" si="13"/>
        <v>58</v>
      </c>
      <c r="I160" s="725" t="s">
        <v>990</v>
      </c>
      <c r="J160" s="695" t="s">
        <v>663</v>
      </c>
      <c r="K160" s="705"/>
      <c r="L160" s="706"/>
      <c r="M160" s="706"/>
      <c r="N160" s="706"/>
    </row>
    <row r="161" spans="1:14" ht="29">
      <c r="A161" s="690">
        <f t="shared" si="8"/>
        <v>158</v>
      </c>
      <c r="B161" s="1087" t="s">
        <v>1635</v>
      </c>
      <c r="C161" s="692" t="s">
        <v>428</v>
      </c>
      <c r="D161" s="1120" t="s">
        <v>99</v>
      </c>
      <c r="E161" s="1089">
        <v>46015</v>
      </c>
      <c r="F161" s="694">
        <v>46021</v>
      </c>
      <c r="G161" s="694">
        <v>46021</v>
      </c>
      <c r="H161" s="695">
        <f t="shared" si="13"/>
        <v>6</v>
      </c>
      <c r="I161" s="1090" t="s">
        <v>1599</v>
      </c>
      <c r="J161" s="1122" t="s">
        <v>663</v>
      </c>
      <c r="K161" s="1088"/>
      <c r="L161" s="1086"/>
      <c r="M161" s="1086"/>
      <c r="N161" s="1086"/>
    </row>
    <row r="162" spans="1:14" ht="29">
      <c r="A162" s="690">
        <f t="shared" si="8"/>
        <v>159</v>
      </c>
      <c r="B162" s="1087" t="s">
        <v>1634</v>
      </c>
      <c r="C162" s="692" t="s">
        <v>215</v>
      </c>
      <c r="D162" s="1120" t="s">
        <v>99</v>
      </c>
      <c r="E162" s="1089">
        <v>46056</v>
      </c>
      <c r="F162" s="1121">
        <v>46063</v>
      </c>
      <c r="G162" s="1089">
        <v>46063</v>
      </c>
      <c r="H162" s="1122">
        <f t="shared" si="13"/>
        <v>7</v>
      </c>
      <c r="I162" s="634" t="s">
        <v>1630</v>
      </c>
      <c r="J162" s="1122" t="s">
        <v>663</v>
      </c>
      <c r="K162" s="1088"/>
      <c r="L162" s="1086"/>
      <c r="M162" s="1086"/>
      <c r="N162" s="1086"/>
    </row>
    <row r="163" spans="1:14" ht="29">
      <c r="A163" s="690">
        <f t="shared" si="8"/>
        <v>160</v>
      </c>
      <c r="B163" s="1123" t="s">
        <v>597</v>
      </c>
      <c r="C163" s="692" t="str">
        <f>VLOOKUP(B163,'Location Summary'!$C$4:$D$603,2,FALSE)</f>
        <v>DA+3</v>
      </c>
      <c r="D163" s="1120" t="s">
        <v>1343</v>
      </c>
      <c r="E163" s="1089">
        <v>46058</v>
      </c>
      <c r="F163" s="1121">
        <v>46063</v>
      </c>
      <c r="G163" s="1089">
        <v>46063</v>
      </c>
      <c r="H163" s="1122">
        <f t="shared" si="13"/>
        <v>5</v>
      </c>
      <c r="I163" s="634" t="s">
        <v>1631</v>
      </c>
      <c r="J163" s="1122" t="s">
        <v>663</v>
      </c>
      <c r="K163" s="1088"/>
      <c r="L163" s="1086"/>
      <c r="M163" s="1086"/>
      <c r="N163" s="1086"/>
    </row>
    <row r="164" spans="1:14" ht="29">
      <c r="A164" s="690">
        <f t="shared" si="8"/>
        <v>161</v>
      </c>
      <c r="B164" s="1087" t="s">
        <v>1256</v>
      </c>
      <c r="C164" s="692" t="str">
        <f>VLOOKUP(B164,'Location Summary'!$C$4:$D$603,2,FALSE)</f>
        <v>DD45+3</v>
      </c>
      <c r="D164" s="1120" t="s">
        <v>1227</v>
      </c>
      <c r="E164" s="1089">
        <v>46057</v>
      </c>
      <c r="F164" s="1121">
        <v>46062</v>
      </c>
      <c r="G164" s="1089">
        <v>46062</v>
      </c>
      <c r="H164" s="1122">
        <f t="shared" si="13"/>
        <v>5</v>
      </c>
      <c r="I164" s="634" t="s">
        <v>1629</v>
      </c>
      <c r="J164" s="1122" t="s">
        <v>663</v>
      </c>
      <c r="K164" s="1088"/>
      <c r="L164" s="1086"/>
      <c r="M164" s="1086"/>
      <c r="N164" s="1086"/>
    </row>
    <row r="165" spans="1:14" ht="29">
      <c r="A165" s="690">
        <f t="shared" si="8"/>
        <v>162</v>
      </c>
      <c r="B165" s="1087" t="s">
        <v>1263</v>
      </c>
      <c r="C165" s="692" t="str">
        <f>VLOOKUP(B165,'Location Summary'!$C$4:$D$603,2,FALSE)</f>
        <v>DB1+9</v>
      </c>
      <c r="D165" s="1120" t="s">
        <v>1227</v>
      </c>
      <c r="E165" s="1089">
        <v>46057</v>
      </c>
      <c r="F165" s="1121">
        <v>46061</v>
      </c>
      <c r="G165" s="1089">
        <v>46061</v>
      </c>
      <c r="H165" s="1122">
        <f t="shared" si="13"/>
        <v>4</v>
      </c>
      <c r="I165" s="634" t="s">
        <v>1629</v>
      </c>
      <c r="J165" s="1122" t="s">
        <v>663</v>
      </c>
      <c r="K165" s="1088"/>
      <c r="L165" s="1086"/>
      <c r="M165" s="1086"/>
      <c r="N165" s="1086"/>
    </row>
    <row r="166" spans="1:14" ht="43.5">
      <c r="A166" s="690">
        <f t="shared" si="8"/>
        <v>163</v>
      </c>
      <c r="B166" s="1087" t="s">
        <v>78</v>
      </c>
      <c r="C166" s="692" t="str">
        <f>VLOOKUP(B166,'Location Summary'!$C$4:$D$603,2,FALSE)</f>
        <v>DB1+0</v>
      </c>
      <c r="D166" s="1120" t="s">
        <v>1343</v>
      </c>
      <c r="E166" s="1089">
        <v>46060</v>
      </c>
      <c r="F166" s="1089">
        <v>46063</v>
      </c>
      <c r="G166" s="1089">
        <v>46063</v>
      </c>
      <c r="H166" s="1122">
        <f t="shared" si="13"/>
        <v>3</v>
      </c>
      <c r="I166" s="634" t="s">
        <v>1633</v>
      </c>
      <c r="J166" s="1122" t="s">
        <v>663</v>
      </c>
      <c r="K166" s="1088"/>
      <c r="L166" s="1086"/>
      <c r="M166" s="1086"/>
      <c r="N166" s="1086"/>
    </row>
    <row r="167" spans="1:14" ht="21.75" customHeight="1">
      <c r="A167" s="690">
        <f t="shared" si="8"/>
        <v>164</v>
      </c>
      <c r="B167" s="1123" t="s">
        <v>449</v>
      </c>
      <c r="C167" s="692" t="str">
        <f>VLOOKUP(B167,'Location Summary'!$C$4:$D$603,2,FALSE)</f>
        <v>DA+1.5</v>
      </c>
      <c r="D167" s="1120" t="s">
        <v>1227</v>
      </c>
      <c r="E167" s="1089">
        <v>46057</v>
      </c>
      <c r="F167" s="1089">
        <v>46062</v>
      </c>
      <c r="G167" s="1089">
        <v>46062</v>
      </c>
      <c r="H167" s="1122">
        <f t="shared" si="13"/>
        <v>5</v>
      </c>
      <c r="I167" s="634" t="s">
        <v>1636</v>
      </c>
      <c r="J167" s="1122" t="s">
        <v>663</v>
      </c>
      <c r="K167" s="1088"/>
      <c r="L167" s="1086"/>
      <c r="M167" s="1086"/>
      <c r="N167" s="1086"/>
    </row>
    <row r="168" spans="1:14" ht="35.25" customHeight="1">
      <c r="A168" s="690">
        <f t="shared" si="8"/>
        <v>165</v>
      </c>
      <c r="B168" s="1123" t="s">
        <v>570</v>
      </c>
      <c r="C168" s="692" t="str">
        <f>VLOOKUP(B168,'Location Summary'!$C$4:$D$603,2,FALSE)</f>
        <v>DA+6</v>
      </c>
      <c r="D168" s="1120" t="s">
        <v>1227</v>
      </c>
      <c r="E168" s="1089">
        <v>46047</v>
      </c>
      <c r="F168" s="1089">
        <v>46077</v>
      </c>
      <c r="G168" s="1089">
        <v>46077</v>
      </c>
      <c r="H168" s="1122">
        <f t="shared" si="13"/>
        <v>30</v>
      </c>
      <c r="I168" s="634" t="s">
        <v>1632</v>
      </c>
      <c r="J168" s="1122" t="s">
        <v>663</v>
      </c>
      <c r="K168" s="1088"/>
      <c r="L168" s="1086"/>
      <c r="M168" s="1086"/>
      <c r="N168" s="1086"/>
    </row>
    <row r="169" spans="1:14" ht="35.25" customHeight="1">
      <c r="A169" s="690">
        <f t="shared" si="8"/>
        <v>166</v>
      </c>
      <c r="B169" s="1123" t="s">
        <v>571</v>
      </c>
      <c r="C169" s="692" t="str">
        <f>VLOOKUP(B169,'Location Summary'!$C$4:$D$603,2,FALSE)</f>
        <v>DA+6</v>
      </c>
      <c r="D169" s="1120" t="s">
        <v>1227</v>
      </c>
      <c r="E169" s="1089">
        <v>46047</v>
      </c>
      <c r="F169" s="1089">
        <v>46075</v>
      </c>
      <c r="G169" s="1089">
        <v>46075</v>
      </c>
      <c r="H169" s="1122">
        <f t="shared" si="13"/>
        <v>28</v>
      </c>
      <c r="I169" s="634" t="s">
        <v>1632</v>
      </c>
      <c r="J169" s="1122" t="s">
        <v>663</v>
      </c>
      <c r="K169" s="1088"/>
      <c r="L169" s="1086"/>
      <c r="M169" s="1086"/>
      <c r="N169" s="1086"/>
    </row>
    <row r="170" spans="1:14" ht="35.25" customHeight="1">
      <c r="A170" s="690">
        <f t="shared" si="8"/>
        <v>167</v>
      </c>
      <c r="B170" s="1123" t="s">
        <v>1257</v>
      </c>
      <c r="C170" s="692" t="str">
        <f>VLOOKUP(B170,'Location Summary'!$C$4:$D$603,2,FALSE)</f>
        <v>DA+3</v>
      </c>
      <c r="D170" s="1120" t="s">
        <v>1227</v>
      </c>
      <c r="E170" s="1089">
        <v>46064</v>
      </c>
      <c r="F170" s="1089">
        <v>46065</v>
      </c>
      <c r="G170" s="1089">
        <v>46065</v>
      </c>
      <c r="H170" s="1122">
        <f>G170-E170</f>
        <v>1</v>
      </c>
      <c r="I170" s="634" t="s">
        <v>1639</v>
      </c>
      <c r="J170" s="1122" t="s">
        <v>663</v>
      </c>
      <c r="K170" s="21" t="s">
        <v>1637</v>
      </c>
      <c r="L170" s="1122">
        <v>9929888158</v>
      </c>
      <c r="M170" s="1122" t="s">
        <v>1638</v>
      </c>
      <c r="N170" s="1122" t="s">
        <v>1640</v>
      </c>
    </row>
    <row r="171" spans="1:14" ht="33" customHeight="1">
      <c r="A171" s="690">
        <f t="shared" si="8"/>
        <v>168</v>
      </c>
      <c r="B171" s="1123" t="s">
        <v>1258</v>
      </c>
      <c r="C171" s="692" t="str">
        <f>VLOOKUP(B171,'Location Summary'!$C$4:$D$603,2,FALSE)</f>
        <v>DA+3</v>
      </c>
      <c r="D171" s="1120" t="s">
        <v>1227</v>
      </c>
      <c r="E171" s="1089">
        <v>46064</v>
      </c>
      <c r="F171" s="1089">
        <v>46065</v>
      </c>
      <c r="G171" s="1089">
        <v>46065</v>
      </c>
      <c r="H171" s="1122">
        <f>G171-E171</f>
        <v>1</v>
      </c>
      <c r="I171" s="634" t="s">
        <v>1639</v>
      </c>
      <c r="J171" s="1122" t="s">
        <v>663</v>
      </c>
      <c r="K171" s="21" t="s">
        <v>1637</v>
      </c>
      <c r="L171" s="1122">
        <v>9929888158</v>
      </c>
      <c r="M171" s="1122" t="s">
        <v>1638</v>
      </c>
      <c r="N171" s="1122" t="s">
        <v>1640</v>
      </c>
    </row>
    <row r="172" spans="1:14" s="1182" customFormat="1" ht="33" customHeight="1">
      <c r="A172" s="1174">
        <f t="shared" si="8"/>
        <v>169</v>
      </c>
      <c r="B172" s="1175" t="s">
        <v>206</v>
      </c>
      <c r="C172" s="1176" t="str">
        <f>VLOOKUP(B172,'Location Summary'!$C$4:$D$603,2,FALSE)</f>
        <v>DA+9</v>
      </c>
      <c r="D172" s="1177" t="s">
        <v>1641</v>
      </c>
      <c r="E172" s="1178">
        <v>46060</v>
      </c>
      <c r="F172" s="1178"/>
      <c r="G172" s="1178"/>
      <c r="H172" s="1179"/>
      <c r="I172" s="1180" t="s">
        <v>1639</v>
      </c>
      <c r="J172" s="1179"/>
      <c r="K172" s="1181"/>
      <c r="L172" s="1179"/>
      <c r="M172" s="1179"/>
      <c r="N172" s="1179"/>
    </row>
    <row r="173" spans="1:14" s="1182" customFormat="1" ht="33" customHeight="1">
      <c r="A173" s="697">
        <f t="shared" si="8"/>
        <v>170</v>
      </c>
      <c r="B173" s="1183" t="s">
        <v>633</v>
      </c>
      <c r="C173" s="692" t="str">
        <f>VLOOKUP(B173,'Location Summary'!$C$4:$D$603,2,FALSE)</f>
        <v>DA-1.5</v>
      </c>
      <c r="D173" s="1184" t="s">
        <v>1641</v>
      </c>
      <c r="E173" s="1089">
        <v>46060</v>
      </c>
      <c r="F173" s="1089"/>
      <c r="G173" s="1089">
        <v>46207</v>
      </c>
      <c r="H173" s="1122">
        <f>G173-E173</f>
        <v>147</v>
      </c>
      <c r="I173" s="634" t="s">
        <v>1639</v>
      </c>
      <c r="J173" s="1179" t="s">
        <v>663</v>
      </c>
      <c r="K173" s="1181"/>
      <c r="L173" s="1179"/>
      <c r="M173" s="1179"/>
      <c r="N173" s="1179"/>
    </row>
    <row r="174" spans="1:14" s="1182" customFormat="1" ht="33" customHeight="1">
      <c r="A174" s="1174">
        <f t="shared" si="8"/>
        <v>171</v>
      </c>
      <c r="B174" s="1175" t="s">
        <v>638</v>
      </c>
      <c r="C174" s="1176" t="str">
        <f>VLOOKUP(B174,'Location Summary'!$C$4:$D$603,2,FALSE)</f>
        <v>DB1+9</v>
      </c>
      <c r="D174" s="1177" t="s">
        <v>1641</v>
      </c>
      <c r="E174" s="1178">
        <v>46060</v>
      </c>
      <c r="F174" s="1178"/>
      <c r="G174" s="1178"/>
      <c r="H174" s="1179"/>
      <c r="I174" s="1180" t="s">
        <v>1639</v>
      </c>
      <c r="J174" s="1179"/>
      <c r="K174" s="1181"/>
      <c r="L174" s="1179"/>
      <c r="M174" s="1179"/>
      <c r="N174" s="1179"/>
    </row>
    <row r="175" spans="1:14" s="1182" customFormat="1" ht="33" customHeight="1">
      <c r="A175" s="1174">
        <f t="shared" si="8"/>
        <v>172</v>
      </c>
      <c r="B175" s="1175" t="s">
        <v>635</v>
      </c>
      <c r="C175" s="1176" t="str">
        <f>VLOOKUP(B175,'Location Summary'!$C$4:$D$603,2,FALSE)</f>
        <v>DA+3</v>
      </c>
      <c r="D175" s="1177" t="s">
        <v>1641</v>
      </c>
      <c r="E175" s="1178">
        <v>46060</v>
      </c>
      <c r="F175" s="1178"/>
      <c r="G175" s="1178"/>
      <c r="H175" s="1179"/>
      <c r="I175" s="1180" t="s">
        <v>1639</v>
      </c>
      <c r="J175" s="1179"/>
      <c r="K175" s="1181"/>
      <c r="L175" s="1179"/>
      <c r="M175" s="1179"/>
      <c r="N175" s="1179"/>
    </row>
    <row r="176" spans="1:14" s="1182" customFormat="1" ht="33" customHeight="1">
      <c r="A176" s="1174">
        <f t="shared" si="8"/>
        <v>173</v>
      </c>
      <c r="B176" s="1175" t="s">
        <v>420</v>
      </c>
      <c r="C176" s="1176" t="str">
        <f>VLOOKUP(B176,'Location Summary'!$C$4:$D$603,2,FALSE)</f>
        <v>DA+0</v>
      </c>
      <c r="D176" s="1177" t="s">
        <v>1641</v>
      </c>
      <c r="E176" s="1178">
        <v>46060</v>
      </c>
      <c r="F176" s="1178"/>
      <c r="G176" s="1178"/>
      <c r="H176" s="1179"/>
      <c r="I176" s="1180" t="s">
        <v>1639</v>
      </c>
      <c r="J176" s="1179"/>
      <c r="K176" s="1181"/>
      <c r="L176" s="1179"/>
      <c r="M176" s="1179"/>
      <c r="N176" s="1179"/>
    </row>
    <row r="177" spans="1:14" ht="33" customHeight="1">
      <c r="A177" s="697">
        <f t="shared" si="8"/>
        <v>174</v>
      </c>
      <c r="B177" s="1183" t="s">
        <v>267</v>
      </c>
      <c r="C177" s="692" t="str">
        <f>VLOOKUP(B177,'Location Summary'!$C$4:$D$603,2,FALSE)</f>
        <v>DD60+9</v>
      </c>
      <c r="D177" s="1184" t="s">
        <v>1641</v>
      </c>
      <c r="E177" s="1089">
        <v>46063</v>
      </c>
      <c r="F177" s="1089">
        <v>46098</v>
      </c>
      <c r="G177" s="1089">
        <v>46098</v>
      </c>
      <c r="H177" s="1122">
        <f t="shared" ref="H177:H189" si="14">G177-E177</f>
        <v>35</v>
      </c>
      <c r="I177" s="634" t="s">
        <v>1639</v>
      </c>
      <c r="J177" s="1122" t="s">
        <v>663</v>
      </c>
      <c r="K177" s="21"/>
      <c r="L177" s="1122"/>
      <c r="M177" s="1122"/>
      <c r="N177" s="1122"/>
    </row>
    <row r="178" spans="1:14" ht="33" customHeight="1">
      <c r="A178" s="697">
        <f t="shared" si="8"/>
        <v>175</v>
      </c>
      <c r="B178" s="1183" t="s">
        <v>267</v>
      </c>
      <c r="C178" s="692" t="str">
        <f>VLOOKUP(B178,'Location Summary'!$C$4:$D$603,2,FALSE)</f>
        <v>DD60+9</v>
      </c>
      <c r="D178" s="1184" t="s">
        <v>1227</v>
      </c>
      <c r="E178" s="1089">
        <v>46103</v>
      </c>
      <c r="F178" s="1089"/>
      <c r="G178" s="1089">
        <v>46108</v>
      </c>
      <c r="H178" s="1122">
        <f t="shared" si="14"/>
        <v>5</v>
      </c>
      <c r="I178" s="634" t="s">
        <v>1639</v>
      </c>
      <c r="J178" s="1122" t="s">
        <v>663</v>
      </c>
      <c r="K178" s="21"/>
      <c r="L178" s="1122"/>
      <c r="M178" s="1122"/>
      <c r="N178" s="1122"/>
    </row>
    <row r="179" spans="1:14" ht="33" customHeight="1">
      <c r="A179" s="697">
        <f t="shared" si="8"/>
        <v>176</v>
      </c>
      <c r="B179" s="1183" t="s">
        <v>483</v>
      </c>
      <c r="C179" s="692" t="str">
        <f>VLOOKUP(B179,'Location Summary'!$C$4:$D$603,2,FALSE)</f>
        <v>DB1+9</v>
      </c>
      <c r="D179" s="1184" t="s">
        <v>1227</v>
      </c>
      <c r="E179" s="1089">
        <v>46064</v>
      </c>
      <c r="F179" s="1089">
        <v>46108</v>
      </c>
      <c r="G179" s="1089">
        <v>46108</v>
      </c>
      <c r="H179" s="1122">
        <f t="shared" si="14"/>
        <v>44</v>
      </c>
      <c r="I179" s="634" t="s">
        <v>1639</v>
      </c>
      <c r="J179" s="1122" t="s">
        <v>663</v>
      </c>
      <c r="K179" s="21"/>
      <c r="L179" s="1122"/>
      <c r="M179" s="1122"/>
      <c r="N179" s="1122"/>
    </row>
    <row r="180" spans="1:14" ht="33" customHeight="1">
      <c r="A180" s="697">
        <f t="shared" si="8"/>
        <v>177</v>
      </c>
      <c r="B180" s="1123" t="s">
        <v>436</v>
      </c>
      <c r="C180" s="692" t="str">
        <f>VLOOKUP(B180,'Location Summary'!$C$4:$D$603,2,FALSE)</f>
        <v>DA+3</v>
      </c>
      <c r="D180" s="1120" t="s">
        <v>1227</v>
      </c>
      <c r="E180" s="1089">
        <v>46071</v>
      </c>
      <c r="F180" s="1089">
        <v>46087</v>
      </c>
      <c r="G180" s="1089">
        <v>46087</v>
      </c>
      <c r="H180" s="1122">
        <f t="shared" si="14"/>
        <v>16</v>
      </c>
      <c r="I180" s="634" t="s">
        <v>1639</v>
      </c>
      <c r="J180" s="1122" t="s">
        <v>663</v>
      </c>
      <c r="K180" s="21"/>
      <c r="L180" s="1122"/>
      <c r="M180" s="1122"/>
      <c r="N180" s="1122"/>
    </row>
    <row r="181" spans="1:14" ht="33" customHeight="1">
      <c r="A181" s="690">
        <f t="shared" si="8"/>
        <v>178</v>
      </c>
      <c r="B181" s="1123" t="s">
        <v>437</v>
      </c>
      <c r="C181" s="692" t="str">
        <f>VLOOKUP(B181,'Location Summary'!$C$4:$D$603,2,FALSE)</f>
        <v>DA+9</v>
      </c>
      <c r="D181" s="1120" t="s">
        <v>1227</v>
      </c>
      <c r="E181" s="1089">
        <v>46071</v>
      </c>
      <c r="F181" s="1089">
        <v>46075</v>
      </c>
      <c r="G181" s="1089">
        <v>46075</v>
      </c>
      <c r="H181" s="1122">
        <f t="shared" si="14"/>
        <v>4</v>
      </c>
      <c r="I181" s="634" t="s">
        <v>1639</v>
      </c>
      <c r="J181" s="1122" t="s">
        <v>663</v>
      </c>
      <c r="K181" s="21"/>
      <c r="L181" s="1122"/>
      <c r="M181" s="1122"/>
      <c r="N181" s="1122"/>
    </row>
    <row r="182" spans="1:14" ht="33" customHeight="1">
      <c r="A182" s="690">
        <f t="shared" si="8"/>
        <v>179</v>
      </c>
      <c r="B182" s="1123" t="s">
        <v>438</v>
      </c>
      <c r="C182" s="692" t="str">
        <f>VLOOKUP(B182,'Location Summary'!$C$4:$D$603,2,FALSE)</f>
        <v>DA+0</v>
      </c>
      <c r="D182" s="1120" t="s">
        <v>1227</v>
      </c>
      <c r="E182" s="1089">
        <v>46071</v>
      </c>
      <c r="F182" s="1089">
        <v>46086</v>
      </c>
      <c r="G182" s="1089">
        <v>46086</v>
      </c>
      <c r="H182" s="1122">
        <f t="shared" si="14"/>
        <v>15</v>
      </c>
      <c r="I182" s="634" t="s">
        <v>1639</v>
      </c>
      <c r="J182" s="1122" t="s">
        <v>663</v>
      </c>
      <c r="K182" s="21"/>
      <c r="L182" s="1122"/>
      <c r="M182" s="1122"/>
      <c r="N182" s="1122"/>
    </row>
    <row r="183" spans="1:14" ht="33" customHeight="1">
      <c r="A183" s="690">
        <f t="shared" si="8"/>
        <v>180</v>
      </c>
      <c r="B183" s="1123" t="s">
        <v>435</v>
      </c>
      <c r="C183" s="692" t="str">
        <f>VLOOKUP(B183,'Location Summary'!$C$4:$D$603,2,FALSE)</f>
        <v>DA+9</v>
      </c>
      <c r="D183" s="1120" t="s">
        <v>1227</v>
      </c>
      <c r="E183" s="1089">
        <v>46071</v>
      </c>
      <c r="F183" s="1089">
        <v>46088</v>
      </c>
      <c r="G183" s="1089">
        <v>46088</v>
      </c>
      <c r="H183" s="1122">
        <f t="shared" si="14"/>
        <v>17</v>
      </c>
      <c r="I183" s="634" t="s">
        <v>1639</v>
      </c>
      <c r="J183" s="1122" t="s">
        <v>663</v>
      </c>
      <c r="K183" s="21"/>
      <c r="L183" s="1122"/>
      <c r="M183" s="1122"/>
      <c r="N183" s="1122"/>
    </row>
    <row r="184" spans="1:14" ht="33" customHeight="1">
      <c r="A184" s="697">
        <f t="shared" si="8"/>
        <v>181</v>
      </c>
      <c r="B184" s="1183" t="s">
        <v>402</v>
      </c>
      <c r="C184" s="692" t="str">
        <f>VLOOKUP(B184,'Location Summary'!$C$4:$D$603,2,FALSE)</f>
        <v>DA+3</v>
      </c>
      <c r="D184" s="1184" t="s">
        <v>1227</v>
      </c>
      <c r="E184" s="1089">
        <v>46065</v>
      </c>
      <c r="F184" s="1089">
        <v>46097</v>
      </c>
      <c r="G184" s="1089">
        <v>46107</v>
      </c>
      <c r="H184" s="1122">
        <f t="shared" si="14"/>
        <v>42</v>
      </c>
      <c r="I184" s="634" t="s">
        <v>1639</v>
      </c>
      <c r="J184" s="1122" t="s">
        <v>663</v>
      </c>
      <c r="K184" s="21"/>
      <c r="L184" s="1122"/>
      <c r="M184" s="1122"/>
      <c r="N184" s="1122"/>
    </row>
    <row r="185" spans="1:14" s="1182" customFormat="1" ht="33" customHeight="1">
      <c r="A185" s="690">
        <f t="shared" si="8"/>
        <v>182</v>
      </c>
      <c r="B185" s="1191" t="s">
        <v>902</v>
      </c>
      <c r="C185" s="1192" t="str">
        <f>VLOOKUP(B185,'Location Summary'!$C$4:$D$603,2,FALSE)</f>
        <v>DA+3</v>
      </c>
      <c r="D185" s="1193" t="s">
        <v>1227</v>
      </c>
      <c r="E185" s="1194">
        <v>46062</v>
      </c>
      <c r="F185" s="1194"/>
      <c r="G185" s="1194"/>
      <c r="H185" s="1195"/>
      <c r="I185" s="1196" t="s">
        <v>1656</v>
      </c>
      <c r="J185" s="1122" t="s">
        <v>663</v>
      </c>
      <c r="K185" s="1181"/>
      <c r="L185" s="1179"/>
      <c r="M185" s="1179"/>
      <c r="N185" s="1179"/>
    </row>
    <row r="186" spans="1:14" s="1198" customFormat="1" ht="43.5" customHeight="1">
      <c r="A186" s="690">
        <f t="shared" si="8"/>
        <v>183</v>
      </c>
      <c r="B186" s="1191" t="s">
        <v>899</v>
      </c>
      <c r="C186" s="1192" t="str">
        <f>VLOOKUP(B186,'Location Summary'!$C$4:$D$603,2,FALSE)</f>
        <v>DA+6</v>
      </c>
      <c r="D186" s="1193" t="s">
        <v>1227</v>
      </c>
      <c r="E186" s="1194">
        <v>46091</v>
      </c>
      <c r="F186" s="1194"/>
      <c r="G186" s="1194">
        <v>46119</v>
      </c>
      <c r="H186" s="1195">
        <f t="shared" si="14"/>
        <v>28</v>
      </c>
      <c r="I186" s="1196" t="s">
        <v>1671</v>
      </c>
      <c r="J186" s="1195" t="s">
        <v>663</v>
      </c>
      <c r="K186" s="1197"/>
      <c r="L186" s="1195"/>
      <c r="M186" s="1195"/>
      <c r="N186" s="1195"/>
    </row>
    <row r="187" spans="1:14" s="1198" customFormat="1" ht="48" customHeight="1">
      <c r="A187" s="690">
        <f t="shared" si="8"/>
        <v>184</v>
      </c>
      <c r="B187" s="1191" t="s">
        <v>900</v>
      </c>
      <c r="C187" s="1192" t="str">
        <f>VLOOKUP(B187,'Location Summary'!$C$4:$D$603,2,FALSE)</f>
        <v>DA+6</v>
      </c>
      <c r="D187" s="1193" t="s">
        <v>1227</v>
      </c>
      <c r="E187" s="1194">
        <v>46091</v>
      </c>
      <c r="F187" s="1194"/>
      <c r="G187" s="1194">
        <v>46119</v>
      </c>
      <c r="H187" s="1195">
        <f t="shared" si="14"/>
        <v>28</v>
      </c>
      <c r="I187" s="1196" t="s">
        <v>1671</v>
      </c>
      <c r="J187" s="1195" t="s">
        <v>663</v>
      </c>
      <c r="K187" s="1197"/>
      <c r="L187" s="1195"/>
      <c r="M187" s="1195"/>
      <c r="N187" s="1195"/>
    </row>
    <row r="188" spans="1:14" ht="29">
      <c r="A188" s="690">
        <f t="shared" si="8"/>
        <v>185</v>
      </c>
      <c r="B188" s="1122" t="s">
        <v>1688</v>
      </c>
      <c r="C188" s="1192"/>
      <c r="D188" s="1193" t="s">
        <v>1227</v>
      </c>
      <c r="E188" s="1201">
        <v>46133</v>
      </c>
      <c r="F188" s="1201"/>
      <c r="G188" s="1201">
        <v>46134</v>
      </c>
      <c r="H188" s="1200">
        <f t="shared" si="14"/>
        <v>1</v>
      </c>
      <c r="I188" s="1202" t="s">
        <v>1687</v>
      </c>
      <c r="J188" s="1195" t="s">
        <v>663</v>
      </c>
      <c r="K188" s="1181"/>
      <c r="L188" s="1179"/>
      <c r="M188" s="1179"/>
      <c r="N188" s="1179"/>
    </row>
    <row r="189" spans="1:14" ht="36" customHeight="1">
      <c r="A189" s="690">
        <f t="shared" ref="A189:A210" si="15">A188+1</f>
        <v>186</v>
      </c>
      <c r="B189" s="1122" t="s">
        <v>1682</v>
      </c>
      <c r="C189" s="1192"/>
      <c r="D189" s="1184" t="s">
        <v>1227</v>
      </c>
      <c r="E189" s="1089">
        <v>46134</v>
      </c>
      <c r="F189" s="1089"/>
      <c r="G189" s="1089">
        <v>46138</v>
      </c>
      <c r="H189" s="1122">
        <f t="shared" si="14"/>
        <v>4</v>
      </c>
      <c r="I189" s="634"/>
      <c r="J189" s="1195" t="s">
        <v>663</v>
      </c>
      <c r="K189" s="1181"/>
      <c r="L189" s="1179"/>
      <c r="M189" s="1179"/>
      <c r="N189" s="1179"/>
    </row>
    <row r="190" spans="1:14" ht="29.25" customHeight="1">
      <c r="A190" s="690">
        <f t="shared" si="15"/>
        <v>187</v>
      </c>
      <c r="B190" s="1122" t="s">
        <v>1686</v>
      </c>
      <c r="C190" s="1192"/>
      <c r="D190" s="1184" t="s">
        <v>1641</v>
      </c>
      <c r="E190" s="1089">
        <v>46127</v>
      </c>
      <c r="F190" s="1089"/>
      <c r="G190" s="1089"/>
      <c r="H190" s="1122"/>
      <c r="I190" s="634" t="s">
        <v>1685</v>
      </c>
      <c r="J190" s="1122"/>
      <c r="K190" s="21"/>
      <c r="L190" s="1122"/>
      <c r="M190" s="1122"/>
      <c r="N190" s="1122"/>
    </row>
    <row r="191" spans="1:14" ht="33" customHeight="1">
      <c r="A191" s="690">
        <f t="shared" si="15"/>
        <v>188</v>
      </c>
      <c r="B191" s="1216" t="s">
        <v>434</v>
      </c>
      <c r="C191" s="1192" t="str">
        <f>VLOOKUP(B191,'Location Summary'!$C$4:$D$603,2,FALSE)</f>
        <v>DA+0</v>
      </c>
      <c r="D191" s="1184" t="s">
        <v>1227</v>
      </c>
      <c r="E191" s="1089">
        <v>46140</v>
      </c>
      <c r="F191" s="1089"/>
      <c r="G191" s="1089"/>
      <c r="H191" s="1122"/>
      <c r="I191" s="634" t="s">
        <v>1685</v>
      </c>
      <c r="J191" s="1122"/>
      <c r="K191" s="21"/>
      <c r="L191" s="1122"/>
      <c r="M191" s="1122"/>
      <c r="N191" s="1122"/>
    </row>
    <row r="192" spans="1:14" ht="29.25" customHeight="1">
      <c r="A192" s="690">
        <f t="shared" si="15"/>
        <v>189</v>
      </c>
      <c r="B192" s="1245" t="s">
        <v>177</v>
      </c>
      <c r="C192" s="1192" t="str">
        <f>VLOOKUP(B192,'Location Summary'!$C$4:$D$603,2,FALSE)</f>
        <v>DA+3</v>
      </c>
      <c r="D192" s="1184" t="s">
        <v>1641</v>
      </c>
      <c r="E192" s="1089">
        <v>46145</v>
      </c>
      <c r="F192" s="1089"/>
      <c r="G192" s="1089">
        <v>46162</v>
      </c>
      <c r="H192" s="1122">
        <f t="shared" ref="H192:H194" si="16">G192-E192</f>
        <v>17</v>
      </c>
      <c r="I192" s="634" t="s">
        <v>1748</v>
      </c>
      <c r="J192" s="1122" t="s">
        <v>663</v>
      </c>
      <c r="K192" s="21"/>
      <c r="L192" s="1122"/>
      <c r="M192" s="1122"/>
      <c r="N192" s="1122"/>
    </row>
    <row r="193" spans="1:14" ht="29.25" customHeight="1">
      <c r="A193" s="690">
        <f t="shared" si="15"/>
        <v>190</v>
      </c>
      <c r="B193" s="1245" t="s">
        <v>425</v>
      </c>
      <c r="C193" s="1192" t="str">
        <f>VLOOKUP(B193,'Location Summary'!$C$4:$D$603,2,FALSE)</f>
        <v>DA+0</v>
      </c>
      <c r="D193" s="1184" t="s">
        <v>1641</v>
      </c>
      <c r="E193" s="1089">
        <v>46145</v>
      </c>
      <c r="F193" s="1089"/>
      <c r="G193" s="1089"/>
      <c r="H193" s="1122"/>
      <c r="I193" s="634" t="s">
        <v>1748</v>
      </c>
      <c r="J193" s="1122"/>
      <c r="K193" s="21"/>
      <c r="L193" s="1122"/>
      <c r="M193" s="1122"/>
      <c r="N193" s="1122"/>
    </row>
    <row r="194" spans="1:14" ht="29.25" customHeight="1">
      <c r="A194" s="690">
        <f t="shared" si="15"/>
        <v>191</v>
      </c>
      <c r="B194" s="1245" t="s">
        <v>426</v>
      </c>
      <c r="C194" s="1192" t="str">
        <f>VLOOKUP(B194,'Location Summary'!$C$4:$D$603,2,FALSE)</f>
        <v>DA-3</v>
      </c>
      <c r="D194" s="1184" t="s">
        <v>1641</v>
      </c>
      <c r="E194" s="1089">
        <v>46157</v>
      </c>
      <c r="F194" s="1089"/>
      <c r="G194" s="1089">
        <v>46198</v>
      </c>
      <c r="H194" s="1122">
        <f t="shared" si="16"/>
        <v>41</v>
      </c>
      <c r="I194" s="634" t="s">
        <v>1685</v>
      </c>
      <c r="J194" s="1122" t="s">
        <v>663</v>
      </c>
      <c r="K194" s="21"/>
      <c r="L194" s="1122"/>
      <c r="M194" s="1122"/>
      <c r="N194" s="1122"/>
    </row>
    <row r="195" spans="1:14" ht="29.25" customHeight="1">
      <c r="A195" s="690">
        <f t="shared" si="15"/>
        <v>192</v>
      </c>
      <c r="B195" s="1245" t="s">
        <v>54</v>
      </c>
      <c r="C195" s="1192" t="str">
        <f>VLOOKUP(B195,'Location Summary'!$C$4:$D$603,2,FALSE)</f>
        <v>DB1+0</v>
      </c>
      <c r="D195" s="1184" t="s">
        <v>1227</v>
      </c>
      <c r="E195" s="1089">
        <v>46157</v>
      </c>
      <c r="F195" s="1089"/>
      <c r="G195" s="1089"/>
      <c r="H195" s="1122"/>
      <c r="I195" s="634" t="s">
        <v>1685</v>
      </c>
      <c r="J195" s="1122"/>
      <c r="K195" s="21"/>
      <c r="L195" s="1122"/>
      <c r="M195" s="1122"/>
      <c r="N195" s="1122"/>
    </row>
    <row r="196" spans="1:14" ht="29.25" customHeight="1">
      <c r="A196" s="690">
        <f t="shared" si="15"/>
        <v>193</v>
      </c>
      <c r="B196" s="1245" t="s">
        <v>180</v>
      </c>
      <c r="C196" s="1192" t="str">
        <f>VLOOKUP(B196,'Location Summary'!$C$4:$D$603,2,FALSE)</f>
        <v>DA+6</v>
      </c>
      <c r="D196" s="1184" t="s">
        <v>1832</v>
      </c>
      <c r="E196" s="1089">
        <v>46157</v>
      </c>
      <c r="F196" s="1089"/>
      <c r="G196" s="1089">
        <v>46162</v>
      </c>
      <c r="H196" s="1122">
        <f t="shared" ref="H196" si="17">G196-E196</f>
        <v>5</v>
      </c>
      <c r="I196" s="634" t="s">
        <v>1685</v>
      </c>
      <c r="J196" s="1122" t="s">
        <v>663</v>
      </c>
      <c r="K196" s="21"/>
      <c r="L196" s="1122"/>
      <c r="M196" s="1122"/>
      <c r="N196" s="1122"/>
    </row>
    <row r="197" spans="1:14" ht="29.25" customHeight="1">
      <c r="A197" s="690">
        <f t="shared" si="15"/>
        <v>194</v>
      </c>
      <c r="B197" s="1245" t="s">
        <v>180</v>
      </c>
      <c r="C197" s="1192" t="str">
        <f>VLOOKUP(B197,'Location Summary'!$C$4:$D$603,2,FALSE)</f>
        <v>DA+6</v>
      </c>
      <c r="D197" s="1184" t="s">
        <v>1227</v>
      </c>
      <c r="E197" s="1089">
        <v>46163</v>
      </c>
      <c r="F197" s="1089"/>
      <c r="G197" s="1089"/>
      <c r="H197" s="1122"/>
      <c r="I197" s="634" t="s">
        <v>1685</v>
      </c>
      <c r="J197" s="1122"/>
      <c r="K197" s="21"/>
      <c r="L197" s="1122"/>
      <c r="M197" s="1122"/>
      <c r="N197" s="1122"/>
    </row>
    <row r="198" spans="1:14" ht="29.25" customHeight="1">
      <c r="A198" s="690">
        <f t="shared" si="15"/>
        <v>195</v>
      </c>
      <c r="B198" s="1245" t="s">
        <v>167</v>
      </c>
      <c r="C198" s="1192" t="str">
        <f>VLOOKUP(B198,'Location Summary'!$C$4:$D$603,2,FALSE)</f>
        <v>DD60+25</v>
      </c>
      <c r="D198" s="1184" t="s">
        <v>1227</v>
      </c>
      <c r="E198" s="1089">
        <v>46154</v>
      </c>
      <c r="F198" s="1089"/>
      <c r="G198" s="1089"/>
      <c r="H198" s="1122"/>
      <c r="I198" s="634" t="s">
        <v>1685</v>
      </c>
      <c r="J198" s="1122"/>
      <c r="K198" s="21"/>
      <c r="L198" s="1122"/>
      <c r="M198" s="1122"/>
      <c r="N198" s="1122"/>
    </row>
    <row r="199" spans="1:14" ht="29.25" customHeight="1">
      <c r="A199" s="690">
        <f t="shared" si="15"/>
        <v>196</v>
      </c>
      <c r="B199" s="1245" t="s">
        <v>308</v>
      </c>
      <c r="C199" s="1192" t="str">
        <f>VLOOKUP(B199,'Location Summary'!$C$4:$D$603,2,FALSE)</f>
        <v>DA+6</v>
      </c>
      <c r="D199" s="1184" t="s">
        <v>1227</v>
      </c>
      <c r="E199" s="1089">
        <v>46158</v>
      </c>
      <c r="F199" s="1089"/>
      <c r="G199" s="1089"/>
      <c r="H199" s="1122"/>
      <c r="I199" s="634" t="s">
        <v>1685</v>
      </c>
      <c r="J199" s="1122"/>
      <c r="K199" s="21"/>
      <c r="L199" s="1122"/>
      <c r="M199" s="1122"/>
      <c r="N199" s="1122"/>
    </row>
    <row r="200" spans="1:14" ht="29.25" customHeight="1">
      <c r="A200" s="690">
        <f t="shared" si="15"/>
        <v>197</v>
      </c>
      <c r="B200" s="1245" t="s">
        <v>413</v>
      </c>
      <c r="C200" s="1192" t="str">
        <f>VLOOKUP(B200,'Location Summary'!$C$4:$D$603,2,FALSE)</f>
        <v>DA+3</v>
      </c>
      <c r="D200" s="1184" t="s">
        <v>1227</v>
      </c>
      <c r="E200" s="1089">
        <v>46158</v>
      </c>
      <c r="F200" s="1089">
        <v>46179</v>
      </c>
      <c r="G200" s="1089">
        <v>46204</v>
      </c>
      <c r="H200" s="1122">
        <f t="shared" ref="H200:H207" si="18">G200-E200</f>
        <v>46</v>
      </c>
      <c r="I200" s="634" t="s">
        <v>1685</v>
      </c>
      <c r="J200" s="1122" t="s">
        <v>663</v>
      </c>
      <c r="K200" s="21"/>
      <c r="L200" s="1122"/>
      <c r="M200" s="1122"/>
      <c r="N200" s="1122"/>
    </row>
    <row r="201" spans="1:14" ht="29.25" customHeight="1">
      <c r="A201" s="690">
        <f t="shared" si="15"/>
        <v>198</v>
      </c>
      <c r="B201" s="1245" t="s">
        <v>423</v>
      </c>
      <c r="C201" s="1192" t="str">
        <f>VLOOKUP(B201,'Location Summary'!$C$4:$D$603,2,FALSE)</f>
        <v>DA+6</v>
      </c>
      <c r="D201" s="1184" t="s">
        <v>1227</v>
      </c>
      <c r="E201" s="1089">
        <v>46158</v>
      </c>
      <c r="F201" s="1089"/>
      <c r="G201" s="1089"/>
      <c r="H201" s="1122"/>
      <c r="I201" s="634" t="s">
        <v>1685</v>
      </c>
      <c r="J201" s="1122" t="s">
        <v>663</v>
      </c>
      <c r="K201" s="21"/>
      <c r="L201" s="1122"/>
      <c r="M201" s="1122"/>
      <c r="N201" s="1122"/>
    </row>
    <row r="202" spans="1:14" ht="29.25" customHeight="1">
      <c r="A202" s="690">
        <f t="shared" si="15"/>
        <v>199</v>
      </c>
      <c r="B202" s="1245" t="s">
        <v>422</v>
      </c>
      <c r="C202" s="1192" t="str">
        <f>VLOOKUP(B202,'Location Summary'!$C$4:$D$603,2,FALSE)</f>
        <v>DA+0</v>
      </c>
      <c r="D202" s="1184" t="s">
        <v>1227</v>
      </c>
      <c r="E202" s="1089">
        <v>46154</v>
      </c>
      <c r="F202" s="1089"/>
      <c r="G202" s="1089">
        <v>46162</v>
      </c>
      <c r="H202" s="1122">
        <f t="shared" si="18"/>
        <v>8</v>
      </c>
      <c r="I202" s="634" t="s">
        <v>1685</v>
      </c>
      <c r="J202" s="1122" t="s">
        <v>663</v>
      </c>
      <c r="K202" s="21"/>
      <c r="L202" s="1122"/>
      <c r="M202" s="1122"/>
      <c r="N202" s="1122"/>
    </row>
    <row r="203" spans="1:14" ht="29.25" customHeight="1">
      <c r="A203" s="690">
        <f t="shared" si="15"/>
        <v>200</v>
      </c>
      <c r="B203" s="1245" t="s">
        <v>156</v>
      </c>
      <c r="C203" s="1192" t="str">
        <f>VLOOKUP(B203,'Location Summary'!$C$4:$D$603,2,FALSE)</f>
        <v>DA-1.5</v>
      </c>
      <c r="D203" s="1184" t="s">
        <v>1227</v>
      </c>
      <c r="E203" s="1089">
        <v>46160</v>
      </c>
      <c r="F203" s="1089"/>
      <c r="G203" s="1089">
        <v>46161</v>
      </c>
      <c r="H203" s="1122">
        <f t="shared" si="18"/>
        <v>1</v>
      </c>
      <c r="I203" s="634" t="s">
        <v>1685</v>
      </c>
      <c r="J203" s="1122" t="s">
        <v>663</v>
      </c>
      <c r="K203" s="21"/>
      <c r="L203" s="1122"/>
      <c r="M203" s="1122"/>
      <c r="N203" s="1122"/>
    </row>
    <row r="204" spans="1:14" ht="29.25" customHeight="1">
      <c r="A204" s="690">
        <f t="shared" si="15"/>
        <v>201</v>
      </c>
      <c r="B204" s="1245" t="s">
        <v>162</v>
      </c>
      <c r="C204" s="1192" t="str">
        <f>VLOOKUP(B204,'Location Summary'!$C$4:$D$603,2,FALSE)</f>
        <v>DA-3</v>
      </c>
      <c r="D204" s="1184" t="s">
        <v>1227</v>
      </c>
      <c r="E204" s="1089">
        <v>46150</v>
      </c>
      <c r="F204" s="1089"/>
      <c r="G204" s="1089">
        <v>46161</v>
      </c>
      <c r="H204" s="1122">
        <f t="shared" si="18"/>
        <v>11</v>
      </c>
      <c r="I204" s="634" t="s">
        <v>1685</v>
      </c>
      <c r="J204" s="1122" t="s">
        <v>663</v>
      </c>
      <c r="K204" s="21"/>
      <c r="L204" s="1122"/>
      <c r="M204" s="1122"/>
      <c r="N204" s="1122"/>
    </row>
    <row r="205" spans="1:14" ht="29.25" customHeight="1">
      <c r="A205" s="690">
        <f t="shared" si="15"/>
        <v>202</v>
      </c>
      <c r="B205" s="1245" t="s">
        <v>594</v>
      </c>
      <c r="C205" s="1192" t="str">
        <f>VLOOKUP(B205,'Location Summary'!$C$4:$D$603,2,FALSE)</f>
        <v>DA+3</v>
      </c>
      <c r="D205" s="1184" t="s">
        <v>1227</v>
      </c>
      <c r="E205" s="1089">
        <v>46179</v>
      </c>
      <c r="F205" s="1089"/>
      <c r="G205" s="1089">
        <v>46186</v>
      </c>
      <c r="H205" s="1122">
        <f t="shared" si="18"/>
        <v>7</v>
      </c>
      <c r="I205" s="634" t="s">
        <v>1795</v>
      </c>
      <c r="J205" s="1122" t="s">
        <v>663</v>
      </c>
      <c r="K205" s="21"/>
      <c r="L205" s="1122"/>
      <c r="M205" s="1122"/>
      <c r="N205" s="1122"/>
    </row>
    <row r="206" spans="1:14" ht="29.25" customHeight="1">
      <c r="A206" s="690">
        <f t="shared" si="15"/>
        <v>203</v>
      </c>
      <c r="B206" s="1245" t="s">
        <v>267</v>
      </c>
      <c r="C206" s="1192" t="str">
        <f>VLOOKUP(B206,'Location Summary'!$C$4:$D$603,2,FALSE)</f>
        <v>DD60+9</v>
      </c>
      <c r="D206" s="1184" t="s">
        <v>1822</v>
      </c>
      <c r="E206" s="1089">
        <v>46184</v>
      </c>
      <c r="F206" s="1089">
        <v>46192</v>
      </c>
      <c r="G206" s="1089">
        <v>46192</v>
      </c>
      <c r="H206" s="1122">
        <f t="shared" si="18"/>
        <v>8</v>
      </c>
      <c r="I206" s="634" t="s">
        <v>1831</v>
      </c>
      <c r="J206" s="1122" t="s">
        <v>663</v>
      </c>
      <c r="K206" s="21"/>
      <c r="L206" s="1122"/>
      <c r="M206" s="1122"/>
      <c r="N206" s="1122"/>
    </row>
    <row r="207" spans="1:14" ht="29.25" customHeight="1">
      <c r="A207" s="690">
        <f t="shared" si="15"/>
        <v>204</v>
      </c>
      <c r="B207" s="1245" t="s">
        <v>483</v>
      </c>
      <c r="C207" s="1192" t="str">
        <f>VLOOKUP(B207,'Location Summary'!$C$4:$D$603,2,FALSE)</f>
        <v>DB1+9</v>
      </c>
      <c r="D207" s="1184" t="s">
        <v>1822</v>
      </c>
      <c r="E207" s="1089">
        <v>46184</v>
      </c>
      <c r="F207" s="1089">
        <v>46192</v>
      </c>
      <c r="G207" s="1089">
        <v>46192</v>
      </c>
      <c r="H207" s="1122">
        <f t="shared" si="18"/>
        <v>8</v>
      </c>
      <c r="I207" s="634" t="s">
        <v>1831</v>
      </c>
      <c r="J207" s="1122" t="s">
        <v>663</v>
      </c>
      <c r="K207" s="21"/>
      <c r="L207" s="1122"/>
      <c r="M207" s="1122"/>
      <c r="N207" s="1122"/>
    </row>
    <row r="208" spans="1:14" ht="29.25" customHeight="1">
      <c r="A208" s="690">
        <f t="shared" si="15"/>
        <v>205</v>
      </c>
      <c r="B208" s="1245" t="s">
        <v>1840</v>
      </c>
      <c r="C208" s="1192"/>
      <c r="D208" s="1184" t="s">
        <v>1227</v>
      </c>
      <c r="E208" s="1089">
        <v>46187</v>
      </c>
      <c r="F208" s="1089">
        <v>46192</v>
      </c>
      <c r="G208" s="1089">
        <v>46192</v>
      </c>
      <c r="H208" s="1122">
        <f t="shared" ref="H208:H210" si="19">G208-E208</f>
        <v>5</v>
      </c>
      <c r="I208" s="634" t="s">
        <v>1841</v>
      </c>
      <c r="J208" s="1122"/>
      <c r="K208" s="21"/>
      <c r="L208" s="1122"/>
      <c r="M208" s="1122"/>
      <c r="N208" s="1122"/>
    </row>
    <row r="209" spans="1:14" ht="29.25" customHeight="1">
      <c r="A209" s="690">
        <f t="shared" si="15"/>
        <v>206</v>
      </c>
      <c r="B209" s="1245" t="s">
        <v>596</v>
      </c>
      <c r="C209" s="1192" t="str">
        <f>VLOOKUP(B209,'Location Summary'!$C$4:$D$603,2,FALSE)</f>
        <v>DA+1.5</v>
      </c>
      <c r="D209" s="1184" t="s">
        <v>1227</v>
      </c>
      <c r="E209" s="1089">
        <v>46193</v>
      </c>
      <c r="F209" s="1089">
        <v>46196</v>
      </c>
      <c r="G209" s="1089">
        <v>46196</v>
      </c>
      <c r="H209" s="1122">
        <f t="shared" si="19"/>
        <v>3</v>
      </c>
      <c r="I209" s="634" t="s">
        <v>1833</v>
      </c>
      <c r="J209" s="1122" t="s">
        <v>663</v>
      </c>
      <c r="K209" s="21" t="s">
        <v>1834</v>
      </c>
      <c r="L209" s="1122">
        <v>9649092645</v>
      </c>
      <c r="M209" s="1122" t="s">
        <v>1835</v>
      </c>
      <c r="N209" s="706" t="s">
        <v>656</v>
      </c>
    </row>
    <row r="210" spans="1:14" ht="29.25" customHeight="1">
      <c r="A210" s="690">
        <f t="shared" si="15"/>
        <v>207</v>
      </c>
      <c r="B210" s="1245" t="s">
        <v>597</v>
      </c>
      <c r="C210" s="1192" t="str">
        <f>VLOOKUP(B210,'Location Summary'!$C$4:$D$603,2,FALSE)</f>
        <v>DA+3</v>
      </c>
      <c r="D210" s="1184" t="s">
        <v>1227</v>
      </c>
      <c r="E210" s="1089">
        <v>46193</v>
      </c>
      <c r="F210" s="1089">
        <v>46196</v>
      </c>
      <c r="G210" s="1089">
        <v>46196</v>
      </c>
      <c r="H210" s="1122">
        <f t="shared" si="19"/>
        <v>3</v>
      </c>
      <c r="I210" s="634" t="s">
        <v>1833</v>
      </c>
      <c r="J210" s="1122" t="s">
        <v>663</v>
      </c>
      <c r="K210" s="21" t="s">
        <v>1834</v>
      </c>
      <c r="L210" s="1122">
        <v>9649092645</v>
      </c>
      <c r="M210" s="1122" t="s">
        <v>1835</v>
      </c>
      <c r="N210" s="706" t="s">
        <v>656</v>
      </c>
    </row>
    <row r="211" spans="1:14" ht="29.25" customHeight="1">
      <c r="A211" s="690">
        <v>208</v>
      </c>
      <c r="B211" s="1245" t="s">
        <v>425</v>
      </c>
      <c r="C211" s="1192" t="str">
        <f>VLOOKUP(B211,'Location Summary'!$C$4:$D$603,2,FALSE)</f>
        <v>DA+0</v>
      </c>
      <c r="D211" s="1184" t="s">
        <v>1227</v>
      </c>
      <c r="E211" s="1089"/>
      <c r="F211" s="1089"/>
      <c r="G211" s="1089"/>
      <c r="H211" s="1122"/>
      <c r="I211" s="634"/>
      <c r="J211" s="1122"/>
      <c r="K211" s="21"/>
      <c r="L211" s="1122"/>
      <c r="M211" s="1122"/>
      <c r="N211" s="706"/>
    </row>
    <row r="1048553" spans="3:3">
      <c r="C1048553" s="692" t="e">
        <f>VLOOKUP(B1048553,'Location Summary'!$C$4:$D$603,2,FALSE)</f>
        <v>#N/A</v>
      </c>
    </row>
  </sheetData>
  <autoFilter ref="A4:O210" xr:uid="{00000000-0001-0000-0E00-000000000000}"/>
  <mergeCells count="6">
    <mergeCell ref="A2:I2"/>
    <mergeCell ref="A3:N3"/>
    <mergeCell ref="K15:K18"/>
    <mergeCell ref="L15:L18"/>
    <mergeCell ref="M15:M18"/>
    <mergeCell ref="N15:N18"/>
  </mergeCells>
  <phoneticPr fontId="6" type="noConversion"/>
  <conditionalFormatting sqref="J1:J1048576">
    <cfRule type="containsText" dxfId="49" priority="14" stopIfTrue="1" operator="containsText" text="Resolved">
      <formula>NOT(ISERROR(SEARCH("Resolved",J1)))</formula>
    </cfRule>
  </conditionalFormatting>
  <pageMargins left="0.39370078740157483" right="0.23622047244094491" top="0.59055118110236227" bottom="0.59055118110236227" header="0.31496062992125984" footer="0.31496062992125984"/>
  <pageSetup paperSize="9" scale="64" fitToHeight="0" orientation="landscape" r:id="rId1"/>
  <headerFooter>
    <oddFooter>Page &amp;P of &amp;N</oddFooter>
  </headerFooter>
  <ignoredErrors>
    <ignoredError sqref="F75:G75" twoDigitTextYear="1"/>
  </ignoredError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74C1C-AD22-432F-9E66-F087E5306E94}">
  <sheetPr>
    <pageSetUpPr fitToPage="1"/>
  </sheetPr>
  <dimension ref="A1:T18"/>
  <sheetViews>
    <sheetView topLeftCell="A11" zoomScaleNormal="100" workbookViewId="0">
      <selection activeCell="I22" sqref="I22"/>
    </sheetView>
  </sheetViews>
  <sheetFormatPr defaultColWidth="9.1796875" defaultRowHeight="14.5"/>
  <cols>
    <col min="1" max="1" width="10.54296875" customWidth="1"/>
    <col min="3" max="3" width="14.81640625" customWidth="1"/>
    <col min="4" max="4" width="11.1796875" customWidth="1"/>
    <col min="5" max="5" width="16.26953125" customWidth="1"/>
    <col min="18" max="18" width="8.1796875" customWidth="1"/>
  </cols>
  <sheetData>
    <row r="1" spans="1:20" ht="21">
      <c r="A1" s="1646" t="s">
        <v>1012</v>
      </c>
      <c r="B1" s="1646"/>
      <c r="C1" s="1646"/>
      <c r="D1" s="1646"/>
      <c r="E1" s="1646"/>
      <c r="F1" s="1646"/>
      <c r="G1" s="1646"/>
      <c r="H1" s="1646"/>
      <c r="I1" s="1646"/>
      <c r="J1" s="1646"/>
      <c r="K1" s="1646"/>
      <c r="L1" s="1646"/>
      <c r="M1" s="1646"/>
      <c r="N1" s="1646"/>
      <c r="O1" s="1646"/>
      <c r="P1" s="1646"/>
      <c r="Q1" s="1646"/>
      <c r="R1" s="1646"/>
      <c r="S1" s="1646"/>
      <c r="T1" s="1646"/>
    </row>
    <row r="2" spans="1:20">
      <c r="A2" s="1049" t="s">
        <v>1577</v>
      </c>
      <c r="B2" s="1049" t="s">
        <v>1578</v>
      </c>
      <c r="C2" s="1049" t="s">
        <v>1579</v>
      </c>
      <c r="D2" s="1049" t="s">
        <v>1580</v>
      </c>
      <c r="E2" s="1049" t="s">
        <v>1581</v>
      </c>
    </row>
    <row r="3" spans="1:20" ht="18" customHeight="1">
      <c r="A3" s="1050">
        <v>45413</v>
      </c>
      <c r="B3" s="3">
        <v>6</v>
      </c>
      <c r="C3" s="3"/>
      <c r="D3" s="3">
        <f>+B3</f>
        <v>6</v>
      </c>
      <c r="E3" s="3">
        <f>+C3</f>
        <v>0</v>
      </c>
    </row>
    <row r="4" spans="1:20" ht="18" customHeight="1">
      <c r="A4" s="1050">
        <v>45444</v>
      </c>
      <c r="B4" s="3">
        <v>18</v>
      </c>
      <c r="C4" s="3">
        <v>14</v>
      </c>
      <c r="D4" s="3">
        <f>+D3+B4</f>
        <v>24</v>
      </c>
      <c r="E4" s="3">
        <f>+E3+C4</f>
        <v>14</v>
      </c>
    </row>
    <row r="5" spans="1:20" ht="18" customHeight="1">
      <c r="A5" s="1050">
        <v>45474</v>
      </c>
      <c r="B5" s="3">
        <v>18</v>
      </c>
      <c r="C5" s="3">
        <v>20</v>
      </c>
      <c r="D5" s="3">
        <f>+D4+B5</f>
        <v>42</v>
      </c>
      <c r="E5" s="3">
        <f t="shared" ref="D5:E17" si="0">+E4+C5</f>
        <v>34</v>
      </c>
    </row>
    <row r="6" spans="1:20" ht="18" customHeight="1">
      <c r="A6" s="1050">
        <v>45505</v>
      </c>
      <c r="B6" s="3">
        <v>20</v>
      </c>
      <c r="C6" s="3">
        <v>23</v>
      </c>
      <c r="D6" s="3">
        <f t="shared" si="0"/>
        <v>62</v>
      </c>
      <c r="E6" s="3">
        <f t="shared" si="0"/>
        <v>57</v>
      </c>
    </row>
    <row r="7" spans="1:20" ht="18" customHeight="1">
      <c r="A7" s="1050">
        <v>45536</v>
      </c>
      <c r="B7" s="3">
        <v>22</v>
      </c>
      <c r="C7" s="3">
        <v>40</v>
      </c>
      <c r="D7" s="3">
        <f t="shared" si="0"/>
        <v>84</v>
      </c>
      <c r="E7" s="3">
        <f t="shared" si="0"/>
        <v>97</v>
      </c>
    </row>
    <row r="8" spans="1:20" ht="18" customHeight="1">
      <c r="A8" s="1050">
        <v>45566</v>
      </c>
      <c r="B8" s="3">
        <v>22</v>
      </c>
      <c r="C8" s="3">
        <v>36</v>
      </c>
      <c r="D8" s="3">
        <f t="shared" si="0"/>
        <v>106</v>
      </c>
      <c r="E8" s="3">
        <f t="shared" si="0"/>
        <v>133</v>
      </c>
    </row>
    <row r="9" spans="1:20" ht="18" customHeight="1">
      <c r="A9" s="1050">
        <v>45597</v>
      </c>
      <c r="B9" s="3">
        <v>25</v>
      </c>
      <c r="C9" s="3">
        <v>24</v>
      </c>
      <c r="D9" s="3">
        <f t="shared" si="0"/>
        <v>131</v>
      </c>
      <c r="E9" s="3">
        <f t="shared" si="0"/>
        <v>157</v>
      </c>
    </row>
    <row r="10" spans="1:20" ht="18" customHeight="1">
      <c r="A10" s="1050">
        <v>45627</v>
      </c>
      <c r="B10" s="3">
        <v>25</v>
      </c>
      <c r="C10" s="3">
        <v>32</v>
      </c>
      <c r="D10" s="3">
        <f t="shared" si="0"/>
        <v>156</v>
      </c>
      <c r="E10" s="3">
        <f t="shared" si="0"/>
        <v>189</v>
      </c>
    </row>
    <row r="11" spans="1:20" ht="18" customHeight="1">
      <c r="A11" s="1050">
        <v>45658</v>
      </c>
      <c r="B11" s="3">
        <v>30</v>
      </c>
      <c r="C11" s="3">
        <v>35</v>
      </c>
      <c r="D11" s="3">
        <f t="shared" si="0"/>
        <v>186</v>
      </c>
      <c r="E11" s="3">
        <f t="shared" si="0"/>
        <v>224</v>
      </c>
    </row>
    <row r="12" spans="1:20" ht="18" customHeight="1">
      <c r="A12" s="1050">
        <v>45689</v>
      </c>
      <c r="B12" s="3">
        <v>30</v>
      </c>
      <c r="C12" s="3">
        <v>31</v>
      </c>
      <c r="D12" s="3">
        <f t="shared" si="0"/>
        <v>216</v>
      </c>
      <c r="E12" s="3">
        <f t="shared" si="0"/>
        <v>255</v>
      </c>
    </row>
    <row r="13" spans="1:20" ht="18" customHeight="1">
      <c r="A13" s="1050">
        <v>45717</v>
      </c>
      <c r="B13" s="3">
        <v>25</v>
      </c>
      <c r="C13" s="3">
        <v>19</v>
      </c>
      <c r="D13" s="3">
        <f t="shared" si="0"/>
        <v>241</v>
      </c>
      <c r="E13" s="3">
        <f t="shared" si="0"/>
        <v>274</v>
      </c>
    </row>
    <row r="14" spans="1:20" ht="18" customHeight="1">
      <c r="A14" s="1050">
        <v>45748</v>
      </c>
      <c r="B14" s="3">
        <v>15</v>
      </c>
      <c r="C14" s="3">
        <v>23</v>
      </c>
      <c r="D14" s="3">
        <f t="shared" si="0"/>
        <v>256</v>
      </c>
      <c r="E14" s="3">
        <f t="shared" si="0"/>
        <v>297</v>
      </c>
    </row>
    <row r="15" spans="1:20" ht="18" customHeight="1">
      <c r="A15" s="1050">
        <v>45778</v>
      </c>
      <c r="B15" s="3">
        <v>15</v>
      </c>
      <c r="C15" s="3">
        <v>10</v>
      </c>
      <c r="D15" s="3">
        <f t="shared" si="0"/>
        <v>271</v>
      </c>
      <c r="E15" s="3">
        <f t="shared" si="0"/>
        <v>307</v>
      </c>
    </row>
    <row r="16" spans="1:20" ht="18" customHeight="1">
      <c r="A16" s="1050">
        <v>45809</v>
      </c>
      <c r="B16" s="3">
        <v>10</v>
      </c>
      <c r="C16" s="3">
        <v>6</v>
      </c>
      <c r="D16" s="3">
        <f t="shared" si="0"/>
        <v>281</v>
      </c>
      <c r="E16" s="3">
        <f t="shared" si="0"/>
        <v>313</v>
      </c>
    </row>
    <row r="17" spans="1:5" ht="18" customHeight="1">
      <c r="A17" s="1050">
        <v>45839</v>
      </c>
      <c r="B17" s="3">
        <v>6</v>
      </c>
      <c r="C17" s="3"/>
      <c r="D17" s="3">
        <f t="shared" si="0"/>
        <v>287</v>
      </c>
      <c r="E17" s="3">
        <f t="shared" si="0"/>
        <v>313</v>
      </c>
    </row>
    <row r="18" spans="1:5">
      <c r="A18" s="949"/>
      <c r="B18" s="2"/>
      <c r="C18" s="2"/>
      <c r="D18" s="2"/>
      <c r="E18" s="2"/>
    </row>
  </sheetData>
  <mergeCells count="1">
    <mergeCell ref="A1:T1"/>
  </mergeCells>
  <pageMargins left="0.7" right="0.7" top="0.75" bottom="0.75" header="0.3" footer="0.3"/>
  <pageSetup paperSize="9" scale="65" orientation="landscape" r:id="rId1"/>
  <colBreaks count="2" manualBreakCount="2">
    <brk id="7" max="16" man="1"/>
    <brk id="20" max="1048575" man="1"/>
  </colBreaks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7DC5B-0E44-46BE-8D2C-54296BE57CD2}">
  <dimension ref="A1:T21"/>
  <sheetViews>
    <sheetView topLeftCell="A5" workbookViewId="0">
      <selection activeCell="C19" sqref="C19"/>
    </sheetView>
  </sheetViews>
  <sheetFormatPr defaultRowHeight="14.5"/>
  <sheetData>
    <row r="1" spans="1:20">
      <c r="A1" s="1647" t="s">
        <v>1012</v>
      </c>
      <c r="B1" s="1647"/>
      <c r="C1" s="1647"/>
      <c r="D1" s="1647"/>
      <c r="E1" s="1647"/>
      <c r="F1" s="1647"/>
      <c r="G1" s="1647"/>
      <c r="H1" s="1647"/>
      <c r="I1" s="1647"/>
      <c r="J1" s="1647"/>
      <c r="K1" s="1647"/>
      <c r="L1" s="1647"/>
      <c r="M1" s="1647"/>
      <c r="N1" s="1647"/>
      <c r="O1" s="1647"/>
      <c r="P1" s="1647"/>
      <c r="Q1" s="1647"/>
      <c r="R1" s="1647"/>
      <c r="S1" s="1647"/>
      <c r="T1" s="1647"/>
    </row>
    <row r="2" spans="1:20" ht="43.5">
      <c r="A2" s="1051" t="s">
        <v>1577</v>
      </c>
      <c r="B2" s="1052" t="s">
        <v>1582</v>
      </c>
      <c r="C2" s="1052" t="s">
        <v>1583</v>
      </c>
      <c r="D2" s="1052" t="s">
        <v>1584</v>
      </c>
      <c r="E2" s="1052" t="s">
        <v>1585</v>
      </c>
    </row>
    <row r="3" spans="1:20">
      <c r="A3" s="1050">
        <v>45444</v>
      </c>
      <c r="B3" s="3">
        <v>4</v>
      </c>
      <c r="C3" s="3"/>
      <c r="D3" s="3">
        <f>+B3</f>
        <v>4</v>
      </c>
      <c r="E3" s="3">
        <f>+C3</f>
        <v>0</v>
      </c>
    </row>
    <row r="4" spans="1:20">
      <c r="A4" s="1050">
        <v>45474</v>
      </c>
      <c r="B4" s="3">
        <v>15</v>
      </c>
      <c r="C4" s="3"/>
      <c r="D4" s="3">
        <f t="shared" ref="D4:E21" si="0">+D3+B4</f>
        <v>19</v>
      </c>
      <c r="E4" s="3">
        <f t="shared" si="0"/>
        <v>0</v>
      </c>
    </row>
    <row r="5" spans="1:20">
      <c r="A5" s="1050">
        <v>45505</v>
      </c>
      <c r="B5" s="3">
        <v>15</v>
      </c>
      <c r="C5" s="3"/>
      <c r="D5" s="3">
        <f t="shared" si="0"/>
        <v>34</v>
      </c>
      <c r="E5" s="3">
        <f t="shared" si="0"/>
        <v>0</v>
      </c>
    </row>
    <row r="6" spans="1:20">
      <c r="A6" s="1050">
        <v>45536</v>
      </c>
      <c r="B6" s="3">
        <v>22</v>
      </c>
      <c r="C6" s="3">
        <v>2</v>
      </c>
      <c r="D6" s="3">
        <f t="shared" si="0"/>
        <v>56</v>
      </c>
      <c r="E6" s="3">
        <f t="shared" si="0"/>
        <v>2</v>
      </c>
    </row>
    <row r="7" spans="1:20">
      <c r="A7" s="1050">
        <v>45566</v>
      </c>
      <c r="B7" s="3">
        <v>20</v>
      </c>
      <c r="C7" s="3">
        <v>5</v>
      </c>
      <c r="D7" s="3">
        <f t="shared" si="0"/>
        <v>76</v>
      </c>
      <c r="E7" s="3">
        <f t="shared" si="0"/>
        <v>7</v>
      </c>
    </row>
    <row r="8" spans="1:20">
      <c r="A8" s="1050">
        <v>45597</v>
      </c>
      <c r="B8" s="3">
        <v>22</v>
      </c>
      <c r="C8" s="3">
        <v>2</v>
      </c>
      <c r="D8" s="3">
        <f t="shared" si="0"/>
        <v>98</v>
      </c>
      <c r="E8" s="3">
        <f t="shared" si="0"/>
        <v>9</v>
      </c>
    </row>
    <row r="9" spans="1:20">
      <c r="A9" s="1050">
        <v>45627</v>
      </c>
      <c r="B9" s="3">
        <v>22</v>
      </c>
      <c r="C9" s="3">
        <v>13</v>
      </c>
      <c r="D9" s="3">
        <f t="shared" si="0"/>
        <v>120</v>
      </c>
      <c r="E9" s="3">
        <f t="shared" si="0"/>
        <v>22</v>
      </c>
    </row>
    <row r="10" spans="1:20">
      <c r="A10" s="1050">
        <v>45658</v>
      </c>
      <c r="B10" s="3">
        <v>22</v>
      </c>
      <c r="C10" s="3">
        <v>25</v>
      </c>
      <c r="D10" s="3">
        <f t="shared" si="0"/>
        <v>142</v>
      </c>
      <c r="E10" s="3">
        <f t="shared" si="0"/>
        <v>47</v>
      </c>
    </row>
    <row r="11" spans="1:20">
      <c r="A11" s="1050">
        <v>45689</v>
      </c>
      <c r="B11" s="3">
        <v>22</v>
      </c>
      <c r="C11" s="3">
        <v>21</v>
      </c>
      <c r="D11" s="3">
        <f t="shared" si="0"/>
        <v>164</v>
      </c>
      <c r="E11" s="3">
        <f t="shared" si="0"/>
        <v>68</v>
      </c>
    </row>
    <row r="12" spans="1:20">
      <c r="A12" s="1050">
        <v>45717</v>
      </c>
      <c r="B12" s="3">
        <v>22</v>
      </c>
      <c r="C12" s="3">
        <v>25</v>
      </c>
      <c r="D12" s="3">
        <f t="shared" si="0"/>
        <v>186</v>
      </c>
      <c r="E12" s="3">
        <f t="shared" si="0"/>
        <v>93</v>
      </c>
    </row>
    <row r="13" spans="1:20">
      <c r="A13" s="1050">
        <v>45748</v>
      </c>
      <c r="B13" s="3">
        <v>22</v>
      </c>
      <c r="C13" s="3">
        <v>11</v>
      </c>
      <c r="D13" s="3">
        <f t="shared" si="0"/>
        <v>208</v>
      </c>
      <c r="E13" s="3">
        <f t="shared" si="0"/>
        <v>104</v>
      </c>
    </row>
    <row r="14" spans="1:20">
      <c r="A14" s="1050">
        <v>45778</v>
      </c>
      <c r="B14" s="3">
        <v>20</v>
      </c>
      <c r="C14" s="3">
        <v>0</v>
      </c>
      <c r="D14" s="3">
        <f t="shared" si="0"/>
        <v>228</v>
      </c>
      <c r="E14" s="3">
        <f>+E13+C14</f>
        <v>104</v>
      </c>
    </row>
    <row r="15" spans="1:20">
      <c r="A15" s="1050">
        <v>45809</v>
      </c>
      <c r="B15" s="3">
        <v>20</v>
      </c>
      <c r="C15" s="3">
        <v>0</v>
      </c>
      <c r="D15" s="3">
        <f t="shared" si="0"/>
        <v>248</v>
      </c>
      <c r="E15" s="3">
        <f t="shared" si="0"/>
        <v>104</v>
      </c>
    </row>
    <row r="16" spans="1:20">
      <c r="A16" s="1050">
        <v>45839</v>
      </c>
      <c r="B16" s="68">
        <v>20</v>
      </c>
      <c r="C16" s="68">
        <v>8</v>
      </c>
      <c r="D16" s="3">
        <f t="shared" si="0"/>
        <v>268</v>
      </c>
      <c r="E16" s="3">
        <f t="shared" si="0"/>
        <v>112</v>
      </c>
    </row>
    <row r="17" spans="1:5">
      <c r="A17" s="1050">
        <v>45870</v>
      </c>
      <c r="B17" s="68">
        <v>12</v>
      </c>
      <c r="C17" s="68">
        <v>44</v>
      </c>
      <c r="D17" s="3">
        <f t="shared" si="0"/>
        <v>280</v>
      </c>
      <c r="E17" s="3">
        <f t="shared" si="0"/>
        <v>156</v>
      </c>
    </row>
    <row r="18" spans="1:5">
      <c r="A18" s="1050">
        <v>45901</v>
      </c>
      <c r="B18" s="68">
        <v>7</v>
      </c>
      <c r="C18" s="68">
        <v>65</v>
      </c>
      <c r="D18" s="3">
        <f t="shared" si="0"/>
        <v>287</v>
      </c>
      <c r="E18" s="3">
        <f t="shared" si="0"/>
        <v>221</v>
      </c>
    </row>
    <row r="19" spans="1:5">
      <c r="A19" s="1050">
        <v>45931</v>
      </c>
      <c r="B19" s="68">
        <v>0</v>
      </c>
      <c r="C19" s="68">
        <v>36</v>
      </c>
      <c r="D19" s="3">
        <f t="shared" si="0"/>
        <v>287</v>
      </c>
      <c r="E19" s="3">
        <f t="shared" si="0"/>
        <v>257</v>
      </c>
    </row>
    <row r="20" spans="1:5">
      <c r="A20" s="1050">
        <v>45962</v>
      </c>
      <c r="B20" s="68">
        <v>0</v>
      </c>
      <c r="C20" s="68">
        <v>24</v>
      </c>
      <c r="D20" s="3">
        <f t="shared" si="0"/>
        <v>287</v>
      </c>
      <c r="E20" s="3">
        <f t="shared" si="0"/>
        <v>281</v>
      </c>
    </row>
    <row r="21" spans="1:5">
      <c r="A21" s="1050">
        <v>45992</v>
      </c>
      <c r="B21" s="68">
        <v>0</v>
      </c>
      <c r="C21" s="68">
        <v>13</v>
      </c>
      <c r="D21" s="3">
        <f t="shared" si="0"/>
        <v>287</v>
      </c>
      <c r="E21" s="3">
        <f t="shared" si="0"/>
        <v>294</v>
      </c>
    </row>
  </sheetData>
  <mergeCells count="1">
    <mergeCell ref="A1:T1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4ADA0-51E5-4F3B-9867-7DB4EAF7F422}">
  <dimension ref="A1:T20"/>
  <sheetViews>
    <sheetView topLeftCell="A5" workbookViewId="0">
      <selection activeCell="A21" sqref="A21"/>
    </sheetView>
  </sheetViews>
  <sheetFormatPr defaultRowHeight="14.5"/>
  <cols>
    <col min="2" max="2" width="11" customWidth="1"/>
    <col min="3" max="3" width="10.81640625" customWidth="1"/>
    <col min="4" max="4" width="14" customWidth="1"/>
    <col min="5" max="5" width="14.7265625" customWidth="1"/>
  </cols>
  <sheetData>
    <row r="1" spans="1:20" ht="23.25" customHeight="1">
      <c r="A1" s="1648" t="s">
        <v>1012</v>
      </c>
      <c r="B1" s="1648"/>
      <c r="C1" s="1648"/>
      <c r="D1" s="1648"/>
      <c r="E1" s="1648"/>
      <c r="F1" s="1648"/>
      <c r="G1" s="1648"/>
      <c r="H1" s="1648"/>
      <c r="I1" s="1648"/>
      <c r="J1" s="1648"/>
      <c r="K1" s="1648"/>
      <c r="L1" s="1648"/>
      <c r="M1" s="1648"/>
      <c r="N1" s="1648"/>
      <c r="O1" s="1648"/>
      <c r="P1" s="1648"/>
      <c r="Q1" s="1648"/>
      <c r="R1" s="1648"/>
      <c r="S1" s="1648"/>
      <c r="T1" s="1648"/>
    </row>
    <row r="2" spans="1:20" ht="22.5" customHeight="1">
      <c r="A2" s="1051" t="s">
        <v>1577</v>
      </c>
      <c r="B2" s="1051" t="s">
        <v>1586</v>
      </c>
      <c r="C2" s="1051" t="s">
        <v>1587</v>
      </c>
      <c r="D2" s="1051" t="s">
        <v>1588</v>
      </c>
      <c r="E2" s="1051" t="s">
        <v>1589</v>
      </c>
    </row>
    <row r="3" spans="1:20">
      <c r="A3" s="1050">
        <v>45505</v>
      </c>
      <c r="B3" s="78">
        <v>4</v>
      </c>
      <c r="C3" s="3"/>
      <c r="D3" s="78">
        <f>B3</f>
        <v>4</v>
      </c>
      <c r="E3" s="119">
        <f>C3</f>
        <v>0</v>
      </c>
    </row>
    <row r="4" spans="1:20">
      <c r="A4" s="1050">
        <v>45536</v>
      </c>
      <c r="B4" s="78">
        <v>4</v>
      </c>
      <c r="C4" s="3"/>
      <c r="D4" s="78">
        <f t="shared" ref="D4:E20" si="0">+D3+B4</f>
        <v>8</v>
      </c>
      <c r="E4" s="119">
        <f t="shared" si="0"/>
        <v>0</v>
      </c>
    </row>
    <row r="5" spans="1:20">
      <c r="A5" s="1050">
        <v>45566</v>
      </c>
      <c r="B5" s="78">
        <v>8</v>
      </c>
      <c r="C5" s="3"/>
      <c r="D5" s="78">
        <f t="shared" si="0"/>
        <v>16</v>
      </c>
      <c r="E5" s="119">
        <f>+E4+C5</f>
        <v>0</v>
      </c>
    </row>
    <row r="6" spans="1:20">
      <c r="A6" s="1050">
        <v>45597</v>
      </c>
      <c r="B6" s="1053">
        <v>8</v>
      </c>
      <c r="C6" s="26"/>
      <c r="D6" s="78">
        <f t="shared" si="0"/>
        <v>24</v>
      </c>
      <c r="E6" s="119">
        <f>+E5+C6</f>
        <v>0</v>
      </c>
    </row>
    <row r="7" spans="1:20">
      <c r="A7" s="1050">
        <v>45627</v>
      </c>
      <c r="B7" s="1053">
        <v>8</v>
      </c>
      <c r="C7" s="26"/>
      <c r="D7" s="78">
        <f t="shared" si="0"/>
        <v>32</v>
      </c>
      <c r="E7" s="119">
        <f t="shared" si="0"/>
        <v>0</v>
      </c>
    </row>
    <row r="8" spans="1:20">
      <c r="A8" s="1050">
        <v>45658</v>
      </c>
      <c r="B8" s="1053">
        <v>8</v>
      </c>
      <c r="C8" s="26"/>
      <c r="D8" s="78">
        <f t="shared" si="0"/>
        <v>40</v>
      </c>
      <c r="E8" s="119">
        <f t="shared" si="0"/>
        <v>0</v>
      </c>
    </row>
    <row r="9" spans="1:20">
      <c r="A9" s="1050">
        <v>45689</v>
      </c>
      <c r="B9" s="1053">
        <v>10</v>
      </c>
      <c r="C9" s="26"/>
      <c r="D9" s="78">
        <f t="shared" si="0"/>
        <v>50</v>
      </c>
      <c r="E9" s="119">
        <f t="shared" si="0"/>
        <v>0</v>
      </c>
    </row>
    <row r="10" spans="1:20">
      <c r="A10" s="1050">
        <v>45717</v>
      </c>
      <c r="B10" s="1053">
        <v>10</v>
      </c>
      <c r="C10" s="26">
        <v>4.899</v>
      </c>
      <c r="D10" s="78">
        <f t="shared" si="0"/>
        <v>60</v>
      </c>
      <c r="E10" s="26">
        <f>+E9+C10</f>
        <v>4.899</v>
      </c>
    </row>
    <row r="11" spans="1:20">
      <c r="A11" s="1050">
        <v>45748</v>
      </c>
      <c r="B11" s="1053">
        <v>10</v>
      </c>
      <c r="C11" s="26">
        <v>6.7469999999999999</v>
      </c>
      <c r="D11" s="78">
        <f>+D10+B11</f>
        <v>70</v>
      </c>
      <c r="E11" s="26">
        <f>+E10+C11</f>
        <v>11.646000000000001</v>
      </c>
    </row>
    <row r="12" spans="1:20">
      <c r="A12" s="1050">
        <v>45778</v>
      </c>
      <c r="B12" s="1053">
        <v>10</v>
      </c>
      <c r="C12" s="26">
        <v>4.7160000000000002</v>
      </c>
      <c r="D12" s="78">
        <f t="shared" si="0"/>
        <v>80</v>
      </c>
      <c r="E12" s="26">
        <f>+E11+C12</f>
        <v>16.362000000000002</v>
      </c>
    </row>
    <row r="13" spans="1:20">
      <c r="A13" s="1050">
        <v>45809</v>
      </c>
      <c r="B13" s="1053">
        <v>8</v>
      </c>
      <c r="C13" s="26"/>
      <c r="D13" s="78">
        <f t="shared" si="0"/>
        <v>88</v>
      </c>
      <c r="E13" s="26">
        <f t="shared" si="0"/>
        <v>16.362000000000002</v>
      </c>
    </row>
    <row r="14" spans="1:20">
      <c r="A14" s="1050">
        <v>45839</v>
      </c>
      <c r="B14" s="1053">
        <v>8</v>
      </c>
      <c r="C14" s="26"/>
      <c r="D14" s="78">
        <f t="shared" si="0"/>
        <v>96</v>
      </c>
      <c r="E14" s="26">
        <f t="shared" si="0"/>
        <v>16.362000000000002</v>
      </c>
    </row>
    <row r="15" spans="1:20">
      <c r="A15" s="1050">
        <v>45870</v>
      </c>
      <c r="B15" s="1053">
        <v>8</v>
      </c>
      <c r="C15" s="26"/>
      <c r="D15" s="78">
        <f t="shared" si="0"/>
        <v>104</v>
      </c>
      <c r="E15" s="26">
        <f t="shared" si="0"/>
        <v>16.362000000000002</v>
      </c>
    </row>
    <row r="16" spans="1:20">
      <c r="A16" s="1050">
        <v>45901</v>
      </c>
      <c r="B16" s="1053">
        <v>4</v>
      </c>
      <c r="C16" s="26">
        <v>5.1340000000000003</v>
      </c>
      <c r="D16" s="78">
        <f t="shared" si="0"/>
        <v>108</v>
      </c>
      <c r="E16" s="26">
        <f t="shared" si="0"/>
        <v>21.496000000000002</v>
      </c>
    </row>
    <row r="17" spans="1:5">
      <c r="A17" s="1050">
        <v>45931</v>
      </c>
      <c r="B17" s="1053">
        <v>4</v>
      </c>
      <c r="C17" s="26">
        <v>4.9219999999999997</v>
      </c>
      <c r="D17" s="78">
        <f t="shared" si="0"/>
        <v>112</v>
      </c>
      <c r="E17" s="26">
        <f t="shared" si="0"/>
        <v>26.418000000000003</v>
      </c>
    </row>
    <row r="18" spans="1:5">
      <c r="A18" s="1050">
        <v>45962</v>
      </c>
      <c r="B18" s="1053">
        <v>0</v>
      </c>
      <c r="C18" s="26">
        <v>4.9009999999999998</v>
      </c>
      <c r="D18" s="78">
        <f t="shared" si="0"/>
        <v>112</v>
      </c>
      <c r="E18" s="26">
        <f t="shared" si="0"/>
        <v>31.319000000000003</v>
      </c>
    </row>
    <row r="19" spans="1:5">
      <c r="A19" s="1050">
        <v>45992</v>
      </c>
      <c r="B19" s="1053">
        <v>0</v>
      </c>
      <c r="C19" s="26"/>
      <c r="D19" s="78">
        <f t="shared" si="0"/>
        <v>112</v>
      </c>
      <c r="E19" s="26">
        <f t="shared" si="0"/>
        <v>31.319000000000003</v>
      </c>
    </row>
    <row r="20" spans="1:5">
      <c r="A20" s="1050">
        <v>46023</v>
      </c>
      <c r="B20" s="1053">
        <v>0</v>
      </c>
      <c r="C20" s="26"/>
      <c r="D20" s="78">
        <f t="shared" si="0"/>
        <v>112</v>
      </c>
      <c r="E20" s="26">
        <f t="shared" si="0"/>
        <v>31.319000000000003</v>
      </c>
    </row>
  </sheetData>
  <mergeCells count="1">
    <mergeCell ref="A1:T1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0459A-289A-4685-A79A-A4C1CB2D2633}">
  <sheetPr codeName="Sheet21">
    <tabColor rgb="FFFF0000"/>
    <pageSetUpPr fitToPage="1"/>
  </sheetPr>
  <dimension ref="B1:K88"/>
  <sheetViews>
    <sheetView showGridLines="0" view="pageBreakPreview" topLeftCell="A9" zoomScale="106" zoomScaleNormal="100" zoomScaleSheetLayoutView="106" workbookViewId="0">
      <selection activeCell="C12" sqref="C12"/>
    </sheetView>
  </sheetViews>
  <sheetFormatPr defaultColWidth="9.1796875" defaultRowHeight="14.5"/>
  <cols>
    <col min="1" max="1" width="2" style="462" customWidth="1"/>
    <col min="2" max="2" width="9.1796875" style="462"/>
    <col min="3" max="3" width="32.453125" style="462" bestFit="1" customWidth="1"/>
    <col min="4" max="4" width="9" style="462" customWidth="1"/>
    <col min="5" max="5" width="10" style="462" customWidth="1"/>
    <col min="6" max="6" width="12.1796875" style="462" customWidth="1"/>
    <col min="7" max="7" width="12.81640625" style="462" customWidth="1"/>
    <col min="8" max="8" width="13.26953125" style="462" customWidth="1"/>
    <col min="9" max="9" width="11.453125" style="462" customWidth="1"/>
    <col min="10" max="10" width="27.54296875" style="462" bestFit="1" customWidth="1"/>
    <col min="11" max="16384" width="9.1796875" style="462"/>
  </cols>
  <sheetData>
    <row r="1" spans="2:11" ht="21">
      <c r="B1" s="1649" t="s">
        <v>1010</v>
      </c>
      <c r="C1" s="1650"/>
      <c r="D1" s="1650"/>
      <c r="E1" s="1650"/>
      <c r="F1" s="1650"/>
      <c r="G1" s="1650"/>
      <c r="H1" s="1650"/>
      <c r="I1" s="1651"/>
      <c r="J1" s="815" t="str">
        <f>TA413_PBNTL!M1</f>
        <v>17.07.2026</v>
      </c>
    </row>
    <row r="2" spans="2:11">
      <c r="B2" s="1652" t="s">
        <v>1755</v>
      </c>
      <c r="C2" s="1653"/>
      <c r="D2" s="1653"/>
      <c r="E2" s="1653"/>
      <c r="F2" s="1653"/>
      <c r="G2" s="1653"/>
      <c r="H2" s="1653"/>
      <c r="I2" s="1654" t="s">
        <v>915</v>
      </c>
      <c r="J2" s="1655"/>
    </row>
    <row r="3" spans="2:11" ht="9.75" customHeight="1" thickBot="1">
      <c r="B3" s="816"/>
      <c r="C3" s="817"/>
      <c r="D3" s="817"/>
      <c r="E3" s="817"/>
      <c r="F3" s="817"/>
      <c r="G3" s="817"/>
      <c r="H3" s="817"/>
      <c r="I3" s="817"/>
      <c r="J3" s="818"/>
    </row>
    <row r="4" spans="2:11" ht="18.75" customHeight="1">
      <c r="B4" s="1656" t="s">
        <v>665</v>
      </c>
      <c r="C4" s="1658" t="s">
        <v>131</v>
      </c>
      <c r="D4" s="1658" t="s">
        <v>274</v>
      </c>
      <c r="E4" s="1660" t="s">
        <v>916</v>
      </c>
      <c r="F4" s="1660" t="s">
        <v>917</v>
      </c>
      <c r="G4" s="1658" t="s">
        <v>1538</v>
      </c>
      <c r="H4" s="1662" t="s">
        <v>918</v>
      </c>
      <c r="I4" s="1663"/>
      <c r="J4" s="812" t="s">
        <v>0</v>
      </c>
    </row>
    <row r="5" spans="2:11">
      <c r="B5" s="1657"/>
      <c r="C5" s="1659"/>
      <c r="D5" s="1659"/>
      <c r="E5" s="1661"/>
      <c r="F5" s="1661"/>
      <c r="G5" s="1659"/>
      <c r="H5" s="813" t="s">
        <v>919</v>
      </c>
      <c r="I5" s="813" t="s">
        <v>811</v>
      </c>
      <c r="J5" s="814" t="s">
        <v>919</v>
      </c>
    </row>
    <row r="6" spans="2:11">
      <c r="B6" s="463" t="s">
        <v>920</v>
      </c>
      <c r="C6" s="464" t="s">
        <v>921</v>
      </c>
      <c r="D6" s="465"/>
      <c r="E6" s="465"/>
      <c r="F6" s="465"/>
      <c r="G6" s="465"/>
      <c r="H6" s="465"/>
      <c r="I6" s="465"/>
      <c r="J6" s="466"/>
    </row>
    <row r="7" spans="2:11">
      <c r="B7" s="780">
        <v>1</v>
      </c>
      <c r="C7" s="778" t="s">
        <v>501</v>
      </c>
      <c r="D7" s="765" t="s">
        <v>126</v>
      </c>
      <c r="E7" s="766">
        <v>287</v>
      </c>
      <c r="F7" s="766">
        <v>316</v>
      </c>
      <c r="G7" s="766">
        <v>287</v>
      </c>
      <c r="H7" s="766">
        <v>316</v>
      </c>
      <c r="I7" s="767">
        <f>H7/F7</f>
        <v>1</v>
      </c>
      <c r="J7" s="768">
        <f>F7-H7</f>
        <v>0</v>
      </c>
      <c r="K7" s="977"/>
    </row>
    <row r="8" spans="2:11">
      <c r="B8" s="780">
        <v>2</v>
      </c>
      <c r="C8" s="778" t="s">
        <v>224</v>
      </c>
      <c r="D8" s="765" t="s">
        <v>122</v>
      </c>
      <c r="E8" s="766">
        <v>287</v>
      </c>
      <c r="F8" s="766">
        <v>306</v>
      </c>
      <c r="G8" s="766">
        <v>287</v>
      </c>
      <c r="H8" s="766">
        <v>306</v>
      </c>
      <c r="I8" s="767">
        <f t="shared" ref="I8:I15" si="0">H8/F8</f>
        <v>1</v>
      </c>
      <c r="J8" s="768">
        <f>F8-H8</f>
        <v>0</v>
      </c>
    </row>
    <row r="9" spans="2:11">
      <c r="B9" s="780">
        <v>3</v>
      </c>
      <c r="C9" s="778" t="s">
        <v>922</v>
      </c>
      <c r="D9" s="765" t="s">
        <v>159</v>
      </c>
      <c r="E9" s="769">
        <v>4095</v>
      </c>
      <c r="F9" s="769">
        <v>4285.0559999999996</v>
      </c>
      <c r="G9" s="769">
        <v>4095</v>
      </c>
      <c r="H9" s="769">
        <v>4285.0559999999996</v>
      </c>
      <c r="I9" s="767">
        <f t="shared" si="0"/>
        <v>1</v>
      </c>
      <c r="J9" s="768">
        <f t="shared" ref="J9:J15" si="1">F9-H9</f>
        <v>0</v>
      </c>
    </row>
    <row r="10" spans="2:11" ht="15.65" customHeight="1">
      <c r="B10" s="780">
        <v>4</v>
      </c>
      <c r="C10" s="778" t="s">
        <v>935</v>
      </c>
      <c r="D10" s="765" t="s">
        <v>811</v>
      </c>
      <c r="E10" s="767">
        <v>1</v>
      </c>
      <c r="F10" s="767">
        <v>1</v>
      </c>
      <c r="G10" s="767">
        <v>1</v>
      </c>
      <c r="H10" s="770">
        <v>1</v>
      </c>
      <c r="I10" s="767">
        <f t="shared" si="0"/>
        <v>1</v>
      </c>
      <c r="J10" s="768">
        <f t="shared" si="1"/>
        <v>0</v>
      </c>
    </row>
    <row r="11" spans="2:11">
      <c r="B11" s="780">
        <v>5</v>
      </c>
      <c r="C11" s="778" t="s">
        <v>923</v>
      </c>
      <c r="D11" s="765" t="s">
        <v>159</v>
      </c>
      <c r="E11" s="769">
        <v>114</v>
      </c>
      <c r="F11" s="769">
        <v>121.471</v>
      </c>
      <c r="G11" s="771">
        <v>1</v>
      </c>
      <c r="H11" s="772">
        <v>121.471</v>
      </c>
      <c r="I11" s="767">
        <f t="shared" si="0"/>
        <v>1</v>
      </c>
      <c r="J11" s="768">
        <f t="shared" si="1"/>
        <v>0</v>
      </c>
    </row>
    <row r="12" spans="2:11">
      <c r="B12" s="780">
        <v>6</v>
      </c>
      <c r="C12" s="778" t="s">
        <v>133</v>
      </c>
      <c r="D12" s="709" t="s">
        <v>811</v>
      </c>
      <c r="E12" s="767">
        <v>1</v>
      </c>
      <c r="F12" s="767">
        <v>1</v>
      </c>
      <c r="G12" s="771">
        <v>1</v>
      </c>
      <c r="H12" s="771">
        <v>1</v>
      </c>
      <c r="I12" s="767">
        <f t="shared" si="0"/>
        <v>1</v>
      </c>
      <c r="J12" s="768">
        <f t="shared" si="1"/>
        <v>0</v>
      </c>
    </row>
    <row r="13" spans="2:11">
      <c r="B13" s="780">
        <v>7</v>
      </c>
      <c r="C13" s="778" t="s">
        <v>101</v>
      </c>
      <c r="D13" s="765" t="s">
        <v>122</v>
      </c>
      <c r="E13" s="769">
        <v>10480</v>
      </c>
      <c r="F13" s="769">
        <v>11844</v>
      </c>
      <c r="G13" s="769">
        <v>10480</v>
      </c>
      <c r="H13" s="772">
        <v>11844</v>
      </c>
      <c r="I13" s="767">
        <f t="shared" si="0"/>
        <v>1</v>
      </c>
      <c r="J13" s="768">
        <f t="shared" si="1"/>
        <v>0</v>
      </c>
      <c r="K13" s="977"/>
    </row>
    <row r="14" spans="2:11">
      <c r="B14" s="780">
        <v>8</v>
      </c>
      <c r="C14" s="778" t="s">
        <v>924</v>
      </c>
      <c r="D14" s="765" t="s">
        <v>159</v>
      </c>
      <c r="E14" s="773">
        <v>118.557</v>
      </c>
      <c r="F14" s="773">
        <v>123.542</v>
      </c>
      <c r="G14" s="774">
        <v>1</v>
      </c>
      <c r="H14" s="942">
        <f>80+37.33</f>
        <v>117.33</v>
      </c>
      <c r="I14" s="767">
        <f t="shared" si="0"/>
        <v>0.94971750497806406</v>
      </c>
      <c r="J14" s="768">
        <f t="shared" si="1"/>
        <v>6.2120000000000033</v>
      </c>
    </row>
    <row r="15" spans="2:11" ht="15" thickBot="1">
      <c r="B15" s="781">
        <v>9</v>
      </c>
      <c r="C15" s="779" t="s">
        <v>925</v>
      </c>
      <c r="D15" s="775" t="s">
        <v>811</v>
      </c>
      <c r="E15" s="776">
        <v>1</v>
      </c>
      <c r="F15" s="776">
        <v>1</v>
      </c>
      <c r="G15" s="777">
        <v>1</v>
      </c>
      <c r="H15" s="777">
        <v>1</v>
      </c>
      <c r="I15" s="767">
        <f t="shared" si="0"/>
        <v>1</v>
      </c>
      <c r="J15" s="768">
        <f t="shared" si="1"/>
        <v>0</v>
      </c>
    </row>
    <row r="16" spans="2:11" ht="19" thickBot="1">
      <c r="B16" s="1672" t="s">
        <v>1011</v>
      </c>
      <c r="C16" s="1673"/>
      <c r="D16" s="1673"/>
      <c r="E16" s="1673"/>
      <c r="F16" s="1673"/>
      <c r="G16" s="1673"/>
      <c r="H16" s="1673"/>
      <c r="I16" s="1673"/>
      <c r="J16" s="1674"/>
    </row>
    <row r="17" spans="2:11" ht="27.75" customHeight="1" thickBot="1">
      <c r="B17" s="467" t="s">
        <v>665</v>
      </c>
      <c r="C17" s="468" t="s">
        <v>131</v>
      </c>
      <c r="D17" s="468" t="s">
        <v>274</v>
      </c>
      <c r="E17" s="468" t="s">
        <v>916</v>
      </c>
      <c r="F17" s="468" t="s">
        <v>948</v>
      </c>
      <c r="G17" s="468" t="s">
        <v>926</v>
      </c>
      <c r="H17" s="468" t="s">
        <v>927</v>
      </c>
      <c r="I17" s="469" t="s">
        <v>939</v>
      </c>
      <c r="J17" s="469" t="s">
        <v>1</v>
      </c>
    </row>
    <row r="18" spans="2:11" ht="15" thickBot="1">
      <c r="B18" s="470"/>
      <c r="C18" s="471"/>
      <c r="D18" s="472"/>
      <c r="E18" s="472"/>
      <c r="F18" s="473" t="s">
        <v>83</v>
      </c>
      <c r="G18" s="473" t="s">
        <v>84</v>
      </c>
      <c r="H18" s="474" t="s">
        <v>928</v>
      </c>
      <c r="I18" s="474" t="s">
        <v>811</v>
      </c>
      <c r="J18" s="475"/>
    </row>
    <row r="19" spans="2:11">
      <c r="B19" s="782" t="s">
        <v>920</v>
      </c>
      <c r="C19" s="783" t="s">
        <v>930</v>
      </c>
      <c r="D19" s="784"/>
      <c r="E19" s="785"/>
      <c r="F19" s="786"/>
      <c r="G19" s="787"/>
      <c r="H19" s="788"/>
      <c r="I19" s="789"/>
      <c r="J19" s="790"/>
    </row>
    <row r="20" spans="2:11">
      <c r="B20" s="791" t="s">
        <v>931</v>
      </c>
      <c r="C20" s="792" t="s">
        <v>853</v>
      </c>
      <c r="D20" s="793"/>
      <c r="E20" s="794"/>
      <c r="F20" s="794"/>
      <c r="G20" s="794"/>
      <c r="H20" s="794"/>
      <c r="I20" s="795"/>
      <c r="J20" s="796"/>
    </row>
    <row r="21" spans="2:11">
      <c r="B21" s="797">
        <v>1</v>
      </c>
      <c r="C21" s="798" t="s">
        <v>949</v>
      </c>
      <c r="D21" s="793" t="s">
        <v>932</v>
      </c>
      <c r="E21" s="799">
        <v>241</v>
      </c>
      <c r="F21" s="800">
        <v>246</v>
      </c>
      <c r="G21" s="800">
        <v>246</v>
      </c>
      <c r="H21" s="801">
        <f>F21-G21</f>
        <v>0</v>
      </c>
      <c r="I21" s="802">
        <f>G21/F21</f>
        <v>1</v>
      </c>
      <c r="J21" s="803"/>
    </row>
    <row r="22" spans="2:11">
      <c r="B22" s="797">
        <v>2</v>
      </c>
      <c r="C22" s="798" t="s">
        <v>1152</v>
      </c>
      <c r="D22" s="793" t="s">
        <v>932</v>
      </c>
      <c r="E22" s="804">
        <v>26</v>
      </c>
      <c r="F22" s="800">
        <v>27</v>
      </c>
      <c r="G22" s="800">
        <f>26+1</f>
        <v>27</v>
      </c>
      <c r="H22" s="801">
        <f t="shared" ref="H22:H31" si="2">F22-G22</f>
        <v>0</v>
      </c>
      <c r="I22" s="802">
        <f t="shared" ref="I22:I31" si="3">G22/F22</f>
        <v>1</v>
      </c>
      <c r="J22" s="803"/>
      <c r="K22" s="462">
        <f>241-233</f>
        <v>8</v>
      </c>
    </row>
    <row r="23" spans="2:11">
      <c r="B23" s="797">
        <v>3</v>
      </c>
      <c r="C23" s="798" t="s">
        <v>1153</v>
      </c>
      <c r="D23" s="793" t="s">
        <v>932</v>
      </c>
      <c r="E23" s="804">
        <v>3</v>
      </c>
      <c r="F23" s="800">
        <v>4</v>
      </c>
      <c r="G23" s="800">
        <f>3+1</f>
        <v>4</v>
      </c>
      <c r="H23" s="801">
        <f t="shared" si="2"/>
        <v>0</v>
      </c>
      <c r="I23" s="802">
        <f t="shared" si="3"/>
        <v>1</v>
      </c>
      <c r="J23" s="803"/>
    </row>
    <row r="24" spans="2:11">
      <c r="B24" s="797">
        <v>4</v>
      </c>
      <c r="C24" s="798" t="s">
        <v>1154</v>
      </c>
      <c r="D24" s="793" t="s">
        <v>932</v>
      </c>
      <c r="E24" s="804">
        <v>10</v>
      </c>
      <c r="F24" s="800">
        <f>10+2</f>
        <v>12</v>
      </c>
      <c r="G24" s="800">
        <f>10+2</f>
        <v>12</v>
      </c>
      <c r="H24" s="801">
        <f t="shared" si="2"/>
        <v>0</v>
      </c>
      <c r="I24" s="802">
        <f t="shared" si="3"/>
        <v>1</v>
      </c>
      <c r="J24" s="803"/>
    </row>
    <row r="25" spans="2:11">
      <c r="B25" s="797">
        <v>5</v>
      </c>
      <c r="C25" s="798" t="s">
        <v>1155</v>
      </c>
      <c r="D25" s="793" t="s">
        <v>932</v>
      </c>
      <c r="E25" s="804">
        <v>2</v>
      </c>
      <c r="F25" s="800">
        <v>2</v>
      </c>
      <c r="G25" s="800">
        <v>2</v>
      </c>
      <c r="H25" s="801">
        <f t="shared" si="2"/>
        <v>0</v>
      </c>
      <c r="I25" s="802">
        <f t="shared" si="3"/>
        <v>1</v>
      </c>
      <c r="J25" s="803"/>
    </row>
    <row r="26" spans="2:11">
      <c r="B26" s="797">
        <v>6</v>
      </c>
      <c r="C26" s="798" t="s">
        <v>1156</v>
      </c>
      <c r="D26" s="793" t="s">
        <v>932</v>
      </c>
      <c r="E26" s="804">
        <v>4</v>
      </c>
      <c r="F26" s="800">
        <v>3</v>
      </c>
      <c r="G26" s="800">
        <v>3</v>
      </c>
      <c r="H26" s="801">
        <f t="shared" si="2"/>
        <v>0</v>
      </c>
      <c r="I26" s="802">
        <f t="shared" si="3"/>
        <v>1</v>
      </c>
      <c r="J26" s="803"/>
    </row>
    <row r="27" spans="2:11">
      <c r="B27" s="797">
        <v>7</v>
      </c>
      <c r="C27" s="798" t="s">
        <v>1157</v>
      </c>
      <c r="D27" s="793" t="s">
        <v>932</v>
      </c>
      <c r="E27" s="804">
        <v>1</v>
      </c>
      <c r="F27" s="800">
        <f>1+1</f>
        <v>2</v>
      </c>
      <c r="G27" s="800">
        <f>1+1</f>
        <v>2</v>
      </c>
      <c r="H27" s="801">
        <f t="shared" si="2"/>
        <v>0</v>
      </c>
      <c r="I27" s="802">
        <f t="shared" si="3"/>
        <v>1</v>
      </c>
      <c r="J27" s="803"/>
    </row>
    <row r="28" spans="2:11">
      <c r="B28" s="797">
        <v>8</v>
      </c>
      <c r="C28" s="798" t="s">
        <v>1149</v>
      </c>
      <c r="D28" s="793" t="s">
        <v>932</v>
      </c>
      <c r="E28" s="799">
        <v>2</v>
      </c>
      <c r="F28" s="800">
        <v>3</v>
      </c>
      <c r="G28" s="800">
        <v>3</v>
      </c>
      <c r="H28" s="801">
        <f t="shared" si="2"/>
        <v>0</v>
      </c>
      <c r="I28" s="802">
        <f t="shared" si="3"/>
        <v>1</v>
      </c>
      <c r="J28" s="803"/>
    </row>
    <row r="29" spans="2:11">
      <c r="B29" s="805">
        <v>9</v>
      </c>
      <c r="C29" s="798" t="s">
        <v>1150</v>
      </c>
      <c r="D29" s="793" t="s">
        <v>932</v>
      </c>
      <c r="E29" s="806">
        <v>4</v>
      </c>
      <c r="F29" s="807">
        <v>4</v>
      </c>
      <c r="G29" s="807">
        <v>4</v>
      </c>
      <c r="H29" s="808">
        <f t="shared" si="2"/>
        <v>0</v>
      </c>
      <c r="I29" s="809">
        <f t="shared" si="3"/>
        <v>1</v>
      </c>
      <c r="J29" s="810"/>
    </row>
    <row r="30" spans="2:11">
      <c r="B30" s="805">
        <v>10</v>
      </c>
      <c r="C30" s="811" t="s">
        <v>1151</v>
      </c>
      <c r="D30" s="793" t="s">
        <v>932</v>
      </c>
      <c r="E30" s="806">
        <v>4</v>
      </c>
      <c r="F30" s="807">
        <v>4</v>
      </c>
      <c r="G30" s="807">
        <v>4</v>
      </c>
      <c r="H30" s="808">
        <f t="shared" si="2"/>
        <v>0</v>
      </c>
      <c r="I30" s="809">
        <f t="shared" si="3"/>
        <v>1</v>
      </c>
      <c r="J30" s="810"/>
    </row>
    <row r="31" spans="2:11">
      <c r="B31" s="805">
        <v>11</v>
      </c>
      <c r="C31" s="811" t="s">
        <v>1198</v>
      </c>
      <c r="D31" s="793" t="s">
        <v>932</v>
      </c>
      <c r="E31" s="806">
        <v>2</v>
      </c>
      <c r="F31" s="807">
        <v>2</v>
      </c>
      <c r="G31" s="807">
        <v>2</v>
      </c>
      <c r="H31" s="808">
        <f t="shared" si="2"/>
        <v>0</v>
      </c>
      <c r="I31" s="809">
        <f t="shared" si="3"/>
        <v>1</v>
      </c>
      <c r="J31" s="810"/>
    </row>
    <row r="32" spans="2:11">
      <c r="B32" s="957"/>
      <c r="C32" s="958" t="s">
        <v>225</v>
      </c>
      <c r="D32" s="793"/>
      <c r="E32" s="954">
        <f>SUM(E21:E31)</f>
        <v>299</v>
      </c>
      <c r="F32" s="954">
        <f>SUM(F21:F31)</f>
        <v>309</v>
      </c>
      <c r="G32" s="954">
        <f>SUM(G21:G31)</f>
        <v>309</v>
      </c>
      <c r="H32" s="954">
        <f>SUM(H21:H31)</f>
        <v>0</v>
      </c>
      <c r="I32" s="954"/>
      <c r="J32" s="801"/>
    </row>
    <row r="33" spans="2:10" hidden="1">
      <c r="B33" s="955" t="s">
        <v>929</v>
      </c>
      <c r="C33" s="956" t="s">
        <v>934</v>
      </c>
      <c r="D33" s="951"/>
      <c r="E33" s="952"/>
      <c r="F33" s="952"/>
      <c r="G33" s="952"/>
      <c r="H33" s="952"/>
      <c r="I33" s="952"/>
      <c r="J33" s="953"/>
    </row>
    <row r="34" spans="2:10" hidden="1">
      <c r="B34" s="477"/>
      <c r="C34" s="478" t="s">
        <v>933</v>
      </c>
      <c r="D34" s="479"/>
      <c r="E34" s="480"/>
      <c r="F34" s="480"/>
      <c r="G34" s="480"/>
      <c r="H34" s="480"/>
      <c r="I34" s="480"/>
      <c r="J34" s="484"/>
    </row>
    <row r="35" spans="2:10" hidden="1">
      <c r="B35" s="485">
        <v>1</v>
      </c>
      <c r="C35" s="486" t="s">
        <v>944</v>
      </c>
      <c r="D35" s="479" t="s">
        <v>122</v>
      </c>
      <c r="E35" s="1664">
        <v>241</v>
      </c>
      <c r="F35" s="487">
        <v>12</v>
      </c>
      <c r="G35" s="689">
        <v>10</v>
      </c>
      <c r="H35" s="482">
        <f t="shared" ref="H35:H42" si="4">F35-G35</f>
        <v>2</v>
      </c>
      <c r="I35" s="523">
        <f t="shared" ref="I35:I42" si="5">G35/F35</f>
        <v>0.83333333333333337</v>
      </c>
      <c r="J35" s="488"/>
    </row>
    <row r="36" spans="2:10" hidden="1">
      <c r="B36" s="485">
        <v>2</v>
      </c>
      <c r="C36" s="486" t="s">
        <v>945</v>
      </c>
      <c r="D36" s="479" t="s">
        <v>122</v>
      </c>
      <c r="E36" s="1665"/>
      <c r="F36" s="487">
        <v>12</v>
      </c>
      <c r="G36" s="689">
        <v>7</v>
      </c>
      <c r="H36" s="482">
        <f t="shared" si="4"/>
        <v>5</v>
      </c>
      <c r="I36" s="523">
        <f t="shared" si="5"/>
        <v>0.58333333333333337</v>
      </c>
      <c r="J36" s="488"/>
    </row>
    <row r="37" spans="2:10" hidden="1">
      <c r="B37" s="485">
        <v>3</v>
      </c>
      <c r="C37" s="486" t="s">
        <v>885</v>
      </c>
      <c r="D37" s="479" t="s">
        <v>122</v>
      </c>
      <c r="E37" s="1665"/>
      <c r="F37" s="487">
        <v>33</v>
      </c>
      <c r="G37" s="688">
        <v>115</v>
      </c>
      <c r="H37" s="482">
        <f t="shared" si="4"/>
        <v>-82</v>
      </c>
      <c r="I37" s="523">
        <f t="shared" si="5"/>
        <v>3.4848484848484849</v>
      </c>
      <c r="J37" s="488"/>
    </row>
    <row r="38" spans="2:10" hidden="1">
      <c r="B38" s="485">
        <v>4</v>
      </c>
      <c r="C38" s="486" t="s">
        <v>946</v>
      </c>
      <c r="D38" s="479" t="s">
        <v>122</v>
      </c>
      <c r="E38" s="1665"/>
      <c r="F38" s="487">
        <v>24</v>
      </c>
      <c r="G38" s="688">
        <v>17</v>
      </c>
      <c r="H38" s="482">
        <f t="shared" si="4"/>
        <v>7</v>
      </c>
      <c r="I38" s="523">
        <f t="shared" si="5"/>
        <v>0.70833333333333337</v>
      </c>
      <c r="J38" s="488"/>
    </row>
    <row r="39" spans="2:10" hidden="1">
      <c r="B39" s="485">
        <v>5</v>
      </c>
      <c r="C39" s="486" t="s">
        <v>882</v>
      </c>
      <c r="D39" s="479" t="s">
        <v>122</v>
      </c>
      <c r="E39" s="1665"/>
      <c r="F39" s="491">
        <v>70</v>
      </c>
      <c r="G39" s="688">
        <v>60</v>
      </c>
      <c r="H39" s="482">
        <f t="shared" si="4"/>
        <v>10</v>
      </c>
      <c r="I39" s="523">
        <f t="shared" si="5"/>
        <v>0.8571428571428571</v>
      </c>
      <c r="J39" s="488"/>
    </row>
    <row r="40" spans="2:10" hidden="1">
      <c r="B40" s="485">
        <v>6</v>
      </c>
      <c r="C40" s="486" t="s">
        <v>1008</v>
      </c>
      <c r="D40" s="479" t="s">
        <v>122</v>
      </c>
      <c r="E40" s="1665"/>
      <c r="F40" s="491">
        <v>1</v>
      </c>
      <c r="G40" s="489"/>
      <c r="H40" s="482">
        <f t="shared" si="4"/>
        <v>1</v>
      </c>
      <c r="I40" s="523">
        <f t="shared" si="5"/>
        <v>0</v>
      </c>
      <c r="J40" s="488"/>
    </row>
    <row r="41" spans="2:10" hidden="1">
      <c r="B41" s="485">
        <v>7</v>
      </c>
      <c r="C41" s="486" t="s">
        <v>883</v>
      </c>
      <c r="D41" s="479" t="s">
        <v>122</v>
      </c>
      <c r="E41" s="1665"/>
      <c r="F41" s="491">
        <v>47</v>
      </c>
      <c r="G41" s="688">
        <v>44</v>
      </c>
      <c r="H41" s="482">
        <f t="shared" si="4"/>
        <v>3</v>
      </c>
      <c r="I41" s="523">
        <f t="shared" si="5"/>
        <v>0.93617021276595747</v>
      </c>
      <c r="J41" s="488"/>
    </row>
    <row r="42" spans="2:10" hidden="1">
      <c r="B42" s="485">
        <v>8</v>
      </c>
      <c r="C42" s="486" t="s">
        <v>884</v>
      </c>
      <c r="D42" s="479" t="s">
        <v>122</v>
      </c>
      <c r="E42" s="1666"/>
      <c r="F42" s="491">
        <v>47</v>
      </c>
      <c r="G42" s="688">
        <v>38</v>
      </c>
      <c r="H42" s="482">
        <f t="shared" si="4"/>
        <v>9</v>
      </c>
      <c r="I42" s="523">
        <f t="shared" si="5"/>
        <v>0.80851063829787229</v>
      </c>
      <c r="J42" s="488"/>
    </row>
    <row r="43" spans="2:10" ht="15" hidden="1" thickBot="1">
      <c r="B43" s="492"/>
      <c r="C43" s="493" t="s">
        <v>225</v>
      </c>
      <c r="D43" s="494"/>
      <c r="E43" s="495">
        <f>SUM(E35:E42)</f>
        <v>241</v>
      </c>
      <c r="F43" s="496">
        <f>SUM(F35:F42)</f>
        <v>246</v>
      </c>
      <c r="G43" s="496">
        <f>SUM(G35:G42)</f>
        <v>291</v>
      </c>
      <c r="H43" s="496">
        <f>SUM(H35:H42)</f>
        <v>-45</v>
      </c>
      <c r="I43" s="495"/>
      <c r="J43" s="497"/>
    </row>
    <row r="44" spans="2:10" hidden="1">
      <c r="B44" s="498">
        <v>1</v>
      </c>
      <c r="C44" s="499" t="s">
        <v>389</v>
      </c>
      <c r="D44" s="483"/>
      <c r="E44" s="476"/>
      <c r="F44" s="500"/>
      <c r="G44" s="500"/>
      <c r="H44" s="500"/>
      <c r="I44" s="501"/>
      <c r="J44" s="484"/>
    </row>
    <row r="45" spans="2:10" hidden="1">
      <c r="B45" s="485" t="s">
        <v>135</v>
      </c>
      <c r="C45" s="121" t="s">
        <v>197</v>
      </c>
      <c r="D45" s="503" t="s">
        <v>160</v>
      </c>
      <c r="E45" s="1667">
        <v>12</v>
      </c>
      <c r="F45" s="504">
        <v>7</v>
      </c>
      <c r="G45" s="489">
        <v>11</v>
      </c>
      <c r="H45" s="505"/>
      <c r="I45" s="523">
        <f>G45/F45</f>
        <v>1.5714285714285714</v>
      </c>
      <c r="J45" s="488"/>
    </row>
    <row r="46" spans="2:10" hidden="1">
      <c r="B46" s="485" t="s">
        <v>136</v>
      </c>
      <c r="C46" s="121" t="s">
        <v>226</v>
      </c>
      <c r="D46" s="503" t="s">
        <v>160</v>
      </c>
      <c r="E46" s="1668"/>
      <c r="F46" s="504">
        <v>2</v>
      </c>
      <c r="G46" s="489"/>
      <c r="H46" s="505"/>
      <c r="I46" s="523">
        <f t="shared" ref="I46:I54" si="6">G46/F46</f>
        <v>0</v>
      </c>
      <c r="J46" s="488"/>
    </row>
    <row r="47" spans="2:10" hidden="1">
      <c r="B47" s="485" t="s">
        <v>137</v>
      </c>
      <c r="C47" s="121" t="s">
        <v>227</v>
      </c>
      <c r="D47" s="503" t="s">
        <v>160</v>
      </c>
      <c r="E47" s="1668"/>
      <c r="F47" s="504">
        <v>6</v>
      </c>
      <c r="G47" s="489">
        <v>3</v>
      </c>
      <c r="H47" s="505"/>
      <c r="I47" s="523">
        <f t="shared" si="6"/>
        <v>0.5</v>
      </c>
      <c r="J47" s="488"/>
    </row>
    <row r="48" spans="2:10" hidden="1">
      <c r="B48" s="485" t="s">
        <v>138</v>
      </c>
      <c r="C48" s="121" t="s">
        <v>211</v>
      </c>
      <c r="D48" s="503" t="s">
        <v>160</v>
      </c>
      <c r="E48" s="1668"/>
      <c r="F48" s="504">
        <v>12</v>
      </c>
      <c r="G48" s="489">
        <v>4</v>
      </c>
      <c r="H48" s="505"/>
      <c r="I48" s="523">
        <f t="shared" si="6"/>
        <v>0.33333333333333331</v>
      </c>
      <c r="J48" s="488"/>
    </row>
    <row r="49" spans="2:10" hidden="1">
      <c r="B49" s="485" t="s">
        <v>139</v>
      </c>
      <c r="C49" s="121" t="s">
        <v>401</v>
      </c>
      <c r="D49" s="503" t="s">
        <v>160</v>
      </c>
      <c r="E49" s="1668"/>
      <c r="F49" s="504">
        <v>4</v>
      </c>
      <c r="G49" s="489"/>
      <c r="H49" s="505"/>
      <c r="I49" s="523">
        <f t="shared" si="6"/>
        <v>0</v>
      </c>
      <c r="J49" s="488"/>
    </row>
    <row r="50" spans="2:10" hidden="1">
      <c r="B50" s="485">
        <v>2</v>
      </c>
      <c r="C50" s="478" t="s">
        <v>388</v>
      </c>
      <c r="D50" s="479"/>
      <c r="E50" s="1668"/>
      <c r="F50" s="506"/>
      <c r="G50" s="489"/>
      <c r="H50" s="505"/>
      <c r="I50" s="523"/>
      <c r="J50" s="488"/>
    </row>
    <row r="51" spans="2:10" hidden="1">
      <c r="B51" s="485" t="s">
        <v>135</v>
      </c>
      <c r="C51" s="121" t="s">
        <v>184</v>
      </c>
      <c r="D51" s="503" t="s">
        <v>160</v>
      </c>
      <c r="E51" s="1668"/>
      <c r="F51" s="504">
        <v>6</v>
      </c>
      <c r="G51" s="489">
        <v>4</v>
      </c>
      <c r="H51" s="505"/>
      <c r="I51" s="523">
        <f t="shared" si="6"/>
        <v>0.66666666666666663</v>
      </c>
      <c r="J51" s="488"/>
    </row>
    <row r="52" spans="2:10" hidden="1">
      <c r="B52" s="485" t="s">
        <v>136</v>
      </c>
      <c r="C52" s="121" t="s">
        <v>228</v>
      </c>
      <c r="D52" s="503" t="s">
        <v>160</v>
      </c>
      <c r="E52" s="1668"/>
      <c r="F52" s="504">
        <v>2</v>
      </c>
      <c r="G52" s="489"/>
      <c r="H52" s="505"/>
      <c r="I52" s="523">
        <f t="shared" si="6"/>
        <v>0</v>
      </c>
      <c r="J52" s="488"/>
    </row>
    <row r="53" spans="2:10" hidden="1">
      <c r="B53" s="485" t="s">
        <v>137</v>
      </c>
      <c r="C53" s="121" t="s">
        <v>229</v>
      </c>
      <c r="D53" s="503" t="s">
        <v>160</v>
      </c>
      <c r="E53" s="1668"/>
      <c r="F53" s="504">
        <v>1</v>
      </c>
      <c r="G53" s="489"/>
      <c r="H53" s="505"/>
      <c r="I53" s="523">
        <f t="shared" si="6"/>
        <v>0</v>
      </c>
      <c r="J53" s="488"/>
    </row>
    <row r="54" spans="2:10" ht="15" hidden="1" thickBot="1">
      <c r="B54" s="556" t="s">
        <v>138</v>
      </c>
      <c r="C54" s="557" t="s">
        <v>215</v>
      </c>
      <c r="D54" s="558" t="s">
        <v>160</v>
      </c>
      <c r="E54" s="1668"/>
      <c r="F54" s="559">
        <v>1</v>
      </c>
      <c r="G54" s="560"/>
      <c r="H54" s="555"/>
      <c r="I54" s="561">
        <f t="shared" si="6"/>
        <v>0</v>
      </c>
      <c r="J54" s="562"/>
    </row>
    <row r="55" spans="2:10" ht="15" hidden="1" thickBot="1">
      <c r="B55" s="563"/>
      <c r="C55" s="564" t="s">
        <v>936</v>
      </c>
      <c r="D55" s="565"/>
      <c r="E55" s="566">
        <f>SUM(E45:E48)</f>
        <v>12</v>
      </c>
      <c r="F55" s="566">
        <f>SUM(F45:F54)</f>
        <v>41</v>
      </c>
      <c r="G55" s="566">
        <f>SUM(G45:G48)</f>
        <v>18</v>
      </c>
      <c r="H55" s="566">
        <f>SUM(H45:H49)</f>
        <v>0</v>
      </c>
      <c r="I55" s="566"/>
      <c r="J55" s="567"/>
    </row>
    <row r="56" spans="2:10" hidden="1">
      <c r="B56" s="498">
        <v>1</v>
      </c>
      <c r="C56" s="499" t="s">
        <v>1009</v>
      </c>
      <c r="D56" s="483"/>
      <c r="E56" s="508"/>
      <c r="F56" s="508"/>
      <c r="G56" s="508"/>
      <c r="H56" s="508"/>
      <c r="I56" s="509"/>
      <c r="J56" s="502"/>
    </row>
    <row r="57" spans="2:10" hidden="1">
      <c r="B57" s="485" t="s">
        <v>135</v>
      </c>
      <c r="C57" s="121" t="s">
        <v>198</v>
      </c>
      <c r="D57" s="503" t="s">
        <v>160</v>
      </c>
      <c r="E57" s="1669">
        <v>5</v>
      </c>
      <c r="F57" s="504">
        <v>0</v>
      </c>
      <c r="G57" s="505"/>
      <c r="H57" s="510"/>
      <c r="I57" s="523"/>
      <c r="J57" s="488"/>
    </row>
    <row r="58" spans="2:10" hidden="1">
      <c r="B58" s="485" t="s">
        <v>136</v>
      </c>
      <c r="C58" s="121" t="s">
        <v>185</v>
      </c>
      <c r="D58" s="503" t="s">
        <v>160</v>
      </c>
      <c r="E58" s="1670"/>
      <c r="F58" s="504">
        <v>1</v>
      </c>
      <c r="G58" s="505"/>
      <c r="H58" s="510"/>
      <c r="I58" s="523"/>
      <c r="J58" s="488"/>
    </row>
    <row r="59" spans="2:10" hidden="1">
      <c r="B59" s="485" t="s">
        <v>137</v>
      </c>
      <c r="C59" s="121" t="s">
        <v>217</v>
      </c>
      <c r="D59" s="503" t="s">
        <v>160</v>
      </c>
      <c r="E59" s="1670"/>
      <c r="F59" s="504">
        <v>1</v>
      </c>
      <c r="G59" s="505"/>
      <c r="H59" s="510"/>
      <c r="I59" s="523"/>
      <c r="J59" s="488"/>
    </row>
    <row r="60" spans="2:10" hidden="1">
      <c r="B60" s="485" t="s">
        <v>138</v>
      </c>
      <c r="C60" s="121" t="s">
        <v>214</v>
      </c>
      <c r="D60" s="503" t="s">
        <v>160</v>
      </c>
      <c r="E60" s="1670"/>
      <c r="F60" s="504">
        <f>E60</f>
        <v>0</v>
      </c>
      <c r="G60" s="505"/>
      <c r="H60" s="510"/>
      <c r="I60" s="523"/>
      <c r="J60" s="488"/>
    </row>
    <row r="61" spans="2:10" hidden="1">
      <c r="B61" s="485" t="s">
        <v>139</v>
      </c>
      <c r="C61" s="121" t="s">
        <v>210</v>
      </c>
      <c r="D61" s="503" t="s">
        <v>160</v>
      </c>
      <c r="E61" s="1670"/>
      <c r="F61" s="504">
        <f>E61</f>
        <v>0</v>
      </c>
      <c r="G61" s="505"/>
      <c r="H61" s="510"/>
      <c r="I61" s="523"/>
      <c r="J61" s="488"/>
    </row>
    <row r="62" spans="2:10" hidden="1">
      <c r="B62" s="485">
        <v>2</v>
      </c>
      <c r="C62" s="511" t="s">
        <v>497</v>
      </c>
      <c r="D62" s="479"/>
      <c r="E62" s="1670"/>
      <c r="F62" s="489"/>
      <c r="G62" s="505"/>
      <c r="H62" s="510"/>
      <c r="I62" s="481"/>
      <c r="J62" s="488"/>
    </row>
    <row r="63" spans="2:10" hidden="1">
      <c r="B63" s="485" t="s">
        <v>135</v>
      </c>
      <c r="C63" s="121" t="s">
        <v>250</v>
      </c>
      <c r="D63" s="503" t="s">
        <v>160</v>
      </c>
      <c r="E63" s="1670"/>
      <c r="F63" s="504">
        <f>E63</f>
        <v>0</v>
      </c>
      <c r="G63" s="505"/>
      <c r="H63" s="510"/>
      <c r="I63" s="481"/>
      <c r="J63" s="488"/>
    </row>
    <row r="64" spans="2:10" hidden="1">
      <c r="B64" s="485" t="s">
        <v>136</v>
      </c>
      <c r="C64" s="121" t="s">
        <v>173</v>
      </c>
      <c r="D64" s="503" t="s">
        <v>160</v>
      </c>
      <c r="E64" s="1670"/>
      <c r="F64" s="504">
        <v>3</v>
      </c>
      <c r="G64" s="505">
        <v>2</v>
      </c>
      <c r="H64" s="510"/>
      <c r="I64" s="481"/>
      <c r="J64" s="488"/>
    </row>
    <row r="65" spans="2:10" hidden="1">
      <c r="B65" s="485" t="s">
        <v>137</v>
      </c>
      <c r="C65" s="121" t="s">
        <v>219</v>
      </c>
      <c r="D65" s="503" t="s">
        <v>160</v>
      </c>
      <c r="E65" s="1670"/>
      <c r="F65" s="504">
        <f>E65</f>
        <v>0</v>
      </c>
      <c r="G65" s="505"/>
      <c r="H65" s="510"/>
      <c r="I65" s="481"/>
      <c r="J65" s="488"/>
    </row>
    <row r="66" spans="2:10" hidden="1">
      <c r="B66" s="485" t="s">
        <v>138</v>
      </c>
      <c r="C66" s="121" t="s">
        <v>230</v>
      </c>
      <c r="D66" s="503" t="s">
        <v>160</v>
      </c>
      <c r="E66" s="1670"/>
      <c r="F66" s="504">
        <f>E66</f>
        <v>0</v>
      </c>
      <c r="G66" s="505"/>
      <c r="H66" s="510"/>
      <c r="I66" s="481"/>
      <c r="J66" s="488"/>
    </row>
    <row r="67" spans="2:10" hidden="1">
      <c r="B67" s="485" t="s">
        <v>139</v>
      </c>
      <c r="C67" s="121" t="s">
        <v>216</v>
      </c>
      <c r="D67" s="503" t="s">
        <v>160</v>
      </c>
      <c r="E67" s="1670"/>
      <c r="F67" s="504">
        <f>E67</f>
        <v>0</v>
      </c>
      <c r="G67" s="505"/>
      <c r="H67" s="510"/>
      <c r="I67" s="481"/>
      <c r="J67" s="488"/>
    </row>
    <row r="68" spans="2:10" hidden="1">
      <c r="B68" s="485" t="s">
        <v>1199</v>
      </c>
      <c r="C68" s="121" t="s">
        <v>428</v>
      </c>
      <c r="D68" s="503" t="s">
        <v>160</v>
      </c>
      <c r="E68" s="1671"/>
      <c r="F68" s="504">
        <v>1</v>
      </c>
      <c r="G68" s="505"/>
      <c r="H68" s="510"/>
      <c r="I68" s="481"/>
      <c r="J68" s="488"/>
    </row>
    <row r="69" spans="2:10" ht="15" hidden="1" thickBot="1">
      <c r="B69" s="492"/>
      <c r="C69" s="493" t="s">
        <v>937</v>
      </c>
      <c r="D69" s="507"/>
      <c r="E69" s="512">
        <f>SUM(E57:E68)</f>
        <v>5</v>
      </c>
      <c r="F69" s="512">
        <f>SUM(F57:F68)</f>
        <v>6</v>
      </c>
      <c r="G69" s="513">
        <f>SUM(G57:G68)</f>
        <v>2</v>
      </c>
      <c r="H69" s="512">
        <f>SUM(H57:H61)</f>
        <v>0</v>
      </c>
      <c r="I69" s="513">
        <f>SUM(I57:I60)</f>
        <v>0</v>
      </c>
      <c r="J69" s="514"/>
    </row>
    <row r="70" spans="2:10" hidden="1">
      <c r="B70" s="498"/>
      <c r="C70" s="499" t="s">
        <v>498</v>
      </c>
      <c r="D70" s="483"/>
      <c r="E70" s="476"/>
      <c r="F70" s="500"/>
      <c r="G70" s="500"/>
      <c r="H70" s="500"/>
      <c r="I70" s="501"/>
      <c r="J70" s="502"/>
    </row>
    <row r="71" spans="2:10" hidden="1">
      <c r="B71" s="485" t="s">
        <v>135</v>
      </c>
      <c r="C71" s="121" t="s">
        <v>220</v>
      </c>
      <c r="D71" s="503" t="s">
        <v>160</v>
      </c>
      <c r="E71" s="1669">
        <v>29</v>
      </c>
      <c r="F71" s="504">
        <v>0</v>
      </c>
      <c r="G71" s="489"/>
      <c r="H71" s="510"/>
      <c r="I71" s="490"/>
      <c r="J71" s="488"/>
    </row>
    <row r="72" spans="2:10" hidden="1">
      <c r="B72" s="485" t="s">
        <v>136</v>
      </c>
      <c r="C72" s="121" t="s">
        <v>178</v>
      </c>
      <c r="D72" s="503" t="s">
        <v>160</v>
      </c>
      <c r="E72" s="1670"/>
      <c r="F72" s="504">
        <v>2</v>
      </c>
      <c r="G72" s="489"/>
      <c r="H72" s="510"/>
      <c r="I72" s="481"/>
      <c r="J72" s="488"/>
    </row>
    <row r="73" spans="2:10" hidden="1">
      <c r="B73" s="485" t="s">
        <v>137</v>
      </c>
      <c r="C73" s="121" t="s">
        <v>183</v>
      </c>
      <c r="D73" s="503" t="s">
        <v>160</v>
      </c>
      <c r="E73" s="1670"/>
      <c r="F73" s="504">
        <f>E73</f>
        <v>0</v>
      </c>
      <c r="G73" s="489"/>
      <c r="H73" s="510"/>
      <c r="I73" s="481"/>
      <c r="J73" s="488"/>
    </row>
    <row r="74" spans="2:10" hidden="1">
      <c r="B74" s="485" t="s">
        <v>138</v>
      </c>
      <c r="C74" s="121" t="s">
        <v>231</v>
      </c>
      <c r="D74" s="503" t="s">
        <v>160</v>
      </c>
      <c r="E74" s="1670"/>
      <c r="F74" s="504">
        <f>E74</f>
        <v>0</v>
      </c>
      <c r="G74" s="489"/>
      <c r="H74" s="510"/>
      <c r="I74" s="481"/>
      <c r="J74" s="488"/>
    </row>
    <row r="75" spans="2:10" hidden="1">
      <c r="B75" s="485" t="s">
        <v>139</v>
      </c>
      <c r="C75" s="121" t="s">
        <v>208</v>
      </c>
      <c r="D75" s="503" t="s">
        <v>160</v>
      </c>
      <c r="E75" s="1670"/>
      <c r="F75" s="504">
        <f>E75</f>
        <v>0</v>
      </c>
      <c r="G75" s="489"/>
      <c r="H75" s="510"/>
      <c r="I75" s="481"/>
      <c r="J75" s="488"/>
    </row>
    <row r="76" spans="2:10" hidden="1">
      <c r="B76" s="485" t="s">
        <v>140</v>
      </c>
      <c r="C76" s="121" t="s">
        <v>243</v>
      </c>
      <c r="D76" s="503" t="s">
        <v>160</v>
      </c>
      <c r="E76" s="1670"/>
      <c r="F76" s="504">
        <f>E76</f>
        <v>0</v>
      </c>
      <c r="G76" s="489"/>
      <c r="H76" s="510"/>
      <c r="I76" s="481"/>
      <c r="J76" s="488"/>
    </row>
    <row r="77" spans="2:10" hidden="1">
      <c r="B77" s="485" t="s">
        <v>141</v>
      </c>
      <c r="C77" s="121" t="s">
        <v>240</v>
      </c>
      <c r="D77" s="503" t="s">
        <v>160</v>
      </c>
      <c r="E77" s="1670"/>
      <c r="F77" s="504">
        <f>E77</f>
        <v>0</v>
      </c>
      <c r="G77" s="489"/>
      <c r="H77" s="510"/>
      <c r="I77" s="481"/>
      <c r="J77" s="488"/>
    </row>
    <row r="78" spans="2:10" hidden="1">
      <c r="B78" s="485">
        <v>2</v>
      </c>
      <c r="C78" s="515" t="s">
        <v>387</v>
      </c>
      <c r="D78" s="479"/>
      <c r="E78" s="1670"/>
      <c r="F78" s="489"/>
      <c r="G78" s="489"/>
      <c r="H78" s="510"/>
      <c r="I78" s="481"/>
      <c r="J78" s="488"/>
    </row>
    <row r="79" spans="2:10" hidden="1">
      <c r="B79" s="485" t="s">
        <v>135</v>
      </c>
      <c r="C79" s="121" t="s">
        <v>221</v>
      </c>
      <c r="D79" s="503" t="s">
        <v>160</v>
      </c>
      <c r="E79" s="1670"/>
      <c r="F79" s="489">
        <v>0</v>
      </c>
      <c r="G79" s="489"/>
      <c r="H79" s="510"/>
      <c r="I79" s="481"/>
      <c r="J79" s="488"/>
    </row>
    <row r="80" spans="2:10" hidden="1">
      <c r="B80" s="485" t="s">
        <v>136</v>
      </c>
      <c r="C80" s="121" t="s">
        <v>188</v>
      </c>
      <c r="D80" s="503" t="s">
        <v>160</v>
      </c>
      <c r="E80" s="1670"/>
      <c r="F80" s="489">
        <v>1</v>
      </c>
      <c r="G80" s="489">
        <v>5</v>
      </c>
      <c r="H80" s="510"/>
      <c r="I80" s="481"/>
      <c r="J80" s="488"/>
    </row>
    <row r="81" spans="2:10" hidden="1">
      <c r="B81" s="485" t="s">
        <v>137</v>
      </c>
      <c r="C81" s="121" t="s">
        <v>213</v>
      </c>
      <c r="D81" s="503" t="s">
        <v>160</v>
      </c>
      <c r="E81" s="1670"/>
      <c r="F81" s="489">
        <v>2</v>
      </c>
      <c r="G81" s="489">
        <v>2</v>
      </c>
      <c r="H81" s="510"/>
      <c r="I81" s="481"/>
      <c r="J81" s="488"/>
    </row>
    <row r="82" spans="2:10" hidden="1">
      <c r="B82" s="485" t="s">
        <v>138</v>
      </c>
      <c r="C82" s="121" t="s">
        <v>212</v>
      </c>
      <c r="D82" s="503" t="s">
        <v>160</v>
      </c>
      <c r="E82" s="1670"/>
      <c r="F82" s="489">
        <v>0</v>
      </c>
      <c r="G82" s="489"/>
      <c r="H82" s="510"/>
      <c r="I82" s="481"/>
      <c r="J82" s="488"/>
    </row>
    <row r="83" spans="2:10" hidden="1">
      <c r="B83" s="485" t="s">
        <v>139</v>
      </c>
      <c r="C83" s="121" t="s">
        <v>209</v>
      </c>
      <c r="D83" s="503" t="s">
        <v>160</v>
      </c>
      <c r="E83" s="1670"/>
      <c r="F83" s="489">
        <v>1</v>
      </c>
      <c r="G83" s="489">
        <v>1</v>
      </c>
      <c r="H83" s="510"/>
      <c r="I83" s="481"/>
      <c r="J83" s="488"/>
    </row>
    <row r="84" spans="2:10" hidden="1">
      <c r="B84" s="485" t="s">
        <v>140</v>
      </c>
      <c r="C84" s="121" t="s">
        <v>186</v>
      </c>
      <c r="D84" s="503" t="s">
        <v>160</v>
      </c>
      <c r="E84" s="1670"/>
      <c r="F84" s="489">
        <v>2</v>
      </c>
      <c r="G84" s="489">
        <v>2</v>
      </c>
      <c r="H84" s="510"/>
      <c r="I84" s="481"/>
      <c r="J84" s="488"/>
    </row>
    <row r="85" spans="2:10" hidden="1">
      <c r="B85" s="485" t="s">
        <v>141</v>
      </c>
      <c r="C85" s="121" t="s">
        <v>218</v>
      </c>
      <c r="D85" s="503" t="s">
        <v>160</v>
      </c>
      <c r="E85" s="1670"/>
      <c r="F85" s="489">
        <v>2</v>
      </c>
      <c r="G85" s="489">
        <v>2</v>
      </c>
      <c r="H85" s="510"/>
      <c r="I85" s="481"/>
      <c r="J85" s="488"/>
    </row>
    <row r="86" spans="2:10" hidden="1">
      <c r="B86" s="485" t="s">
        <v>142</v>
      </c>
      <c r="C86" s="121" t="s">
        <v>429</v>
      </c>
      <c r="D86" s="503" t="s">
        <v>160</v>
      </c>
      <c r="E86" s="1671"/>
      <c r="F86" s="489">
        <v>2</v>
      </c>
      <c r="G86" s="489"/>
      <c r="H86" s="510"/>
      <c r="I86" s="481"/>
      <c r="J86" s="488"/>
    </row>
    <row r="87" spans="2:10" ht="15" hidden="1" thickBot="1">
      <c r="B87" s="492"/>
      <c r="C87" s="493" t="s">
        <v>947</v>
      </c>
      <c r="D87" s="507"/>
      <c r="E87" s="513">
        <f>SUM(E71:E76)</f>
        <v>29</v>
      </c>
      <c r="F87" s="513">
        <f>SUM(F71:F86)</f>
        <v>12</v>
      </c>
      <c r="G87" s="513">
        <f>SUM(G71:G76)</f>
        <v>0</v>
      </c>
      <c r="H87" s="512">
        <f>SUM(H71:H76)</f>
        <v>0</v>
      </c>
      <c r="I87" s="516">
        <f>SUM(I71:I76)</f>
        <v>0</v>
      </c>
      <c r="J87" s="514"/>
    </row>
    <row r="88" spans="2:10" ht="15" hidden="1" thickBot="1">
      <c r="B88" s="517"/>
      <c r="C88" s="518" t="s">
        <v>938</v>
      </c>
      <c r="D88" s="519"/>
      <c r="E88" s="520">
        <f>E43+E55+E69+E87</f>
        <v>287</v>
      </c>
      <c r="F88" s="520">
        <f>F43+F55+F69+F87</f>
        <v>305</v>
      </c>
      <c r="G88" s="520">
        <f>G43+G55+G69+G87</f>
        <v>311</v>
      </c>
      <c r="H88" s="521">
        <f>H43+H55+H69+H87</f>
        <v>-45</v>
      </c>
      <c r="I88" s="520">
        <f>I43+I55+I69+I87</f>
        <v>0</v>
      </c>
      <c r="J88" s="522"/>
    </row>
  </sheetData>
  <mergeCells count="15">
    <mergeCell ref="E35:E42"/>
    <mergeCell ref="E45:E54"/>
    <mergeCell ref="E57:E68"/>
    <mergeCell ref="E71:E86"/>
    <mergeCell ref="B16:J16"/>
    <mergeCell ref="B1:I1"/>
    <mergeCell ref="B2:H2"/>
    <mergeCell ref="I2:J2"/>
    <mergeCell ref="B4:B5"/>
    <mergeCell ref="C4:C5"/>
    <mergeCell ref="D4:D5"/>
    <mergeCell ref="E4:E5"/>
    <mergeCell ref="F4:F5"/>
    <mergeCell ref="G4:G5"/>
    <mergeCell ref="H4:I4"/>
  </mergeCells>
  <pageMargins left="0.7" right="0.7" top="0.75" bottom="0.75" header="0.3" footer="0.3"/>
  <pageSetup scale="87" orientation="landscape" horizontalDpi="300" verticalDpi="300" r:id="rId1"/>
  <ignoredErrors>
    <ignoredError sqref="F55:H55 F87 H69" formula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rgb="FFFFFF00"/>
    <pageSetUpPr fitToPage="1"/>
  </sheetPr>
  <dimension ref="A1:O50"/>
  <sheetViews>
    <sheetView topLeftCell="A44" zoomScale="90" zoomScaleNormal="90" workbookViewId="0">
      <selection activeCell="H50" sqref="H50"/>
    </sheetView>
  </sheetViews>
  <sheetFormatPr defaultColWidth="9.1796875" defaultRowHeight="14.5"/>
  <cols>
    <col min="1" max="1" width="6.26953125" style="2" bestFit="1" customWidth="1"/>
    <col min="2" max="2" width="83.7265625" style="8" customWidth="1"/>
    <col min="3" max="3" width="6.7265625" style="8" customWidth="1"/>
    <col min="4" max="4" width="9.26953125" style="2" customWidth="1"/>
    <col min="5" max="5" width="11.26953125" style="2" customWidth="1"/>
    <col min="6" max="6" width="8.81640625" style="13" customWidth="1"/>
    <col min="7" max="7" width="13.1796875" style="2" bestFit="1" customWidth="1"/>
    <col min="8" max="8" width="28.453125" style="13" bestFit="1" customWidth="1"/>
    <col min="9" max="9" width="29.81640625" style="13" hidden="1" customWidth="1"/>
    <col min="10" max="10" width="9.1796875" style="140"/>
    <col min="11" max="16384" width="9.1796875" style="2"/>
  </cols>
  <sheetData>
    <row r="1" spans="1:15" s="9" customFormat="1" ht="17">
      <c r="A1" s="1676" t="s">
        <v>120</v>
      </c>
      <c r="B1" s="1677"/>
      <c r="C1" s="1677"/>
      <c r="D1" s="1677"/>
      <c r="E1" s="1677"/>
      <c r="F1" s="1677"/>
      <c r="G1" s="1677"/>
      <c r="H1" s="1677"/>
      <c r="I1" s="1677"/>
    </row>
    <row r="2" spans="1:15" s="9" customFormat="1" ht="17">
      <c r="A2" s="657" t="str">
        <f>Foundation!A2</f>
        <v xml:space="preserve"> TA413 : 765 KV D/C Bikaner III - Neemrana II TL02</v>
      </c>
      <c r="B2" s="658"/>
      <c r="C2" s="658"/>
      <c r="D2" s="658"/>
      <c r="E2" s="658"/>
      <c r="F2" s="658"/>
      <c r="G2" s="658"/>
      <c r="H2" s="658"/>
      <c r="I2" s="658"/>
    </row>
    <row r="3" spans="1:15" s="9" customFormat="1" ht="17">
      <c r="A3" s="1676" t="s">
        <v>144</v>
      </c>
      <c r="B3" s="1677"/>
      <c r="C3" s="1677"/>
      <c r="D3" s="1677"/>
      <c r="E3" s="1677"/>
      <c r="F3" s="1677"/>
      <c r="G3" s="1677"/>
      <c r="H3" s="1677"/>
      <c r="I3" s="1677"/>
    </row>
    <row r="4" spans="1:15" ht="15.5">
      <c r="A4" s="1594"/>
      <c r="B4" s="1594"/>
      <c r="C4" s="1594"/>
      <c r="D4" s="1594"/>
      <c r="E4" s="1594"/>
      <c r="F4" s="1594"/>
      <c r="G4" s="1594"/>
      <c r="H4" s="1675" t="str">
        <f>TA413_PBNTL!M1</f>
        <v>17.07.2026</v>
      </c>
      <c r="I4" s="1675"/>
      <c r="J4" s="2"/>
    </row>
    <row r="5" spans="1:15" ht="43.5">
      <c r="A5" s="38" t="s">
        <v>20</v>
      </c>
      <c r="B5" s="38" t="s">
        <v>131</v>
      </c>
      <c r="C5" s="75" t="s">
        <v>88</v>
      </c>
      <c r="D5" s="75" t="s">
        <v>245</v>
      </c>
      <c r="E5" s="75" t="s">
        <v>246</v>
      </c>
      <c r="F5" s="70" t="s">
        <v>89</v>
      </c>
      <c r="G5" s="75" t="s">
        <v>90</v>
      </c>
      <c r="H5" s="70" t="s">
        <v>222</v>
      </c>
      <c r="I5" s="70" t="s">
        <v>32</v>
      </c>
      <c r="J5" s="2"/>
    </row>
    <row r="6" spans="1:15">
      <c r="A6" s="76" t="s">
        <v>83</v>
      </c>
      <c r="B6" s="77" t="s">
        <v>101</v>
      </c>
      <c r="C6" s="75"/>
      <c r="D6" s="75"/>
      <c r="E6" s="75"/>
      <c r="F6" s="461"/>
      <c r="G6" s="75"/>
      <c r="H6" s="70"/>
      <c r="I6" s="70"/>
      <c r="J6" s="2"/>
    </row>
    <row r="7" spans="1:15" ht="15.5">
      <c r="A7" s="3" t="s">
        <v>135</v>
      </c>
      <c r="B7" s="121" t="s">
        <v>313</v>
      </c>
      <c r="C7" s="3" t="s">
        <v>122</v>
      </c>
      <c r="D7" s="3">
        <v>5968</v>
      </c>
      <c r="E7" s="3">
        <v>6084</v>
      </c>
      <c r="F7" s="3">
        <v>6084</v>
      </c>
      <c r="G7" s="608">
        <f>+E7-F7</f>
        <v>0</v>
      </c>
      <c r="H7" s="122" t="s">
        <v>1518</v>
      </c>
      <c r="I7" s="59"/>
      <c r="J7" s="140">
        <f>F7/E7</f>
        <v>1</v>
      </c>
      <c r="M7" s="177">
        <f>D7+D8</f>
        <v>10480</v>
      </c>
      <c r="N7" s="2">
        <f>G7+G8</f>
        <v>192</v>
      </c>
      <c r="O7" s="140">
        <f>N7/M7</f>
        <v>1.8320610687022901E-2</v>
      </c>
    </row>
    <row r="8" spans="1:15" ht="15.5">
      <c r="A8" s="3" t="s">
        <v>136</v>
      </c>
      <c r="B8" s="121" t="s">
        <v>314</v>
      </c>
      <c r="C8" s="3" t="s">
        <v>122</v>
      </c>
      <c r="D8" s="3">
        <v>4512</v>
      </c>
      <c r="E8" s="3">
        <v>5952</v>
      </c>
      <c r="F8" s="3">
        <v>5760</v>
      </c>
      <c r="G8" s="608">
        <f>+E8-F8</f>
        <v>192</v>
      </c>
      <c r="H8" s="122" t="s">
        <v>1518</v>
      </c>
      <c r="I8" s="59"/>
      <c r="J8" s="140">
        <f t="shared" ref="J8:J37" si="0">F8/E8</f>
        <v>0.967741935483871</v>
      </c>
    </row>
    <row r="9" spans="1:15" ht="15.5">
      <c r="A9" s="76" t="s">
        <v>84</v>
      </c>
      <c r="B9" s="77" t="s">
        <v>981</v>
      </c>
      <c r="C9" s="3" t="s">
        <v>143</v>
      </c>
      <c r="D9" s="3">
        <v>4095</v>
      </c>
      <c r="E9" s="26">
        <v>4285.0559999999996</v>
      </c>
      <c r="F9" s="724">
        <v>4285</v>
      </c>
      <c r="G9" s="1044">
        <f>+E9-F9</f>
        <v>5.599999999958527E-2</v>
      </c>
      <c r="H9" s="122" t="s">
        <v>338</v>
      </c>
      <c r="I9" s="59"/>
      <c r="J9" s="140">
        <f t="shared" si="0"/>
        <v>0.99998693132598515</v>
      </c>
      <c r="K9" s="2" t="s">
        <v>991</v>
      </c>
      <c r="L9" s="139">
        <f>E9-F9</f>
        <v>5.599999999958527E-2</v>
      </c>
      <c r="O9" s="177"/>
    </row>
    <row r="10" spans="1:15" ht="15.5">
      <c r="A10" s="76" t="s">
        <v>85</v>
      </c>
      <c r="B10" s="77" t="s">
        <v>125</v>
      </c>
      <c r="C10" s="3" t="s">
        <v>143</v>
      </c>
      <c r="D10" s="78">
        <v>114</v>
      </c>
      <c r="E10" s="26">
        <v>121.471</v>
      </c>
      <c r="F10" s="554">
        <f>E10</f>
        <v>121.471</v>
      </c>
      <c r="G10" s="933">
        <f>+E10-F10</f>
        <v>0</v>
      </c>
      <c r="H10" s="122" t="s">
        <v>337</v>
      </c>
      <c r="I10" s="59"/>
      <c r="J10" s="140">
        <f t="shared" si="0"/>
        <v>1</v>
      </c>
      <c r="K10" s="2" t="s">
        <v>991</v>
      </c>
      <c r="M10" s="190"/>
    </row>
    <row r="11" spans="1:15">
      <c r="A11" s="76" t="s">
        <v>86</v>
      </c>
      <c r="B11" s="77" t="s">
        <v>132</v>
      </c>
      <c r="C11" s="3"/>
      <c r="D11" s="78"/>
      <c r="E11" s="78"/>
      <c r="F11" s="62"/>
      <c r="G11" s="608"/>
      <c r="H11" s="10"/>
      <c r="I11" s="55"/>
    </row>
    <row r="12" spans="1:15" ht="15.5">
      <c r="A12" s="3" t="s">
        <v>135</v>
      </c>
      <c r="B12" s="58" t="s">
        <v>315</v>
      </c>
      <c r="C12" s="3" t="s">
        <v>126</v>
      </c>
      <c r="D12" s="3">
        <v>1446</v>
      </c>
      <c r="E12" s="3">
        <v>1476</v>
      </c>
      <c r="F12" s="62">
        <v>1476</v>
      </c>
      <c r="G12" s="608">
        <f>+E12-F12</f>
        <v>0</v>
      </c>
      <c r="H12" s="122" t="s">
        <v>339</v>
      </c>
      <c r="I12" s="59"/>
      <c r="J12" s="140">
        <f t="shared" si="0"/>
        <v>1</v>
      </c>
    </row>
    <row r="13" spans="1:15" ht="15.5">
      <c r="A13" s="3" t="s">
        <v>136</v>
      </c>
      <c r="B13" s="58" t="s">
        <v>316</v>
      </c>
      <c r="C13" s="3" t="s">
        <v>126</v>
      </c>
      <c r="D13" s="3">
        <v>88</v>
      </c>
      <c r="E13" s="3">
        <v>86</v>
      </c>
      <c r="F13" s="62">
        <v>86</v>
      </c>
      <c r="G13" s="608">
        <f t="shared" ref="G13:G19" si="1">+E13-F13</f>
        <v>0</v>
      </c>
      <c r="H13" s="122" t="s">
        <v>339</v>
      </c>
      <c r="I13" s="59"/>
      <c r="J13" s="140">
        <f t="shared" si="0"/>
        <v>1</v>
      </c>
    </row>
    <row r="14" spans="1:15" ht="15.5">
      <c r="A14" s="3" t="s">
        <v>137</v>
      </c>
      <c r="B14" s="59" t="s">
        <v>317</v>
      </c>
      <c r="C14" s="3" t="s">
        <v>126</v>
      </c>
      <c r="D14" s="3">
        <v>564</v>
      </c>
      <c r="E14" s="3">
        <v>744</v>
      </c>
      <c r="F14" s="62">
        <v>720</v>
      </c>
      <c r="G14" s="608">
        <f t="shared" si="1"/>
        <v>24</v>
      </c>
      <c r="H14" s="122" t="s">
        <v>339</v>
      </c>
      <c r="I14" s="59"/>
      <c r="J14" s="140">
        <f t="shared" si="0"/>
        <v>0.967741935483871</v>
      </c>
      <c r="L14" s="139"/>
    </row>
    <row r="15" spans="1:15">
      <c r="A15" s="76" t="s">
        <v>123</v>
      </c>
      <c r="B15" s="77" t="s">
        <v>982</v>
      </c>
      <c r="C15" s="3"/>
      <c r="D15" s="3"/>
      <c r="E15" s="3"/>
      <c r="F15" s="62"/>
      <c r="G15" s="608"/>
      <c r="H15" s="10"/>
      <c r="I15" s="59"/>
      <c r="L15" s="177"/>
    </row>
    <row r="16" spans="1:15" ht="15.5">
      <c r="A16" s="3" t="s">
        <v>135</v>
      </c>
      <c r="B16" s="58" t="s">
        <v>318</v>
      </c>
      <c r="C16" s="3" t="s">
        <v>122</v>
      </c>
      <c r="D16" s="3">
        <v>2048</v>
      </c>
      <c r="E16" s="3">
        <f>D16</f>
        <v>2048</v>
      </c>
      <c r="F16" s="62">
        <v>2048</v>
      </c>
      <c r="G16" s="1044">
        <f>+E16-F16</f>
        <v>0</v>
      </c>
      <c r="H16" s="122" t="s">
        <v>339</v>
      </c>
      <c r="I16" s="59"/>
      <c r="J16" s="140">
        <f t="shared" si="0"/>
        <v>1</v>
      </c>
    </row>
    <row r="17" spans="1:13" ht="15.5">
      <c r="A17" s="3" t="s">
        <v>136</v>
      </c>
      <c r="B17" s="58" t="s">
        <v>319</v>
      </c>
      <c r="C17" s="3" t="s">
        <v>122</v>
      </c>
      <c r="D17" s="3">
        <v>683</v>
      </c>
      <c r="E17" s="3">
        <f>D17</f>
        <v>683</v>
      </c>
      <c r="F17" s="62">
        <v>683</v>
      </c>
      <c r="G17" s="1044">
        <f t="shared" si="1"/>
        <v>0</v>
      </c>
      <c r="H17" s="122" t="s">
        <v>339</v>
      </c>
      <c r="I17" s="59"/>
      <c r="J17" s="140">
        <f t="shared" si="0"/>
        <v>1</v>
      </c>
    </row>
    <row r="18" spans="1:13" ht="15.5">
      <c r="A18" s="3" t="s">
        <v>137</v>
      </c>
      <c r="B18" s="58" t="s">
        <v>320</v>
      </c>
      <c r="C18" s="3" t="s">
        <v>122</v>
      </c>
      <c r="D18" s="3">
        <v>12054</v>
      </c>
      <c r="E18" s="3">
        <v>13068</v>
      </c>
      <c r="F18" s="62">
        <v>13002</v>
      </c>
      <c r="G18" s="1044">
        <f t="shared" si="1"/>
        <v>66</v>
      </c>
      <c r="H18" s="122" t="s">
        <v>339</v>
      </c>
      <c r="I18" s="59"/>
      <c r="J18" s="140">
        <f t="shared" si="0"/>
        <v>0.99494949494949492</v>
      </c>
    </row>
    <row r="19" spans="1:13" ht="15.5">
      <c r="A19" s="3" t="s">
        <v>138</v>
      </c>
      <c r="B19" s="58" t="s">
        <v>321</v>
      </c>
      <c r="C19" s="3" t="s">
        <v>122</v>
      </c>
      <c r="D19" s="3">
        <v>1380</v>
      </c>
      <c r="E19" s="3">
        <v>2335</v>
      </c>
      <c r="F19" s="62">
        <v>2225</v>
      </c>
      <c r="G19" s="1044">
        <f t="shared" si="1"/>
        <v>110</v>
      </c>
      <c r="H19" s="122" t="s">
        <v>339</v>
      </c>
      <c r="I19" s="59"/>
      <c r="J19" s="140">
        <f t="shared" si="0"/>
        <v>0.95289079229122053</v>
      </c>
    </row>
    <row r="20" spans="1:13">
      <c r="A20" s="76" t="s">
        <v>124</v>
      </c>
      <c r="B20" s="77" t="s">
        <v>133</v>
      </c>
      <c r="C20" s="3"/>
      <c r="D20" s="3"/>
      <c r="E20" s="3"/>
      <c r="F20" s="62"/>
      <c r="G20" s="1044"/>
      <c r="H20" s="10"/>
      <c r="I20" s="55"/>
    </row>
    <row r="21" spans="1:13" ht="15.5">
      <c r="A21" s="3" t="s">
        <v>136</v>
      </c>
      <c r="B21" s="58" t="s">
        <v>157</v>
      </c>
      <c r="C21" s="3" t="s">
        <v>122</v>
      </c>
      <c r="D21" s="3">
        <v>335</v>
      </c>
      <c r="E21" s="3">
        <v>368</v>
      </c>
      <c r="F21" s="62">
        <v>366</v>
      </c>
      <c r="G21" s="1044">
        <f t="shared" ref="G21:G40" si="2">+E21-F21</f>
        <v>2</v>
      </c>
      <c r="H21" s="122" t="s">
        <v>339</v>
      </c>
      <c r="I21" s="59"/>
      <c r="J21" s="140">
        <f t="shared" si="0"/>
        <v>0.99456521739130432</v>
      </c>
    </row>
    <row r="22" spans="1:13" ht="15.5">
      <c r="A22" s="3" t="s">
        <v>137</v>
      </c>
      <c r="B22" s="58" t="s">
        <v>128</v>
      </c>
      <c r="C22" s="3" t="s">
        <v>122</v>
      </c>
      <c r="D22" s="3">
        <v>670</v>
      </c>
      <c r="E22" s="3">
        <v>736</v>
      </c>
      <c r="F22" s="62">
        <v>732</v>
      </c>
      <c r="G22" s="1044">
        <f t="shared" si="2"/>
        <v>4</v>
      </c>
      <c r="H22" s="122" t="s">
        <v>339</v>
      </c>
      <c r="I22" s="59"/>
      <c r="J22" s="140">
        <f t="shared" si="0"/>
        <v>0.99456521739130432</v>
      </c>
    </row>
    <row r="23" spans="1:13" ht="22.15" customHeight="1">
      <c r="A23" s="3" t="s">
        <v>138</v>
      </c>
      <c r="B23" s="58" t="s">
        <v>129</v>
      </c>
      <c r="C23" s="3" t="s">
        <v>122</v>
      </c>
      <c r="D23" s="3">
        <v>241</v>
      </c>
      <c r="E23" s="3">
        <v>246</v>
      </c>
      <c r="F23" s="62">
        <v>246</v>
      </c>
      <c r="G23" s="1044">
        <f t="shared" si="2"/>
        <v>0</v>
      </c>
      <c r="H23" s="122" t="s">
        <v>339</v>
      </c>
      <c r="I23" s="59"/>
      <c r="J23" s="140">
        <f t="shared" si="0"/>
        <v>1</v>
      </c>
    </row>
    <row r="24" spans="1:13" ht="15.5">
      <c r="A24" s="3" t="s">
        <v>139</v>
      </c>
      <c r="B24" s="58" t="s">
        <v>130</v>
      </c>
      <c r="C24" s="3" t="s">
        <v>122</v>
      </c>
      <c r="D24" s="3">
        <v>92</v>
      </c>
      <c r="E24" s="3">
        <v>124</v>
      </c>
      <c r="F24" s="62">
        <v>120</v>
      </c>
      <c r="G24" s="1044">
        <f t="shared" si="2"/>
        <v>4</v>
      </c>
      <c r="H24" s="122" t="s">
        <v>339</v>
      </c>
      <c r="I24" s="59"/>
      <c r="J24" s="140">
        <f t="shared" si="0"/>
        <v>0.967741935483871</v>
      </c>
    </row>
    <row r="25" spans="1:13" ht="15.5">
      <c r="A25" s="3" t="s">
        <v>140</v>
      </c>
      <c r="B25" s="58" t="s">
        <v>322</v>
      </c>
      <c r="C25" s="3" t="s">
        <v>122</v>
      </c>
      <c r="D25" s="3">
        <v>63</v>
      </c>
      <c r="E25" s="3">
        <f>D25</f>
        <v>63</v>
      </c>
      <c r="F25" s="62">
        <v>63</v>
      </c>
      <c r="G25" s="1044">
        <f t="shared" si="2"/>
        <v>0</v>
      </c>
      <c r="H25" s="122" t="s">
        <v>339</v>
      </c>
      <c r="I25" s="59"/>
      <c r="J25" s="140">
        <f t="shared" si="0"/>
        <v>1</v>
      </c>
    </row>
    <row r="26" spans="1:13">
      <c r="A26" s="76" t="s">
        <v>285</v>
      </c>
      <c r="B26" s="77" t="s">
        <v>134</v>
      </c>
      <c r="C26" s="3"/>
      <c r="D26" s="3"/>
      <c r="E26" s="3"/>
      <c r="F26" s="62"/>
      <c r="G26" s="608"/>
      <c r="H26" s="10"/>
      <c r="I26" s="55"/>
    </row>
    <row r="27" spans="1:13" ht="15.5">
      <c r="A27" s="3" t="s">
        <v>135</v>
      </c>
      <c r="B27" s="58" t="s">
        <v>323</v>
      </c>
      <c r="C27" s="3" t="s">
        <v>324</v>
      </c>
      <c r="D27" s="26">
        <v>118.557</v>
      </c>
      <c r="E27" s="26">
        <v>123.542</v>
      </c>
      <c r="F27" s="554">
        <f>80+37.33</f>
        <v>117.33</v>
      </c>
      <c r="G27" s="933">
        <f t="shared" si="2"/>
        <v>6.2120000000000033</v>
      </c>
      <c r="H27" s="122" t="s">
        <v>338</v>
      </c>
      <c r="I27" s="59"/>
      <c r="J27" s="140">
        <f t="shared" si="0"/>
        <v>0.94971750497806406</v>
      </c>
      <c r="M27" s="2">
        <v>117.33</v>
      </c>
    </row>
    <row r="28" spans="1:13" ht="15.5">
      <c r="A28" s="3" t="s">
        <v>136</v>
      </c>
      <c r="B28" s="58" t="s">
        <v>325</v>
      </c>
      <c r="C28" s="3" t="s">
        <v>122</v>
      </c>
      <c r="D28" s="3">
        <v>1167</v>
      </c>
      <c r="E28" s="3">
        <v>933</v>
      </c>
      <c r="F28" s="675">
        <f>896+37</f>
        <v>933</v>
      </c>
      <c r="G28" s="1044">
        <f t="shared" si="2"/>
        <v>0</v>
      </c>
      <c r="H28" s="122" t="s">
        <v>339</v>
      </c>
      <c r="I28" s="59"/>
      <c r="J28" s="140">
        <f t="shared" si="0"/>
        <v>1</v>
      </c>
    </row>
    <row r="29" spans="1:13" ht="15.5">
      <c r="A29" s="3" t="s">
        <v>137</v>
      </c>
      <c r="B29" s="58" t="s">
        <v>326</v>
      </c>
      <c r="C29" s="3" t="s">
        <v>122</v>
      </c>
      <c r="D29" s="3">
        <v>237</v>
      </c>
      <c r="E29" s="3">
        <v>226</v>
      </c>
      <c r="F29" s="62">
        <v>226</v>
      </c>
      <c r="G29" s="1044">
        <f t="shared" si="2"/>
        <v>0</v>
      </c>
      <c r="H29" s="122" t="s">
        <v>339</v>
      </c>
      <c r="I29" s="59"/>
      <c r="J29" s="140">
        <f t="shared" si="0"/>
        <v>1</v>
      </c>
    </row>
    <row r="30" spans="1:13" ht="15.5">
      <c r="A30" s="3" t="s">
        <v>138</v>
      </c>
      <c r="B30" s="58" t="s">
        <v>327</v>
      </c>
      <c r="C30" s="3" t="s">
        <v>122</v>
      </c>
      <c r="D30" s="3">
        <v>5</v>
      </c>
      <c r="E30" s="3">
        <v>20</v>
      </c>
      <c r="F30" s="62">
        <v>20</v>
      </c>
      <c r="G30" s="1044">
        <f t="shared" si="2"/>
        <v>0</v>
      </c>
      <c r="H30" s="122" t="s">
        <v>339</v>
      </c>
      <c r="I30" s="59"/>
      <c r="J30" s="140">
        <f t="shared" si="0"/>
        <v>1</v>
      </c>
    </row>
    <row r="31" spans="1:13" ht="15.5">
      <c r="A31" s="3" t="s">
        <v>139</v>
      </c>
      <c r="B31" s="58" t="s">
        <v>328</v>
      </c>
      <c r="C31" s="3" t="s">
        <v>122</v>
      </c>
      <c r="D31" s="3">
        <v>20</v>
      </c>
      <c r="E31" s="3">
        <v>20</v>
      </c>
      <c r="F31" s="62">
        <v>20</v>
      </c>
      <c r="G31" s="1044">
        <f t="shared" si="2"/>
        <v>0</v>
      </c>
      <c r="H31" s="122" t="s">
        <v>339</v>
      </c>
      <c r="I31" s="59"/>
      <c r="J31" s="140">
        <f t="shared" si="0"/>
        <v>1</v>
      </c>
    </row>
    <row r="32" spans="1:13" ht="15.5">
      <c r="A32" s="3" t="s">
        <v>140</v>
      </c>
      <c r="B32" s="58" t="s">
        <v>329</v>
      </c>
      <c r="C32" s="3" t="s">
        <v>122</v>
      </c>
      <c r="D32" s="3">
        <v>21</v>
      </c>
      <c r="E32" s="3">
        <v>53</v>
      </c>
      <c r="F32" s="62">
        <f>21+32</f>
        <v>53</v>
      </c>
      <c r="G32" s="1044">
        <f t="shared" si="2"/>
        <v>0</v>
      </c>
      <c r="H32" s="122" t="s">
        <v>339</v>
      </c>
      <c r="I32" s="59"/>
      <c r="J32" s="140">
        <f t="shared" si="0"/>
        <v>1</v>
      </c>
    </row>
    <row r="33" spans="1:13" ht="15.5">
      <c r="A33" s="3" t="s">
        <v>141</v>
      </c>
      <c r="B33" s="58" t="s">
        <v>330</v>
      </c>
      <c r="C33" s="3" t="s">
        <v>122</v>
      </c>
      <c r="D33" s="3">
        <v>1</v>
      </c>
      <c r="E33" s="3">
        <f>D33</f>
        <v>1</v>
      </c>
      <c r="F33" s="62">
        <v>1</v>
      </c>
      <c r="G33" s="1044">
        <f t="shared" si="2"/>
        <v>0</v>
      </c>
      <c r="H33" s="122" t="s">
        <v>339</v>
      </c>
      <c r="I33" s="59"/>
      <c r="J33" s="140">
        <f t="shared" si="0"/>
        <v>1</v>
      </c>
    </row>
    <row r="34" spans="1:13" ht="15.5">
      <c r="A34" s="3" t="s">
        <v>142</v>
      </c>
      <c r="B34" s="58" t="s">
        <v>158</v>
      </c>
      <c r="C34" s="3" t="s">
        <v>122</v>
      </c>
      <c r="D34" s="3">
        <v>1228</v>
      </c>
      <c r="E34" s="3">
        <v>859</v>
      </c>
      <c r="F34" s="62">
        <v>859</v>
      </c>
      <c r="G34" s="1044">
        <f t="shared" si="2"/>
        <v>0</v>
      </c>
      <c r="H34" s="122" t="s">
        <v>339</v>
      </c>
      <c r="I34" s="59" t="s">
        <v>304</v>
      </c>
      <c r="J34" s="140">
        <f t="shared" si="0"/>
        <v>1</v>
      </c>
    </row>
    <row r="35" spans="1:13" ht="15.5">
      <c r="A35" s="3" t="s">
        <v>1615</v>
      </c>
      <c r="B35" s="58" t="s">
        <v>1614</v>
      </c>
      <c r="C35" s="3" t="s">
        <v>127</v>
      </c>
      <c r="D35" s="3">
        <v>25</v>
      </c>
      <c r="E35" s="3">
        <v>27</v>
      </c>
      <c r="F35" s="62">
        <v>25</v>
      </c>
      <c r="G35" s="1044">
        <f t="shared" si="2"/>
        <v>2</v>
      </c>
      <c r="H35" s="122"/>
      <c r="I35" s="59"/>
      <c r="J35" s="140">
        <f t="shared" si="0"/>
        <v>0.92592592592592593</v>
      </c>
    </row>
    <row r="36" spans="1:13">
      <c r="A36" s="76" t="s">
        <v>286</v>
      </c>
      <c r="B36" s="77" t="s">
        <v>287</v>
      </c>
      <c r="C36" s="3"/>
      <c r="D36" s="3"/>
      <c r="E36" s="3"/>
      <c r="F36" s="62"/>
      <c r="G36" s="608"/>
      <c r="H36" s="10"/>
      <c r="I36" s="59"/>
    </row>
    <row r="37" spans="1:13" ht="15.5">
      <c r="A37" s="3" t="s">
        <v>331</v>
      </c>
      <c r="B37" s="69" t="s">
        <v>332</v>
      </c>
      <c r="C37" s="3" t="s">
        <v>127</v>
      </c>
      <c r="D37" s="3">
        <v>200</v>
      </c>
      <c r="E37" s="10">
        <v>309</v>
      </c>
      <c r="F37" s="62">
        <v>309</v>
      </c>
      <c r="G37" s="1044">
        <f t="shared" si="2"/>
        <v>0</v>
      </c>
      <c r="H37" s="122" t="s">
        <v>340</v>
      </c>
      <c r="I37" s="10"/>
      <c r="J37" s="140">
        <f t="shared" si="0"/>
        <v>1</v>
      </c>
    </row>
    <row r="38" spans="1:13" ht="15.5">
      <c r="A38" s="3" t="s">
        <v>333</v>
      </c>
      <c r="B38" s="69" t="s">
        <v>334</v>
      </c>
      <c r="C38" s="3" t="s">
        <v>127</v>
      </c>
      <c r="D38" s="3">
        <v>80</v>
      </c>
      <c r="E38" s="10">
        <v>10</v>
      </c>
      <c r="F38" s="62">
        <v>10</v>
      </c>
      <c r="G38" s="1044">
        <f t="shared" si="2"/>
        <v>0</v>
      </c>
      <c r="H38" s="122" t="s">
        <v>340</v>
      </c>
      <c r="I38" s="10"/>
      <c r="M38" s="2">
        <v>896</v>
      </c>
    </row>
    <row r="39" spans="1:13" ht="15.5">
      <c r="A39" s="3" t="s">
        <v>335</v>
      </c>
      <c r="B39" s="69" t="s">
        <v>336</v>
      </c>
      <c r="C39" s="3" t="s">
        <v>127</v>
      </c>
      <c r="D39" s="3">
        <v>200</v>
      </c>
      <c r="E39" s="10">
        <v>313</v>
      </c>
      <c r="F39" s="62">
        <v>313</v>
      </c>
      <c r="G39" s="1044">
        <f t="shared" si="2"/>
        <v>0</v>
      </c>
      <c r="H39" s="122" t="s">
        <v>340</v>
      </c>
      <c r="I39" s="10"/>
      <c r="M39" s="2">
        <v>23</v>
      </c>
    </row>
    <row r="40" spans="1:13" ht="15.5">
      <c r="A40" s="3" t="s">
        <v>139</v>
      </c>
      <c r="B40" s="69" t="s">
        <v>1652</v>
      </c>
      <c r="C40" s="3" t="s">
        <v>127</v>
      </c>
      <c r="D40" s="3">
        <v>12</v>
      </c>
      <c r="E40" s="3">
        <v>15</v>
      </c>
      <c r="F40" s="62">
        <v>14</v>
      </c>
      <c r="G40" s="1044">
        <f t="shared" si="2"/>
        <v>1</v>
      </c>
      <c r="H40" s="122" t="s">
        <v>339</v>
      </c>
      <c r="I40" s="10"/>
    </row>
    <row r="41" spans="1:13">
      <c r="A41" s="76" t="s">
        <v>920</v>
      </c>
      <c r="B41" s="77" t="s">
        <v>1511</v>
      </c>
      <c r="C41" s="69"/>
      <c r="D41" s="3"/>
      <c r="E41" s="3"/>
      <c r="F41" s="10"/>
      <c r="G41" s="3"/>
      <c r="H41" s="10"/>
      <c r="I41" s="10"/>
    </row>
    <row r="42" spans="1:13" ht="15.5">
      <c r="A42" s="3" t="s">
        <v>331</v>
      </c>
      <c r="B42" s="609" t="s">
        <v>1505</v>
      </c>
      <c r="C42" s="1024" t="s">
        <v>1506</v>
      </c>
      <c r="D42" s="3">
        <v>287</v>
      </c>
      <c r="E42" s="3">
        <v>306</v>
      </c>
      <c r="F42" s="10">
        <v>306</v>
      </c>
      <c r="G42" s="3">
        <f>E42-F42</f>
        <v>0</v>
      </c>
      <c r="H42" s="1025" t="s">
        <v>1516</v>
      </c>
      <c r="I42" s="10"/>
    </row>
    <row r="43" spans="1:13" ht="15.5">
      <c r="A43" s="3" t="s">
        <v>333</v>
      </c>
      <c r="B43" s="609" t="s">
        <v>1507</v>
      </c>
      <c r="C43" s="1024" t="s">
        <v>1506</v>
      </c>
      <c r="D43" s="3">
        <v>287</v>
      </c>
      <c r="E43" s="3">
        <v>306</v>
      </c>
      <c r="F43" s="10">
        <v>306</v>
      </c>
      <c r="G43" s="3">
        <f t="shared" ref="G43:G50" si="3">E43-F43</f>
        <v>0</v>
      </c>
      <c r="H43" s="1025" t="s">
        <v>1516</v>
      </c>
      <c r="I43" s="10"/>
    </row>
    <row r="44" spans="1:13" ht="15.5">
      <c r="A44" s="3" t="s">
        <v>335</v>
      </c>
      <c r="B44" s="609" t="s">
        <v>1517</v>
      </c>
      <c r="C44" s="1024" t="s">
        <v>160</v>
      </c>
      <c r="D44" s="3">
        <v>574</v>
      </c>
      <c r="E44" s="3">
        <v>612</v>
      </c>
      <c r="F44" s="10">
        <v>612</v>
      </c>
      <c r="G44" s="3">
        <f t="shared" si="3"/>
        <v>0</v>
      </c>
      <c r="H44" s="1025" t="s">
        <v>1516</v>
      </c>
      <c r="I44" s="10"/>
    </row>
    <row r="45" spans="1:13" ht="15.5">
      <c r="A45" s="3" t="s">
        <v>138</v>
      </c>
      <c r="B45" s="609" t="s">
        <v>1508</v>
      </c>
      <c r="C45" s="1024" t="s">
        <v>160</v>
      </c>
      <c r="D45" s="3">
        <v>287</v>
      </c>
      <c r="E45" s="3">
        <v>306</v>
      </c>
      <c r="F45" s="10">
        <v>306</v>
      </c>
      <c r="G45" s="3">
        <f t="shared" si="3"/>
        <v>0</v>
      </c>
      <c r="H45" s="1025" t="s">
        <v>1516</v>
      </c>
      <c r="I45" s="10"/>
    </row>
    <row r="46" spans="1:13" ht="15.5">
      <c r="A46" s="3" t="s">
        <v>139</v>
      </c>
      <c r="B46" s="609" t="s">
        <v>1509</v>
      </c>
      <c r="C46" s="1024" t="s">
        <v>160</v>
      </c>
      <c r="D46" s="3">
        <v>287</v>
      </c>
      <c r="E46" s="3">
        <v>306</v>
      </c>
      <c r="F46" s="10">
        <v>306</v>
      </c>
      <c r="G46" s="3">
        <f t="shared" si="3"/>
        <v>0</v>
      </c>
      <c r="H46" s="1025" t="s">
        <v>1516</v>
      </c>
      <c r="I46" s="10"/>
    </row>
    <row r="47" spans="1:13" ht="15.5">
      <c r="A47" s="3" t="s">
        <v>140</v>
      </c>
      <c r="B47" s="609" t="s">
        <v>1510</v>
      </c>
      <c r="C47" s="1024" t="s">
        <v>160</v>
      </c>
      <c r="D47" s="3">
        <v>482</v>
      </c>
      <c r="E47" s="3">
        <v>492</v>
      </c>
      <c r="F47" s="10">
        <v>492</v>
      </c>
      <c r="G47" s="3">
        <f t="shared" si="3"/>
        <v>0</v>
      </c>
      <c r="H47" s="1025" t="s">
        <v>1516</v>
      </c>
      <c r="I47" s="10" t="s">
        <v>1519</v>
      </c>
    </row>
    <row r="48" spans="1:13" ht="15.5">
      <c r="A48" s="3" t="s">
        <v>141</v>
      </c>
      <c r="B48" s="69" t="s">
        <v>1512</v>
      </c>
      <c r="C48" s="3" t="s">
        <v>1506</v>
      </c>
      <c r="D48" s="3">
        <v>100</v>
      </c>
      <c r="E48" s="3">
        <v>100</v>
      </c>
      <c r="F48" s="10">
        <v>50</v>
      </c>
      <c r="G48" s="3">
        <f t="shared" si="3"/>
        <v>50</v>
      </c>
      <c r="H48" s="1025"/>
      <c r="I48" s="10"/>
    </row>
    <row r="49" spans="1:9" ht="15.5">
      <c r="A49" s="3" t="s">
        <v>142</v>
      </c>
      <c r="B49" s="69" t="s">
        <v>1513</v>
      </c>
      <c r="C49" s="3" t="s">
        <v>160</v>
      </c>
      <c r="D49" s="3">
        <v>96</v>
      </c>
      <c r="E49" s="3">
        <v>96</v>
      </c>
      <c r="F49" s="10">
        <v>48</v>
      </c>
      <c r="G49" s="3">
        <f t="shared" si="3"/>
        <v>48</v>
      </c>
      <c r="H49" s="1025"/>
      <c r="I49" s="10"/>
    </row>
    <row r="50" spans="1:9" ht="15.5">
      <c r="A50" s="3" t="s">
        <v>1515</v>
      </c>
      <c r="B50" s="69" t="s">
        <v>1514</v>
      </c>
      <c r="C50" s="3" t="s">
        <v>160</v>
      </c>
      <c r="D50" s="3">
        <v>4</v>
      </c>
      <c r="E50" s="3">
        <v>4</v>
      </c>
      <c r="F50" s="10">
        <v>4</v>
      </c>
      <c r="G50" s="3">
        <f t="shared" si="3"/>
        <v>0</v>
      </c>
      <c r="H50" s="122"/>
      <c r="I50" s="10"/>
    </row>
  </sheetData>
  <mergeCells count="4">
    <mergeCell ref="A4:G4"/>
    <mergeCell ref="H4:I4"/>
    <mergeCell ref="A1:I1"/>
    <mergeCell ref="A3:I3"/>
  </mergeCells>
  <printOptions horizontalCentered="1"/>
  <pageMargins left="0.3" right="0.24" top="0.26" bottom="0" header="3.9370078740157501E-2" footer="0"/>
  <pageSetup paperSize="9" scale="84" fitToHeight="0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16C91-871D-4CE7-8F08-2774E0259BFF}">
  <sheetPr codeName="Sheet2">
    <tabColor rgb="FFFFFF00"/>
    <pageSetUpPr fitToPage="1"/>
  </sheetPr>
  <dimension ref="A1:P314"/>
  <sheetViews>
    <sheetView showGridLines="0" view="pageBreakPreview" topLeftCell="B1" zoomScale="85" zoomScaleNormal="70" zoomScaleSheetLayoutView="85" workbookViewId="0">
      <pane ySplit="3" topLeftCell="A14" activePane="bottomLeft" state="frozen"/>
      <selection activeCell="B1" sqref="B1:L1"/>
      <selection pane="bottomLeft" activeCell="N30" activeCellId="5" sqref="N21:N24 N26 N27 N28 N29 N30"/>
    </sheetView>
  </sheetViews>
  <sheetFormatPr defaultColWidth="9.1796875" defaultRowHeight="14.5"/>
  <cols>
    <col min="2" max="2" width="16.7265625" customWidth="1"/>
    <col min="3" max="3" width="18" customWidth="1"/>
    <col min="4" max="4" width="4" customWidth="1"/>
    <col min="5" max="5" width="11.453125" style="134" bestFit="1" customWidth="1"/>
    <col min="6" max="6" width="13.7265625" style="134" customWidth="1"/>
    <col min="7" max="7" width="16.7265625" style="134" customWidth="1"/>
    <col min="8" max="8" width="1.81640625" style="134" customWidth="1"/>
    <col min="9" max="9" width="12.1796875" style="134" customWidth="1"/>
    <col min="10" max="10" width="16.453125" style="621" customWidth="1"/>
    <col min="11" max="11" width="18.54296875" style="622" customWidth="1"/>
    <col min="12" max="12" width="4.1796875" style="134" customWidth="1"/>
    <col min="13" max="13" width="14.26953125" style="134" customWidth="1"/>
    <col min="14" max="14" width="14.54296875" style="134" customWidth="1"/>
    <col min="15" max="15" width="16.26953125" style="134" customWidth="1"/>
    <col min="16" max="16" width="22.81640625" style="134" bestFit="1" customWidth="1"/>
    <col min="17" max="16384" width="9.1796875" style="134"/>
  </cols>
  <sheetData>
    <row r="1" spans="1:16" s="132" customFormat="1" ht="27" customHeight="1" thickBot="1">
      <c r="A1" s="1681" t="s">
        <v>1358</v>
      </c>
      <c r="B1" s="1682"/>
      <c r="C1" s="1682"/>
      <c r="D1" s="1682"/>
      <c r="E1" s="1682"/>
      <c r="F1" s="1682"/>
      <c r="G1" s="1683"/>
      <c r="H1" s="1678"/>
      <c r="I1" s="1695" t="s">
        <v>1359</v>
      </c>
      <c r="J1" s="1696"/>
      <c r="K1" s="1696"/>
      <c r="L1" s="1696"/>
      <c r="M1" s="1696"/>
      <c r="N1" s="1696"/>
      <c r="O1" s="1696"/>
      <c r="P1" s="1696"/>
    </row>
    <row r="2" spans="1:16" s="133" customFormat="1" ht="29.25" customHeight="1" thickBot="1">
      <c r="A2" s="1687" t="s">
        <v>91</v>
      </c>
      <c r="B2" s="859" t="s">
        <v>651</v>
      </c>
      <c r="C2" s="860" t="s">
        <v>484</v>
      </c>
      <c r="E2" s="1691" t="s">
        <v>984</v>
      </c>
      <c r="F2" s="1691"/>
      <c r="G2" s="1692"/>
      <c r="H2" s="1679"/>
      <c r="I2" s="1687" t="s">
        <v>91</v>
      </c>
      <c r="J2" s="859" t="s">
        <v>651</v>
      </c>
      <c r="K2" s="860" t="s">
        <v>484</v>
      </c>
      <c r="L2" s="897"/>
      <c r="M2" s="1188" t="s">
        <v>984</v>
      </c>
      <c r="N2" s="1188"/>
      <c r="O2" s="1188"/>
      <c r="P2" s="1188"/>
    </row>
    <row r="3" spans="1:16" s="133" customFormat="1" ht="42" customHeight="1" thickBot="1">
      <c r="A3" s="1688"/>
      <c r="B3" s="866" t="s">
        <v>521</v>
      </c>
      <c r="C3" s="867" t="s">
        <v>485</v>
      </c>
      <c r="E3" s="895" t="s">
        <v>911</v>
      </c>
      <c r="F3" s="896" t="s">
        <v>1357</v>
      </c>
      <c r="G3" s="904" t="s">
        <v>986</v>
      </c>
      <c r="H3" s="1679"/>
      <c r="I3" s="1689"/>
      <c r="J3" s="396" t="s">
        <v>521</v>
      </c>
      <c r="K3" s="861" t="s">
        <v>485</v>
      </c>
      <c r="M3" s="929" t="s">
        <v>911</v>
      </c>
      <c r="N3" s="929" t="s">
        <v>1357</v>
      </c>
      <c r="O3" s="1173" t="s">
        <v>1672</v>
      </c>
      <c r="P3" s="1173" t="s">
        <v>1673</v>
      </c>
    </row>
    <row r="4" spans="1:16" s="133" customFormat="1" ht="18.5">
      <c r="A4" s="868">
        <v>0</v>
      </c>
      <c r="B4" s="869" t="s">
        <v>244</v>
      </c>
      <c r="C4" s="870" t="s">
        <v>244</v>
      </c>
      <c r="E4" s="863" t="s">
        <v>3</v>
      </c>
      <c r="F4" s="858">
        <f>COUNTIF('Tower Abstarct '!$D$5:D303,E4)</f>
        <v>30</v>
      </c>
      <c r="G4" s="1690">
        <v>241</v>
      </c>
      <c r="H4" s="1679"/>
      <c r="I4" s="878">
        <v>0</v>
      </c>
      <c r="J4" s="404" t="s">
        <v>1160</v>
      </c>
      <c r="K4" s="879" t="s">
        <v>244</v>
      </c>
      <c r="M4" s="404" t="s">
        <v>3</v>
      </c>
      <c r="N4" s="858">
        <f t="shared" ref="N4:N33" si="0">COUNTIF($K$4:$K$310,M4)</f>
        <v>33</v>
      </c>
      <c r="O4" s="1693">
        <v>244</v>
      </c>
      <c r="P4" s="1694">
        <v>246</v>
      </c>
    </row>
    <row r="5" spans="1:16" s="133" customFormat="1" ht="18.75" customHeight="1">
      <c r="A5" s="871">
        <v>1</v>
      </c>
      <c r="B5" s="743" t="s">
        <v>268</v>
      </c>
      <c r="C5" s="872" t="s">
        <v>188</v>
      </c>
      <c r="E5" s="863" t="s">
        <v>170</v>
      </c>
      <c r="F5" s="858">
        <f>COUNTIF('Tower Abstarct '!$D$5:D304,E5)</f>
        <v>24</v>
      </c>
      <c r="G5" s="1690"/>
      <c r="H5" s="1679"/>
      <c r="I5" s="878">
        <f>SUBTOTAL(103,$J$5:J5)</f>
        <v>1</v>
      </c>
      <c r="J5" s="404" t="s">
        <v>268</v>
      </c>
      <c r="K5" s="880" t="s">
        <v>188</v>
      </c>
      <c r="M5" s="404" t="s">
        <v>154</v>
      </c>
      <c r="N5" s="858">
        <f t="shared" si="0"/>
        <v>12</v>
      </c>
      <c r="O5" s="1693"/>
      <c r="P5" s="1694"/>
    </row>
    <row r="6" spans="1:16" s="133" customFormat="1" ht="18.75" customHeight="1">
      <c r="A6" s="871">
        <v>2</v>
      </c>
      <c r="B6" s="743" t="s">
        <v>269</v>
      </c>
      <c r="C6" s="872" t="s">
        <v>178</v>
      </c>
      <c r="E6" s="863" t="s">
        <v>2</v>
      </c>
      <c r="F6" s="858">
        <f>COUNTIF('Tower Abstarct '!$D$5:D305,E6)</f>
        <v>66</v>
      </c>
      <c r="G6" s="1690"/>
      <c r="H6" s="1679"/>
      <c r="I6" s="878">
        <f>SUBTOTAL(103,$J$5:J6)</f>
        <v>2</v>
      </c>
      <c r="J6" s="737" t="s">
        <v>1248</v>
      </c>
      <c r="K6" s="880" t="s">
        <v>178</v>
      </c>
      <c r="M6" s="1186" t="s">
        <v>4</v>
      </c>
      <c r="N6" s="1187">
        <f t="shared" si="0"/>
        <v>12</v>
      </c>
      <c r="O6" s="1693"/>
      <c r="P6" s="1694"/>
    </row>
    <row r="7" spans="1:16" s="133" customFormat="1" ht="18.75" customHeight="1">
      <c r="A7" s="871">
        <v>3</v>
      </c>
      <c r="B7" s="743" t="s">
        <v>270</v>
      </c>
      <c r="C7" s="873" t="s">
        <v>184</v>
      </c>
      <c r="E7" s="863" t="s">
        <v>987</v>
      </c>
      <c r="F7" s="858">
        <f>COUNTIF('Tower Abstarct '!$D$5:D306,E7)</f>
        <v>1</v>
      </c>
      <c r="G7" s="1690"/>
      <c r="H7" s="1679"/>
      <c r="I7" s="878">
        <f>SUBTOTAL(103,$J$5:J7)</f>
        <v>3</v>
      </c>
      <c r="J7" s="404" t="s">
        <v>1250</v>
      </c>
      <c r="K7" s="879" t="s">
        <v>3</v>
      </c>
      <c r="M7" s="404" t="s">
        <v>170</v>
      </c>
      <c r="N7" s="856">
        <f t="shared" si="0"/>
        <v>24</v>
      </c>
      <c r="O7" s="1693"/>
      <c r="P7" s="1694"/>
    </row>
    <row r="8" spans="1:16" s="133" customFormat="1" ht="18.75" customHeight="1">
      <c r="A8" s="871">
        <v>4</v>
      </c>
      <c r="B8" s="743" t="s">
        <v>526</v>
      </c>
      <c r="C8" s="873" t="s">
        <v>2</v>
      </c>
      <c r="E8" s="863" t="s">
        <v>79</v>
      </c>
      <c r="F8" s="858">
        <f>COUNTIF('Tower Abstarct '!$D$5:D306,E8)</f>
        <v>49</v>
      </c>
      <c r="G8" s="1690"/>
      <c r="H8" s="1679"/>
      <c r="I8" s="878">
        <f>SUBTOTAL(103,$J$5:J8)</f>
        <v>4</v>
      </c>
      <c r="J8" s="404" t="s">
        <v>1251</v>
      </c>
      <c r="K8" s="879" t="s">
        <v>2</v>
      </c>
      <c r="M8" s="404" t="s">
        <v>2</v>
      </c>
      <c r="N8" s="856">
        <f t="shared" si="0"/>
        <v>69</v>
      </c>
      <c r="O8" s="1693"/>
      <c r="P8" s="1694"/>
    </row>
    <row r="9" spans="1:16" s="133" customFormat="1" ht="18.75" customHeight="1">
      <c r="A9" s="871">
        <v>5</v>
      </c>
      <c r="B9" s="743" t="s">
        <v>527</v>
      </c>
      <c r="C9" s="873" t="s">
        <v>79</v>
      </c>
      <c r="E9" s="863" t="s">
        <v>49</v>
      </c>
      <c r="F9" s="858">
        <f>COUNTIF('Tower Abstarct '!$D$5:D307,E9)</f>
        <v>47</v>
      </c>
      <c r="G9" s="1690"/>
      <c r="H9" s="1679"/>
      <c r="I9" s="878">
        <f>SUBTOTAL(103,$J$5:J9)</f>
        <v>5</v>
      </c>
      <c r="J9" s="404" t="s">
        <v>1252</v>
      </c>
      <c r="K9" s="879" t="s">
        <v>2</v>
      </c>
      <c r="M9" s="404" t="s">
        <v>987</v>
      </c>
      <c r="N9" s="856">
        <f t="shared" si="0"/>
        <v>1</v>
      </c>
      <c r="O9" s="1693"/>
      <c r="P9" s="1694"/>
    </row>
    <row r="10" spans="1:16" s="133" customFormat="1" ht="18.75" customHeight="1">
      <c r="A10" s="871">
        <v>6</v>
      </c>
      <c r="B10" s="743" t="s">
        <v>528</v>
      </c>
      <c r="C10" s="873" t="s">
        <v>2</v>
      </c>
      <c r="E10" s="863" t="s">
        <v>154</v>
      </c>
      <c r="F10" s="858">
        <f>COUNTIF('Tower Abstarct '!$D$5:D308,E10)</f>
        <v>12</v>
      </c>
      <c r="G10" s="1690"/>
      <c r="H10" s="1679"/>
      <c r="I10" s="878">
        <f>SUBTOTAL(103,$J$5:J10)</f>
        <v>6</v>
      </c>
      <c r="J10" s="404" t="s">
        <v>1253</v>
      </c>
      <c r="K10" s="879" t="s">
        <v>2</v>
      </c>
      <c r="M10" s="404" t="s">
        <v>79</v>
      </c>
      <c r="N10" s="856">
        <f t="shared" si="0"/>
        <v>47</v>
      </c>
      <c r="O10" s="1693"/>
      <c r="P10" s="1694"/>
    </row>
    <row r="11" spans="1:16" s="133" customFormat="1" ht="18.75" customHeight="1">
      <c r="A11" s="871">
        <v>7</v>
      </c>
      <c r="B11" s="743" t="s">
        <v>529</v>
      </c>
      <c r="C11" s="873" t="s">
        <v>79</v>
      </c>
      <c r="E11" s="863" t="s">
        <v>4</v>
      </c>
      <c r="F11" s="858">
        <f>COUNTIF('Tower Abstarct '!$D$5:D309,E11)</f>
        <v>12</v>
      </c>
      <c r="G11" s="1690"/>
      <c r="H11" s="1679"/>
      <c r="I11" s="878">
        <f>SUBTOTAL(103,$J$5:J11)</f>
        <v>7</v>
      </c>
      <c r="J11" s="404" t="s">
        <v>1254</v>
      </c>
      <c r="K11" s="879" t="s">
        <v>2</v>
      </c>
      <c r="M11" s="404" t="s">
        <v>49</v>
      </c>
      <c r="N11" s="856">
        <f t="shared" si="0"/>
        <v>46</v>
      </c>
      <c r="O11" s="1693"/>
      <c r="P11" s="1694"/>
    </row>
    <row r="12" spans="1:16" s="133" customFormat="1" ht="18.75" customHeight="1">
      <c r="A12" s="871">
        <v>8</v>
      </c>
      <c r="B12" s="743" t="s">
        <v>530</v>
      </c>
      <c r="C12" s="873" t="s">
        <v>2</v>
      </c>
      <c r="E12" s="887" t="s">
        <v>197</v>
      </c>
      <c r="F12" s="888">
        <f>COUNTIF('Tower Abstarct '!$D$5:D310,E12)</f>
        <v>7</v>
      </c>
      <c r="G12" s="1690">
        <v>29</v>
      </c>
      <c r="H12" s="1679"/>
      <c r="I12" s="878">
        <f>SUBTOTAL(103,$J$5:J12)</f>
        <v>8</v>
      </c>
      <c r="J12" s="404" t="s">
        <v>1255</v>
      </c>
      <c r="K12" s="879" t="s">
        <v>79</v>
      </c>
      <c r="M12" s="404" t="s">
        <v>197</v>
      </c>
      <c r="N12" s="856">
        <f t="shared" si="0"/>
        <v>7</v>
      </c>
      <c r="O12" s="1686">
        <v>31</v>
      </c>
      <c r="P12" s="1694">
        <v>31</v>
      </c>
    </row>
    <row r="13" spans="1:16" s="133" customFormat="1" ht="18.75" customHeight="1">
      <c r="A13" s="871">
        <v>9</v>
      </c>
      <c r="B13" s="743" t="s">
        <v>531</v>
      </c>
      <c r="C13" s="873" t="s">
        <v>2</v>
      </c>
      <c r="E13" s="887" t="s">
        <v>226</v>
      </c>
      <c r="F13" s="888">
        <f>COUNTIF('Tower Abstarct '!$D$5:D312,E13)</f>
        <v>2</v>
      </c>
      <c r="G13" s="1690"/>
      <c r="H13" s="1679"/>
      <c r="I13" s="878">
        <f>SUBTOTAL(103,$J$5:J13)</f>
        <v>9</v>
      </c>
      <c r="J13" s="404" t="s">
        <v>1256</v>
      </c>
      <c r="K13" s="879" t="s">
        <v>183</v>
      </c>
      <c r="M13" s="404" t="s">
        <v>226</v>
      </c>
      <c r="N13" s="856">
        <f t="shared" si="0"/>
        <v>2</v>
      </c>
      <c r="O13" s="1686"/>
      <c r="P13" s="1694"/>
    </row>
    <row r="14" spans="1:16" s="133" customFormat="1" ht="18.75" customHeight="1">
      <c r="A14" s="871">
        <v>10</v>
      </c>
      <c r="B14" s="743" t="s">
        <v>532</v>
      </c>
      <c r="C14" s="873" t="s">
        <v>2</v>
      </c>
      <c r="E14" s="887" t="s">
        <v>227</v>
      </c>
      <c r="F14" s="888">
        <f>COUNTIF('Tower Abstarct '!$D$5:D313,E14)</f>
        <v>6</v>
      </c>
      <c r="G14" s="1690"/>
      <c r="H14" s="1679"/>
      <c r="I14" s="878">
        <f>SUBTOTAL(103,$J$5:J14)</f>
        <v>10</v>
      </c>
      <c r="J14" s="404" t="s">
        <v>1257</v>
      </c>
      <c r="K14" s="879" t="s">
        <v>2</v>
      </c>
      <c r="M14" s="404" t="s">
        <v>227</v>
      </c>
      <c r="N14" s="856">
        <f t="shared" si="0"/>
        <v>6</v>
      </c>
      <c r="O14" s="1686"/>
      <c r="P14" s="1694"/>
    </row>
    <row r="15" spans="1:16" s="133" customFormat="1" ht="18.75" customHeight="1">
      <c r="A15" s="871">
        <v>11</v>
      </c>
      <c r="B15" s="743" t="s">
        <v>533</v>
      </c>
      <c r="C15" s="873" t="s">
        <v>3</v>
      </c>
      <c r="E15" s="887" t="s">
        <v>211</v>
      </c>
      <c r="F15" s="888">
        <f>COUNTIF('Tower Abstarct '!$D$5:D314,E15)</f>
        <v>11</v>
      </c>
      <c r="G15" s="1690"/>
      <c r="H15" s="1679"/>
      <c r="I15" s="878">
        <f>SUBTOTAL(103,$J$5:J15)</f>
        <v>11</v>
      </c>
      <c r="J15" s="404" t="s">
        <v>1258</v>
      </c>
      <c r="K15" s="879" t="s">
        <v>2</v>
      </c>
      <c r="M15" s="404" t="s">
        <v>211</v>
      </c>
      <c r="N15" s="856">
        <f t="shared" si="0"/>
        <v>12</v>
      </c>
      <c r="O15" s="1686"/>
      <c r="P15" s="1694"/>
    </row>
    <row r="16" spans="1:16" s="133" customFormat="1" ht="18.75" customHeight="1">
      <c r="A16" s="871">
        <v>12</v>
      </c>
      <c r="B16" s="743" t="s">
        <v>534</v>
      </c>
      <c r="C16" s="873" t="s">
        <v>3</v>
      </c>
      <c r="E16" s="887" t="s">
        <v>401</v>
      </c>
      <c r="F16" s="888">
        <f>COUNTIF('Tower Abstarct '!$D$5:D311,E16)</f>
        <v>3</v>
      </c>
      <c r="G16" s="1690"/>
      <c r="H16" s="1679"/>
      <c r="I16" s="878">
        <f>SUBTOTAL(103,$J$5:J16)</f>
        <v>12</v>
      </c>
      <c r="J16" s="404" t="s">
        <v>1259</v>
      </c>
      <c r="K16" s="879" t="s">
        <v>3</v>
      </c>
      <c r="M16" s="404" t="s">
        <v>401</v>
      </c>
      <c r="N16" s="856">
        <f t="shared" si="0"/>
        <v>4</v>
      </c>
      <c r="O16" s="1686"/>
      <c r="P16" s="1694"/>
    </row>
    <row r="17" spans="1:16" s="133" customFormat="1" ht="18.75" customHeight="1">
      <c r="A17" s="871">
        <v>13</v>
      </c>
      <c r="B17" s="743" t="s">
        <v>535</v>
      </c>
      <c r="C17" s="873" t="s">
        <v>49</v>
      </c>
      <c r="E17" s="887" t="s">
        <v>184</v>
      </c>
      <c r="F17" s="888">
        <f>COUNTIF('Tower Abstarct '!$D$5:D315,E17)</f>
        <v>6</v>
      </c>
      <c r="G17" s="1690">
        <v>10</v>
      </c>
      <c r="H17" s="1679"/>
      <c r="I17" s="878">
        <f>SUBTOTAL(103,$J$5:J17)</f>
        <v>13</v>
      </c>
      <c r="J17" s="404" t="s">
        <v>1260</v>
      </c>
      <c r="K17" s="879" t="s">
        <v>3</v>
      </c>
      <c r="M17" s="404" t="s">
        <v>184</v>
      </c>
      <c r="N17" s="856">
        <f t="shared" si="0"/>
        <v>5</v>
      </c>
      <c r="O17" s="1697">
        <v>11</v>
      </c>
      <c r="P17" s="1694">
        <v>10</v>
      </c>
    </row>
    <row r="18" spans="1:16" s="133" customFormat="1" ht="18.75" customHeight="1">
      <c r="A18" s="871">
        <v>14</v>
      </c>
      <c r="B18" s="743" t="s">
        <v>536</v>
      </c>
      <c r="C18" s="873" t="s">
        <v>3</v>
      </c>
      <c r="E18" s="887" t="s">
        <v>228</v>
      </c>
      <c r="F18" s="888">
        <f>COUNTIF('Tower Abstarct '!$D$5:D316,E18)</f>
        <v>2</v>
      </c>
      <c r="G18" s="1690"/>
      <c r="H18" s="1679"/>
      <c r="I18" s="878">
        <f>SUBTOTAL(103,$J$5:J18)</f>
        <v>14</v>
      </c>
      <c r="J18" s="404" t="s">
        <v>1261</v>
      </c>
      <c r="K18" s="879" t="s">
        <v>2</v>
      </c>
      <c r="M18" s="404" t="s">
        <v>228</v>
      </c>
      <c r="N18" s="856">
        <f t="shared" si="0"/>
        <v>1</v>
      </c>
      <c r="O18" s="1697"/>
      <c r="P18" s="1694"/>
    </row>
    <row r="19" spans="1:16" s="574" customFormat="1" ht="18.75" customHeight="1">
      <c r="A19" s="871">
        <v>15</v>
      </c>
      <c r="B19" s="908" t="s">
        <v>256</v>
      </c>
      <c r="C19" s="909" t="s">
        <v>211</v>
      </c>
      <c r="D19" s="647"/>
      <c r="E19" s="887" t="s">
        <v>229</v>
      </c>
      <c r="F19" s="888">
        <f>COUNTIF('Tower Abstarct '!$D$5:D317,E19)</f>
        <v>1</v>
      </c>
      <c r="G19" s="1690"/>
      <c r="H19" s="1679"/>
      <c r="I19" s="878">
        <f>SUBTOTAL(103,$J$5:J19)</f>
        <v>15</v>
      </c>
      <c r="J19" s="571" t="s">
        <v>1262</v>
      </c>
      <c r="K19" s="881" t="s">
        <v>3</v>
      </c>
      <c r="M19" s="404" t="s">
        <v>229</v>
      </c>
      <c r="N19" s="856">
        <f t="shared" si="0"/>
        <v>1</v>
      </c>
      <c r="O19" s="1697"/>
      <c r="P19" s="1694"/>
    </row>
    <row r="20" spans="1:16" s="133" customFormat="1" ht="18.75" customHeight="1">
      <c r="A20" s="871">
        <v>16</v>
      </c>
      <c r="B20" s="743" t="s">
        <v>452</v>
      </c>
      <c r="C20" s="873" t="s">
        <v>79</v>
      </c>
      <c r="E20" s="887" t="s">
        <v>215</v>
      </c>
      <c r="F20" s="888">
        <f>COUNTIF('Tower Abstarct '!$D$5:D318,E20)</f>
        <v>1</v>
      </c>
      <c r="G20" s="1690"/>
      <c r="H20" s="1679"/>
      <c r="I20" s="878">
        <f>SUBTOTAL(103,$J$5:J20)</f>
        <v>16</v>
      </c>
      <c r="J20" s="404" t="s">
        <v>1263</v>
      </c>
      <c r="K20" s="879" t="s">
        <v>211</v>
      </c>
      <c r="M20" s="404" t="s">
        <v>215</v>
      </c>
      <c r="N20" s="856">
        <f t="shared" si="0"/>
        <v>4</v>
      </c>
      <c r="O20" s="1697"/>
      <c r="P20" s="1694"/>
    </row>
    <row r="21" spans="1:16" s="133" customFormat="1" ht="18.75" customHeight="1">
      <c r="A21" s="871">
        <v>17</v>
      </c>
      <c r="B21" s="743" t="s">
        <v>453</v>
      </c>
      <c r="C21" s="873" t="s">
        <v>2</v>
      </c>
      <c r="E21" s="889" t="s">
        <v>185</v>
      </c>
      <c r="F21" s="890">
        <f>COUNTIF('Tower Abstarct '!$D$5:D319,E21)</f>
        <v>1</v>
      </c>
      <c r="G21" s="1690">
        <v>2</v>
      </c>
      <c r="H21" s="1679"/>
      <c r="I21" s="878">
        <f>SUBTOTAL(103,$J$5:J21)</f>
        <v>17</v>
      </c>
      <c r="J21" s="404" t="s">
        <v>1264</v>
      </c>
      <c r="K21" s="879" t="s">
        <v>2</v>
      </c>
      <c r="M21" s="404" t="s">
        <v>185</v>
      </c>
      <c r="N21" s="856">
        <f t="shared" si="0"/>
        <v>1</v>
      </c>
      <c r="O21" s="1697">
        <v>2</v>
      </c>
      <c r="P21" s="1694">
        <v>2</v>
      </c>
    </row>
    <row r="22" spans="1:16" s="133" customFormat="1" ht="18.75" customHeight="1">
      <c r="A22" s="871">
        <v>18</v>
      </c>
      <c r="B22" s="743" t="s">
        <v>454</v>
      </c>
      <c r="C22" s="873" t="s">
        <v>2</v>
      </c>
      <c r="E22" s="889" t="s">
        <v>217</v>
      </c>
      <c r="F22" s="890">
        <f>COUNTIF('Tower Abstarct '!$D$5:D320,E22)</f>
        <v>1</v>
      </c>
      <c r="G22" s="1690"/>
      <c r="H22" s="1679"/>
      <c r="I22" s="878">
        <f>SUBTOTAL(103,$J$5:J22)</f>
        <v>18</v>
      </c>
      <c r="J22" s="404" t="s">
        <v>1265</v>
      </c>
      <c r="K22" s="879" t="s">
        <v>49</v>
      </c>
      <c r="M22" s="404" t="s">
        <v>217</v>
      </c>
      <c r="N22" s="856">
        <f t="shared" si="0"/>
        <v>1</v>
      </c>
      <c r="O22" s="1697"/>
      <c r="P22" s="1694"/>
    </row>
    <row r="23" spans="1:16" s="133" customFormat="1" ht="18.75" customHeight="1">
      <c r="A23" s="871">
        <v>19</v>
      </c>
      <c r="B23" s="743" t="s">
        <v>455</v>
      </c>
      <c r="C23" s="873" t="s">
        <v>79</v>
      </c>
      <c r="E23" s="891" t="s">
        <v>173</v>
      </c>
      <c r="F23" s="890">
        <v>1</v>
      </c>
      <c r="G23" s="1690">
        <v>3</v>
      </c>
      <c r="H23" s="1679"/>
      <c r="I23" s="878">
        <f>SUBTOTAL(103,$J$5:J23)</f>
        <v>19</v>
      </c>
      <c r="J23" s="404" t="s">
        <v>1266</v>
      </c>
      <c r="K23" s="879" t="s">
        <v>79</v>
      </c>
      <c r="M23" s="404" t="s">
        <v>173</v>
      </c>
      <c r="N23" s="856">
        <f t="shared" si="0"/>
        <v>2</v>
      </c>
      <c r="O23" s="1697">
        <v>5</v>
      </c>
      <c r="P23" s="1694">
        <v>4</v>
      </c>
    </row>
    <row r="24" spans="1:16" s="133" customFormat="1" ht="18.75" customHeight="1">
      <c r="A24" s="871">
        <v>20</v>
      </c>
      <c r="B24" s="743" t="s">
        <v>456</v>
      </c>
      <c r="C24" s="873" t="s">
        <v>79</v>
      </c>
      <c r="E24" s="891" t="s">
        <v>250</v>
      </c>
      <c r="F24" s="890">
        <f>COUNTIF('Tower Abstarct '!$D$5:D322,E24)</f>
        <v>1</v>
      </c>
      <c r="G24" s="1690"/>
      <c r="H24" s="1679"/>
      <c r="I24" s="928">
        <f>SUBTOTAL(103,$J$5:J24)</f>
        <v>20</v>
      </c>
      <c r="J24" s="619" t="s">
        <v>256</v>
      </c>
      <c r="K24" s="882" t="s">
        <v>215</v>
      </c>
      <c r="M24" s="404" t="s">
        <v>250</v>
      </c>
      <c r="N24" s="856">
        <f t="shared" si="0"/>
        <v>1</v>
      </c>
      <c r="O24" s="1697"/>
      <c r="P24" s="1694"/>
    </row>
    <row r="25" spans="1:16" s="133" customFormat="1" ht="18.75" customHeight="1">
      <c r="A25" s="871">
        <v>21</v>
      </c>
      <c r="B25" s="908" t="s">
        <v>890</v>
      </c>
      <c r="C25" s="909" t="s">
        <v>226</v>
      </c>
      <c r="E25" s="889" t="s">
        <v>428</v>
      </c>
      <c r="F25" s="890">
        <f>COUNTIF('Tower Abstarct '!$D$5:D322,E25)</f>
        <v>1</v>
      </c>
      <c r="G25" s="1690"/>
      <c r="H25" s="1679"/>
      <c r="I25" s="878">
        <f>SUBTOTAL(103,$J$5:J25)</f>
        <v>21</v>
      </c>
      <c r="J25" s="404" t="s">
        <v>452</v>
      </c>
      <c r="K25" s="879" t="s">
        <v>79</v>
      </c>
      <c r="M25" s="404" t="s">
        <v>428</v>
      </c>
      <c r="N25" s="856">
        <f t="shared" si="0"/>
        <v>2</v>
      </c>
      <c r="O25" s="1697"/>
      <c r="P25" s="1694"/>
    </row>
    <row r="26" spans="1:16" s="647" customFormat="1" ht="18.75" customHeight="1">
      <c r="A26" s="871">
        <v>22</v>
      </c>
      <c r="B26" s="743" t="s">
        <v>891</v>
      </c>
      <c r="C26" s="873" t="s">
        <v>79</v>
      </c>
      <c r="E26" s="892" t="s">
        <v>1225</v>
      </c>
      <c r="F26" s="857">
        <v>1</v>
      </c>
      <c r="G26" s="905">
        <v>1</v>
      </c>
      <c r="H26" s="1679"/>
      <c r="I26" s="878">
        <f>SUBTOTAL(103,$J$5:J26)</f>
        <v>22</v>
      </c>
      <c r="J26" s="404" t="s">
        <v>890</v>
      </c>
      <c r="K26" s="879" t="s">
        <v>226</v>
      </c>
      <c r="M26" s="856" t="s">
        <v>178</v>
      </c>
      <c r="N26" s="856">
        <f t="shared" si="0"/>
        <v>2</v>
      </c>
      <c r="O26" s="1697">
        <v>3</v>
      </c>
      <c r="P26" s="1693">
        <v>3</v>
      </c>
    </row>
    <row r="27" spans="1:16" s="133" customFormat="1" ht="18.75" customHeight="1">
      <c r="A27" s="871">
        <v>23</v>
      </c>
      <c r="B27" s="743" t="s">
        <v>892</v>
      </c>
      <c r="C27" s="873" t="s">
        <v>79</v>
      </c>
      <c r="E27" s="893" t="s">
        <v>178</v>
      </c>
      <c r="F27" s="894">
        <f>COUNTIF('Tower Abstarct '!$D$5:D323,E27)</f>
        <v>2</v>
      </c>
      <c r="G27" s="898">
        <v>2</v>
      </c>
      <c r="H27" s="1679"/>
      <c r="I27" s="878">
        <f>SUBTOTAL(103,$J$5:J27)</f>
        <v>23</v>
      </c>
      <c r="J27" s="404" t="s">
        <v>891</v>
      </c>
      <c r="K27" s="879" t="s">
        <v>79</v>
      </c>
      <c r="M27" s="404" t="s">
        <v>183</v>
      </c>
      <c r="N27" s="856">
        <f t="shared" si="0"/>
        <v>1</v>
      </c>
      <c r="O27" s="1697"/>
      <c r="P27" s="1693"/>
    </row>
    <row r="28" spans="1:16" s="133" customFormat="1" ht="18.75" customHeight="1">
      <c r="A28" s="871">
        <v>24</v>
      </c>
      <c r="B28" s="743" t="s">
        <v>893</v>
      </c>
      <c r="C28" s="873" t="s">
        <v>49</v>
      </c>
      <c r="E28" s="893" t="s">
        <v>188</v>
      </c>
      <c r="F28" s="894">
        <f>COUNTIF('Tower Abstarct '!$D$5:D324,E28)</f>
        <v>1</v>
      </c>
      <c r="G28" s="1690">
        <v>10</v>
      </c>
      <c r="H28" s="1679"/>
      <c r="I28" s="878">
        <f>SUBTOTAL(103,$J$5:J28)</f>
        <v>24</v>
      </c>
      <c r="J28" s="404" t="s">
        <v>892</v>
      </c>
      <c r="K28" s="879" t="s">
        <v>79</v>
      </c>
      <c r="M28" s="856" t="s">
        <v>188</v>
      </c>
      <c r="N28" s="856">
        <f t="shared" si="0"/>
        <v>1</v>
      </c>
      <c r="O28" s="1697">
        <v>10</v>
      </c>
      <c r="P28" s="1694">
        <v>10</v>
      </c>
    </row>
    <row r="29" spans="1:16" s="133" customFormat="1" ht="18.75" customHeight="1">
      <c r="A29" s="871">
        <v>25</v>
      </c>
      <c r="B29" s="743" t="s">
        <v>894</v>
      </c>
      <c r="C29" s="873" t="s">
        <v>79</v>
      </c>
      <c r="E29" s="893" t="s">
        <v>213</v>
      </c>
      <c r="F29" s="894">
        <f>COUNTIF('Tower Abstarct '!$D$5:D327,E29)</f>
        <v>2</v>
      </c>
      <c r="G29" s="1690"/>
      <c r="H29" s="1679"/>
      <c r="I29" s="878">
        <f>SUBTOTAL(103,$J$5:J29)</f>
        <v>25</v>
      </c>
      <c r="J29" s="404" t="s">
        <v>893</v>
      </c>
      <c r="K29" s="879" t="s">
        <v>49</v>
      </c>
      <c r="M29" s="404" t="s">
        <v>213</v>
      </c>
      <c r="N29" s="856">
        <f t="shared" si="0"/>
        <v>2</v>
      </c>
      <c r="O29" s="1697"/>
      <c r="P29" s="1694"/>
    </row>
    <row r="30" spans="1:16" s="133" customFormat="1" ht="18.75" customHeight="1">
      <c r="A30" s="871">
        <v>26</v>
      </c>
      <c r="B30" s="743" t="s">
        <v>895</v>
      </c>
      <c r="C30" s="873" t="s">
        <v>49</v>
      </c>
      <c r="E30" s="893" t="s">
        <v>209</v>
      </c>
      <c r="F30" s="894">
        <f>COUNTIF('Tower Abstarct '!$D$5:D329,E30)</f>
        <v>1</v>
      </c>
      <c r="G30" s="1690"/>
      <c r="H30" s="1679"/>
      <c r="I30" s="878">
        <f>SUBTOTAL(103,$J$5:J30)</f>
        <v>26</v>
      </c>
      <c r="J30" s="404" t="s">
        <v>894</v>
      </c>
      <c r="K30" s="879" t="s">
        <v>79</v>
      </c>
      <c r="M30" s="404" t="s">
        <v>209</v>
      </c>
      <c r="N30" s="856">
        <f t="shared" si="0"/>
        <v>1</v>
      </c>
      <c r="O30" s="1697"/>
      <c r="P30" s="1694"/>
    </row>
    <row r="31" spans="1:16" s="133" customFormat="1" ht="18.75" customHeight="1">
      <c r="A31" s="871">
        <v>27</v>
      </c>
      <c r="B31" s="743" t="s">
        <v>896</v>
      </c>
      <c r="C31" s="873" t="s">
        <v>49</v>
      </c>
      <c r="E31" s="893" t="s">
        <v>186</v>
      </c>
      <c r="F31" s="894">
        <f>COUNTIF('Tower Abstarct '!$D$5:D325,E31)</f>
        <v>3</v>
      </c>
      <c r="G31" s="1690"/>
      <c r="H31" s="1679"/>
      <c r="I31" s="878">
        <f>SUBTOTAL(103,$J$5:J31)</f>
        <v>27</v>
      </c>
      <c r="J31" s="404" t="s">
        <v>895</v>
      </c>
      <c r="K31" s="879" t="s">
        <v>49</v>
      </c>
      <c r="M31" s="404" t="s">
        <v>186</v>
      </c>
      <c r="N31" s="856">
        <f t="shared" si="0"/>
        <v>3</v>
      </c>
      <c r="O31" s="1697"/>
      <c r="P31" s="1694"/>
    </row>
    <row r="32" spans="1:16" s="133" customFormat="1" ht="18.75" customHeight="1">
      <c r="A32" s="871">
        <v>28</v>
      </c>
      <c r="B32" s="908" t="s">
        <v>257</v>
      </c>
      <c r="C32" s="873" t="s">
        <v>227</v>
      </c>
      <c r="E32" s="893" t="s">
        <v>218</v>
      </c>
      <c r="F32" s="894">
        <f>COUNTIF('Tower Abstarct '!$D$5:D326,E32)</f>
        <v>1</v>
      </c>
      <c r="G32" s="1690"/>
      <c r="H32" s="1679"/>
      <c r="I32" s="878">
        <f>SUBTOTAL(103,$J$5:J32)</f>
        <v>28</v>
      </c>
      <c r="J32" s="404" t="s">
        <v>896</v>
      </c>
      <c r="K32" s="879" t="s">
        <v>49</v>
      </c>
      <c r="M32" s="404" t="s">
        <v>218</v>
      </c>
      <c r="N32" s="856">
        <f t="shared" si="0"/>
        <v>1</v>
      </c>
      <c r="O32" s="1697"/>
      <c r="P32" s="1694"/>
    </row>
    <row r="33" spans="1:16" s="133" customFormat="1" ht="18.75" customHeight="1">
      <c r="A33" s="871">
        <v>29</v>
      </c>
      <c r="B33" s="743" t="s">
        <v>457</v>
      </c>
      <c r="C33" s="873" t="s">
        <v>79</v>
      </c>
      <c r="E33" s="893" t="s">
        <v>429</v>
      </c>
      <c r="F33" s="894">
        <f>COUNTIF('Tower Abstarct '!$D$5:D328,E33)</f>
        <v>2</v>
      </c>
      <c r="G33" s="1690"/>
      <c r="H33" s="1679"/>
      <c r="I33" s="878">
        <f>SUBTOTAL(103,$J$5:J33)</f>
        <v>29</v>
      </c>
      <c r="J33" s="404" t="s">
        <v>257</v>
      </c>
      <c r="K33" s="879" t="s">
        <v>227</v>
      </c>
      <c r="M33" s="404" t="s">
        <v>429</v>
      </c>
      <c r="N33" s="856">
        <f t="shared" si="0"/>
        <v>2</v>
      </c>
      <c r="O33" s="1697"/>
      <c r="P33" s="1694"/>
    </row>
    <row r="34" spans="1:16" s="133" customFormat="1" ht="18.75" customHeight="1">
      <c r="A34" s="871">
        <v>30</v>
      </c>
      <c r="B34" s="743" t="s">
        <v>458</v>
      </c>
      <c r="C34" s="873" t="s">
        <v>49</v>
      </c>
      <c r="E34" s="1684" t="s">
        <v>986</v>
      </c>
      <c r="F34" s="1685"/>
      <c r="G34" s="898">
        <f>SUM(G4:G33)</f>
        <v>298</v>
      </c>
      <c r="H34" s="1679"/>
      <c r="I34" s="878">
        <f>SUBTOTAL(103,$J$5:J34)</f>
        <v>30</v>
      </c>
      <c r="J34" s="404" t="s">
        <v>457</v>
      </c>
      <c r="K34" s="879" t="s">
        <v>79</v>
      </c>
      <c r="M34" s="1686" t="s">
        <v>986</v>
      </c>
      <c r="N34" s="1686"/>
      <c r="O34" s="1172">
        <f>SUM(O4:O33)</f>
        <v>306</v>
      </c>
      <c r="P34" s="1172">
        <f>SUM(P4:P33)</f>
        <v>306</v>
      </c>
    </row>
    <row r="35" spans="1:16" s="133" customFormat="1" ht="18.75" customHeight="1">
      <c r="A35" s="871">
        <v>31</v>
      </c>
      <c r="B35" s="743" t="s">
        <v>459</v>
      </c>
      <c r="C35" s="873" t="s">
        <v>49</v>
      </c>
      <c r="G35" s="899"/>
      <c r="H35" s="1679"/>
      <c r="I35" s="878">
        <f>SUBTOTAL(103,$J$5:J35)</f>
        <v>31</v>
      </c>
      <c r="J35" s="404" t="s">
        <v>458</v>
      </c>
      <c r="K35" s="879" t="s">
        <v>49</v>
      </c>
    </row>
    <row r="36" spans="1:16" s="133" customFormat="1" ht="18.75" customHeight="1">
      <c r="A36" s="871">
        <v>32</v>
      </c>
      <c r="B36" s="743" t="s">
        <v>460</v>
      </c>
      <c r="C36" s="873" t="s">
        <v>154</v>
      </c>
      <c r="G36" s="899"/>
      <c r="H36" s="1679"/>
      <c r="I36" s="878">
        <f>SUBTOTAL(103,$J$5:J36)</f>
        <v>32</v>
      </c>
      <c r="J36" s="404" t="s">
        <v>459</v>
      </c>
      <c r="K36" s="879" t="s">
        <v>49</v>
      </c>
    </row>
    <row r="37" spans="1:16" s="133" customFormat="1" ht="18.75" customHeight="1">
      <c r="A37" s="871">
        <v>33</v>
      </c>
      <c r="B37" s="743" t="s">
        <v>461</v>
      </c>
      <c r="C37" s="873" t="s">
        <v>79</v>
      </c>
      <c r="G37" s="899"/>
      <c r="H37" s="1679"/>
      <c r="I37" s="878">
        <f>SUBTOTAL(103,$J$5:J37)</f>
        <v>33</v>
      </c>
      <c r="J37" s="404" t="s">
        <v>460</v>
      </c>
      <c r="K37" s="879" t="s">
        <v>154</v>
      </c>
    </row>
    <row r="38" spans="1:16" s="133" customFormat="1" ht="18.75" customHeight="1">
      <c r="A38" s="871">
        <v>34</v>
      </c>
      <c r="B38" s="743" t="s">
        <v>462</v>
      </c>
      <c r="C38" s="873" t="s">
        <v>2</v>
      </c>
      <c r="G38" s="899"/>
      <c r="H38" s="1679"/>
      <c r="I38" s="878">
        <f>SUBTOTAL(103,$J$5:J38)</f>
        <v>34</v>
      </c>
      <c r="J38" s="404" t="s">
        <v>461</v>
      </c>
      <c r="K38" s="879" t="s">
        <v>79</v>
      </c>
    </row>
    <row r="39" spans="1:16" s="133" customFormat="1" ht="18.75" customHeight="1">
      <c r="A39" s="871">
        <v>35</v>
      </c>
      <c r="B39" s="743" t="s">
        <v>463</v>
      </c>
      <c r="C39" s="873" t="s">
        <v>49</v>
      </c>
      <c r="G39" s="899"/>
      <c r="H39" s="1679"/>
      <c r="I39" s="878">
        <f>SUBTOTAL(103,$J$5:J39)</f>
        <v>35</v>
      </c>
      <c r="J39" s="404" t="s">
        <v>462</v>
      </c>
      <c r="K39" s="879" t="s">
        <v>2</v>
      </c>
    </row>
    <row r="40" spans="1:16" s="133" customFormat="1" ht="18.75" customHeight="1">
      <c r="A40" s="871">
        <v>36</v>
      </c>
      <c r="B40" s="743" t="s">
        <v>464</v>
      </c>
      <c r="C40" s="873" t="s">
        <v>79</v>
      </c>
      <c r="G40" s="899"/>
      <c r="H40" s="1679"/>
      <c r="I40" s="878">
        <f>SUBTOTAL(103,$J$5:J40)</f>
        <v>36</v>
      </c>
      <c r="J40" s="404" t="s">
        <v>463</v>
      </c>
      <c r="K40" s="879" t="s">
        <v>49</v>
      </c>
    </row>
    <row r="41" spans="1:16" s="133" customFormat="1" ht="18.75" customHeight="1">
      <c r="A41" s="871">
        <v>37</v>
      </c>
      <c r="B41" s="743" t="s">
        <v>465</v>
      </c>
      <c r="C41" s="873" t="s">
        <v>79</v>
      </c>
      <c r="G41" s="899"/>
      <c r="H41" s="1679"/>
      <c r="I41" s="878">
        <f>SUBTOTAL(103,$J$5:J41)</f>
        <v>37</v>
      </c>
      <c r="J41" s="404" t="s">
        <v>464</v>
      </c>
      <c r="K41" s="879" t="s">
        <v>79</v>
      </c>
    </row>
    <row r="42" spans="1:16" s="133" customFormat="1" ht="18.75" customHeight="1">
      <c r="A42" s="871">
        <v>38</v>
      </c>
      <c r="B42" s="743" t="s">
        <v>466</v>
      </c>
      <c r="C42" s="873" t="s">
        <v>49</v>
      </c>
      <c r="G42" s="899"/>
      <c r="H42" s="1679"/>
      <c r="I42" s="878">
        <f>SUBTOTAL(103,$J$5:J42)</f>
        <v>38</v>
      </c>
      <c r="J42" s="404" t="s">
        <v>465</v>
      </c>
      <c r="K42" s="879" t="s">
        <v>79</v>
      </c>
    </row>
    <row r="43" spans="1:16" s="133" customFormat="1" ht="18.75" customHeight="1">
      <c r="A43" s="871">
        <v>39</v>
      </c>
      <c r="B43" s="743" t="s">
        <v>672</v>
      </c>
      <c r="C43" s="873" t="s">
        <v>401</v>
      </c>
      <c r="G43" s="899"/>
      <c r="H43" s="1679"/>
      <c r="I43" s="878">
        <f>SUBTOTAL(103,$J$5:J43)</f>
        <v>39</v>
      </c>
      <c r="J43" s="404" t="s">
        <v>466</v>
      </c>
      <c r="K43" s="879" t="s">
        <v>49</v>
      </c>
    </row>
    <row r="44" spans="1:16" s="647" customFormat="1" ht="18.75" customHeight="1">
      <c r="A44" s="910">
        <v>40</v>
      </c>
      <c r="B44" s="908" t="s">
        <v>258</v>
      </c>
      <c r="C44" s="909" t="s">
        <v>211</v>
      </c>
      <c r="G44" s="900"/>
      <c r="H44" s="1679"/>
      <c r="I44" s="883">
        <f>SUBTOTAL(103,$J$5:J44)</f>
        <v>40</v>
      </c>
      <c r="J44" s="404" t="s">
        <v>672</v>
      </c>
      <c r="K44" s="879" t="s">
        <v>401</v>
      </c>
    </row>
    <row r="45" spans="1:16" s="647" customFormat="1" ht="18.75" customHeight="1">
      <c r="A45" s="910">
        <v>41</v>
      </c>
      <c r="B45" s="908" t="s">
        <v>259</v>
      </c>
      <c r="C45" s="909" t="s">
        <v>49</v>
      </c>
      <c r="G45" s="900"/>
      <c r="H45" s="1679"/>
      <c r="I45" s="883">
        <f>SUBTOTAL(103,$J$5:J45)</f>
        <v>41</v>
      </c>
      <c r="J45" s="404" t="s">
        <v>258</v>
      </c>
      <c r="K45" s="879" t="s">
        <v>211</v>
      </c>
    </row>
    <row r="46" spans="1:16" s="647" customFormat="1" ht="18.75" customHeight="1">
      <c r="A46" s="910">
        <v>42</v>
      </c>
      <c r="B46" s="908" t="s">
        <v>260</v>
      </c>
      <c r="C46" s="909" t="s">
        <v>79</v>
      </c>
      <c r="G46" s="900"/>
      <c r="H46" s="1679"/>
      <c r="I46" s="883">
        <f>SUBTOTAL(103,$J$5:J46)</f>
        <v>42</v>
      </c>
      <c r="J46" s="404" t="s">
        <v>259</v>
      </c>
      <c r="K46" s="879" t="s">
        <v>49</v>
      </c>
    </row>
    <row r="47" spans="1:16" s="647" customFormat="1" ht="18.75" customHeight="1">
      <c r="A47" s="910">
        <v>43</v>
      </c>
      <c r="B47" s="908" t="s">
        <v>467</v>
      </c>
      <c r="C47" s="909" t="s">
        <v>2</v>
      </c>
      <c r="G47" s="900"/>
      <c r="H47" s="1679"/>
      <c r="I47" s="883">
        <f>SUBTOTAL(103,$J$5:J47)</f>
        <v>43</v>
      </c>
      <c r="J47" s="404" t="s">
        <v>260</v>
      </c>
      <c r="K47" s="879" t="s">
        <v>79</v>
      </c>
    </row>
    <row r="48" spans="1:16" s="647" customFormat="1" ht="18.75" customHeight="1">
      <c r="A48" s="910">
        <v>44</v>
      </c>
      <c r="B48" s="908" t="s">
        <v>468</v>
      </c>
      <c r="C48" s="909" t="s">
        <v>49</v>
      </c>
      <c r="G48" s="900"/>
      <c r="H48" s="1679"/>
      <c r="I48" s="883">
        <f>SUBTOTAL(103,$J$5:J48)</f>
        <v>44</v>
      </c>
      <c r="J48" s="404" t="s">
        <v>467</v>
      </c>
      <c r="K48" s="879" t="s">
        <v>2</v>
      </c>
    </row>
    <row r="49" spans="1:11" s="647" customFormat="1" ht="18.75" customHeight="1">
      <c r="A49" s="910">
        <v>45</v>
      </c>
      <c r="B49" s="908" t="s">
        <v>469</v>
      </c>
      <c r="C49" s="909" t="s">
        <v>49</v>
      </c>
      <c r="G49" s="900"/>
      <c r="H49" s="1679"/>
      <c r="I49" s="883">
        <f>SUBTOTAL(103,$J$5:J49)</f>
        <v>45</v>
      </c>
      <c r="J49" s="404" t="s">
        <v>468</v>
      </c>
      <c r="K49" s="879" t="s">
        <v>49</v>
      </c>
    </row>
    <row r="50" spans="1:11" s="647" customFormat="1" ht="18.75" customHeight="1">
      <c r="A50" s="910">
        <v>46</v>
      </c>
      <c r="B50" s="908" t="s">
        <v>470</v>
      </c>
      <c r="C50" s="909" t="s">
        <v>4</v>
      </c>
      <c r="G50" s="900"/>
      <c r="H50" s="1679"/>
      <c r="I50" s="883">
        <f>SUBTOTAL(103,$J$5:J50)</f>
        <v>46</v>
      </c>
      <c r="J50" s="404" t="s">
        <v>469</v>
      </c>
      <c r="K50" s="879" t="s">
        <v>49</v>
      </c>
    </row>
    <row r="51" spans="1:11" s="647" customFormat="1" ht="18.75" customHeight="1">
      <c r="A51" s="910">
        <v>47</v>
      </c>
      <c r="B51" s="908" t="s">
        <v>471</v>
      </c>
      <c r="C51" s="909" t="s">
        <v>170</v>
      </c>
      <c r="G51" s="900"/>
      <c r="H51" s="1679"/>
      <c r="I51" s="883">
        <f>SUBTOTAL(103,$J$5:J51)</f>
        <v>47</v>
      </c>
      <c r="J51" s="404" t="s">
        <v>470</v>
      </c>
      <c r="K51" s="879" t="s">
        <v>4</v>
      </c>
    </row>
    <row r="52" spans="1:11" s="647" customFormat="1" ht="18.75" customHeight="1">
      <c r="A52" s="910">
        <v>48</v>
      </c>
      <c r="B52" s="908" t="s">
        <v>472</v>
      </c>
      <c r="C52" s="909" t="s">
        <v>2</v>
      </c>
      <c r="G52" s="900"/>
      <c r="H52" s="1679"/>
      <c r="I52" s="883">
        <f>SUBTOTAL(103,$J$5:J52)</f>
        <v>48</v>
      </c>
      <c r="J52" s="404" t="s">
        <v>471</v>
      </c>
      <c r="K52" s="879" t="s">
        <v>170</v>
      </c>
    </row>
    <row r="53" spans="1:11" s="647" customFormat="1" ht="18.75" customHeight="1">
      <c r="A53" s="910">
        <v>49</v>
      </c>
      <c r="B53" s="908" t="s">
        <v>473</v>
      </c>
      <c r="C53" s="909" t="s">
        <v>79</v>
      </c>
      <c r="G53" s="900"/>
      <c r="H53" s="1679"/>
      <c r="I53" s="883">
        <f>SUBTOTAL(103,$J$5:J53)</f>
        <v>49</v>
      </c>
      <c r="J53" s="404" t="s">
        <v>472</v>
      </c>
      <c r="K53" s="879" t="s">
        <v>2</v>
      </c>
    </row>
    <row r="54" spans="1:11" s="647" customFormat="1" ht="18.75" customHeight="1">
      <c r="A54" s="910">
        <v>50</v>
      </c>
      <c r="B54" s="908" t="s">
        <v>474</v>
      </c>
      <c r="C54" s="909" t="s">
        <v>170</v>
      </c>
      <c r="G54" s="900"/>
      <c r="H54" s="1679"/>
      <c r="I54" s="883">
        <f>SUBTOTAL(103,$J$5:J54)</f>
        <v>50</v>
      </c>
      <c r="J54" s="404" t="s">
        <v>473</v>
      </c>
      <c r="K54" s="879" t="s">
        <v>79</v>
      </c>
    </row>
    <row r="55" spans="1:11" s="647" customFormat="1" ht="18.75" customHeight="1">
      <c r="A55" s="910">
        <v>51</v>
      </c>
      <c r="B55" s="908" t="s">
        <v>475</v>
      </c>
      <c r="C55" s="909" t="s">
        <v>154</v>
      </c>
      <c r="G55" s="900"/>
      <c r="H55" s="1679"/>
      <c r="I55" s="883">
        <f>SUBTOTAL(103,$J$5:J55)</f>
        <v>51</v>
      </c>
      <c r="J55" s="404" t="s">
        <v>474</v>
      </c>
      <c r="K55" s="879" t="s">
        <v>170</v>
      </c>
    </row>
    <row r="56" spans="1:11" s="647" customFormat="1" ht="18.75" customHeight="1">
      <c r="A56" s="910">
        <v>52</v>
      </c>
      <c r="B56" s="908" t="s">
        <v>490</v>
      </c>
      <c r="C56" s="909" t="s">
        <v>170</v>
      </c>
      <c r="G56" s="900"/>
      <c r="H56" s="1679"/>
      <c r="I56" s="883">
        <f>SUBTOTAL(103,$J$5:J56)</f>
        <v>52</v>
      </c>
      <c r="J56" s="404" t="s">
        <v>475</v>
      </c>
      <c r="K56" s="879" t="s">
        <v>154</v>
      </c>
    </row>
    <row r="57" spans="1:11" s="647" customFormat="1" ht="18.75" customHeight="1">
      <c r="A57" s="910">
        <v>53</v>
      </c>
      <c r="B57" s="908" t="s">
        <v>261</v>
      </c>
      <c r="C57" s="909" t="s">
        <v>184</v>
      </c>
      <c r="G57" s="900"/>
      <c r="H57" s="1679"/>
      <c r="I57" s="883">
        <f>SUBTOTAL(103,$J$5:J57)</f>
        <v>53</v>
      </c>
      <c r="J57" s="404" t="s">
        <v>490</v>
      </c>
      <c r="K57" s="879" t="s">
        <v>170</v>
      </c>
    </row>
    <row r="58" spans="1:11" s="647" customFormat="1" ht="18.75" customHeight="1">
      <c r="A58" s="910">
        <v>54</v>
      </c>
      <c r="B58" s="908" t="s">
        <v>476</v>
      </c>
      <c r="C58" s="909" t="s">
        <v>4</v>
      </c>
      <c r="G58" s="900"/>
      <c r="H58" s="1679"/>
      <c r="I58" s="883">
        <f>SUBTOTAL(103,$J$5:J58)</f>
        <v>54</v>
      </c>
      <c r="J58" s="404" t="s">
        <v>261</v>
      </c>
      <c r="K58" s="879" t="s">
        <v>184</v>
      </c>
    </row>
    <row r="59" spans="1:11" s="647" customFormat="1" ht="18.75" customHeight="1">
      <c r="A59" s="910">
        <v>55</v>
      </c>
      <c r="B59" s="908" t="s">
        <v>477</v>
      </c>
      <c r="C59" s="909" t="s">
        <v>79</v>
      </c>
      <c r="G59" s="900"/>
      <c r="H59" s="1679"/>
      <c r="I59" s="883">
        <f>SUBTOTAL(103,$J$5:J59)</f>
        <v>55</v>
      </c>
      <c r="J59" s="404" t="s">
        <v>476</v>
      </c>
      <c r="K59" s="879" t="s">
        <v>4</v>
      </c>
    </row>
    <row r="60" spans="1:11" s="647" customFormat="1" ht="18.75" customHeight="1">
      <c r="A60" s="910">
        <v>56</v>
      </c>
      <c r="B60" s="908" t="s">
        <v>478</v>
      </c>
      <c r="C60" s="909" t="s">
        <v>49</v>
      </c>
      <c r="G60" s="900"/>
      <c r="H60" s="1679"/>
      <c r="I60" s="883">
        <f>SUBTOTAL(103,$J$5:J60)</f>
        <v>56</v>
      </c>
      <c r="J60" s="404" t="s">
        <v>477</v>
      </c>
      <c r="K60" s="879" t="s">
        <v>79</v>
      </c>
    </row>
    <row r="61" spans="1:11" s="647" customFormat="1" ht="18.75" customHeight="1">
      <c r="A61" s="910">
        <v>57</v>
      </c>
      <c r="B61" s="908" t="s">
        <v>479</v>
      </c>
      <c r="C61" s="909" t="s">
        <v>79</v>
      </c>
      <c r="G61" s="900"/>
      <c r="H61" s="1679"/>
      <c r="I61" s="883">
        <f>SUBTOTAL(103,$J$5:J61)</f>
        <v>57</v>
      </c>
      <c r="J61" s="404" t="s">
        <v>478</v>
      </c>
      <c r="K61" s="879" t="s">
        <v>49</v>
      </c>
    </row>
    <row r="62" spans="1:11" s="647" customFormat="1" ht="18.75" customHeight="1">
      <c r="A62" s="910">
        <v>58</v>
      </c>
      <c r="B62" s="908" t="s">
        <v>480</v>
      </c>
      <c r="C62" s="909" t="s">
        <v>79</v>
      </c>
      <c r="G62" s="900"/>
      <c r="H62" s="1679"/>
      <c r="I62" s="883">
        <f>SUBTOTAL(103,$J$5:J62)</f>
        <v>58</v>
      </c>
      <c r="J62" s="404" t="s">
        <v>479</v>
      </c>
      <c r="K62" s="879" t="s">
        <v>79</v>
      </c>
    </row>
    <row r="63" spans="1:11" s="647" customFormat="1" ht="18.75" customHeight="1">
      <c r="A63" s="910">
        <v>59</v>
      </c>
      <c r="B63" s="908" t="s">
        <v>481</v>
      </c>
      <c r="C63" s="909" t="s">
        <v>154</v>
      </c>
      <c r="G63" s="900"/>
      <c r="H63" s="1679"/>
      <c r="I63" s="883">
        <f>SUBTOTAL(103,$J$5:J63)</f>
        <v>59</v>
      </c>
      <c r="J63" s="404" t="s">
        <v>480</v>
      </c>
      <c r="K63" s="879" t="s">
        <v>79</v>
      </c>
    </row>
    <row r="64" spans="1:11" s="647" customFormat="1" ht="18.75" customHeight="1">
      <c r="A64" s="910">
        <v>60</v>
      </c>
      <c r="B64" s="908" t="s">
        <v>491</v>
      </c>
      <c r="C64" s="909" t="s">
        <v>227</v>
      </c>
      <c r="G64" s="900"/>
      <c r="H64" s="1679"/>
      <c r="I64" s="883">
        <f>SUBTOTAL(103,$J$5:J64)</f>
        <v>60</v>
      </c>
      <c r="J64" s="404" t="s">
        <v>481</v>
      </c>
      <c r="K64" s="879" t="s">
        <v>154</v>
      </c>
    </row>
    <row r="65" spans="1:11" s="647" customFormat="1" ht="18.75" customHeight="1">
      <c r="A65" s="910">
        <v>61</v>
      </c>
      <c r="B65" s="908" t="s">
        <v>492</v>
      </c>
      <c r="C65" s="909" t="s">
        <v>170</v>
      </c>
      <c r="G65" s="900"/>
      <c r="H65" s="1679"/>
      <c r="I65" s="883">
        <f>SUBTOTAL(103,$J$5:J65)</f>
        <v>61</v>
      </c>
      <c r="J65" s="404" t="s">
        <v>491</v>
      </c>
      <c r="K65" s="879" t="s">
        <v>227</v>
      </c>
    </row>
    <row r="66" spans="1:11" s="647" customFormat="1" ht="18.75" customHeight="1">
      <c r="A66" s="910">
        <v>62</v>
      </c>
      <c r="B66" s="908" t="s">
        <v>493</v>
      </c>
      <c r="C66" s="909" t="s">
        <v>2</v>
      </c>
      <c r="G66" s="900"/>
      <c r="H66" s="1679"/>
      <c r="I66" s="883">
        <f>SUBTOTAL(103,$J$5:J66)</f>
        <v>62</v>
      </c>
      <c r="J66" s="404" t="s">
        <v>492</v>
      </c>
      <c r="K66" s="879" t="s">
        <v>170</v>
      </c>
    </row>
    <row r="67" spans="1:11" s="647" customFormat="1" ht="18.75" customHeight="1">
      <c r="A67" s="910">
        <v>63</v>
      </c>
      <c r="B67" s="908" t="s">
        <v>494</v>
      </c>
      <c r="C67" s="909" t="s">
        <v>2</v>
      </c>
      <c r="G67" s="900"/>
      <c r="H67" s="1679"/>
      <c r="I67" s="883">
        <f>SUBTOTAL(103,$J$5:J67)</f>
        <v>63</v>
      </c>
      <c r="J67" s="404" t="s">
        <v>493</v>
      </c>
      <c r="K67" s="879" t="s">
        <v>2</v>
      </c>
    </row>
    <row r="68" spans="1:11" s="647" customFormat="1" ht="18.75" customHeight="1">
      <c r="A68" s="910">
        <v>64</v>
      </c>
      <c r="B68" s="908" t="s">
        <v>495</v>
      </c>
      <c r="C68" s="909" t="s">
        <v>2</v>
      </c>
      <c r="G68" s="900"/>
      <c r="H68" s="1679"/>
      <c r="I68" s="883">
        <f>SUBTOTAL(103,$J$5:J68)</f>
        <v>64</v>
      </c>
      <c r="J68" s="404" t="s">
        <v>494</v>
      </c>
      <c r="K68" s="879" t="s">
        <v>2</v>
      </c>
    </row>
    <row r="69" spans="1:11" s="647" customFormat="1" ht="18.75" customHeight="1">
      <c r="A69" s="910">
        <v>65</v>
      </c>
      <c r="B69" s="908" t="s">
        <v>496</v>
      </c>
      <c r="C69" s="909" t="s">
        <v>2</v>
      </c>
      <c r="G69" s="900"/>
      <c r="H69" s="1679"/>
      <c r="I69" s="883">
        <f>SUBTOTAL(103,$J$5:J69)</f>
        <v>65</v>
      </c>
      <c r="J69" s="404" t="s">
        <v>495</v>
      </c>
      <c r="K69" s="879" t="s">
        <v>2</v>
      </c>
    </row>
    <row r="70" spans="1:11" s="647" customFormat="1" ht="18.75" customHeight="1">
      <c r="A70" s="910">
        <v>66</v>
      </c>
      <c r="B70" s="908" t="s">
        <v>262</v>
      </c>
      <c r="C70" s="909" t="s">
        <v>197</v>
      </c>
      <c r="G70" s="900"/>
      <c r="H70" s="1679"/>
      <c r="I70" s="883">
        <f>SUBTOTAL(103,$J$5:J70)</f>
        <v>66</v>
      </c>
      <c r="J70" s="404" t="s">
        <v>496</v>
      </c>
      <c r="K70" s="879" t="s">
        <v>2</v>
      </c>
    </row>
    <row r="71" spans="1:11" s="647" customFormat="1" ht="18.75" customHeight="1">
      <c r="A71" s="910">
        <v>67</v>
      </c>
      <c r="B71" s="908" t="s">
        <v>390</v>
      </c>
      <c r="C71" s="909" t="s">
        <v>4</v>
      </c>
      <c r="G71" s="900"/>
      <c r="H71" s="1679"/>
      <c r="I71" s="883">
        <f>SUBTOTAL(103,$J$5:J71)</f>
        <v>67</v>
      </c>
      <c r="J71" s="404" t="s">
        <v>262</v>
      </c>
      <c r="K71" s="879" t="s">
        <v>197</v>
      </c>
    </row>
    <row r="72" spans="1:11" s="647" customFormat="1" ht="18.75" customHeight="1">
      <c r="A72" s="910">
        <v>68</v>
      </c>
      <c r="B72" s="908" t="s">
        <v>391</v>
      </c>
      <c r="C72" s="909" t="s">
        <v>79</v>
      </c>
      <c r="G72" s="900"/>
      <c r="H72" s="1679"/>
      <c r="I72" s="883">
        <f>SUBTOTAL(103,$J$5:J72)</f>
        <v>68</v>
      </c>
      <c r="J72" s="404" t="s">
        <v>390</v>
      </c>
      <c r="K72" s="879" t="s">
        <v>4</v>
      </c>
    </row>
    <row r="73" spans="1:11" s="647" customFormat="1" ht="18.75" customHeight="1">
      <c r="A73" s="910">
        <v>69</v>
      </c>
      <c r="B73" s="908" t="s">
        <v>392</v>
      </c>
      <c r="C73" s="909" t="s">
        <v>49</v>
      </c>
      <c r="G73" s="900"/>
      <c r="H73" s="1679"/>
      <c r="I73" s="883">
        <f>SUBTOTAL(103,$J$5:J73)</f>
        <v>69</v>
      </c>
      <c r="J73" s="404" t="s">
        <v>391</v>
      </c>
      <c r="K73" s="879" t="s">
        <v>79</v>
      </c>
    </row>
    <row r="74" spans="1:11" s="647" customFormat="1" ht="18.75" customHeight="1">
      <c r="A74" s="910">
        <v>70</v>
      </c>
      <c r="B74" s="908" t="s">
        <v>393</v>
      </c>
      <c r="C74" s="909" t="s">
        <v>79</v>
      </c>
      <c r="G74" s="900"/>
      <c r="H74" s="1679"/>
      <c r="I74" s="883">
        <f>SUBTOTAL(103,$J$5:J74)</f>
        <v>70</v>
      </c>
      <c r="J74" s="404" t="s">
        <v>392</v>
      </c>
      <c r="K74" s="879" t="s">
        <v>49</v>
      </c>
    </row>
    <row r="75" spans="1:11" s="647" customFormat="1" ht="18.75" customHeight="1">
      <c r="A75" s="910">
        <v>71</v>
      </c>
      <c r="B75" s="908" t="s">
        <v>394</v>
      </c>
      <c r="C75" s="909" t="s">
        <v>49</v>
      </c>
      <c r="G75" s="900"/>
      <c r="H75" s="1679"/>
      <c r="I75" s="883">
        <f>SUBTOTAL(103,$J$5:J75)</f>
        <v>71</v>
      </c>
      <c r="J75" s="404" t="s">
        <v>393</v>
      </c>
      <c r="K75" s="879" t="s">
        <v>79</v>
      </c>
    </row>
    <row r="76" spans="1:11" s="647" customFormat="1" ht="18.75" customHeight="1">
      <c r="A76" s="910">
        <v>72</v>
      </c>
      <c r="B76" s="908" t="s">
        <v>395</v>
      </c>
      <c r="C76" s="909" t="s">
        <v>2</v>
      </c>
      <c r="G76" s="900"/>
      <c r="H76" s="1679"/>
      <c r="I76" s="883">
        <f>SUBTOTAL(103,$J$5:J76)</f>
        <v>72</v>
      </c>
      <c r="J76" s="404" t="s">
        <v>394</v>
      </c>
      <c r="K76" s="879" t="s">
        <v>49</v>
      </c>
    </row>
    <row r="77" spans="1:11" s="647" customFormat="1" ht="18.75" customHeight="1">
      <c r="A77" s="910">
        <v>73</v>
      </c>
      <c r="B77" s="908" t="s">
        <v>396</v>
      </c>
      <c r="C77" s="909" t="s">
        <v>2</v>
      </c>
      <c r="G77" s="900"/>
      <c r="H77" s="1679"/>
      <c r="I77" s="883">
        <f>SUBTOTAL(103,$J$5:J77)</f>
        <v>73</v>
      </c>
      <c r="J77" s="404" t="s">
        <v>395</v>
      </c>
      <c r="K77" s="879" t="s">
        <v>2</v>
      </c>
    </row>
    <row r="78" spans="1:11" s="647" customFormat="1" ht="18.75" customHeight="1">
      <c r="A78" s="910">
        <v>74</v>
      </c>
      <c r="B78" s="908" t="s">
        <v>397</v>
      </c>
      <c r="C78" s="909" t="s">
        <v>49</v>
      </c>
      <c r="G78" s="900"/>
      <c r="H78" s="1679"/>
      <c r="I78" s="883">
        <f>SUBTOTAL(103,$J$5:J78)</f>
        <v>74</v>
      </c>
      <c r="J78" s="404" t="s">
        <v>396</v>
      </c>
      <c r="K78" s="879" t="s">
        <v>2</v>
      </c>
    </row>
    <row r="79" spans="1:11" s="647" customFormat="1" ht="18.75" customHeight="1">
      <c r="A79" s="910">
        <v>75</v>
      </c>
      <c r="B79" s="908" t="s">
        <v>398</v>
      </c>
      <c r="C79" s="909" t="s">
        <v>2</v>
      </c>
      <c r="G79" s="900"/>
      <c r="H79" s="1679"/>
      <c r="I79" s="883">
        <f>SUBTOTAL(103,$J$5:J79)</f>
        <v>75</v>
      </c>
      <c r="J79" s="404" t="s">
        <v>397</v>
      </c>
      <c r="K79" s="879" t="s">
        <v>49</v>
      </c>
    </row>
    <row r="80" spans="1:11" s="647" customFormat="1" ht="18.75" customHeight="1">
      <c r="A80" s="910">
        <v>76</v>
      </c>
      <c r="B80" s="908" t="s">
        <v>399</v>
      </c>
      <c r="C80" s="909" t="s">
        <v>3</v>
      </c>
      <c r="G80" s="900"/>
      <c r="H80" s="1679"/>
      <c r="I80" s="883">
        <f>SUBTOTAL(103,$J$5:J80)</f>
        <v>76</v>
      </c>
      <c r="J80" s="404" t="s">
        <v>398</v>
      </c>
      <c r="K80" s="879" t="s">
        <v>2</v>
      </c>
    </row>
    <row r="81" spans="1:11" s="133" customFormat="1" ht="18.75" customHeight="1">
      <c r="A81" s="871">
        <v>77</v>
      </c>
      <c r="B81" s="743" t="s">
        <v>400</v>
      </c>
      <c r="C81" s="873" t="s">
        <v>49</v>
      </c>
      <c r="G81" s="899"/>
      <c r="H81" s="1679"/>
      <c r="I81" s="878">
        <f>SUBTOTAL(103,$J$5:J81)</f>
        <v>77</v>
      </c>
      <c r="J81" s="404" t="s">
        <v>399</v>
      </c>
      <c r="K81" s="879" t="s">
        <v>3</v>
      </c>
    </row>
    <row r="82" spans="1:11" s="133" customFormat="1" ht="18.75" customHeight="1">
      <c r="A82" s="871">
        <v>78</v>
      </c>
      <c r="B82" s="743" t="s">
        <v>482</v>
      </c>
      <c r="C82" s="873" t="s">
        <v>401</v>
      </c>
      <c r="G82" s="899"/>
      <c r="H82" s="1679"/>
      <c r="I82" s="878">
        <f>SUBTOTAL(103,$J$5:J82)</f>
        <v>78</v>
      </c>
      <c r="J82" s="404" t="s">
        <v>400</v>
      </c>
      <c r="K82" s="879" t="s">
        <v>49</v>
      </c>
    </row>
    <row r="83" spans="1:11" s="133" customFormat="1" ht="18.75" customHeight="1">
      <c r="A83" s="871">
        <v>79</v>
      </c>
      <c r="B83" s="743" t="s">
        <v>263</v>
      </c>
      <c r="C83" s="873" t="s">
        <v>401</v>
      </c>
      <c r="G83" s="899"/>
      <c r="H83" s="1679"/>
      <c r="I83" s="878">
        <f>SUBTOTAL(103,$J$5:J83)</f>
        <v>79</v>
      </c>
      <c r="J83" s="404" t="s">
        <v>482</v>
      </c>
      <c r="K83" s="879" t="s">
        <v>401</v>
      </c>
    </row>
    <row r="84" spans="1:11" s="133" customFormat="1" ht="18.75" customHeight="1">
      <c r="A84" s="871">
        <v>80</v>
      </c>
      <c r="B84" s="743" t="s">
        <v>402</v>
      </c>
      <c r="C84" s="873" t="s">
        <v>2</v>
      </c>
      <c r="G84" s="899"/>
      <c r="H84" s="1679"/>
      <c r="I84" s="878">
        <f>SUBTOTAL(103,$J$5:J84)</f>
        <v>80</v>
      </c>
      <c r="J84" s="404" t="s">
        <v>263</v>
      </c>
      <c r="K84" s="879" t="s">
        <v>401</v>
      </c>
    </row>
    <row r="85" spans="1:11" s="133" customFormat="1" ht="18.75" customHeight="1">
      <c r="A85" s="871">
        <v>81</v>
      </c>
      <c r="B85" s="743" t="s">
        <v>404</v>
      </c>
      <c r="C85" s="873" t="s">
        <v>2</v>
      </c>
      <c r="G85" s="899"/>
      <c r="H85" s="1679"/>
      <c r="I85" s="878">
        <f>SUBTOTAL(103,$J$5:J85)</f>
        <v>81</v>
      </c>
      <c r="J85" s="404" t="s">
        <v>402</v>
      </c>
      <c r="K85" s="879" t="s">
        <v>2</v>
      </c>
    </row>
    <row r="86" spans="1:11" s="133" customFormat="1" ht="18.75" customHeight="1">
      <c r="A86" s="871">
        <v>82</v>
      </c>
      <c r="B86" s="743" t="s">
        <v>405</v>
      </c>
      <c r="C86" s="873" t="s">
        <v>3</v>
      </c>
      <c r="G86" s="899"/>
      <c r="H86" s="1679"/>
      <c r="I86" s="878">
        <f>SUBTOTAL(103,$J$5:J86)</f>
        <v>82</v>
      </c>
      <c r="J86" s="404" t="s">
        <v>404</v>
      </c>
      <c r="K86" s="879" t="s">
        <v>2</v>
      </c>
    </row>
    <row r="87" spans="1:11" s="133" customFormat="1" ht="18.75" customHeight="1">
      <c r="A87" s="871">
        <v>83</v>
      </c>
      <c r="B87" s="743" t="s">
        <v>368</v>
      </c>
      <c r="C87" s="873" t="s">
        <v>79</v>
      </c>
      <c r="G87" s="899"/>
      <c r="H87" s="1679"/>
      <c r="I87" s="878">
        <f>SUBTOTAL(103,$J$5:J87)</f>
        <v>83</v>
      </c>
      <c r="J87" s="404" t="s">
        <v>405</v>
      </c>
      <c r="K87" s="879" t="s">
        <v>3</v>
      </c>
    </row>
    <row r="88" spans="1:11" s="133" customFormat="1" ht="18.75" customHeight="1">
      <c r="A88" s="871">
        <v>84</v>
      </c>
      <c r="B88" s="743" t="s">
        <v>369</v>
      </c>
      <c r="C88" s="873" t="s">
        <v>2</v>
      </c>
      <c r="G88" s="899"/>
      <c r="H88" s="1679"/>
      <c r="I88" s="878">
        <f>SUBTOTAL(103,$J$5:J88)</f>
        <v>84</v>
      </c>
      <c r="J88" s="404" t="s">
        <v>368</v>
      </c>
      <c r="K88" s="879" t="s">
        <v>79</v>
      </c>
    </row>
    <row r="89" spans="1:11" s="133" customFormat="1" ht="18.75" customHeight="1">
      <c r="A89" s="871">
        <v>85</v>
      </c>
      <c r="B89" s="743" t="s">
        <v>370</v>
      </c>
      <c r="C89" s="873" t="s">
        <v>2</v>
      </c>
      <c r="G89" s="899"/>
      <c r="H89" s="1679"/>
      <c r="I89" s="878">
        <f>SUBTOTAL(103,$J$5:J89)</f>
        <v>85</v>
      </c>
      <c r="J89" s="404" t="s">
        <v>369</v>
      </c>
      <c r="K89" s="879" t="s">
        <v>2</v>
      </c>
    </row>
    <row r="90" spans="1:11" s="133" customFormat="1" ht="18.75" customHeight="1">
      <c r="A90" s="871">
        <v>86</v>
      </c>
      <c r="B90" s="743" t="s">
        <v>406</v>
      </c>
      <c r="C90" s="873" t="s">
        <v>49</v>
      </c>
      <c r="G90" s="899"/>
      <c r="H90" s="1679"/>
      <c r="I90" s="878">
        <f>SUBTOTAL(103,$J$5:J90)</f>
        <v>86</v>
      </c>
      <c r="J90" s="404" t="s">
        <v>370</v>
      </c>
      <c r="K90" s="879" t="s">
        <v>2</v>
      </c>
    </row>
    <row r="91" spans="1:11" s="133" customFormat="1" ht="18.75" customHeight="1">
      <c r="A91" s="871">
        <v>87</v>
      </c>
      <c r="B91" s="743" t="s">
        <v>407</v>
      </c>
      <c r="C91" s="873" t="s">
        <v>3</v>
      </c>
      <c r="G91" s="899"/>
      <c r="H91" s="1679"/>
      <c r="I91" s="878">
        <f>SUBTOTAL(103,$J$5:J91)</f>
        <v>87</v>
      </c>
      <c r="J91" s="404" t="s">
        <v>406</v>
      </c>
      <c r="K91" s="879" t="s">
        <v>49</v>
      </c>
    </row>
    <row r="92" spans="1:11" s="133" customFormat="1" ht="18.75" customHeight="1">
      <c r="A92" s="871">
        <v>88</v>
      </c>
      <c r="B92" s="743" t="s">
        <v>408</v>
      </c>
      <c r="C92" s="873" t="s">
        <v>3</v>
      </c>
      <c r="G92" s="899"/>
      <c r="H92" s="1679"/>
      <c r="I92" s="878">
        <f>SUBTOTAL(103,$J$4:J93)</f>
        <v>90</v>
      </c>
      <c r="J92" s="404" t="s">
        <v>407</v>
      </c>
      <c r="K92" s="879" t="s">
        <v>3</v>
      </c>
    </row>
    <row r="93" spans="1:11" s="133" customFormat="1" ht="18.75" customHeight="1">
      <c r="A93" s="871">
        <v>89</v>
      </c>
      <c r="B93" s="743" t="s">
        <v>409</v>
      </c>
      <c r="C93" s="873" t="s">
        <v>2</v>
      </c>
      <c r="G93" s="899"/>
      <c r="H93" s="1679"/>
      <c r="I93" s="878">
        <f>SUBTOTAL(103,$J$5:J93)</f>
        <v>89</v>
      </c>
      <c r="J93" s="404" t="s">
        <v>408</v>
      </c>
      <c r="K93" s="879" t="s">
        <v>3</v>
      </c>
    </row>
    <row r="94" spans="1:11" s="133" customFormat="1" ht="18.75" customHeight="1">
      <c r="A94" s="871">
        <v>90</v>
      </c>
      <c r="B94" s="743" t="s">
        <v>410</v>
      </c>
      <c r="C94" s="873" t="s">
        <v>2</v>
      </c>
      <c r="G94" s="899"/>
      <c r="H94" s="1679"/>
      <c r="I94" s="878">
        <f>SUBTOTAL(103,$J$5:J94)</f>
        <v>90</v>
      </c>
      <c r="J94" s="404" t="s">
        <v>409</v>
      </c>
      <c r="K94" s="879" t="s">
        <v>2</v>
      </c>
    </row>
    <row r="95" spans="1:11" s="133" customFormat="1" ht="18.75" customHeight="1">
      <c r="A95" s="871">
        <v>91</v>
      </c>
      <c r="B95" s="743" t="s">
        <v>264</v>
      </c>
      <c r="C95" s="873" t="s">
        <v>227</v>
      </c>
      <c r="G95" s="899"/>
      <c r="H95" s="1679"/>
      <c r="I95" s="878">
        <f>SUBTOTAL(103,$J$5:J95)</f>
        <v>91</v>
      </c>
      <c r="J95" s="404" t="s">
        <v>410</v>
      </c>
      <c r="K95" s="879" t="s">
        <v>2</v>
      </c>
    </row>
    <row r="96" spans="1:11" s="133" customFormat="1" ht="18.75" customHeight="1">
      <c r="A96" s="871">
        <v>92</v>
      </c>
      <c r="B96" s="743" t="s">
        <v>411</v>
      </c>
      <c r="C96" s="873" t="s">
        <v>2</v>
      </c>
      <c r="G96" s="899"/>
      <c r="H96" s="1679"/>
      <c r="I96" s="878">
        <f>SUBTOTAL(103,$J$5:J96)</f>
        <v>92</v>
      </c>
      <c r="J96" s="404" t="s">
        <v>264</v>
      </c>
      <c r="K96" s="879" t="s">
        <v>227</v>
      </c>
    </row>
    <row r="97" spans="1:11" s="133" customFormat="1" ht="18.75" customHeight="1">
      <c r="A97" s="871">
        <v>93</v>
      </c>
      <c r="B97" s="743" t="s">
        <v>412</v>
      </c>
      <c r="C97" s="873" t="s">
        <v>2</v>
      </c>
      <c r="G97" s="899"/>
      <c r="H97" s="1679"/>
      <c r="I97" s="878">
        <f>SUBTOTAL(103,$J$5:J97)</f>
        <v>93</v>
      </c>
      <c r="J97" s="404" t="s">
        <v>411</v>
      </c>
      <c r="K97" s="879" t="s">
        <v>2</v>
      </c>
    </row>
    <row r="98" spans="1:11" s="133" customFormat="1" ht="18.75" customHeight="1">
      <c r="A98" s="871">
        <v>94</v>
      </c>
      <c r="B98" s="743" t="s">
        <v>265</v>
      </c>
      <c r="C98" s="873" t="s">
        <v>178</v>
      </c>
      <c r="G98" s="899"/>
      <c r="H98" s="1679"/>
      <c r="I98" s="878">
        <f>SUBTOTAL(103,$J$5:J98)</f>
        <v>94</v>
      </c>
      <c r="J98" s="404" t="s">
        <v>412</v>
      </c>
      <c r="K98" s="879" t="s">
        <v>2</v>
      </c>
    </row>
    <row r="99" spans="1:11" s="133" customFormat="1" ht="18.75" customHeight="1">
      <c r="A99" s="871">
        <v>95</v>
      </c>
      <c r="B99" s="743" t="s">
        <v>266</v>
      </c>
      <c r="C99" s="873" t="s">
        <v>211</v>
      </c>
      <c r="G99" s="899"/>
      <c r="H99" s="1679"/>
      <c r="I99" s="878">
        <f>SUBTOTAL(103,$J$5:J99)</f>
        <v>95</v>
      </c>
      <c r="J99" s="404" t="s">
        <v>265</v>
      </c>
      <c r="K99" s="879" t="s">
        <v>178</v>
      </c>
    </row>
    <row r="100" spans="1:11" s="133" customFormat="1" ht="18.75" customHeight="1">
      <c r="A100" s="871">
        <v>96</v>
      </c>
      <c r="B100" s="743" t="s">
        <v>267</v>
      </c>
      <c r="C100" s="873" t="s">
        <v>209</v>
      </c>
      <c r="G100" s="899"/>
      <c r="H100" s="1679"/>
      <c r="I100" s="878">
        <f>SUBTOTAL(103,$J$5:J100)</f>
        <v>96</v>
      </c>
      <c r="J100" s="404" t="s">
        <v>266</v>
      </c>
      <c r="K100" s="879" t="s">
        <v>211</v>
      </c>
    </row>
    <row r="101" spans="1:11" s="133" customFormat="1" ht="18.75" customHeight="1">
      <c r="A101" s="871">
        <v>97</v>
      </c>
      <c r="B101" s="743" t="s">
        <v>483</v>
      </c>
      <c r="C101" s="873" t="s">
        <v>211</v>
      </c>
      <c r="G101" s="899"/>
      <c r="H101" s="1679"/>
      <c r="I101" s="878">
        <f>SUBTOTAL(103,$J$5:J101)</f>
        <v>97</v>
      </c>
      <c r="J101" s="404" t="s">
        <v>267</v>
      </c>
      <c r="K101" s="879" t="s">
        <v>209</v>
      </c>
    </row>
    <row r="102" spans="1:11" s="133" customFormat="1" ht="18.75" customHeight="1">
      <c r="A102" s="871">
        <v>98</v>
      </c>
      <c r="B102" s="743" t="s">
        <v>11</v>
      </c>
      <c r="C102" s="873" t="s">
        <v>186</v>
      </c>
      <c r="G102" s="899"/>
      <c r="H102" s="1679"/>
      <c r="I102" s="878">
        <f>SUBTOTAL(103,$J$5:J102)</f>
        <v>98</v>
      </c>
      <c r="J102" s="404" t="s">
        <v>483</v>
      </c>
      <c r="K102" s="879" t="s">
        <v>211</v>
      </c>
    </row>
    <row r="103" spans="1:11" s="133" customFormat="1" ht="18.75" customHeight="1">
      <c r="A103" s="871">
        <v>99</v>
      </c>
      <c r="B103" s="743" t="s">
        <v>167</v>
      </c>
      <c r="C103" s="873" t="s">
        <v>218</v>
      </c>
      <c r="G103" s="899"/>
      <c r="H103" s="1679"/>
      <c r="I103" s="878">
        <f>SUBTOTAL(103,$J$5:J103)</f>
        <v>99</v>
      </c>
      <c r="J103" s="404" t="s">
        <v>11</v>
      </c>
      <c r="K103" s="879" t="s">
        <v>186</v>
      </c>
    </row>
    <row r="104" spans="1:11" s="133" customFormat="1" ht="18.75" customHeight="1">
      <c r="A104" s="871">
        <v>100</v>
      </c>
      <c r="B104" s="743" t="s">
        <v>308</v>
      </c>
      <c r="C104" s="873" t="s">
        <v>79</v>
      </c>
      <c r="G104" s="899"/>
      <c r="H104" s="1679"/>
      <c r="I104" s="878">
        <f>SUBTOTAL(103,$J$5:J104)</f>
        <v>100</v>
      </c>
      <c r="J104" s="404" t="s">
        <v>167</v>
      </c>
      <c r="K104" s="879" t="s">
        <v>218</v>
      </c>
    </row>
    <row r="105" spans="1:11" s="133" customFormat="1" ht="18.75" customHeight="1">
      <c r="A105" s="871">
        <v>101</v>
      </c>
      <c r="B105" s="743" t="s">
        <v>413</v>
      </c>
      <c r="C105" s="873" t="s">
        <v>2</v>
      </c>
      <c r="G105" s="899"/>
      <c r="H105" s="1679"/>
      <c r="I105" s="878">
        <f>SUBTOTAL(103,$J$5:J105)</f>
        <v>101</v>
      </c>
      <c r="J105" s="404" t="s">
        <v>308</v>
      </c>
      <c r="K105" s="879" t="s">
        <v>79</v>
      </c>
    </row>
    <row r="106" spans="1:11" s="133" customFormat="1" ht="18.75" customHeight="1">
      <c r="A106" s="871">
        <v>102</v>
      </c>
      <c r="B106" s="743" t="s">
        <v>414</v>
      </c>
      <c r="C106" s="873" t="s">
        <v>2</v>
      </c>
      <c r="G106" s="899"/>
      <c r="H106" s="1679"/>
      <c r="I106" s="878">
        <f>SUBTOTAL(103,$J$5:J106)</f>
        <v>102</v>
      </c>
      <c r="J106" s="404" t="s">
        <v>413</v>
      </c>
      <c r="K106" s="879" t="s">
        <v>2</v>
      </c>
    </row>
    <row r="107" spans="1:11" s="133" customFormat="1" ht="18.75" customHeight="1">
      <c r="A107" s="871">
        <v>103</v>
      </c>
      <c r="B107" s="743" t="s">
        <v>415</v>
      </c>
      <c r="C107" s="873" t="s">
        <v>79</v>
      </c>
      <c r="G107" s="899"/>
      <c r="H107" s="1679"/>
      <c r="I107" s="878">
        <f>SUBTOTAL(103,$J$5:J107)</f>
        <v>103</v>
      </c>
      <c r="J107" s="404" t="s">
        <v>414</v>
      </c>
      <c r="K107" s="879" t="s">
        <v>2</v>
      </c>
    </row>
    <row r="108" spans="1:11" s="133" customFormat="1" ht="18.75" customHeight="1">
      <c r="A108" s="871">
        <v>104</v>
      </c>
      <c r="B108" s="743" t="s">
        <v>416</v>
      </c>
      <c r="C108" s="873" t="s">
        <v>2</v>
      </c>
      <c r="G108" s="899"/>
      <c r="H108" s="1679"/>
      <c r="I108" s="878">
        <f>SUBTOTAL(103,$J$5:J108)</f>
        <v>104</v>
      </c>
      <c r="J108" s="404" t="s">
        <v>415</v>
      </c>
      <c r="K108" s="879" t="s">
        <v>79</v>
      </c>
    </row>
    <row r="109" spans="1:11" s="133" customFormat="1" ht="18.75" customHeight="1">
      <c r="A109" s="871">
        <v>105</v>
      </c>
      <c r="B109" s="743" t="s">
        <v>417</v>
      </c>
      <c r="C109" s="873" t="s">
        <v>49</v>
      </c>
      <c r="G109" s="899"/>
      <c r="H109" s="1679"/>
      <c r="I109" s="878">
        <f>SUBTOTAL(103,$J$5:J109)</f>
        <v>105</v>
      </c>
      <c r="J109" s="404" t="s">
        <v>416</v>
      </c>
      <c r="K109" s="879" t="s">
        <v>2</v>
      </c>
    </row>
    <row r="110" spans="1:11" s="133" customFormat="1" ht="18.75" customHeight="1">
      <c r="A110" s="871">
        <v>106</v>
      </c>
      <c r="B110" s="743" t="s">
        <v>418</v>
      </c>
      <c r="C110" s="873" t="s">
        <v>3</v>
      </c>
      <c r="G110" s="899"/>
      <c r="H110" s="1679"/>
      <c r="I110" s="878">
        <f>SUBTOTAL(103,$J$5:J110)</f>
        <v>106</v>
      </c>
      <c r="J110" s="404" t="s">
        <v>417</v>
      </c>
      <c r="K110" s="879" t="s">
        <v>49</v>
      </c>
    </row>
    <row r="111" spans="1:11" s="133" customFormat="1" ht="18.75" customHeight="1">
      <c r="A111" s="871">
        <v>107</v>
      </c>
      <c r="B111" s="743" t="s">
        <v>419</v>
      </c>
      <c r="C111" s="873" t="s">
        <v>170</v>
      </c>
      <c r="G111" s="899"/>
      <c r="H111" s="1679"/>
      <c r="I111" s="878">
        <f>SUBTOTAL(103,$J$5:J111)</f>
        <v>107</v>
      </c>
      <c r="J111" s="404" t="s">
        <v>418</v>
      </c>
      <c r="K111" s="879" t="s">
        <v>3</v>
      </c>
    </row>
    <row r="112" spans="1:11" s="133" customFormat="1" ht="18.75" customHeight="1">
      <c r="A112" s="871">
        <v>108</v>
      </c>
      <c r="B112" s="743" t="s">
        <v>420</v>
      </c>
      <c r="C112" s="873" t="s">
        <v>3</v>
      </c>
      <c r="G112" s="899"/>
      <c r="H112" s="1679"/>
      <c r="I112" s="878">
        <f>SUBTOTAL(103,$J$5:J112)</f>
        <v>108</v>
      </c>
      <c r="J112" s="404" t="s">
        <v>419</v>
      </c>
      <c r="K112" s="879" t="s">
        <v>170</v>
      </c>
    </row>
    <row r="113" spans="1:11" s="133" customFormat="1" ht="18.75" customHeight="1">
      <c r="A113" s="871">
        <v>109</v>
      </c>
      <c r="B113" s="743" t="s">
        <v>421</v>
      </c>
      <c r="C113" s="873" t="s">
        <v>154</v>
      </c>
      <c r="G113" s="899"/>
      <c r="H113" s="1679"/>
      <c r="I113" s="878">
        <f>SUBTOTAL(103,$J$5:J113)</f>
        <v>109</v>
      </c>
      <c r="J113" s="404" t="s">
        <v>420</v>
      </c>
      <c r="K113" s="879" t="s">
        <v>3</v>
      </c>
    </row>
    <row r="114" spans="1:11" s="133" customFormat="1" ht="18.75" customHeight="1">
      <c r="A114" s="871">
        <v>110</v>
      </c>
      <c r="B114" s="743" t="s">
        <v>422</v>
      </c>
      <c r="C114" s="873" t="s">
        <v>3</v>
      </c>
      <c r="G114" s="899"/>
      <c r="H114" s="1679"/>
      <c r="I114" s="878">
        <f>SUBTOTAL(103,$J$5:J114)</f>
        <v>110</v>
      </c>
      <c r="J114" s="404" t="s">
        <v>421</v>
      </c>
      <c r="K114" s="879" t="s">
        <v>154</v>
      </c>
    </row>
    <row r="115" spans="1:11" s="133" customFormat="1" ht="18.75" customHeight="1">
      <c r="A115" s="871">
        <v>111</v>
      </c>
      <c r="B115" s="743" t="s">
        <v>423</v>
      </c>
      <c r="C115" s="873" t="s">
        <v>79</v>
      </c>
      <c r="G115" s="899"/>
      <c r="H115" s="1679"/>
      <c r="I115" s="878">
        <f>SUBTOTAL(103,$J$5:J115)</f>
        <v>111</v>
      </c>
      <c r="J115" s="404" t="s">
        <v>422</v>
      </c>
      <c r="K115" s="879" t="s">
        <v>3</v>
      </c>
    </row>
    <row r="116" spans="1:11" s="133" customFormat="1" ht="18.75" customHeight="1">
      <c r="A116" s="871">
        <v>112</v>
      </c>
      <c r="B116" s="743" t="s">
        <v>12</v>
      </c>
      <c r="C116" s="873" t="s">
        <v>173</v>
      </c>
      <c r="G116" s="899"/>
      <c r="H116" s="1679"/>
      <c r="I116" s="878">
        <f>SUBTOTAL(103,$J$5:J116)</f>
        <v>112</v>
      </c>
      <c r="J116" s="404" t="s">
        <v>423</v>
      </c>
      <c r="K116" s="879" t="s">
        <v>79</v>
      </c>
    </row>
    <row r="117" spans="1:11" s="133" customFormat="1" ht="18.75" customHeight="1">
      <c r="A117" s="871">
        <v>113</v>
      </c>
      <c r="B117" s="743" t="s">
        <v>13</v>
      </c>
      <c r="C117" s="873" t="s">
        <v>217</v>
      </c>
      <c r="G117" s="899"/>
      <c r="H117" s="1679"/>
      <c r="I117" s="878">
        <f>SUBTOTAL(103,$J$5:J117)</f>
        <v>113</v>
      </c>
      <c r="J117" s="404" t="s">
        <v>12</v>
      </c>
      <c r="K117" s="879" t="s">
        <v>173</v>
      </c>
    </row>
    <row r="118" spans="1:11" s="133" customFormat="1" ht="18.75" customHeight="1">
      <c r="A118" s="871">
        <v>114</v>
      </c>
      <c r="B118" s="743" t="s">
        <v>51</v>
      </c>
      <c r="C118" s="873" t="s">
        <v>229</v>
      </c>
      <c r="G118" s="899"/>
      <c r="H118" s="1679"/>
      <c r="I118" s="878">
        <f>SUBTOTAL(103,$J$5:J118)</f>
        <v>114</v>
      </c>
      <c r="J118" s="404" t="s">
        <v>13</v>
      </c>
      <c r="K118" s="879" t="s">
        <v>217</v>
      </c>
    </row>
    <row r="119" spans="1:11" s="133" customFormat="1" ht="18.75" customHeight="1">
      <c r="A119" s="871">
        <v>115</v>
      </c>
      <c r="B119" s="743" t="s">
        <v>192</v>
      </c>
      <c r="C119" s="873" t="s">
        <v>2</v>
      </c>
      <c r="G119" s="899"/>
      <c r="H119" s="1679"/>
      <c r="I119" s="878">
        <f>SUBTOTAL(103,$J$5:J119)</f>
        <v>115</v>
      </c>
      <c r="J119" s="404" t="s">
        <v>51</v>
      </c>
      <c r="K119" s="879" t="s">
        <v>229</v>
      </c>
    </row>
    <row r="120" spans="1:11" s="133" customFormat="1" ht="18.75" customHeight="1">
      <c r="A120" s="871">
        <v>116</v>
      </c>
      <c r="B120" s="743" t="s">
        <v>193</v>
      </c>
      <c r="C120" s="873" t="s">
        <v>170</v>
      </c>
      <c r="G120" s="899"/>
      <c r="H120" s="1679"/>
      <c r="I120" s="878">
        <f>SUBTOTAL(103,$J$5:J120)</f>
        <v>116</v>
      </c>
      <c r="J120" s="404" t="s">
        <v>192</v>
      </c>
      <c r="K120" s="879" t="s">
        <v>2</v>
      </c>
    </row>
    <row r="121" spans="1:11" s="133" customFormat="1" ht="18.75" customHeight="1">
      <c r="A121" s="871">
        <v>117</v>
      </c>
      <c r="B121" s="743" t="s">
        <v>254</v>
      </c>
      <c r="C121" s="873" t="s">
        <v>79</v>
      </c>
      <c r="G121" s="899"/>
      <c r="H121" s="1679"/>
      <c r="I121" s="878">
        <f>SUBTOTAL(103,$J$5:J121)</f>
        <v>117</v>
      </c>
      <c r="J121" s="404" t="s">
        <v>193</v>
      </c>
      <c r="K121" s="879" t="s">
        <v>170</v>
      </c>
    </row>
    <row r="122" spans="1:11" s="133" customFormat="1" ht="18.75" customHeight="1">
      <c r="A122" s="871">
        <v>118</v>
      </c>
      <c r="B122" s="743" t="s">
        <v>253</v>
      </c>
      <c r="C122" s="873" t="s">
        <v>4</v>
      </c>
      <c r="G122" s="899"/>
      <c r="H122" s="1679"/>
      <c r="I122" s="878">
        <f>SUBTOTAL(103,$J$5:J122)</f>
        <v>118</v>
      </c>
      <c r="J122" s="404" t="s">
        <v>254</v>
      </c>
      <c r="K122" s="879" t="s">
        <v>79</v>
      </c>
    </row>
    <row r="123" spans="1:11" s="133" customFormat="1" ht="18.75" customHeight="1">
      <c r="A123" s="871">
        <v>119</v>
      </c>
      <c r="B123" s="743" t="s">
        <v>252</v>
      </c>
      <c r="C123" s="873" t="s">
        <v>3</v>
      </c>
      <c r="G123" s="899"/>
      <c r="H123" s="1679"/>
      <c r="I123" s="878">
        <f>SUBTOTAL(103,$J$5:J123)</f>
        <v>119</v>
      </c>
      <c r="J123" s="404" t="s">
        <v>253</v>
      </c>
      <c r="K123" s="879" t="s">
        <v>4</v>
      </c>
    </row>
    <row r="124" spans="1:11" s="133" customFormat="1" ht="18.75" customHeight="1">
      <c r="A124" s="871">
        <v>120</v>
      </c>
      <c r="B124" s="743" t="s">
        <v>251</v>
      </c>
      <c r="C124" s="873" t="s">
        <v>49</v>
      </c>
      <c r="G124" s="899"/>
      <c r="H124" s="1679"/>
      <c r="I124" s="878">
        <f>SUBTOTAL(103,$J$5:J124)</f>
        <v>120</v>
      </c>
      <c r="J124" s="404" t="s">
        <v>252</v>
      </c>
      <c r="K124" s="879" t="s">
        <v>3</v>
      </c>
    </row>
    <row r="125" spans="1:11" s="133" customFormat="1" ht="18.75" customHeight="1">
      <c r="A125" s="871">
        <v>121</v>
      </c>
      <c r="B125" s="743" t="s">
        <v>424</v>
      </c>
      <c r="C125" s="873" t="s">
        <v>170</v>
      </c>
      <c r="G125" s="899"/>
      <c r="H125" s="1679"/>
      <c r="I125" s="878">
        <f>SUBTOTAL(103,$J$5:J125)</f>
        <v>121</v>
      </c>
      <c r="J125" s="404" t="s">
        <v>251</v>
      </c>
      <c r="K125" s="879" t="s">
        <v>49</v>
      </c>
    </row>
    <row r="126" spans="1:11" s="133" customFormat="1" ht="18.75" customHeight="1">
      <c r="A126" s="871">
        <v>122</v>
      </c>
      <c r="B126" s="743" t="s">
        <v>52</v>
      </c>
      <c r="C126" s="873" t="s">
        <v>213</v>
      </c>
      <c r="G126" s="899"/>
      <c r="H126" s="1679"/>
      <c r="I126" s="878">
        <f>SUBTOTAL(103,$J$5:J126)</f>
        <v>122</v>
      </c>
      <c r="J126" s="404" t="s">
        <v>424</v>
      </c>
      <c r="K126" s="879" t="s">
        <v>170</v>
      </c>
    </row>
    <row r="127" spans="1:11" s="133" customFormat="1" ht="18.75" customHeight="1">
      <c r="A127" s="871">
        <v>123</v>
      </c>
      <c r="B127" s="743" t="s">
        <v>53</v>
      </c>
      <c r="C127" s="873" t="s">
        <v>213</v>
      </c>
      <c r="G127" s="899"/>
      <c r="H127" s="1679"/>
      <c r="I127" s="878">
        <f>SUBTOTAL(103,$J$5:J127)</f>
        <v>123</v>
      </c>
      <c r="J127" s="404" t="s">
        <v>52</v>
      </c>
      <c r="K127" s="879" t="s">
        <v>213</v>
      </c>
    </row>
    <row r="128" spans="1:11" s="133" customFormat="1" ht="18.75" customHeight="1">
      <c r="A128" s="871">
        <v>124</v>
      </c>
      <c r="B128" s="743" t="s">
        <v>174</v>
      </c>
      <c r="C128" s="873" t="s">
        <v>4</v>
      </c>
      <c r="G128" s="899"/>
      <c r="H128" s="1679"/>
      <c r="I128" s="878">
        <f>SUBTOTAL(103,$J$5:J128)</f>
        <v>124</v>
      </c>
      <c r="J128" s="404" t="s">
        <v>53</v>
      </c>
      <c r="K128" s="879" t="s">
        <v>213</v>
      </c>
    </row>
    <row r="129" spans="1:11" s="133" customFormat="1" ht="18.75" customHeight="1">
      <c r="A129" s="871">
        <v>125</v>
      </c>
      <c r="B129" s="743" t="s">
        <v>175</v>
      </c>
      <c r="C129" s="873" t="s">
        <v>4</v>
      </c>
      <c r="G129" s="899"/>
      <c r="H129" s="1679"/>
      <c r="I129" s="878">
        <f>SUBTOTAL(103,$J$5:J129)</f>
        <v>125</v>
      </c>
      <c r="J129" s="404" t="s">
        <v>174</v>
      </c>
      <c r="K129" s="879" t="s">
        <v>4</v>
      </c>
    </row>
    <row r="130" spans="1:11" s="133" customFormat="1" ht="18.75" customHeight="1">
      <c r="A130" s="871">
        <v>126</v>
      </c>
      <c r="B130" s="743" t="s">
        <v>176</v>
      </c>
      <c r="C130" s="873" t="s">
        <v>170</v>
      </c>
      <c r="G130" s="899"/>
      <c r="H130" s="1679"/>
      <c r="I130" s="878">
        <f>SUBTOTAL(103,$J$5:J130)</f>
        <v>126</v>
      </c>
      <c r="J130" s="404" t="s">
        <v>175</v>
      </c>
      <c r="K130" s="879" t="s">
        <v>4</v>
      </c>
    </row>
    <row r="131" spans="1:11" s="133" customFormat="1" ht="18.75" customHeight="1">
      <c r="A131" s="871">
        <v>127</v>
      </c>
      <c r="B131" s="743" t="s">
        <v>177</v>
      </c>
      <c r="C131" s="873" t="s">
        <v>2</v>
      </c>
      <c r="G131" s="899"/>
      <c r="H131" s="1679"/>
      <c r="I131" s="878">
        <f>SUBTOTAL(103,$J$5:J131)</f>
        <v>127</v>
      </c>
      <c r="J131" s="404" t="s">
        <v>176</v>
      </c>
      <c r="K131" s="879" t="s">
        <v>170</v>
      </c>
    </row>
    <row r="132" spans="1:11" s="133" customFormat="1" ht="18.75" customHeight="1">
      <c r="A132" s="871">
        <v>128</v>
      </c>
      <c r="B132" s="743" t="s">
        <v>425</v>
      </c>
      <c r="C132" s="873" t="s">
        <v>3</v>
      </c>
      <c r="G132" s="899"/>
      <c r="H132" s="1679"/>
      <c r="I132" s="878">
        <f>SUBTOTAL(103,$J$5:J132)</f>
        <v>128</v>
      </c>
      <c r="J132" s="404" t="s">
        <v>177</v>
      </c>
      <c r="K132" s="879" t="s">
        <v>2</v>
      </c>
    </row>
    <row r="133" spans="1:11" s="133" customFormat="1" ht="18.75" customHeight="1">
      <c r="A133" s="871">
        <v>129</v>
      </c>
      <c r="B133" s="743" t="s">
        <v>426</v>
      </c>
      <c r="C133" s="873" t="s">
        <v>4</v>
      </c>
      <c r="G133" s="899"/>
      <c r="H133" s="1679"/>
      <c r="I133" s="878">
        <f>SUBTOTAL(103,$J$5:J133)</f>
        <v>129</v>
      </c>
      <c r="J133" s="404" t="s">
        <v>425</v>
      </c>
      <c r="K133" s="879" t="s">
        <v>3</v>
      </c>
    </row>
    <row r="134" spans="1:11" s="133" customFormat="1" ht="18.75" customHeight="1">
      <c r="A134" s="871">
        <v>130</v>
      </c>
      <c r="B134" s="743" t="s">
        <v>54</v>
      </c>
      <c r="C134" s="873" t="s">
        <v>197</v>
      </c>
      <c r="G134" s="899"/>
      <c r="H134" s="1679"/>
      <c r="I134" s="878">
        <f>SUBTOTAL(103,$J$5:J134)</f>
        <v>130</v>
      </c>
      <c r="J134" s="404" t="s">
        <v>426</v>
      </c>
      <c r="K134" s="879" t="s">
        <v>4</v>
      </c>
    </row>
    <row r="135" spans="1:11" s="133" customFormat="1" ht="18.75" customHeight="1">
      <c r="A135" s="871">
        <v>131</v>
      </c>
      <c r="B135" s="743" t="s">
        <v>179</v>
      </c>
      <c r="C135" s="873" t="s">
        <v>3</v>
      </c>
      <c r="G135" s="899"/>
      <c r="H135" s="1679"/>
      <c r="I135" s="878">
        <f>SUBTOTAL(103,$J$5:J135)</f>
        <v>131</v>
      </c>
      <c r="J135" s="404" t="s">
        <v>54</v>
      </c>
      <c r="K135" s="879" t="s">
        <v>197</v>
      </c>
    </row>
    <row r="136" spans="1:11" s="133" customFormat="1" ht="18.75" customHeight="1">
      <c r="A136" s="871">
        <v>132</v>
      </c>
      <c r="B136" s="743" t="s">
        <v>180</v>
      </c>
      <c r="C136" s="873" t="s">
        <v>79</v>
      </c>
      <c r="G136" s="899"/>
      <c r="H136" s="1679"/>
      <c r="I136" s="878">
        <f>SUBTOTAL(103,$J$5:J136)</f>
        <v>132</v>
      </c>
      <c r="J136" s="404" t="s">
        <v>179</v>
      </c>
      <c r="K136" s="879" t="s">
        <v>3</v>
      </c>
    </row>
    <row r="137" spans="1:11" s="133" customFormat="1" ht="18.75" customHeight="1">
      <c r="A137" s="871">
        <v>133</v>
      </c>
      <c r="B137" s="743" t="s">
        <v>181</v>
      </c>
      <c r="C137" s="873" t="s">
        <v>79</v>
      </c>
      <c r="G137" s="899"/>
      <c r="H137" s="1679"/>
      <c r="I137" s="878">
        <f>SUBTOTAL(103,$J$5:J137)</f>
        <v>133</v>
      </c>
      <c r="J137" s="404" t="s">
        <v>180</v>
      </c>
      <c r="K137" s="879" t="s">
        <v>79</v>
      </c>
    </row>
    <row r="138" spans="1:11" s="133" customFormat="1" ht="18.75" customHeight="1">
      <c r="A138" s="871">
        <v>134</v>
      </c>
      <c r="B138" s="743" t="s">
        <v>182</v>
      </c>
      <c r="C138" s="873" t="s">
        <v>3</v>
      </c>
      <c r="G138" s="899"/>
      <c r="H138" s="1679"/>
      <c r="I138" s="878">
        <f>SUBTOTAL(103,$J$5:J138)</f>
        <v>134</v>
      </c>
      <c r="J138" s="404" t="s">
        <v>181</v>
      </c>
      <c r="K138" s="879" t="s">
        <v>79</v>
      </c>
    </row>
    <row r="139" spans="1:11" s="133" customFormat="1" ht="18.75" customHeight="1">
      <c r="A139" s="871">
        <v>135</v>
      </c>
      <c r="B139" s="743" t="s">
        <v>427</v>
      </c>
      <c r="C139" s="873" t="s">
        <v>3</v>
      </c>
      <c r="G139" s="899"/>
      <c r="H139" s="1679"/>
      <c r="I139" s="878">
        <f>SUBTOTAL(103,$J$5:J139)</f>
        <v>135</v>
      </c>
      <c r="J139" s="404" t="s">
        <v>182</v>
      </c>
      <c r="K139" s="879" t="s">
        <v>3</v>
      </c>
    </row>
    <row r="140" spans="1:11" s="133" customFormat="1" ht="18.75" customHeight="1">
      <c r="A140" s="871">
        <v>136</v>
      </c>
      <c r="B140" s="743" t="s">
        <v>55</v>
      </c>
      <c r="C140" s="873" t="s">
        <v>428</v>
      </c>
      <c r="G140" s="899"/>
      <c r="H140" s="1679"/>
      <c r="I140" s="878">
        <f>SUBTOTAL(103,$J$5:J140)</f>
        <v>136</v>
      </c>
      <c r="J140" s="404" t="s">
        <v>427</v>
      </c>
      <c r="K140" s="879" t="s">
        <v>3</v>
      </c>
    </row>
    <row r="141" spans="1:11" s="133" customFormat="1" ht="18.75" customHeight="1">
      <c r="A141" s="871">
        <v>137</v>
      </c>
      <c r="B141" s="743" t="s">
        <v>56</v>
      </c>
      <c r="C141" s="873" t="s">
        <v>215</v>
      </c>
      <c r="G141" s="899"/>
      <c r="H141" s="1679"/>
      <c r="I141" s="878">
        <f>SUBTOTAL(103,$J$5:J141)</f>
        <v>137</v>
      </c>
      <c r="J141" s="404" t="s">
        <v>55</v>
      </c>
      <c r="K141" s="879" t="s">
        <v>428</v>
      </c>
    </row>
    <row r="142" spans="1:11" s="133" customFormat="1" ht="18.75" customHeight="1">
      <c r="A142" s="871">
        <v>138</v>
      </c>
      <c r="B142" s="743" t="s">
        <v>674</v>
      </c>
      <c r="C142" s="873" t="s">
        <v>211</v>
      </c>
      <c r="G142" s="899"/>
      <c r="H142" s="1679"/>
      <c r="I142" s="878">
        <f>SUBTOTAL(103,$J$5:J142)</f>
        <v>138</v>
      </c>
      <c r="J142" s="404" t="s">
        <v>56</v>
      </c>
      <c r="K142" s="879" t="s">
        <v>215</v>
      </c>
    </row>
    <row r="143" spans="1:11" s="133" customFormat="1" ht="18.75" customHeight="1">
      <c r="A143" s="871">
        <v>139</v>
      </c>
      <c r="B143" s="743" t="s">
        <v>57</v>
      </c>
      <c r="C143" s="873" t="s">
        <v>186</v>
      </c>
      <c r="G143" s="899"/>
      <c r="H143" s="1679"/>
      <c r="I143" s="878">
        <f>SUBTOTAL(103,$J$5:J143)</f>
        <v>139</v>
      </c>
      <c r="J143" s="404" t="s">
        <v>674</v>
      </c>
      <c r="K143" s="879" t="s">
        <v>211</v>
      </c>
    </row>
    <row r="144" spans="1:11" s="133" customFormat="1" ht="18.75" customHeight="1">
      <c r="A144" s="871">
        <v>140</v>
      </c>
      <c r="B144" s="743" t="s">
        <v>58</v>
      </c>
      <c r="C144" s="873" t="s">
        <v>186</v>
      </c>
      <c r="G144" s="899"/>
      <c r="H144" s="1679"/>
      <c r="I144" s="878">
        <f>SUBTOTAL(103,$J$5:J144)</f>
        <v>140</v>
      </c>
      <c r="J144" s="404" t="s">
        <v>57</v>
      </c>
      <c r="K144" s="879" t="s">
        <v>186</v>
      </c>
    </row>
    <row r="145" spans="1:11" s="133" customFormat="1" ht="18.75" customHeight="1">
      <c r="A145" s="871">
        <v>141</v>
      </c>
      <c r="B145" s="743" t="s">
        <v>59</v>
      </c>
      <c r="C145" s="873" t="s">
        <v>429</v>
      </c>
      <c r="G145" s="899"/>
      <c r="H145" s="1679"/>
      <c r="I145" s="878">
        <f>SUBTOTAL(103,$J$5:J145)</f>
        <v>141</v>
      </c>
      <c r="J145" s="404" t="s">
        <v>58</v>
      </c>
      <c r="K145" s="879" t="s">
        <v>186</v>
      </c>
    </row>
    <row r="146" spans="1:11" s="133" customFormat="1" ht="18.75" customHeight="1">
      <c r="A146" s="871">
        <v>142</v>
      </c>
      <c r="B146" s="743" t="s">
        <v>60</v>
      </c>
      <c r="C146" s="873" t="s">
        <v>429</v>
      </c>
      <c r="G146" s="899"/>
      <c r="H146" s="1679"/>
      <c r="I146" s="878">
        <f>SUBTOTAL(103,$J$5:J146)</f>
        <v>142</v>
      </c>
      <c r="J146" s="404" t="s">
        <v>59</v>
      </c>
      <c r="K146" s="879" t="s">
        <v>429</v>
      </c>
    </row>
    <row r="147" spans="1:11" s="133" customFormat="1" ht="18.75" customHeight="1">
      <c r="A147" s="871">
        <v>143</v>
      </c>
      <c r="B147" s="743" t="s">
        <v>61</v>
      </c>
      <c r="C147" s="873" t="s">
        <v>49</v>
      </c>
      <c r="G147" s="899"/>
      <c r="H147" s="1679"/>
      <c r="I147" s="878">
        <f>SUBTOTAL(103,$J$5:J147)</f>
        <v>143</v>
      </c>
      <c r="J147" s="404" t="s">
        <v>60</v>
      </c>
      <c r="K147" s="879" t="s">
        <v>429</v>
      </c>
    </row>
    <row r="148" spans="1:11" s="133" customFormat="1" ht="18.75" customHeight="1">
      <c r="A148" s="871">
        <v>144</v>
      </c>
      <c r="B148" s="743" t="s">
        <v>62</v>
      </c>
      <c r="C148" s="873" t="s">
        <v>154</v>
      </c>
      <c r="G148" s="899"/>
      <c r="H148" s="1679"/>
      <c r="I148" s="878">
        <f>SUBTOTAL(103,$J$5:J148)</f>
        <v>144</v>
      </c>
      <c r="J148" s="404" t="s">
        <v>61</v>
      </c>
      <c r="K148" s="879" t="s">
        <v>49</v>
      </c>
    </row>
    <row r="149" spans="1:11" s="133" customFormat="1" ht="18.75" customHeight="1">
      <c r="A149" s="871">
        <v>145</v>
      </c>
      <c r="B149" s="743" t="s">
        <v>153</v>
      </c>
      <c r="C149" s="873" t="s">
        <v>170</v>
      </c>
      <c r="G149" s="899"/>
      <c r="H149" s="1679"/>
      <c r="I149" s="878">
        <f>SUBTOTAL(103,$J$5:J149)</f>
        <v>145</v>
      </c>
      <c r="J149" s="404" t="s">
        <v>62</v>
      </c>
      <c r="K149" s="879" t="s">
        <v>154</v>
      </c>
    </row>
    <row r="150" spans="1:11" s="133" customFormat="1" ht="18.75" customHeight="1">
      <c r="A150" s="871">
        <v>146</v>
      </c>
      <c r="B150" s="743" t="s">
        <v>155</v>
      </c>
      <c r="C150" s="873" t="s">
        <v>170</v>
      </c>
      <c r="G150" s="899"/>
      <c r="H150" s="1679"/>
      <c r="I150" s="878">
        <f>SUBTOTAL(103,$J$5:J150)</f>
        <v>146</v>
      </c>
      <c r="J150" s="404" t="s">
        <v>153</v>
      </c>
      <c r="K150" s="879" t="s">
        <v>170</v>
      </c>
    </row>
    <row r="151" spans="1:11" s="133" customFormat="1" ht="18.75" customHeight="1">
      <c r="A151" s="871">
        <v>147</v>
      </c>
      <c r="B151" s="743" t="s">
        <v>156</v>
      </c>
      <c r="C151" s="873" t="s">
        <v>154</v>
      </c>
      <c r="G151" s="899"/>
      <c r="H151" s="1679"/>
      <c r="I151" s="878">
        <f>SUBTOTAL(103,$J$5:J151)</f>
        <v>147</v>
      </c>
      <c r="J151" s="404" t="s">
        <v>155</v>
      </c>
      <c r="K151" s="879" t="s">
        <v>170</v>
      </c>
    </row>
    <row r="152" spans="1:11" s="133" customFormat="1" ht="18.75" customHeight="1">
      <c r="A152" s="871">
        <v>148</v>
      </c>
      <c r="B152" s="743" t="s">
        <v>162</v>
      </c>
      <c r="C152" s="873" t="s">
        <v>4</v>
      </c>
      <c r="G152" s="899"/>
      <c r="H152" s="1679"/>
      <c r="I152" s="878">
        <f>SUBTOTAL(103,$J$5:J152)</f>
        <v>148</v>
      </c>
      <c r="J152" s="404" t="s">
        <v>156</v>
      </c>
      <c r="K152" s="879" t="s">
        <v>154</v>
      </c>
    </row>
    <row r="153" spans="1:11" s="133" customFormat="1" ht="18.75" customHeight="1">
      <c r="A153" s="871">
        <v>149</v>
      </c>
      <c r="B153" s="743" t="s">
        <v>63</v>
      </c>
      <c r="C153" s="873" t="s">
        <v>250</v>
      </c>
      <c r="G153" s="899"/>
      <c r="H153" s="1679"/>
      <c r="I153" s="878">
        <f>SUBTOTAL(103,$J$5:J153)</f>
        <v>149</v>
      </c>
      <c r="J153" s="404" t="s">
        <v>162</v>
      </c>
      <c r="K153" s="879" t="s">
        <v>4</v>
      </c>
    </row>
    <row r="154" spans="1:11" s="133" customFormat="1" ht="18.75" customHeight="1">
      <c r="A154" s="871">
        <v>150</v>
      </c>
      <c r="B154" s="743" t="s">
        <v>64</v>
      </c>
      <c r="C154" s="873" t="s">
        <v>185</v>
      </c>
      <c r="G154" s="899"/>
      <c r="H154" s="1679"/>
      <c r="I154" s="878">
        <f>SUBTOTAL(103,$J$5:J154)</f>
        <v>150</v>
      </c>
      <c r="J154" s="404" t="s">
        <v>63</v>
      </c>
      <c r="K154" s="879" t="s">
        <v>250</v>
      </c>
    </row>
    <row r="155" spans="1:11" s="133" customFormat="1" ht="18.75" customHeight="1">
      <c r="A155" s="871">
        <v>151</v>
      </c>
      <c r="B155" s="743" t="s">
        <v>430</v>
      </c>
      <c r="C155" s="873" t="s">
        <v>79</v>
      </c>
      <c r="G155" s="899"/>
      <c r="H155" s="1679"/>
      <c r="I155" s="878">
        <f>SUBTOTAL(103,$J$5:J155)</f>
        <v>151</v>
      </c>
      <c r="J155" s="404" t="s">
        <v>64</v>
      </c>
      <c r="K155" s="879" t="s">
        <v>185</v>
      </c>
    </row>
    <row r="156" spans="1:11" s="133" customFormat="1" ht="18.75" customHeight="1">
      <c r="A156" s="871">
        <v>152</v>
      </c>
      <c r="B156" s="743" t="s">
        <v>431</v>
      </c>
      <c r="C156" s="873" t="s">
        <v>3</v>
      </c>
      <c r="G156" s="899"/>
      <c r="H156" s="1679"/>
      <c r="I156" s="878">
        <f>SUBTOTAL(103,$J$5:J156)</f>
        <v>152</v>
      </c>
      <c r="J156" s="404" t="s">
        <v>430</v>
      </c>
      <c r="K156" s="879" t="s">
        <v>79</v>
      </c>
    </row>
    <row r="157" spans="1:11" s="133" customFormat="1" ht="18.75" customHeight="1">
      <c r="A157" s="871">
        <v>153</v>
      </c>
      <c r="B157" s="743" t="s">
        <v>432</v>
      </c>
      <c r="C157" s="873" t="s">
        <v>3</v>
      </c>
      <c r="G157" s="899"/>
      <c r="H157" s="1679"/>
      <c r="I157" s="878">
        <f>SUBTOTAL(103,$J$5:J157)</f>
        <v>153</v>
      </c>
      <c r="J157" s="404" t="s">
        <v>431</v>
      </c>
      <c r="K157" s="879" t="s">
        <v>3</v>
      </c>
    </row>
    <row r="158" spans="1:11" s="133" customFormat="1" ht="18.75" customHeight="1">
      <c r="A158" s="871">
        <v>154</v>
      </c>
      <c r="B158" s="743" t="s">
        <v>433</v>
      </c>
      <c r="C158" s="873" t="s">
        <v>2</v>
      </c>
      <c r="G158" s="899"/>
      <c r="H158" s="1679"/>
      <c r="I158" s="878">
        <f>SUBTOTAL(103,$J$5:J158)</f>
        <v>154</v>
      </c>
      <c r="J158" s="404" t="s">
        <v>432</v>
      </c>
      <c r="K158" s="879" t="s">
        <v>3</v>
      </c>
    </row>
    <row r="159" spans="1:11" s="133" customFormat="1" ht="18.75" customHeight="1">
      <c r="A159" s="871">
        <v>155</v>
      </c>
      <c r="B159" s="743" t="s">
        <v>434</v>
      </c>
      <c r="C159" s="873" t="s">
        <v>3</v>
      </c>
      <c r="G159" s="899"/>
      <c r="H159" s="1679"/>
      <c r="I159" s="878">
        <f>SUBTOTAL(103,$J$5:J159)</f>
        <v>155</v>
      </c>
      <c r="J159" s="404" t="s">
        <v>433</v>
      </c>
      <c r="K159" s="879" t="s">
        <v>2</v>
      </c>
    </row>
    <row r="160" spans="1:11" s="133" customFormat="1" ht="18.75" customHeight="1">
      <c r="A160" s="871">
        <v>156</v>
      </c>
      <c r="B160" s="743" t="s">
        <v>898</v>
      </c>
      <c r="C160" s="873" t="s">
        <v>197</v>
      </c>
      <c r="G160" s="899"/>
      <c r="H160" s="1679"/>
      <c r="I160" s="878">
        <f>SUBTOTAL(103,$J$5:J160)</f>
        <v>156</v>
      </c>
      <c r="J160" s="404" t="s">
        <v>434</v>
      </c>
      <c r="K160" s="879" t="s">
        <v>3</v>
      </c>
    </row>
    <row r="161" spans="1:11" s="133" customFormat="1" ht="18.75" customHeight="1">
      <c r="A161" s="871">
        <v>157</v>
      </c>
      <c r="B161" s="743" t="s">
        <v>899</v>
      </c>
      <c r="C161" s="873" t="s">
        <v>79</v>
      </c>
      <c r="G161" s="899"/>
      <c r="H161" s="1679"/>
      <c r="I161" s="878">
        <f>SUBTOTAL(103,$J$5:J161)</f>
        <v>157</v>
      </c>
      <c r="J161" s="404" t="s">
        <v>898</v>
      </c>
      <c r="K161" s="879" t="s">
        <v>197</v>
      </c>
    </row>
    <row r="162" spans="1:11" s="133" customFormat="1" ht="18.75" customHeight="1">
      <c r="A162" s="871">
        <v>158</v>
      </c>
      <c r="B162" s="743" t="s">
        <v>900</v>
      </c>
      <c r="C162" s="873" t="s">
        <v>79</v>
      </c>
      <c r="G162" s="899"/>
      <c r="H162" s="1679"/>
      <c r="I162" s="878">
        <f>SUBTOTAL(103,$J$5:J162)</f>
        <v>158</v>
      </c>
      <c r="J162" s="404" t="s">
        <v>899</v>
      </c>
      <c r="K162" s="879" t="s">
        <v>79</v>
      </c>
    </row>
    <row r="163" spans="1:11" s="133" customFormat="1" ht="18.75" customHeight="1">
      <c r="A163" s="871">
        <v>159</v>
      </c>
      <c r="B163" s="743" t="s">
        <v>901</v>
      </c>
      <c r="C163" s="873" t="s">
        <v>79</v>
      </c>
      <c r="G163" s="899"/>
      <c r="H163" s="1679"/>
      <c r="I163" s="878">
        <f>SUBTOTAL(103,$J$5:J163)</f>
        <v>159</v>
      </c>
      <c r="J163" s="404" t="s">
        <v>900</v>
      </c>
      <c r="K163" s="879" t="s">
        <v>79</v>
      </c>
    </row>
    <row r="164" spans="1:11" s="133" customFormat="1" ht="18.75" customHeight="1">
      <c r="A164" s="871">
        <v>160</v>
      </c>
      <c r="B164" s="743" t="s">
        <v>902</v>
      </c>
      <c r="C164" s="873" t="s">
        <v>2</v>
      </c>
      <c r="G164" s="899"/>
      <c r="H164" s="1679"/>
      <c r="I164" s="878">
        <f>SUBTOTAL(103,$J$5:J164)</f>
        <v>160</v>
      </c>
      <c r="J164" s="404" t="s">
        <v>901</v>
      </c>
      <c r="K164" s="879" t="s">
        <v>79</v>
      </c>
    </row>
    <row r="165" spans="1:11" s="133" customFormat="1" ht="18.75" customHeight="1">
      <c r="A165" s="871">
        <v>161</v>
      </c>
      <c r="B165" s="864" t="s">
        <v>903</v>
      </c>
      <c r="C165" s="874" t="s">
        <v>79</v>
      </c>
      <c r="G165" s="899"/>
      <c r="H165" s="1679"/>
      <c r="I165" s="878">
        <f>SUBTOTAL(103,$J$5:J165)</f>
        <v>161</v>
      </c>
      <c r="J165" s="404" t="s">
        <v>902</v>
      </c>
      <c r="K165" s="879" t="s">
        <v>2</v>
      </c>
    </row>
    <row r="166" spans="1:11" s="133" customFormat="1" ht="18.75" customHeight="1">
      <c r="A166" s="871">
        <v>162</v>
      </c>
      <c r="B166" s="743" t="s">
        <v>904</v>
      </c>
      <c r="C166" s="873" t="s">
        <v>49</v>
      </c>
      <c r="G166" s="899"/>
      <c r="H166" s="1679"/>
      <c r="I166" s="878">
        <f>SUBTOTAL(103,$J$5:J166)</f>
        <v>162</v>
      </c>
      <c r="J166" s="404" t="s">
        <v>903</v>
      </c>
      <c r="K166" s="879" t="s">
        <v>79</v>
      </c>
    </row>
    <row r="167" spans="1:11" s="133" customFormat="1" ht="18.75" customHeight="1">
      <c r="A167" s="871">
        <v>163</v>
      </c>
      <c r="B167" s="743" t="s">
        <v>65</v>
      </c>
      <c r="C167" s="873" t="s">
        <v>197</v>
      </c>
      <c r="G167" s="899"/>
      <c r="H167" s="1679"/>
      <c r="I167" s="878">
        <f>SUBTOTAL(103,$J$5:J167)</f>
        <v>163</v>
      </c>
      <c r="J167" s="404" t="s">
        <v>904</v>
      </c>
      <c r="K167" s="879" t="s">
        <v>49</v>
      </c>
    </row>
    <row r="168" spans="1:11" s="133" customFormat="1" ht="18.75" customHeight="1">
      <c r="A168" s="871">
        <v>164</v>
      </c>
      <c r="B168" s="743" t="s">
        <v>26</v>
      </c>
      <c r="C168" s="873" t="s">
        <v>3</v>
      </c>
      <c r="G168" s="899"/>
      <c r="H168" s="1679"/>
      <c r="I168" s="878">
        <f>SUBTOTAL(103,$J$5:J168)</f>
        <v>164</v>
      </c>
      <c r="J168" s="404" t="s">
        <v>65</v>
      </c>
      <c r="K168" s="879" t="s">
        <v>197</v>
      </c>
    </row>
    <row r="169" spans="1:11" s="133" customFormat="1" ht="18.75" customHeight="1">
      <c r="A169" s="871">
        <v>165</v>
      </c>
      <c r="B169" s="743" t="s">
        <v>435</v>
      </c>
      <c r="C169" s="873" t="s">
        <v>49</v>
      </c>
      <c r="G169" s="899"/>
      <c r="H169" s="1679"/>
      <c r="I169" s="878">
        <f>SUBTOTAL(103,$J$5:J169)</f>
        <v>165</v>
      </c>
      <c r="J169" s="404" t="s">
        <v>26</v>
      </c>
      <c r="K169" s="879" t="s">
        <v>3</v>
      </c>
    </row>
    <row r="170" spans="1:11" s="133" customFormat="1" ht="18.75" customHeight="1">
      <c r="A170" s="871">
        <v>166</v>
      </c>
      <c r="B170" s="743" t="s">
        <v>436</v>
      </c>
      <c r="C170" s="873" t="s">
        <v>2</v>
      </c>
      <c r="G170" s="899"/>
      <c r="H170" s="1679"/>
      <c r="I170" s="878">
        <f>SUBTOTAL(103,$J$5:J170)</f>
        <v>166</v>
      </c>
      <c r="J170" s="404" t="s">
        <v>435</v>
      </c>
      <c r="K170" s="879" t="s">
        <v>49</v>
      </c>
    </row>
    <row r="171" spans="1:11" s="133" customFormat="1" ht="18.75" customHeight="1">
      <c r="A171" s="871">
        <v>167</v>
      </c>
      <c r="B171" s="743" t="s">
        <v>437</v>
      </c>
      <c r="C171" s="873" t="s">
        <v>49</v>
      </c>
      <c r="G171" s="899"/>
      <c r="H171" s="1679"/>
      <c r="I171" s="878">
        <f>SUBTOTAL(103,$J$5:J171)</f>
        <v>167</v>
      </c>
      <c r="J171" s="404" t="s">
        <v>436</v>
      </c>
      <c r="K171" s="879" t="s">
        <v>2</v>
      </c>
    </row>
    <row r="172" spans="1:11" s="133" customFormat="1" ht="18.75" customHeight="1">
      <c r="A172" s="871">
        <v>168</v>
      </c>
      <c r="B172" s="743" t="s">
        <v>438</v>
      </c>
      <c r="C172" s="873" t="s">
        <v>3</v>
      </c>
      <c r="G172" s="899"/>
      <c r="H172" s="1679"/>
      <c r="I172" s="878">
        <f>SUBTOTAL(103,$J$5:J172)</f>
        <v>168</v>
      </c>
      <c r="J172" s="404" t="s">
        <v>437</v>
      </c>
      <c r="K172" s="879" t="s">
        <v>49</v>
      </c>
    </row>
    <row r="173" spans="1:11" s="133" customFormat="1" ht="18.75" customHeight="1">
      <c r="A173" s="871">
        <v>169</v>
      </c>
      <c r="B173" s="743" t="s">
        <v>439</v>
      </c>
      <c r="C173" s="873" t="s">
        <v>79</v>
      </c>
      <c r="G173" s="899"/>
      <c r="H173" s="1679"/>
      <c r="I173" s="878">
        <f>SUBTOTAL(103,$J$5:J173)</f>
        <v>169</v>
      </c>
      <c r="J173" s="404" t="s">
        <v>438</v>
      </c>
      <c r="K173" s="879" t="s">
        <v>3</v>
      </c>
    </row>
    <row r="174" spans="1:11" s="133" customFormat="1" ht="18.75" customHeight="1">
      <c r="A174" s="871">
        <v>170</v>
      </c>
      <c r="B174" s="743" t="s">
        <v>440</v>
      </c>
      <c r="C174" s="873" t="s">
        <v>4</v>
      </c>
      <c r="G174" s="899"/>
      <c r="H174" s="1679"/>
      <c r="I174" s="878">
        <f>SUBTOTAL(103,$J$5:J174)</f>
        <v>170</v>
      </c>
      <c r="J174" s="404" t="s">
        <v>439</v>
      </c>
      <c r="K174" s="879" t="s">
        <v>79</v>
      </c>
    </row>
    <row r="175" spans="1:11" s="133" customFormat="1" ht="18.75" customHeight="1">
      <c r="A175" s="871">
        <v>171</v>
      </c>
      <c r="B175" s="743" t="s">
        <v>441</v>
      </c>
      <c r="C175" s="873" t="s">
        <v>2</v>
      </c>
      <c r="G175" s="899"/>
      <c r="H175" s="1679"/>
      <c r="I175" s="878">
        <f>SUBTOTAL(103,$J$5:J175)</f>
        <v>171</v>
      </c>
      <c r="J175" s="404" t="s">
        <v>440</v>
      </c>
      <c r="K175" s="879" t="s">
        <v>4</v>
      </c>
    </row>
    <row r="176" spans="1:11" s="133" customFormat="1" ht="18.75" customHeight="1">
      <c r="A176" s="871">
        <v>172</v>
      </c>
      <c r="B176" s="743" t="s">
        <v>442</v>
      </c>
      <c r="C176" s="873" t="s">
        <v>4</v>
      </c>
      <c r="G176" s="899"/>
      <c r="H176" s="1679"/>
      <c r="I176" s="878">
        <f>SUBTOTAL(103,$J$5:J176)</f>
        <v>172</v>
      </c>
      <c r="J176" s="404" t="s">
        <v>441</v>
      </c>
      <c r="K176" s="879" t="s">
        <v>2</v>
      </c>
    </row>
    <row r="177" spans="1:11" s="133" customFormat="1" ht="18.75" customHeight="1">
      <c r="A177" s="871">
        <v>173</v>
      </c>
      <c r="B177" s="743" t="s">
        <v>443</v>
      </c>
      <c r="C177" s="873" t="s">
        <v>2</v>
      </c>
      <c r="G177" s="899"/>
      <c r="H177" s="1679"/>
      <c r="I177" s="878">
        <f>SUBTOTAL(103,$J$5:J177)</f>
        <v>173</v>
      </c>
      <c r="J177" s="404" t="s">
        <v>442</v>
      </c>
      <c r="K177" s="879" t="s">
        <v>4</v>
      </c>
    </row>
    <row r="178" spans="1:11" s="133" customFormat="1" ht="18.75" customHeight="1">
      <c r="A178" s="871">
        <v>174</v>
      </c>
      <c r="B178" s="743" t="s">
        <v>9</v>
      </c>
      <c r="C178" s="873" t="s">
        <v>197</v>
      </c>
      <c r="G178" s="899"/>
      <c r="H178" s="1679"/>
      <c r="I178" s="878">
        <f>SUBTOTAL(103,$J$5:J178)</f>
        <v>174</v>
      </c>
      <c r="J178" s="404" t="s">
        <v>443</v>
      </c>
      <c r="K178" s="879" t="s">
        <v>2</v>
      </c>
    </row>
    <row r="179" spans="1:11" s="133" customFormat="1" ht="18.75" customHeight="1">
      <c r="A179" s="871">
        <v>175</v>
      </c>
      <c r="B179" s="743" t="s">
        <v>82</v>
      </c>
      <c r="C179" s="873" t="s">
        <v>2</v>
      </c>
      <c r="G179" s="899"/>
      <c r="H179" s="1679"/>
      <c r="I179" s="878">
        <f>SUBTOTAL(103,$J$5:J179)</f>
        <v>175</v>
      </c>
      <c r="J179" s="404" t="s">
        <v>9</v>
      </c>
      <c r="K179" s="879" t="s">
        <v>197</v>
      </c>
    </row>
    <row r="180" spans="1:11" s="133" customFormat="1" ht="18.75" customHeight="1">
      <c r="A180" s="871">
        <v>176</v>
      </c>
      <c r="B180" s="743" t="s">
        <v>163</v>
      </c>
      <c r="C180" s="873" t="s">
        <v>170</v>
      </c>
      <c r="G180" s="899"/>
      <c r="H180" s="1679"/>
      <c r="I180" s="878">
        <f>SUBTOTAL(103,$J$5:J180)</f>
        <v>176</v>
      </c>
      <c r="J180" s="404" t="s">
        <v>82</v>
      </c>
      <c r="K180" s="879" t="s">
        <v>2</v>
      </c>
    </row>
    <row r="181" spans="1:11" s="133" customFormat="1" ht="18.75" customHeight="1">
      <c r="A181" s="871">
        <v>177</v>
      </c>
      <c r="B181" s="743" t="s">
        <v>164</v>
      </c>
      <c r="C181" s="873" t="s">
        <v>2</v>
      </c>
      <c r="G181" s="899"/>
      <c r="H181" s="1679"/>
      <c r="I181" s="878">
        <f>SUBTOTAL(103,$J$5:J181)</f>
        <v>177</v>
      </c>
      <c r="J181" s="404" t="s">
        <v>163</v>
      </c>
      <c r="K181" s="879" t="s">
        <v>170</v>
      </c>
    </row>
    <row r="182" spans="1:11" s="133" customFormat="1" ht="18.75" customHeight="1">
      <c r="A182" s="871">
        <v>178</v>
      </c>
      <c r="B182" s="743" t="s">
        <v>444</v>
      </c>
      <c r="C182" s="873" t="s">
        <v>154</v>
      </c>
      <c r="G182" s="899"/>
      <c r="H182" s="1679"/>
      <c r="I182" s="878">
        <f>SUBTOTAL(103,$J$5:J182)</f>
        <v>178</v>
      </c>
      <c r="J182" s="404" t="s">
        <v>164</v>
      </c>
      <c r="K182" s="879" t="s">
        <v>2</v>
      </c>
    </row>
    <row r="183" spans="1:11" s="133" customFormat="1" ht="18.75" customHeight="1">
      <c r="A183" s="871">
        <v>179</v>
      </c>
      <c r="B183" s="743" t="s">
        <v>445</v>
      </c>
      <c r="C183" s="873" t="s">
        <v>79</v>
      </c>
      <c r="G183" s="899"/>
      <c r="H183" s="1679"/>
      <c r="I183" s="878">
        <f>SUBTOTAL(103,$J$5:J183)</f>
        <v>179</v>
      </c>
      <c r="J183" s="404" t="s">
        <v>444</v>
      </c>
      <c r="K183" s="879" t="s">
        <v>154</v>
      </c>
    </row>
    <row r="184" spans="1:11" s="133" customFormat="1" ht="18.75" customHeight="1">
      <c r="A184" s="871">
        <v>180</v>
      </c>
      <c r="B184" s="743" t="s">
        <v>446</v>
      </c>
      <c r="C184" s="873" t="s">
        <v>49</v>
      </c>
      <c r="G184" s="899"/>
      <c r="H184" s="1679"/>
      <c r="I184" s="878">
        <f>SUBTOTAL(103,$J$5:J184)</f>
        <v>180</v>
      </c>
      <c r="J184" s="404" t="s">
        <v>445</v>
      </c>
      <c r="K184" s="879" t="s">
        <v>79</v>
      </c>
    </row>
    <row r="185" spans="1:11" s="133" customFormat="1" ht="18.75" customHeight="1">
      <c r="A185" s="871">
        <v>181</v>
      </c>
      <c r="B185" s="743" t="s">
        <v>447</v>
      </c>
      <c r="C185" s="873" t="s">
        <v>3</v>
      </c>
      <c r="G185" s="899"/>
      <c r="H185" s="1679"/>
      <c r="I185" s="878">
        <f>SUBTOTAL(103,$J$5:J185)</f>
        <v>181</v>
      </c>
      <c r="J185" s="404" t="s">
        <v>446</v>
      </c>
      <c r="K185" s="879" t="s">
        <v>49</v>
      </c>
    </row>
    <row r="186" spans="1:11" s="133" customFormat="1" ht="18.75" customHeight="1">
      <c r="A186" s="871">
        <v>182</v>
      </c>
      <c r="B186" s="743" t="s">
        <v>448</v>
      </c>
      <c r="C186" s="873" t="s">
        <v>3</v>
      </c>
      <c r="G186" s="899"/>
      <c r="H186" s="1679"/>
      <c r="I186" s="878">
        <f>SUBTOTAL(103,$J$5:J186)</f>
        <v>182</v>
      </c>
      <c r="J186" s="404" t="s">
        <v>447</v>
      </c>
      <c r="K186" s="879" t="s">
        <v>3</v>
      </c>
    </row>
    <row r="187" spans="1:11" s="133" customFormat="1" ht="18.75" customHeight="1">
      <c r="A187" s="871">
        <v>183</v>
      </c>
      <c r="B187" s="743" t="s">
        <v>449</v>
      </c>
      <c r="C187" s="873" t="s">
        <v>170</v>
      </c>
      <c r="G187" s="899"/>
      <c r="H187" s="1679"/>
      <c r="I187" s="878">
        <f>SUBTOTAL(103,$J$5:J187)</f>
        <v>183</v>
      </c>
      <c r="J187" s="404" t="s">
        <v>448</v>
      </c>
      <c r="K187" s="879" t="s">
        <v>3</v>
      </c>
    </row>
    <row r="188" spans="1:11" s="133" customFormat="1" ht="18.75" customHeight="1">
      <c r="A188" s="871">
        <v>184</v>
      </c>
      <c r="B188" s="743" t="s">
        <v>450</v>
      </c>
      <c r="C188" s="873" t="s">
        <v>987</v>
      </c>
      <c r="G188" s="899"/>
      <c r="H188" s="1679"/>
      <c r="I188" s="878">
        <f>SUBTOTAL(103,$J$5:J188)</f>
        <v>184</v>
      </c>
      <c r="J188" s="404" t="s">
        <v>449</v>
      </c>
      <c r="K188" s="879" t="s">
        <v>170</v>
      </c>
    </row>
    <row r="189" spans="1:11" s="133" customFormat="1" ht="18.75" customHeight="1">
      <c r="A189" s="871">
        <v>185</v>
      </c>
      <c r="B189" s="743" t="s">
        <v>10</v>
      </c>
      <c r="C189" s="873" t="s">
        <v>184</v>
      </c>
      <c r="G189" s="899"/>
      <c r="H189" s="1679"/>
      <c r="I189" s="878">
        <f>SUBTOTAL(103,$J$5:J189)</f>
        <v>185</v>
      </c>
      <c r="J189" s="404" t="s">
        <v>450</v>
      </c>
      <c r="K189" s="879" t="s">
        <v>987</v>
      </c>
    </row>
    <row r="190" spans="1:11" s="133" customFormat="1" ht="18.75" customHeight="1">
      <c r="A190" s="871">
        <v>186</v>
      </c>
      <c r="B190" s="743" t="s">
        <v>66</v>
      </c>
      <c r="C190" s="873" t="s">
        <v>79</v>
      </c>
      <c r="G190" s="899"/>
      <c r="H190" s="1679"/>
      <c r="I190" s="878">
        <f>SUBTOTAL(103,$J$5:J190)</f>
        <v>186</v>
      </c>
      <c r="J190" s="404" t="s">
        <v>10</v>
      </c>
      <c r="K190" s="879" t="s">
        <v>184</v>
      </c>
    </row>
    <row r="191" spans="1:11" s="133" customFormat="1" ht="18.75" customHeight="1">
      <c r="A191" s="871">
        <v>187</v>
      </c>
      <c r="B191" s="743" t="s">
        <v>165</v>
      </c>
      <c r="C191" s="873" t="s">
        <v>49</v>
      </c>
      <c r="G191" s="899"/>
      <c r="H191" s="1679"/>
      <c r="I191" s="878">
        <f>SUBTOTAL(103,$J$5:J191)</f>
        <v>187</v>
      </c>
      <c r="J191" s="404" t="s">
        <v>66</v>
      </c>
      <c r="K191" s="879" t="s">
        <v>79</v>
      </c>
    </row>
    <row r="192" spans="1:11" s="133" customFormat="1" ht="18.75" customHeight="1">
      <c r="A192" s="871">
        <v>188</v>
      </c>
      <c r="B192" s="743" t="s">
        <v>873</v>
      </c>
      <c r="C192" s="873" t="s">
        <v>79</v>
      </c>
      <c r="G192" s="899"/>
      <c r="H192" s="1679"/>
      <c r="I192" s="878">
        <f>SUBTOTAL(103,$J$5:J192)</f>
        <v>188</v>
      </c>
      <c r="J192" s="404" t="s">
        <v>165</v>
      </c>
      <c r="K192" s="879" t="s">
        <v>49</v>
      </c>
    </row>
    <row r="193" spans="1:11" s="133" customFormat="1" ht="18.75" customHeight="1">
      <c r="A193" s="871">
        <v>189</v>
      </c>
      <c r="B193" s="743" t="s">
        <v>874</v>
      </c>
      <c r="C193" s="873" t="s">
        <v>49</v>
      </c>
      <c r="G193" s="899"/>
      <c r="H193" s="1679"/>
      <c r="I193" s="878">
        <f>SUBTOTAL(103,$J$5:J193)</f>
        <v>189</v>
      </c>
      <c r="J193" s="404" t="s">
        <v>873</v>
      </c>
      <c r="K193" s="879" t="s">
        <v>79</v>
      </c>
    </row>
    <row r="194" spans="1:11" s="133" customFormat="1" ht="18.75" customHeight="1">
      <c r="A194" s="871">
        <v>190</v>
      </c>
      <c r="B194" s="743" t="s">
        <v>875</v>
      </c>
      <c r="C194" s="873" t="s">
        <v>49</v>
      </c>
      <c r="G194" s="899"/>
      <c r="H194" s="1679"/>
      <c r="I194" s="878">
        <f>SUBTOTAL(103,$J$5:J194)</f>
        <v>190</v>
      </c>
      <c r="J194" s="404" t="s">
        <v>874</v>
      </c>
      <c r="K194" s="879" t="s">
        <v>49</v>
      </c>
    </row>
    <row r="195" spans="1:11" s="133" customFormat="1" ht="18.75" customHeight="1">
      <c r="A195" s="871">
        <v>191</v>
      </c>
      <c r="B195" s="743" t="s">
        <v>876</v>
      </c>
      <c r="C195" s="873" t="s">
        <v>49</v>
      </c>
      <c r="G195" s="899"/>
      <c r="H195" s="1679"/>
      <c r="I195" s="878">
        <f>SUBTOTAL(103,$J$5:J195)</f>
        <v>191</v>
      </c>
      <c r="J195" s="404" t="s">
        <v>875</v>
      </c>
      <c r="K195" s="879" t="s">
        <v>49</v>
      </c>
    </row>
    <row r="196" spans="1:11" s="133" customFormat="1" ht="18.75" customHeight="1">
      <c r="A196" s="871">
        <v>192</v>
      </c>
      <c r="B196" s="743" t="s">
        <v>877</v>
      </c>
      <c r="C196" s="873" t="s">
        <v>2</v>
      </c>
      <c r="G196" s="899"/>
      <c r="H196" s="1679"/>
      <c r="I196" s="878">
        <f>SUBTOTAL(103,$J$5:J196)</f>
        <v>192</v>
      </c>
      <c r="J196" s="404" t="s">
        <v>876</v>
      </c>
      <c r="K196" s="879" t="s">
        <v>49</v>
      </c>
    </row>
    <row r="197" spans="1:11" s="133" customFormat="1" ht="18.75" customHeight="1">
      <c r="A197" s="871">
        <v>193</v>
      </c>
      <c r="B197" s="743" t="s">
        <v>773</v>
      </c>
      <c r="C197" s="873" t="s">
        <v>211</v>
      </c>
      <c r="G197" s="899"/>
      <c r="H197" s="1679"/>
      <c r="I197" s="878">
        <f>SUBTOTAL(103,$J$5:J197)</f>
        <v>193</v>
      </c>
      <c r="J197" s="404" t="s">
        <v>877</v>
      </c>
      <c r="K197" s="879" t="s">
        <v>2</v>
      </c>
    </row>
    <row r="198" spans="1:11" s="133" customFormat="1" ht="18.75" customHeight="1">
      <c r="A198" s="871">
        <v>194</v>
      </c>
      <c r="B198" s="743" t="s">
        <v>774</v>
      </c>
      <c r="C198" s="873" t="s">
        <v>79</v>
      </c>
      <c r="G198" s="899"/>
      <c r="H198" s="1679"/>
      <c r="I198" s="878">
        <f>SUBTOTAL(103,$J$5:J198)</f>
        <v>194</v>
      </c>
      <c r="J198" s="404" t="s">
        <v>773</v>
      </c>
      <c r="K198" s="879" t="s">
        <v>211</v>
      </c>
    </row>
    <row r="199" spans="1:11" s="133" customFormat="1" ht="18.75" customHeight="1">
      <c r="A199" s="871">
        <v>195</v>
      </c>
      <c r="B199" s="743" t="s">
        <v>67</v>
      </c>
      <c r="C199" s="873" t="s">
        <v>211</v>
      </c>
      <c r="G199" s="899"/>
      <c r="H199" s="1679"/>
      <c r="I199" s="878">
        <f>SUBTOTAL(103,$J$5:J199)</f>
        <v>195</v>
      </c>
      <c r="J199" s="404" t="s">
        <v>774</v>
      </c>
      <c r="K199" s="879" t="s">
        <v>79</v>
      </c>
    </row>
    <row r="200" spans="1:11" s="133" customFormat="1" ht="18.75" customHeight="1">
      <c r="A200" s="871">
        <v>196</v>
      </c>
      <c r="B200" s="743" t="s">
        <v>68</v>
      </c>
      <c r="C200" s="873" t="s">
        <v>49</v>
      </c>
      <c r="G200" s="899"/>
      <c r="H200" s="1679"/>
      <c r="I200" s="878">
        <f>SUBTOTAL(103,$J$5:J200)</f>
        <v>196</v>
      </c>
      <c r="J200" s="404" t="s">
        <v>67</v>
      </c>
      <c r="K200" s="879" t="s">
        <v>211</v>
      </c>
    </row>
    <row r="201" spans="1:11" s="133" customFormat="1" ht="18.75" customHeight="1">
      <c r="A201" s="871">
        <v>197</v>
      </c>
      <c r="B201" s="743" t="s">
        <v>69</v>
      </c>
      <c r="C201" s="873" t="s">
        <v>49</v>
      </c>
      <c r="G201" s="899"/>
      <c r="H201" s="1679"/>
      <c r="I201" s="878">
        <f>SUBTOTAL(103,$J$5:J201)</f>
        <v>197</v>
      </c>
      <c r="J201" s="404" t="s">
        <v>68</v>
      </c>
      <c r="K201" s="879" t="s">
        <v>49</v>
      </c>
    </row>
    <row r="202" spans="1:11" s="133" customFormat="1" ht="18.75" customHeight="1">
      <c r="A202" s="871">
        <v>198</v>
      </c>
      <c r="B202" s="743" t="s">
        <v>70</v>
      </c>
      <c r="C202" s="873" t="s">
        <v>2</v>
      </c>
      <c r="G202" s="899"/>
      <c r="H202" s="1679"/>
      <c r="I202" s="878">
        <f>SUBTOTAL(103,$J$5:J202)</f>
        <v>198</v>
      </c>
      <c r="J202" s="404" t="s">
        <v>69</v>
      </c>
      <c r="K202" s="879" t="s">
        <v>49</v>
      </c>
    </row>
    <row r="203" spans="1:11" s="133" customFormat="1" ht="18.75" customHeight="1">
      <c r="A203" s="871">
        <v>199</v>
      </c>
      <c r="B203" s="743" t="s">
        <v>187</v>
      </c>
      <c r="C203" s="873" t="s">
        <v>2</v>
      </c>
      <c r="G203" s="899"/>
      <c r="H203" s="1679"/>
      <c r="I203" s="878">
        <f>SUBTOTAL(103,$J$5:J203)</f>
        <v>199</v>
      </c>
      <c r="J203" s="404" t="s">
        <v>70</v>
      </c>
      <c r="K203" s="879" t="s">
        <v>2</v>
      </c>
    </row>
    <row r="204" spans="1:11" s="133" customFormat="1" ht="18.75" customHeight="1">
      <c r="A204" s="871">
        <v>200</v>
      </c>
      <c r="B204" s="743" t="s">
        <v>569</v>
      </c>
      <c r="C204" s="873" t="s">
        <v>3</v>
      </c>
      <c r="G204" s="899"/>
      <c r="H204" s="1679"/>
      <c r="I204" s="878">
        <f>SUBTOTAL(103,$J$5:J204)</f>
        <v>200</v>
      </c>
      <c r="J204" s="404" t="s">
        <v>187</v>
      </c>
      <c r="K204" s="879" t="s">
        <v>2</v>
      </c>
    </row>
    <row r="205" spans="1:11" s="133" customFormat="1" ht="18.75" customHeight="1">
      <c r="A205" s="871">
        <v>201</v>
      </c>
      <c r="B205" s="743" t="s">
        <v>570</v>
      </c>
      <c r="C205" s="873" t="s">
        <v>79</v>
      </c>
      <c r="G205" s="899"/>
      <c r="H205" s="1679"/>
      <c r="I205" s="878">
        <f>SUBTOTAL(103,$J$5:J205)</f>
        <v>201</v>
      </c>
      <c r="J205" s="404" t="s">
        <v>569</v>
      </c>
      <c r="K205" s="879" t="s">
        <v>3</v>
      </c>
    </row>
    <row r="206" spans="1:11" s="133" customFormat="1" ht="18.75" customHeight="1">
      <c r="A206" s="871">
        <v>202</v>
      </c>
      <c r="B206" s="743" t="s">
        <v>571</v>
      </c>
      <c r="C206" s="873" t="s">
        <v>79</v>
      </c>
      <c r="G206" s="899"/>
      <c r="H206" s="1679"/>
      <c r="I206" s="878">
        <f>SUBTOTAL(103,$J$5:J206)</f>
        <v>202</v>
      </c>
      <c r="J206" s="404" t="s">
        <v>570</v>
      </c>
      <c r="K206" s="879" t="s">
        <v>79</v>
      </c>
    </row>
    <row r="207" spans="1:11" s="133" customFormat="1" ht="18.75" customHeight="1">
      <c r="A207" s="871">
        <v>203</v>
      </c>
      <c r="B207" s="743" t="s">
        <v>572</v>
      </c>
      <c r="C207" s="873" t="s">
        <v>2</v>
      </c>
      <c r="G207" s="899"/>
      <c r="H207" s="1679"/>
      <c r="I207" s="878">
        <f>SUBTOTAL(103,$J$5:J207)</f>
        <v>203</v>
      </c>
      <c r="J207" s="404" t="s">
        <v>571</v>
      </c>
      <c r="K207" s="879" t="s">
        <v>79</v>
      </c>
    </row>
    <row r="208" spans="1:11" s="133" customFormat="1" ht="18.75" customHeight="1">
      <c r="A208" s="871">
        <v>204</v>
      </c>
      <c r="B208" s="743" t="s">
        <v>573</v>
      </c>
      <c r="C208" s="873" t="s">
        <v>170</v>
      </c>
      <c r="G208" s="899"/>
      <c r="H208" s="1679"/>
      <c r="I208" s="878">
        <f>SUBTOTAL(103,$J$5:J208)</f>
        <v>204</v>
      </c>
      <c r="J208" s="404" t="s">
        <v>572</v>
      </c>
      <c r="K208" s="879" t="s">
        <v>2</v>
      </c>
    </row>
    <row r="209" spans="1:11" s="133" customFormat="1" ht="18.75" customHeight="1">
      <c r="A209" s="871">
        <v>205</v>
      </c>
      <c r="B209" s="743" t="s">
        <v>166</v>
      </c>
      <c r="C209" s="873" t="s">
        <v>227</v>
      </c>
      <c r="G209" s="899"/>
      <c r="H209" s="1679"/>
      <c r="I209" s="878">
        <f>SUBTOTAL(103,$J$5:J209)</f>
        <v>205</v>
      </c>
      <c r="J209" s="404" t="s">
        <v>573</v>
      </c>
      <c r="K209" s="879" t="s">
        <v>170</v>
      </c>
    </row>
    <row r="210" spans="1:11" s="133" customFormat="1" ht="18.75" customHeight="1">
      <c r="A210" s="871">
        <v>206</v>
      </c>
      <c r="B210" s="743" t="s">
        <v>575</v>
      </c>
      <c r="C210" s="873" t="s">
        <v>49</v>
      </c>
      <c r="G210" s="899"/>
      <c r="H210" s="1679"/>
      <c r="I210" s="878">
        <f>SUBTOTAL(103,$J$5:J210)</f>
        <v>206</v>
      </c>
      <c r="J210" s="404" t="s">
        <v>166</v>
      </c>
      <c r="K210" s="879" t="s">
        <v>227</v>
      </c>
    </row>
    <row r="211" spans="1:11" s="133" customFormat="1" ht="18.75" customHeight="1">
      <c r="A211" s="871">
        <v>207</v>
      </c>
      <c r="B211" s="743" t="s">
        <v>576</v>
      </c>
      <c r="C211" s="873" t="s">
        <v>49</v>
      </c>
      <c r="G211" s="899"/>
      <c r="H211" s="1679"/>
      <c r="I211" s="878">
        <f>SUBTOTAL(103,$J$5:J211)</f>
        <v>207</v>
      </c>
      <c r="J211" s="404" t="s">
        <v>575</v>
      </c>
      <c r="K211" s="879" t="s">
        <v>49</v>
      </c>
    </row>
    <row r="212" spans="1:11" s="133" customFormat="1" ht="18.75" customHeight="1">
      <c r="A212" s="871">
        <v>208</v>
      </c>
      <c r="B212" s="743" t="s">
        <v>577</v>
      </c>
      <c r="C212" s="873" t="s">
        <v>170</v>
      </c>
      <c r="G212" s="899"/>
      <c r="H212" s="1679"/>
      <c r="I212" s="878">
        <f>SUBTOTAL(103,$J$5:J212)</f>
        <v>208</v>
      </c>
      <c r="J212" s="404" t="s">
        <v>576</v>
      </c>
      <c r="K212" s="879" t="s">
        <v>49</v>
      </c>
    </row>
    <row r="213" spans="1:11" s="133" customFormat="1" ht="18.75" customHeight="1">
      <c r="A213" s="871">
        <v>209</v>
      </c>
      <c r="B213" s="743" t="s">
        <v>578</v>
      </c>
      <c r="C213" s="873" t="s">
        <v>79</v>
      </c>
      <c r="G213" s="899"/>
      <c r="H213" s="1679"/>
      <c r="I213" s="878">
        <f>SUBTOTAL(103,$J$5:J213)</f>
        <v>209</v>
      </c>
      <c r="J213" s="404" t="s">
        <v>577</v>
      </c>
      <c r="K213" s="879" t="s">
        <v>170</v>
      </c>
    </row>
    <row r="214" spans="1:11" s="133" customFormat="1" ht="18.75" customHeight="1">
      <c r="A214" s="871">
        <v>210</v>
      </c>
      <c r="B214" s="743" t="s">
        <v>579</v>
      </c>
      <c r="C214" s="873" t="s">
        <v>49</v>
      </c>
      <c r="G214" s="899"/>
      <c r="H214" s="1679"/>
      <c r="I214" s="878">
        <f>SUBTOTAL(103,$J$5:J214)</f>
        <v>210</v>
      </c>
      <c r="J214" s="404" t="s">
        <v>578</v>
      </c>
      <c r="K214" s="879" t="s">
        <v>79</v>
      </c>
    </row>
    <row r="215" spans="1:11" s="133" customFormat="1" ht="18.75" customHeight="1">
      <c r="A215" s="871">
        <v>211</v>
      </c>
      <c r="B215" s="743" t="s">
        <v>580</v>
      </c>
      <c r="C215" s="873" t="s">
        <v>2</v>
      </c>
      <c r="G215" s="899"/>
      <c r="H215" s="1679"/>
      <c r="I215" s="878">
        <f>SUBTOTAL(103,$J$5:J215)</f>
        <v>211</v>
      </c>
      <c r="J215" s="404" t="s">
        <v>579</v>
      </c>
      <c r="K215" s="879" t="s">
        <v>49</v>
      </c>
    </row>
    <row r="216" spans="1:11" s="133" customFormat="1" ht="18.75" customHeight="1">
      <c r="A216" s="871">
        <v>212</v>
      </c>
      <c r="B216" s="743" t="s">
        <v>581</v>
      </c>
      <c r="C216" s="873" t="s">
        <v>3</v>
      </c>
      <c r="G216" s="899"/>
      <c r="H216" s="1679"/>
      <c r="I216" s="878">
        <f>SUBTOTAL(103,$J$5:J216)</f>
        <v>212</v>
      </c>
      <c r="J216" s="404" t="s">
        <v>580</v>
      </c>
      <c r="K216" s="879" t="s">
        <v>2</v>
      </c>
    </row>
    <row r="217" spans="1:11" s="133" customFormat="1" ht="18.75" customHeight="1">
      <c r="A217" s="871">
        <v>213</v>
      </c>
      <c r="B217" s="743" t="s">
        <v>582</v>
      </c>
      <c r="C217" s="873" t="s">
        <v>3</v>
      </c>
      <c r="G217" s="899"/>
      <c r="H217" s="1679"/>
      <c r="I217" s="878">
        <f>SUBTOTAL(103,$J$5:J217)</f>
        <v>213</v>
      </c>
      <c r="J217" s="404" t="s">
        <v>581</v>
      </c>
      <c r="K217" s="879" t="s">
        <v>3</v>
      </c>
    </row>
    <row r="218" spans="1:11" s="133" customFormat="1" ht="18.75" customHeight="1">
      <c r="A218" s="871">
        <v>214</v>
      </c>
      <c r="B218" s="743" t="s">
        <v>583</v>
      </c>
      <c r="C218" s="873" t="s">
        <v>170</v>
      </c>
      <c r="G218" s="899"/>
      <c r="H218" s="1679"/>
      <c r="I218" s="878">
        <f>SUBTOTAL(103,$J$5:J218)</f>
        <v>214</v>
      </c>
      <c r="J218" s="404" t="s">
        <v>582</v>
      </c>
      <c r="K218" s="879" t="s">
        <v>3</v>
      </c>
    </row>
    <row r="219" spans="1:11" s="133" customFormat="1" ht="18.75" customHeight="1">
      <c r="A219" s="871">
        <v>215</v>
      </c>
      <c r="B219" s="743" t="s">
        <v>584</v>
      </c>
      <c r="C219" s="873" t="s">
        <v>4</v>
      </c>
      <c r="G219" s="899"/>
      <c r="H219" s="1679"/>
      <c r="I219" s="878">
        <f>SUBTOTAL(103,$J$5:J219)</f>
        <v>215</v>
      </c>
      <c r="J219" s="404" t="s">
        <v>583</v>
      </c>
      <c r="K219" s="879" t="s">
        <v>170</v>
      </c>
    </row>
    <row r="220" spans="1:11" s="133" customFormat="1" ht="18.75" customHeight="1">
      <c r="A220" s="871">
        <v>216</v>
      </c>
      <c r="B220" s="743" t="s">
        <v>585</v>
      </c>
      <c r="C220" s="873" t="s">
        <v>170</v>
      </c>
      <c r="G220" s="899"/>
      <c r="H220" s="1679"/>
      <c r="I220" s="878">
        <f>SUBTOTAL(103,$J$5:J220)</f>
        <v>216</v>
      </c>
      <c r="J220" s="404" t="s">
        <v>584</v>
      </c>
      <c r="K220" s="879" t="s">
        <v>4</v>
      </c>
    </row>
    <row r="221" spans="1:11" s="133" customFormat="1" ht="18.75" customHeight="1">
      <c r="A221" s="871">
        <v>217</v>
      </c>
      <c r="B221" s="743" t="s">
        <v>586</v>
      </c>
      <c r="C221" s="873" t="s">
        <v>2</v>
      </c>
      <c r="G221" s="899"/>
      <c r="H221" s="1679"/>
      <c r="I221" s="878">
        <f>SUBTOTAL(103,$J$5:J221)</f>
        <v>217</v>
      </c>
      <c r="J221" s="404" t="s">
        <v>585</v>
      </c>
      <c r="K221" s="879" t="s">
        <v>170</v>
      </c>
    </row>
    <row r="222" spans="1:11" s="133" customFormat="1" ht="18.75" customHeight="1">
      <c r="A222" s="871">
        <v>218</v>
      </c>
      <c r="B222" s="743" t="s">
        <v>71</v>
      </c>
      <c r="C222" s="873" t="s">
        <v>184</v>
      </c>
      <c r="G222" s="899"/>
      <c r="H222" s="1679"/>
      <c r="I222" s="878">
        <f>SUBTOTAL(103,$J$5:J222)</f>
        <v>218</v>
      </c>
      <c r="J222" s="404" t="s">
        <v>586</v>
      </c>
      <c r="K222" s="879" t="s">
        <v>2</v>
      </c>
    </row>
    <row r="223" spans="1:11" s="133" customFormat="1" ht="18.75" customHeight="1">
      <c r="A223" s="871">
        <v>219</v>
      </c>
      <c r="B223" s="743" t="s">
        <v>588</v>
      </c>
      <c r="C223" s="873" t="s">
        <v>79</v>
      </c>
      <c r="G223" s="899"/>
      <c r="H223" s="1679"/>
      <c r="I223" s="878">
        <f>SUBTOTAL(103,$J$5:J223)</f>
        <v>219</v>
      </c>
      <c r="J223" s="404" t="s">
        <v>71</v>
      </c>
      <c r="K223" s="879" t="s">
        <v>184</v>
      </c>
    </row>
    <row r="224" spans="1:11" s="133" customFormat="1" ht="18.75" customHeight="1">
      <c r="A224" s="871">
        <v>220</v>
      </c>
      <c r="B224" s="743" t="s">
        <v>589</v>
      </c>
      <c r="C224" s="873" t="s">
        <v>79</v>
      </c>
      <c r="G224" s="899"/>
      <c r="H224" s="1679"/>
      <c r="I224" s="878">
        <f>SUBTOTAL(103,$J$5:J224)</f>
        <v>220</v>
      </c>
      <c r="J224" s="404" t="s">
        <v>588</v>
      </c>
      <c r="K224" s="879" t="s">
        <v>79</v>
      </c>
    </row>
    <row r="225" spans="1:11" s="133" customFormat="1" ht="18.75" customHeight="1">
      <c r="A225" s="871">
        <v>221</v>
      </c>
      <c r="B225" s="743" t="s">
        <v>590</v>
      </c>
      <c r="C225" s="873" t="s">
        <v>4</v>
      </c>
      <c r="G225" s="899"/>
      <c r="H225" s="1679"/>
      <c r="I225" s="878">
        <f>SUBTOTAL(103,$J$5:J225)</f>
        <v>221</v>
      </c>
      <c r="J225" s="404" t="s">
        <v>589</v>
      </c>
      <c r="K225" s="879" t="s">
        <v>79</v>
      </c>
    </row>
    <row r="226" spans="1:11" s="133" customFormat="1" ht="18.75" customHeight="1">
      <c r="A226" s="871">
        <v>222</v>
      </c>
      <c r="B226" s="743" t="s">
        <v>591</v>
      </c>
      <c r="C226" s="873" t="s">
        <v>49</v>
      </c>
      <c r="G226" s="899"/>
      <c r="H226" s="1679"/>
      <c r="I226" s="878">
        <f>SUBTOTAL(103,$J$5:J226)</f>
        <v>222</v>
      </c>
      <c r="J226" s="404" t="s">
        <v>590</v>
      </c>
      <c r="K226" s="879" t="s">
        <v>4</v>
      </c>
    </row>
    <row r="227" spans="1:11" s="133" customFormat="1" ht="18.75" customHeight="1">
      <c r="A227" s="871">
        <v>223</v>
      </c>
      <c r="B227" s="743" t="s">
        <v>592</v>
      </c>
      <c r="C227" s="873" t="s">
        <v>49</v>
      </c>
      <c r="G227" s="899"/>
      <c r="H227" s="1679"/>
      <c r="I227" s="878">
        <f>SUBTOTAL(103,$J$5:J227)</f>
        <v>223</v>
      </c>
      <c r="J227" s="404" t="s">
        <v>591</v>
      </c>
      <c r="K227" s="879" t="s">
        <v>49</v>
      </c>
    </row>
    <row r="228" spans="1:11" s="133" customFormat="1" ht="18.75" customHeight="1">
      <c r="A228" s="871">
        <v>224</v>
      </c>
      <c r="B228" s="743" t="s">
        <v>593</v>
      </c>
      <c r="C228" s="873" t="s">
        <v>79</v>
      </c>
      <c r="G228" s="899"/>
      <c r="H228" s="1679"/>
      <c r="I228" s="878">
        <f>SUBTOTAL(103,$J$5:J228)</f>
        <v>224</v>
      </c>
      <c r="J228" s="404" t="s">
        <v>592</v>
      </c>
      <c r="K228" s="879" t="s">
        <v>49</v>
      </c>
    </row>
    <row r="229" spans="1:11" s="133" customFormat="1" ht="18.75" customHeight="1">
      <c r="A229" s="871">
        <v>225</v>
      </c>
      <c r="B229" s="743" t="s">
        <v>594</v>
      </c>
      <c r="C229" s="873" t="s">
        <v>2</v>
      </c>
      <c r="G229" s="899"/>
      <c r="H229" s="1679"/>
      <c r="I229" s="878">
        <f>SUBTOTAL(103,$J$5:J229)</f>
        <v>225</v>
      </c>
      <c r="J229" s="404" t="s">
        <v>593</v>
      </c>
      <c r="K229" s="879" t="s">
        <v>79</v>
      </c>
    </row>
    <row r="230" spans="1:11" s="133" customFormat="1" ht="18.75" customHeight="1">
      <c r="A230" s="871">
        <v>226</v>
      </c>
      <c r="B230" s="743" t="s">
        <v>595</v>
      </c>
      <c r="C230" s="873" t="s">
        <v>79</v>
      </c>
      <c r="G230" s="899"/>
      <c r="H230" s="1679"/>
      <c r="I230" s="878">
        <f>SUBTOTAL(103,$J$5:J230)</f>
        <v>226</v>
      </c>
      <c r="J230" s="404" t="s">
        <v>594</v>
      </c>
      <c r="K230" s="879" t="s">
        <v>2</v>
      </c>
    </row>
    <row r="231" spans="1:11" s="133" customFormat="1" ht="18.75" customHeight="1">
      <c r="A231" s="871">
        <v>227</v>
      </c>
      <c r="B231" s="743" t="s">
        <v>596</v>
      </c>
      <c r="C231" s="873" t="s">
        <v>170</v>
      </c>
      <c r="G231" s="899"/>
      <c r="H231" s="1679"/>
      <c r="I231" s="878">
        <f>SUBTOTAL(103,$J$5:J231)</f>
        <v>227</v>
      </c>
      <c r="J231" s="404" t="s">
        <v>595</v>
      </c>
      <c r="K231" s="879" t="s">
        <v>79</v>
      </c>
    </row>
    <row r="232" spans="1:11" s="133" customFormat="1" ht="18.75" customHeight="1">
      <c r="A232" s="871">
        <v>228</v>
      </c>
      <c r="B232" s="743" t="s">
        <v>597</v>
      </c>
      <c r="C232" s="873" t="s">
        <v>2</v>
      </c>
      <c r="G232" s="899"/>
      <c r="H232" s="1679"/>
      <c r="I232" s="878">
        <f>SUBTOTAL(103,$J$5:J232)</f>
        <v>228</v>
      </c>
      <c r="J232" s="404" t="s">
        <v>596</v>
      </c>
      <c r="K232" s="879" t="s">
        <v>170</v>
      </c>
    </row>
    <row r="233" spans="1:11" s="133" customFormat="1" ht="18.75" customHeight="1">
      <c r="A233" s="871">
        <v>229</v>
      </c>
      <c r="B233" s="743" t="s">
        <v>598</v>
      </c>
      <c r="C233" s="873" t="s">
        <v>2</v>
      </c>
      <c r="G233" s="899"/>
      <c r="H233" s="1679"/>
      <c r="I233" s="878">
        <f>SUBTOTAL(103,$J$5:J233)</f>
        <v>229</v>
      </c>
      <c r="J233" s="404" t="s">
        <v>597</v>
      </c>
      <c r="K233" s="879" t="s">
        <v>2</v>
      </c>
    </row>
    <row r="234" spans="1:11" s="133" customFormat="1" ht="18.75" customHeight="1">
      <c r="A234" s="871">
        <v>230</v>
      </c>
      <c r="B234" s="743" t="s">
        <v>8</v>
      </c>
      <c r="C234" s="873" t="s">
        <v>228</v>
      </c>
      <c r="G234" s="899"/>
      <c r="H234" s="1679"/>
      <c r="I234" s="878">
        <f>SUBTOTAL(103,$J$5:J234)</f>
        <v>230</v>
      </c>
      <c r="J234" s="404" t="s">
        <v>598</v>
      </c>
      <c r="K234" s="879" t="s">
        <v>2</v>
      </c>
    </row>
    <row r="235" spans="1:11" s="133" customFormat="1" ht="18.75" customHeight="1">
      <c r="A235" s="871">
        <v>231</v>
      </c>
      <c r="B235" s="743" t="s">
        <v>241</v>
      </c>
      <c r="C235" s="873" t="s">
        <v>211</v>
      </c>
      <c r="G235" s="899"/>
      <c r="H235" s="1679"/>
      <c r="I235" s="878">
        <f>SUBTOTAL(103,$J$5:J235)</f>
        <v>231</v>
      </c>
      <c r="J235" s="404" t="s">
        <v>8</v>
      </c>
      <c r="K235" s="879" t="s">
        <v>228</v>
      </c>
    </row>
    <row r="236" spans="1:11" s="133" customFormat="1" ht="18.75" customHeight="1">
      <c r="A236" s="871">
        <v>232</v>
      </c>
      <c r="B236" s="743" t="s">
        <v>242</v>
      </c>
      <c r="C236" s="873" t="s">
        <v>2</v>
      </c>
      <c r="G236" s="899"/>
      <c r="H236" s="1679"/>
      <c r="I236" s="878">
        <f>SUBTOTAL(103,$J$5:J236)</f>
        <v>232</v>
      </c>
      <c r="J236" s="404" t="s">
        <v>1069</v>
      </c>
      <c r="K236" s="879" t="s">
        <v>211</v>
      </c>
    </row>
    <row r="237" spans="1:11" s="133" customFormat="1" ht="18.75" customHeight="1">
      <c r="A237" s="871">
        <v>233</v>
      </c>
      <c r="B237" s="743" t="s">
        <v>205</v>
      </c>
      <c r="C237" s="873" t="s">
        <v>49</v>
      </c>
      <c r="G237" s="899"/>
      <c r="H237" s="1679"/>
      <c r="I237" s="878">
        <f>SUBTOTAL(103,$J$5:J237)</f>
        <v>233</v>
      </c>
      <c r="J237" s="404" t="s">
        <v>1070</v>
      </c>
      <c r="K237" s="879" t="s">
        <v>2</v>
      </c>
    </row>
    <row r="238" spans="1:11" s="133" customFormat="1" ht="18.75" customHeight="1">
      <c r="A238" s="871">
        <v>234</v>
      </c>
      <c r="B238" s="743" t="s">
        <v>168</v>
      </c>
      <c r="C238" s="873" t="s">
        <v>228</v>
      </c>
      <c r="G238" s="899"/>
      <c r="H238" s="1679"/>
      <c r="I238" s="878">
        <f>SUBTOTAL(103,$J$5:J238)</f>
        <v>234</v>
      </c>
      <c r="J238" s="930" t="s">
        <v>1781</v>
      </c>
      <c r="K238" s="1171" t="s">
        <v>215</v>
      </c>
    </row>
    <row r="239" spans="1:11" s="133" customFormat="1" ht="18.75" customHeight="1">
      <c r="A239" s="871">
        <v>235</v>
      </c>
      <c r="B239" s="743" t="s">
        <v>601</v>
      </c>
      <c r="C239" s="873" t="s">
        <v>2</v>
      </c>
      <c r="G239" s="899"/>
      <c r="H239" s="1679"/>
      <c r="I239" s="878">
        <f>SUBTOTAL(103,$J$5:J239)</f>
        <v>235</v>
      </c>
      <c r="J239" s="930" t="s">
        <v>1782</v>
      </c>
      <c r="K239" s="1171" t="s">
        <v>428</v>
      </c>
    </row>
    <row r="240" spans="1:11" s="133" customFormat="1" ht="18.75" customHeight="1">
      <c r="A240" s="871">
        <v>236</v>
      </c>
      <c r="B240" s="743" t="s">
        <v>602</v>
      </c>
      <c r="C240" s="873" t="s">
        <v>2</v>
      </c>
      <c r="G240" s="899"/>
      <c r="H240" s="1679"/>
      <c r="I240" s="878">
        <f>SUBTOTAL(103,$J$5:J240)</f>
        <v>236</v>
      </c>
      <c r="J240" s="930" t="s">
        <v>1783</v>
      </c>
      <c r="K240" s="1171" t="s">
        <v>215</v>
      </c>
    </row>
    <row r="241" spans="1:11" s="133" customFormat="1" ht="18.75" customHeight="1">
      <c r="A241" s="871">
        <v>237</v>
      </c>
      <c r="B241" s="743" t="s">
        <v>603</v>
      </c>
      <c r="C241" s="873" t="s">
        <v>154</v>
      </c>
      <c r="G241" s="899"/>
      <c r="H241" s="1679"/>
      <c r="I241" s="878">
        <f>SUBTOTAL(103,$J$5:J241)</f>
        <v>237</v>
      </c>
      <c r="J241" s="404" t="s">
        <v>602</v>
      </c>
      <c r="K241" s="879" t="s">
        <v>2</v>
      </c>
    </row>
    <row r="242" spans="1:11" s="133" customFormat="1" ht="18.75" customHeight="1">
      <c r="A242" s="871">
        <v>238</v>
      </c>
      <c r="B242" s="743" t="s">
        <v>604</v>
      </c>
      <c r="C242" s="873" t="s">
        <v>49</v>
      </c>
      <c r="G242" s="899"/>
      <c r="H242" s="1679"/>
      <c r="I242" s="878">
        <f>SUBTOTAL(103,$J$5:J242)</f>
        <v>238</v>
      </c>
      <c r="J242" s="404" t="s">
        <v>603</v>
      </c>
      <c r="K242" s="879" t="s">
        <v>154</v>
      </c>
    </row>
    <row r="243" spans="1:11" s="133" customFormat="1" ht="18.75" customHeight="1">
      <c r="A243" s="871">
        <v>239</v>
      </c>
      <c r="B243" s="743" t="s">
        <v>605</v>
      </c>
      <c r="C243" s="873" t="s">
        <v>2</v>
      </c>
      <c r="G243" s="899"/>
      <c r="H243" s="1679"/>
      <c r="I243" s="878">
        <f>SUBTOTAL(103,$J$5:J243)</f>
        <v>239</v>
      </c>
      <c r="J243" s="404" t="s">
        <v>604</v>
      </c>
      <c r="K243" s="879" t="s">
        <v>49</v>
      </c>
    </row>
    <row r="244" spans="1:11" s="133" customFormat="1" ht="18.75" customHeight="1">
      <c r="A244" s="871">
        <v>240</v>
      </c>
      <c r="B244" s="743" t="s">
        <v>775</v>
      </c>
      <c r="C244" s="873" t="s">
        <v>197</v>
      </c>
      <c r="G244" s="899"/>
      <c r="H244" s="1679"/>
      <c r="I244" s="878">
        <f>SUBTOTAL(103,$J$5:J244)</f>
        <v>240</v>
      </c>
      <c r="J244" s="404" t="s">
        <v>605</v>
      </c>
      <c r="K244" s="879" t="s">
        <v>2</v>
      </c>
    </row>
    <row r="245" spans="1:11" s="133" customFormat="1" ht="18.75" customHeight="1">
      <c r="A245" s="871">
        <v>241</v>
      </c>
      <c r="B245" s="743" t="s">
        <v>776</v>
      </c>
      <c r="C245" s="873" t="s">
        <v>2</v>
      </c>
      <c r="G245" s="899"/>
      <c r="H245" s="1679"/>
      <c r="I245" s="878">
        <f>SUBTOTAL(103,$J$5:J245)</f>
        <v>241</v>
      </c>
      <c r="J245" s="404" t="s">
        <v>775</v>
      </c>
      <c r="K245" s="879" t="s">
        <v>197</v>
      </c>
    </row>
    <row r="246" spans="1:11" s="133" customFormat="1" ht="18.75" customHeight="1">
      <c r="A246" s="871">
        <v>242</v>
      </c>
      <c r="B246" s="743" t="s">
        <v>777</v>
      </c>
      <c r="C246" s="873" t="s">
        <v>170</v>
      </c>
      <c r="G246" s="899"/>
      <c r="H246" s="1679"/>
      <c r="I246" s="878">
        <f>SUBTOTAL(103,$J$5:J246)</f>
        <v>242</v>
      </c>
      <c r="J246" s="404" t="s">
        <v>776</v>
      </c>
      <c r="K246" s="879" t="s">
        <v>2</v>
      </c>
    </row>
    <row r="247" spans="1:11" s="133" customFormat="1" ht="18.75" customHeight="1">
      <c r="A247" s="871">
        <v>243</v>
      </c>
      <c r="B247" s="743" t="s">
        <v>778</v>
      </c>
      <c r="C247" s="873" t="s">
        <v>2</v>
      </c>
      <c r="G247" s="899"/>
      <c r="H247" s="1679"/>
      <c r="I247" s="878">
        <f>SUBTOTAL(103,$J$5:J247)</f>
        <v>243</v>
      </c>
      <c r="J247" s="404" t="s">
        <v>777</v>
      </c>
      <c r="K247" s="879" t="s">
        <v>170</v>
      </c>
    </row>
    <row r="248" spans="1:11" s="133" customFormat="1" ht="18.75" customHeight="1">
      <c r="A248" s="871">
        <v>244</v>
      </c>
      <c r="B248" s="743" t="s">
        <v>779</v>
      </c>
      <c r="C248" s="873" t="s">
        <v>49</v>
      </c>
      <c r="G248" s="899"/>
      <c r="H248" s="1679"/>
      <c r="I248" s="878">
        <f>SUBTOTAL(103,$J$5:J248)</f>
        <v>244</v>
      </c>
      <c r="J248" s="404" t="s">
        <v>778</v>
      </c>
      <c r="K248" s="879" t="s">
        <v>2</v>
      </c>
    </row>
    <row r="249" spans="1:11" s="133" customFormat="1" ht="18.75" customHeight="1">
      <c r="A249" s="871">
        <v>245</v>
      </c>
      <c r="B249" s="743" t="s">
        <v>780</v>
      </c>
      <c r="C249" s="873" t="s">
        <v>2</v>
      </c>
      <c r="G249" s="899"/>
      <c r="H249" s="1679"/>
      <c r="I249" s="878">
        <f>SUBTOTAL(103,$J$5:J249)</f>
        <v>245</v>
      </c>
      <c r="J249" s="404" t="s">
        <v>779</v>
      </c>
      <c r="K249" s="879" t="s">
        <v>49</v>
      </c>
    </row>
    <row r="250" spans="1:11" s="133" customFormat="1" ht="18.75" customHeight="1">
      <c r="A250" s="871">
        <v>246</v>
      </c>
      <c r="B250" s="743" t="s">
        <v>781</v>
      </c>
      <c r="C250" s="873" t="s">
        <v>2</v>
      </c>
      <c r="G250" s="899"/>
      <c r="H250" s="1679"/>
      <c r="I250" s="878">
        <f>SUBTOTAL(103,$J$5:J250)</f>
        <v>246</v>
      </c>
      <c r="J250" s="404" t="s">
        <v>780</v>
      </c>
      <c r="K250" s="879" t="s">
        <v>2</v>
      </c>
    </row>
    <row r="251" spans="1:11" s="133" customFormat="1" ht="18.75" customHeight="1">
      <c r="A251" s="871">
        <v>247</v>
      </c>
      <c r="B251" s="743" t="s">
        <v>72</v>
      </c>
      <c r="C251" s="873" t="s">
        <v>226</v>
      </c>
      <c r="G251" s="899"/>
      <c r="H251" s="1679"/>
      <c r="I251" s="878">
        <f>SUBTOTAL(103,$J$5:J251)</f>
        <v>247</v>
      </c>
      <c r="J251" s="404" t="s">
        <v>781</v>
      </c>
      <c r="K251" s="879" t="s">
        <v>2</v>
      </c>
    </row>
    <row r="252" spans="1:11" s="133" customFormat="1" ht="18.75" customHeight="1">
      <c r="A252" s="871">
        <v>248</v>
      </c>
      <c r="B252" s="743" t="s">
        <v>607</v>
      </c>
      <c r="C252" s="873" t="s">
        <v>3</v>
      </c>
      <c r="G252" s="899"/>
      <c r="H252" s="1679"/>
      <c r="I252" s="878">
        <f>SUBTOTAL(103,$J$5:J252)</f>
        <v>248</v>
      </c>
      <c r="J252" s="404" t="s">
        <v>72</v>
      </c>
      <c r="K252" s="879" t="s">
        <v>226</v>
      </c>
    </row>
    <row r="253" spans="1:11" s="133" customFormat="1" ht="18.75" customHeight="1">
      <c r="A253" s="871">
        <v>249</v>
      </c>
      <c r="B253" s="743" t="s">
        <v>608</v>
      </c>
      <c r="C253" s="873" t="s">
        <v>3</v>
      </c>
      <c r="G253" s="899"/>
      <c r="H253" s="1679"/>
      <c r="I253" s="878">
        <f>SUBTOTAL(103,$J$5:J253)</f>
        <v>249</v>
      </c>
      <c r="J253" s="404" t="s">
        <v>607</v>
      </c>
      <c r="K253" s="879" t="s">
        <v>3</v>
      </c>
    </row>
    <row r="254" spans="1:11" s="133" customFormat="1" ht="18.75" customHeight="1">
      <c r="A254" s="871">
        <v>250</v>
      </c>
      <c r="B254" s="743" t="s">
        <v>609</v>
      </c>
      <c r="C254" s="873" t="s">
        <v>2</v>
      </c>
      <c r="G254" s="899"/>
      <c r="H254" s="1679"/>
      <c r="I254" s="878">
        <f>SUBTOTAL(103,$J$5:J254)</f>
        <v>250</v>
      </c>
      <c r="J254" s="404" t="s">
        <v>608</v>
      </c>
      <c r="K254" s="879" t="s">
        <v>3</v>
      </c>
    </row>
    <row r="255" spans="1:11" s="133" customFormat="1" ht="18.75" customHeight="1">
      <c r="A255" s="871">
        <v>251</v>
      </c>
      <c r="B255" s="743" t="s">
        <v>610</v>
      </c>
      <c r="C255" s="873" t="s">
        <v>170</v>
      </c>
      <c r="G255" s="899"/>
      <c r="H255" s="1679"/>
      <c r="I255" s="878">
        <f>SUBTOTAL(103,$J$5:J255)</f>
        <v>251</v>
      </c>
      <c r="J255" s="404" t="s">
        <v>609</v>
      </c>
      <c r="K255" s="879" t="s">
        <v>2</v>
      </c>
    </row>
    <row r="256" spans="1:11" s="133" customFormat="1" ht="18.75" customHeight="1">
      <c r="A256" s="871">
        <v>252</v>
      </c>
      <c r="B256" s="743" t="s">
        <v>611</v>
      </c>
      <c r="C256" s="873" t="s">
        <v>2</v>
      </c>
      <c r="G256" s="899"/>
      <c r="H256" s="1679"/>
      <c r="I256" s="878">
        <f>SUBTOTAL(103,$J$5:J256)</f>
        <v>252</v>
      </c>
      <c r="J256" s="404" t="s">
        <v>610</v>
      </c>
      <c r="K256" s="879" t="s">
        <v>170</v>
      </c>
    </row>
    <row r="257" spans="1:11" s="133" customFormat="1" ht="18.75" customHeight="1">
      <c r="A257" s="871">
        <v>253</v>
      </c>
      <c r="B257" s="743" t="s">
        <v>612</v>
      </c>
      <c r="C257" s="873" t="s">
        <v>79</v>
      </c>
      <c r="G257" s="899"/>
      <c r="H257" s="1679"/>
      <c r="I257" s="878">
        <f>SUBTOTAL(103,$J$5:J257)</f>
        <v>253</v>
      </c>
      <c r="J257" s="404" t="s">
        <v>611</v>
      </c>
      <c r="K257" s="879" t="s">
        <v>2</v>
      </c>
    </row>
    <row r="258" spans="1:11" s="133" customFormat="1" ht="18.75" customHeight="1">
      <c r="A258" s="871">
        <v>254</v>
      </c>
      <c r="B258" s="743" t="s">
        <v>613</v>
      </c>
      <c r="C258" s="873" t="s">
        <v>49</v>
      </c>
      <c r="G258" s="899"/>
      <c r="H258" s="1679"/>
      <c r="I258" s="878">
        <f>SUBTOTAL(103,$J$5:J258)</f>
        <v>254</v>
      </c>
      <c r="J258" s="404" t="s">
        <v>612</v>
      </c>
      <c r="K258" s="879" t="s">
        <v>79</v>
      </c>
    </row>
    <row r="259" spans="1:11" s="133" customFormat="1" ht="18.75" customHeight="1">
      <c r="A259" s="871">
        <v>255</v>
      </c>
      <c r="B259" s="743" t="s">
        <v>614</v>
      </c>
      <c r="C259" s="873" t="s">
        <v>170</v>
      </c>
      <c r="G259" s="899"/>
      <c r="H259" s="1679"/>
      <c r="I259" s="878">
        <f>SUBTOTAL(103,$J$5:J259)</f>
        <v>255</v>
      </c>
      <c r="J259" s="404" t="s">
        <v>613</v>
      </c>
      <c r="K259" s="879" t="s">
        <v>49</v>
      </c>
    </row>
    <row r="260" spans="1:11" s="133" customFormat="1" ht="18.75" customHeight="1">
      <c r="A260" s="871">
        <v>256</v>
      </c>
      <c r="B260" s="743" t="s">
        <v>615</v>
      </c>
      <c r="C260" s="873" t="s">
        <v>3</v>
      </c>
      <c r="G260" s="899"/>
      <c r="H260" s="1679"/>
      <c r="I260" s="878">
        <f>SUBTOTAL(103,$J$5:J260)</f>
        <v>256</v>
      </c>
      <c r="J260" s="404" t="s">
        <v>614</v>
      </c>
      <c r="K260" s="879" t="s">
        <v>170</v>
      </c>
    </row>
    <row r="261" spans="1:11" s="133" customFormat="1" ht="18.75" customHeight="1">
      <c r="A261" s="871">
        <v>257</v>
      </c>
      <c r="B261" s="743" t="s">
        <v>616</v>
      </c>
      <c r="C261" s="873" t="s">
        <v>2</v>
      </c>
      <c r="G261" s="899"/>
      <c r="H261" s="1679"/>
      <c r="I261" s="878">
        <f>SUBTOTAL(103,$J$5:J261)</f>
        <v>257</v>
      </c>
      <c r="J261" s="404" t="s">
        <v>615</v>
      </c>
      <c r="K261" s="879" t="s">
        <v>3</v>
      </c>
    </row>
    <row r="262" spans="1:11" s="133" customFormat="1" ht="18.75" customHeight="1">
      <c r="A262" s="871">
        <v>258</v>
      </c>
      <c r="B262" s="743" t="s">
        <v>73</v>
      </c>
      <c r="C262" s="873" t="s">
        <v>184</v>
      </c>
      <c r="G262" s="899"/>
      <c r="H262" s="1679"/>
      <c r="I262" s="878">
        <f>SUBTOTAL(103,$J$5:J262)</f>
        <v>258</v>
      </c>
      <c r="J262" s="404" t="s">
        <v>616</v>
      </c>
      <c r="K262" s="879" t="s">
        <v>2</v>
      </c>
    </row>
    <row r="263" spans="1:11" s="133" customFormat="1" ht="18.75" customHeight="1">
      <c r="A263" s="871">
        <v>259</v>
      </c>
      <c r="B263" s="743" t="s">
        <v>618</v>
      </c>
      <c r="C263" s="873" t="s">
        <v>154</v>
      </c>
      <c r="G263" s="899"/>
      <c r="H263" s="1679"/>
      <c r="I263" s="878">
        <f>SUBTOTAL(103,$J$5:J263)</f>
        <v>259</v>
      </c>
      <c r="J263" s="404" t="s">
        <v>73</v>
      </c>
      <c r="K263" s="879" t="s">
        <v>184</v>
      </c>
    </row>
    <row r="264" spans="1:11" s="133" customFormat="1" ht="18.75" customHeight="1">
      <c r="A264" s="871">
        <v>260</v>
      </c>
      <c r="B264" s="743" t="s">
        <v>619</v>
      </c>
      <c r="C264" s="873" t="s">
        <v>2</v>
      </c>
      <c r="G264" s="899"/>
      <c r="H264" s="1679"/>
      <c r="I264" s="878">
        <f>SUBTOTAL(103,$J$5:J264)</f>
        <v>260</v>
      </c>
      <c r="J264" s="404" t="s">
        <v>618</v>
      </c>
      <c r="K264" s="879" t="s">
        <v>154</v>
      </c>
    </row>
    <row r="265" spans="1:11" s="133" customFormat="1" ht="18.75" customHeight="1">
      <c r="A265" s="871">
        <v>261</v>
      </c>
      <c r="B265" s="743" t="s">
        <v>620</v>
      </c>
      <c r="C265" s="873" t="s">
        <v>170</v>
      </c>
      <c r="G265" s="899"/>
      <c r="H265" s="1679"/>
      <c r="I265" s="878">
        <f>SUBTOTAL(103,$J$5:J265)</f>
        <v>261</v>
      </c>
      <c r="J265" s="404" t="s">
        <v>619</v>
      </c>
      <c r="K265" s="879" t="s">
        <v>2</v>
      </c>
    </row>
    <row r="266" spans="1:11" s="133" customFormat="1" ht="18.75" customHeight="1">
      <c r="A266" s="871">
        <v>262</v>
      </c>
      <c r="B266" s="743" t="s">
        <v>621</v>
      </c>
      <c r="C266" s="873" t="s">
        <v>2</v>
      </c>
      <c r="G266" s="899"/>
      <c r="H266" s="1679"/>
      <c r="I266" s="878">
        <f>SUBTOTAL(103,$J$5:J266)</f>
        <v>262</v>
      </c>
      <c r="J266" s="404" t="s">
        <v>620</v>
      </c>
      <c r="K266" s="879" t="s">
        <v>170</v>
      </c>
    </row>
    <row r="267" spans="1:11" s="133" customFormat="1" ht="18.75" customHeight="1">
      <c r="A267" s="871">
        <v>263</v>
      </c>
      <c r="B267" s="743" t="s">
        <v>622</v>
      </c>
      <c r="C267" s="873" t="s">
        <v>170</v>
      </c>
      <c r="G267" s="899"/>
      <c r="H267" s="1679"/>
      <c r="I267" s="878">
        <f>SUBTOTAL(103,$J$5:J267)</f>
        <v>263</v>
      </c>
      <c r="J267" s="404" t="s">
        <v>621</v>
      </c>
      <c r="K267" s="879" t="s">
        <v>2</v>
      </c>
    </row>
    <row r="268" spans="1:11" s="133" customFormat="1" ht="18.75" customHeight="1">
      <c r="A268" s="871">
        <v>264</v>
      </c>
      <c r="B268" s="743" t="s">
        <v>623</v>
      </c>
      <c r="C268" s="873" t="s">
        <v>170</v>
      </c>
      <c r="G268" s="899"/>
      <c r="H268" s="1679"/>
      <c r="I268" s="878">
        <f>SUBTOTAL(103,$J$5:J268)</f>
        <v>264</v>
      </c>
      <c r="J268" s="404" t="s">
        <v>622</v>
      </c>
      <c r="K268" s="879" t="s">
        <v>170</v>
      </c>
    </row>
    <row r="269" spans="1:11" s="133" customFormat="1" ht="18.75" customHeight="1">
      <c r="A269" s="871">
        <v>265</v>
      </c>
      <c r="B269" s="743" t="s">
        <v>624</v>
      </c>
      <c r="C269" s="873" t="s">
        <v>2</v>
      </c>
      <c r="G269" s="899"/>
      <c r="H269" s="1679"/>
      <c r="I269" s="878">
        <f>SUBTOTAL(103,$J$5:J269)</f>
        <v>265</v>
      </c>
      <c r="J269" s="404" t="s">
        <v>623</v>
      </c>
      <c r="K269" s="879" t="s">
        <v>170</v>
      </c>
    </row>
    <row r="270" spans="1:11" s="133" customFormat="1" ht="18.75" customHeight="1">
      <c r="A270" s="871">
        <v>266</v>
      </c>
      <c r="B270" s="743" t="s">
        <v>625</v>
      </c>
      <c r="C270" s="873" t="s">
        <v>170</v>
      </c>
      <c r="G270" s="899"/>
      <c r="H270" s="1679"/>
      <c r="I270" s="878">
        <f>SUBTOTAL(103,$J$5:J270)</f>
        <v>266</v>
      </c>
      <c r="J270" s="404" t="s">
        <v>624</v>
      </c>
      <c r="K270" s="879" t="s">
        <v>2</v>
      </c>
    </row>
    <row r="271" spans="1:11" s="133" customFormat="1" ht="18.75" customHeight="1">
      <c r="A271" s="871">
        <v>267</v>
      </c>
      <c r="B271" s="743" t="s">
        <v>626</v>
      </c>
      <c r="C271" s="873" t="s">
        <v>79</v>
      </c>
      <c r="G271" s="899"/>
      <c r="H271" s="1679"/>
      <c r="I271" s="878">
        <f>SUBTOTAL(103,$J$5:J271)</f>
        <v>267</v>
      </c>
      <c r="J271" s="404" t="s">
        <v>625</v>
      </c>
      <c r="K271" s="879" t="s">
        <v>170</v>
      </c>
    </row>
    <row r="272" spans="1:11" s="133" customFormat="1" ht="18.75" customHeight="1">
      <c r="A272" s="871">
        <v>268</v>
      </c>
      <c r="B272" s="743" t="s">
        <v>627</v>
      </c>
      <c r="C272" s="873" t="s">
        <v>2</v>
      </c>
      <c r="G272" s="899"/>
      <c r="H272" s="1679"/>
      <c r="I272" s="878">
        <f>SUBTOTAL(103,$J$5:J272)</f>
        <v>268</v>
      </c>
      <c r="J272" s="404" t="s">
        <v>626</v>
      </c>
      <c r="K272" s="879" t="s">
        <v>79</v>
      </c>
    </row>
    <row r="273" spans="1:11" s="133" customFormat="1" ht="18.75" customHeight="1">
      <c r="A273" s="871">
        <v>269</v>
      </c>
      <c r="B273" s="743" t="s">
        <v>628</v>
      </c>
      <c r="C273" s="873" t="s">
        <v>79</v>
      </c>
      <c r="G273" s="899"/>
      <c r="H273" s="1679"/>
      <c r="I273" s="878">
        <f>SUBTOTAL(103,$J$5:J273)</f>
        <v>269</v>
      </c>
      <c r="J273" s="404" t="s">
        <v>627</v>
      </c>
      <c r="K273" s="879" t="s">
        <v>2</v>
      </c>
    </row>
    <row r="274" spans="1:11" s="133" customFormat="1" ht="18.75" customHeight="1">
      <c r="A274" s="871">
        <v>270</v>
      </c>
      <c r="B274" s="743" t="s">
        <v>74</v>
      </c>
      <c r="C274" s="873" t="s">
        <v>227</v>
      </c>
      <c r="G274" s="899"/>
      <c r="H274" s="1679"/>
      <c r="I274" s="878">
        <f>SUBTOTAL(103,$J$5:J274)</f>
        <v>270</v>
      </c>
      <c r="J274" s="404" t="s">
        <v>628</v>
      </c>
      <c r="K274" s="879" t="s">
        <v>79</v>
      </c>
    </row>
    <row r="275" spans="1:11" s="133" customFormat="1" ht="18.75" customHeight="1">
      <c r="A275" s="871">
        <v>271</v>
      </c>
      <c r="B275" s="743" t="s">
        <v>206</v>
      </c>
      <c r="C275" s="873" t="s">
        <v>49</v>
      </c>
      <c r="G275" s="899"/>
      <c r="H275" s="1679"/>
      <c r="I275" s="878">
        <f>SUBTOTAL(103,$J$5:J275)</f>
        <v>271</v>
      </c>
      <c r="J275" s="404" t="s">
        <v>74</v>
      </c>
      <c r="K275" s="879" t="s">
        <v>227</v>
      </c>
    </row>
    <row r="276" spans="1:11" s="133" customFormat="1" ht="18.75" customHeight="1">
      <c r="A276" s="871">
        <v>272</v>
      </c>
      <c r="B276" s="743" t="s">
        <v>207</v>
      </c>
      <c r="C276" s="873" t="s">
        <v>79</v>
      </c>
      <c r="G276" s="899"/>
      <c r="H276" s="1679"/>
      <c r="I276" s="878">
        <f>SUBTOTAL(103,$J$5:J276)</f>
        <v>272</v>
      </c>
      <c r="J276" s="404" t="s">
        <v>206</v>
      </c>
      <c r="K276" s="879" t="s">
        <v>49</v>
      </c>
    </row>
    <row r="277" spans="1:11" s="133" customFormat="1" ht="18.75" customHeight="1">
      <c r="A277" s="871">
        <v>273</v>
      </c>
      <c r="B277" s="743" t="s">
        <v>5</v>
      </c>
      <c r="C277" s="873" t="s">
        <v>2</v>
      </c>
      <c r="G277" s="899"/>
      <c r="H277" s="1679"/>
      <c r="I277" s="878">
        <f>SUBTOTAL(103,$J$5:J277)</f>
        <v>273</v>
      </c>
      <c r="J277" s="404" t="s">
        <v>207</v>
      </c>
      <c r="K277" s="879" t="s">
        <v>79</v>
      </c>
    </row>
    <row r="278" spans="1:11" s="133" customFormat="1" ht="18.75" customHeight="1">
      <c r="A278" s="871">
        <v>274</v>
      </c>
      <c r="B278" s="743" t="s">
        <v>6</v>
      </c>
      <c r="C278" s="873" t="s">
        <v>79</v>
      </c>
      <c r="G278" s="899"/>
      <c r="H278" s="1679"/>
      <c r="I278" s="878">
        <f>SUBTOTAL(103,$J$5:J278)</f>
        <v>274</v>
      </c>
      <c r="J278" s="404" t="s">
        <v>5</v>
      </c>
      <c r="K278" s="879" t="s">
        <v>2</v>
      </c>
    </row>
    <row r="279" spans="1:11" s="133" customFormat="1" ht="18.75" customHeight="1">
      <c r="A279" s="871">
        <v>275</v>
      </c>
      <c r="B279" s="743" t="s">
        <v>630</v>
      </c>
      <c r="C279" s="873" t="s">
        <v>49</v>
      </c>
      <c r="G279" s="899"/>
      <c r="H279" s="1679"/>
      <c r="I279" s="878">
        <f>SUBTOTAL(103,$J$5:J279)</f>
        <v>275</v>
      </c>
      <c r="J279" s="404" t="s">
        <v>6</v>
      </c>
      <c r="K279" s="879" t="s">
        <v>79</v>
      </c>
    </row>
    <row r="280" spans="1:11" s="133" customFormat="1" ht="18.75" customHeight="1">
      <c r="A280" s="871">
        <v>276</v>
      </c>
      <c r="B280" s="743" t="s">
        <v>631</v>
      </c>
      <c r="C280" s="873" t="s">
        <v>49</v>
      </c>
      <c r="G280" s="899"/>
      <c r="H280" s="1679"/>
      <c r="I280" s="878">
        <f>SUBTOTAL(103,$J$5:J280)</f>
        <v>276</v>
      </c>
      <c r="J280" s="404" t="s">
        <v>630</v>
      </c>
      <c r="K280" s="879" t="s">
        <v>49</v>
      </c>
    </row>
    <row r="281" spans="1:11" s="133" customFormat="1" ht="18.75" customHeight="1">
      <c r="A281" s="871">
        <v>277</v>
      </c>
      <c r="B281" s="743" t="s">
        <v>632</v>
      </c>
      <c r="C281" s="873" t="s">
        <v>2</v>
      </c>
      <c r="G281" s="899"/>
      <c r="H281" s="1679"/>
      <c r="I281" s="878">
        <f>SUBTOTAL(103,$J$5:J281)</f>
        <v>277</v>
      </c>
      <c r="J281" s="404" t="s">
        <v>631</v>
      </c>
      <c r="K281" s="879" t="s">
        <v>49</v>
      </c>
    </row>
    <row r="282" spans="1:11" s="133" customFormat="1" ht="18.75" customHeight="1">
      <c r="A282" s="871">
        <v>278</v>
      </c>
      <c r="B282" s="743" t="s">
        <v>633</v>
      </c>
      <c r="C282" s="873" t="s">
        <v>154</v>
      </c>
      <c r="G282" s="899"/>
      <c r="H282" s="1679"/>
      <c r="I282" s="878">
        <f>SUBTOTAL(103,$J$5:J282)</f>
        <v>278</v>
      </c>
      <c r="J282" s="404" t="s">
        <v>632</v>
      </c>
      <c r="K282" s="879" t="s">
        <v>2</v>
      </c>
    </row>
    <row r="283" spans="1:11" s="133" customFormat="1" ht="18.75" customHeight="1">
      <c r="A283" s="871">
        <v>279</v>
      </c>
      <c r="B283" s="743" t="s">
        <v>634</v>
      </c>
      <c r="C283" s="873" t="s">
        <v>49</v>
      </c>
      <c r="G283" s="899"/>
      <c r="H283" s="1679"/>
      <c r="I283" s="878">
        <f>SUBTOTAL(103,$J$5:J283)</f>
        <v>279</v>
      </c>
      <c r="J283" s="404" t="s">
        <v>633</v>
      </c>
      <c r="K283" s="879" t="s">
        <v>154</v>
      </c>
    </row>
    <row r="284" spans="1:11" s="133" customFormat="1" ht="18.75" customHeight="1">
      <c r="A284" s="871">
        <v>280</v>
      </c>
      <c r="B284" s="743" t="s">
        <v>635</v>
      </c>
      <c r="C284" s="873" t="s">
        <v>2</v>
      </c>
      <c r="G284" s="899"/>
      <c r="H284" s="1679"/>
      <c r="I284" s="878">
        <f>SUBTOTAL(103,$J$5:J284)</f>
        <v>280</v>
      </c>
      <c r="J284" s="404" t="s">
        <v>634</v>
      </c>
      <c r="K284" s="879" t="s">
        <v>49</v>
      </c>
    </row>
    <row r="285" spans="1:11" s="133" customFormat="1" ht="18.75" customHeight="1">
      <c r="A285" s="871">
        <v>281</v>
      </c>
      <c r="B285" s="743" t="s">
        <v>636</v>
      </c>
      <c r="C285" s="873" t="s">
        <v>49</v>
      </c>
      <c r="G285" s="899"/>
      <c r="H285" s="1679"/>
      <c r="I285" s="878">
        <f>SUBTOTAL(103,$J$5:J285)</f>
        <v>281</v>
      </c>
      <c r="J285" s="404" t="s">
        <v>635</v>
      </c>
      <c r="K285" s="879" t="s">
        <v>2</v>
      </c>
    </row>
    <row r="286" spans="1:11" s="133" customFormat="1" ht="18.75" customHeight="1">
      <c r="A286" s="871">
        <v>282</v>
      </c>
      <c r="B286" s="743" t="s">
        <v>638</v>
      </c>
      <c r="C286" s="873" t="s">
        <v>211</v>
      </c>
      <c r="G286" s="899"/>
      <c r="H286" s="1679"/>
      <c r="I286" s="878">
        <f>SUBTOTAL(103,$J$5:J286)</f>
        <v>282</v>
      </c>
      <c r="J286" s="404" t="s">
        <v>636</v>
      </c>
      <c r="K286" s="879" t="s">
        <v>49</v>
      </c>
    </row>
    <row r="287" spans="1:11" s="647" customFormat="1" ht="18.75" customHeight="1">
      <c r="A287" s="871">
        <v>283</v>
      </c>
      <c r="B287" s="743" t="s">
        <v>75</v>
      </c>
      <c r="C287" s="873" t="s">
        <v>211</v>
      </c>
      <c r="G287" s="900"/>
      <c r="H287" s="1679"/>
      <c r="I287" s="878">
        <f>SUBTOTAL(103,$J$5:J287)</f>
        <v>283</v>
      </c>
      <c r="J287" s="404" t="s">
        <v>638</v>
      </c>
      <c r="K287" s="879" t="s">
        <v>211</v>
      </c>
    </row>
    <row r="288" spans="1:11" s="133" customFormat="1" ht="18.75" customHeight="1">
      <c r="A288" s="871">
        <v>284</v>
      </c>
      <c r="B288" s="743" t="s">
        <v>76</v>
      </c>
      <c r="C288" s="873" t="s">
        <v>49</v>
      </c>
      <c r="G288" s="899"/>
      <c r="H288" s="1679"/>
      <c r="I288" s="878">
        <f>SUBTOTAL(103,$J$5:J288)</f>
        <v>284</v>
      </c>
      <c r="J288" s="404" t="s">
        <v>75</v>
      </c>
      <c r="K288" s="879" t="s">
        <v>211</v>
      </c>
    </row>
    <row r="289" spans="1:12" s="133" customFormat="1" ht="18.75" customHeight="1">
      <c r="A289" s="871">
        <v>285</v>
      </c>
      <c r="B289" s="743" t="s">
        <v>77</v>
      </c>
      <c r="C289" s="873" t="s">
        <v>184</v>
      </c>
      <c r="G289" s="899"/>
      <c r="H289" s="1679"/>
      <c r="I289" s="878">
        <f>SUBTOTAL(103,$J$5:J289)</f>
        <v>285</v>
      </c>
      <c r="J289" s="404" t="s">
        <v>76</v>
      </c>
      <c r="K289" s="879" t="s">
        <v>49</v>
      </c>
    </row>
    <row r="290" spans="1:12" s="133" customFormat="1" ht="18.75" customHeight="1">
      <c r="A290" s="871">
        <v>286</v>
      </c>
      <c r="B290" s="743" t="s">
        <v>171</v>
      </c>
      <c r="C290" s="873" t="s">
        <v>2</v>
      </c>
      <c r="G290" s="899"/>
      <c r="H290" s="1679"/>
      <c r="I290" s="878">
        <f>SUBTOTAL(103,$J$5:J290)</f>
        <v>286</v>
      </c>
      <c r="J290" s="404" t="s">
        <v>77</v>
      </c>
      <c r="K290" s="879" t="s">
        <v>184</v>
      </c>
    </row>
    <row r="291" spans="1:12" s="133" customFormat="1" ht="18.75" customHeight="1">
      <c r="A291" s="871">
        <v>287</v>
      </c>
      <c r="B291" s="743" t="s">
        <v>172</v>
      </c>
      <c r="C291" s="873" t="s">
        <v>49</v>
      </c>
      <c r="G291" s="899"/>
      <c r="H291" s="1679"/>
      <c r="I291" s="878">
        <f>SUBTOTAL(103,$J$5:J291)</f>
        <v>287</v>
      </c>
      <c r="J291" s="404" t="s">
        <v>171</v>
      </c>
      <c r="K291" s="879" t="s">
        <v>2</v>
      </c>
    </row>
    <row r="292" spans="1:12" s="133" customFormat="1" ht="18.75" customHeight="1">
      <c r="A292" s="871">
        <v>288</v>
      </c>
      <c r="B292" s="743" t="s">
        <v>169</v>
      </c>
      <c r="C292" s="873" t="s">
        <v>211</v>
      </c>
      <c r="G292" s="899"/>
      <c r="H292" s="1679"/>
      <c r="I292" s="878">
        <f>SUBTOTAL(103,$J$5:J292)</f>
        <v>288</v>
      </c>
      <c r="J292" s="404" t="s">
        <v>172</v>
      </c>
      <c r="K292" s="879" t="s">
        <v>49</v>
      </c>
    </row>
    <row r="293" spans="1:12" s="133" customFormat="1" ht="18.75" customHeight="1">
      <c r="A293" s="871">
        <v>289</v>
      </c>
      <c r="B293" s="743" t="s">
        <v>78</v>
      </c>
      <c r="C293" s="873" t="s">
        <v>197</v>
      </c>
      <c r="G293" s="899"/>
      <c r="H293" s="1679"/>
      <c r="I293" s="878">
        <f>SUBTOTAL(103,$J$5:J293)</f>
        <v>289</v>
      </c>
      <c r="J293" s="404" t="s">
        <v>1784</v>
      </c>
      <c r="K293" s="879" t="s">
        <v>211</v>
      </c>
    </row>
    <row r="294" spans="1:12" s="133" customFormat="1" ht="18.75" customHeight="1">
      <c r="A294" s="871">
        <v>290</v>
      </c>
      <c r="B294" s="743" t="s">
        <v>642</v>
      </c>
      <c r="C294" s="873" t="s">
        <v>154</v>
      </c>
      <c r="G294" s="899"/>
      <c r="H294" s="1679"/>
      <c r="I294" s="878">
        <f>SUBTOTAL(103,$J$5:J294)</f>
        <v>290</v>
      </c>
      <c r="J294" s="404" t="s">
        <v>78</v>
      </c>
      <c r="K294" s="879" t="s">
        <v>197</v>
      </c>
    </row>
    <row r="295" spans="1:12" s="133" customFormat="1" ht="18.75" customHeight="1">
      <c r="A295" s="871">
        <v>291</v>
      </c>
      <c r="B295" s="743" t="s">
        <v>643</v>
      </c>
      <c r="C295" s="873" t="s">
        <v>79</v>
      </c>
      <c r="G295" s="899"/>
      <c r="H295" s="1679"/>
      <c r="I295" s="878">
        <f>SUBTOTAL(103,$J$5:J295)</f>
        <v>291</v>
      </c>
      <c r="J295" s="404" t="s">
        <v>642</v>
      </c>
      <c r="K295" s="879" t="s">
        <v>154</v>
      </c>
    </row>
    <row r="296" spans="1:12" s="133" customFormat="1" ht="18.75" customHeight="1">
      <c r="A296" s="871">
        <v>292</v>
      </c>
      <c r="B296" s="743" t="s">
        <v>644</v>
      </c>
      <c r="C296" s="873" t="s">
        <v>154</v>
      </c>
      <c r="G296" s="899"/>
      <c r="H296" s="1679"/>
      <c r="I296" s="878">
        <f>SUBTOTAL(103,$J$5:J296)</f>
        <v>292</v>
      </c>
      <c r="J296" s="404" t="s">
        <v>643</v>
      </c>
      <c r="K296" s="879" t="s">
        <v>79</v>
      </c>
    </row>
    <row r="297" spans="1:12" s="647" customFormat="1" ht="18.75" customHeight="1">
      <c r="A297" s="871">
        <v>293</v>
      </c>
      <c r="B297" s="743" t="s">
        <v>645</v>
      </c>
      <c r="C297" s="873" t="s">
        <v>3</v>
      </c>
      <c r="G297" s="900"/>
      <c r="H297" s="1679"/>
      <c r="I297" s="878">
        <f>SUBTOTAL(103,$J$5:J297)</f>
        <v>293</v>
      </c>
      <c r="J297" s="404" t="s">
        <v>644</v>
      </c>
      <c r="K297" s="879" t="s">
        <v>154</v>
      </c>
    </row>
    <row r="298" spans="1:12" s="133" customFormat="1" ht="18.75" customHeight="1">
      <c r="A298" s="871">
        <v>294</v>
      </c>
      <c r="B298" s="865" t="s">
        <v>646</v>
      </c>
      <c r="C298" s="875" t="s">
        <v>173</v>
      </c>
      <c r="G298" s="899"/>
      <c r="H298" s="1679"/>
      <c r="I298" s="878">
        <f>SUBTOTAL(103,$J$5:J298)</f>
        <v>294</v>
      </c>
      <c r="J298" s="404" t="s">
        <v>645</v>
      </c>
      <c r="K298" s="879" t="s">
        <v>3</v>
      </c>
    </row>
    <row r="299" spans="1:12" s="133" customFormat="1" ht="18.75" customHeight="1">
      <c r="A299" s="871">
        <v>295</v>
      </c>
      <c r="B299" s="743" t="s">
        <v>647</v>
      </c>
      <c r="C299" s="873" t="s">
        <v>2</v>
      </c>
      <c r="G299" s="899"/>
      <c r="H299" s="1679"/>
      <c r="I299" s="878">
        <f>SUBTOTAL(103,$J$5:J299)</f>
        <v>295</v>
      </c>
      <c r="J299" s="404" t="s">
        <v>1785</v>
      </c>
      <c r="K299" s="879" t="s">
        <v>173</v>
      </c>
      <c r="L299" s="133" t="s">
        <v>1225</v>
      </c>
    </row>
    <row r="300" spans="1:12" s="133" customFormat="1" ht="18.75" customHeight="1">
      <c r="A300" s="871">
        <v>296</v>
      </c>
      <c r="B300" s="743" t="s">
        <v>648</v>
      </c>
      <c r="C300" s="873" t="s">
        <v>3</v>
      </c>
      <c r="G300" s="899"/>
      <c r="H300" s="1679"/>
      <c r="I300" s="878">
        <f>SUBTOTAL(103,$J$5:J300)</f>
        <v>296</v>
      </c>
      <c r="J300" s="404" t="s">
        <v>647</v>
      </c>
      <c r="K300" s="879" t="s">
        <v>2</v>
      </c>
    </row>
    <row r="301" spans="1:12" s="133" customFormat="1" ht="18.75" customHeight="1">
      <c r="A301" s="871">
        <v>297</v>
      </c>
      <c r="B301" s="743" t="s">
        <v>649</v>
      </c>
      <c r="C301" s="873" t="s">
        <v>49</v>
      </c>
      <c r="G301" s="899"/>
      <c r="H301" s="1679"/>
      <c r="I301" s="878">
        <f>SUBTOTAL(103,$J$5:J301)</f>
        <v>297</v>
      </c>
      <c r="J301" s="404" t="s">
        <v>648</v>
      </c>
      <c r="K301" s="879" t="s">
        <v>3</v>
      </c>
    </row>
    <row r="302" spans="1:12" s="133" customFormat="1" ht="18.75" customHeight="1" thickBot="1">
      <c r="A302" s="871">
        <v>298</v>
      </c>
      <c r="B302" s="876" t="s">
        <v>7</v>
      </c>
      <c r="C302" s="877" t="s">
        <v>227</v>
      </c>
      <c r="G302" s="899"/>
      <c r="H302" s="1679"/>
      <c r="I302" s="878">
        <f>SUBTOTAL(103,$J$5:J302)</f>
        <v>298</v>
      </c>
      <c r="J302" s="404" t="s">
        <v>649</v>
      </c>
      <c r="K302" s="879" t="s">
        <v>49</v>
      </c>
    </row>
    <row r="303" spans="1:12" s="133" customFormat="1" ht="18.75" customHeight="1">
      <c r="A303" s="862"/>
      <c r="G303" s="899"/>
      <c r="H303" s="1679"/>
      <c r="I303" s="878">
        <f>SUBTOTAL(103,$J$5:J303)</f>
        <v>299</v>
      </c>
      <c r="J303" s="404" t="s">
        <v>7</v>
      </c>
      <c r="K303" s="879" t="s">
        <v>227</v>
      </c>
    </row>
    <row r="304" spans="1:12" s="132" customFormat="1" ht="18.75" customHeight="1">
      <c r="A304" s="906"/>
      <c r="G304" s="901"/>
      <c r="H304" s="1679"/>
      <c r="I304" s="883">
        <f>SUBTOTAL(103,$J$5:J304)</f>
        <v>300</v>
      </c>
      <c r="J304" s="404" t="s">
        <v>1238</v>
      </c>
      <c r="K304" s="879" t="s">
        <v>2</v>
      </c>
    </row>
    <row r="305" spans="1:12" s="132" customFormat="1" ht="18.75" customHeight="1">
      <c r="A305" s="906"/>
      <c r="G305" s="901"/>
      <c r="H305" s="1679"/>
      <c r="I305" s="883">
        <f>SUBTOTAL(103,$J$5:J305)</f>
        <v>301</v>
      </c>
      <c r="J305" s="404" t="s">
        <v>1240</v>
      </c>
      <c r="K305" s="879" t="s">
        <v>2</v>
      </c>
    </row>
    <row r="306" spans="1:12" s="132" customFormat="1" ht="18.75" customHeight="1">
      <c r="A306" s="906"/>
      <c r="G306" s="901"/>
      <c r="H306" s="1679"/>
      <c r="I306" s="883">
        <f>SUBTOTAL(103,$J$5:J306)</f>
        <v>302</v>
      </c>
      <c r="J306" s="404" t="s">
        <v>1241</v>
      </c>
      <c r="K306" s="879" t="s">
        <v>2</v>
      </c>
    </row>
    <row r="307" spans="1:12" s="132" customFormat="1" ht="18.75" customHeight="1">
      <c r="A307" s="906"/>
      <c r="G307" s="901"/>
      <c r="H307" s="1679"/>
      <c r="I307" s="883">
        <f>SUBTOTAL(103,$J$5:J307)</f>
        <v>303</v>
      </c>
      <c r="J307" s="404" t="s">
        <v>1242</v>
      </c>
      <c r="K307" s="879" t="s">
        <v>3</v>
      </c>
    </row>
    <row r="308" spans="1:12" s="132" customFormat="1" ht="18.75" customHeight="1">
      <c r="A308" s="906"/>
      <c r="G308" s="901"/>
      <c r="H308" s="1679"/>
      <c r="I308" s="883">
        <f>SUBTOTAL(103,$J$5:J308)</f>
        <v>304</v>
      </c>
      <c r="J308" s="404" t="s">
        <v>1243</v>
      </c>
      <c r="K308" s="879" t="s">
        <v>3</v>
      </c>
    </row>
    <row r="309" spans="1:12" s="132" customFormat="1" ht="18.75" customHeight="1">
      <c r="A309" s="906"/>
      <c r="G309" s="901"/>
      <c r="H309" s="1679"/>
      <c r="I309" s="883">
        <f>SUBTOTAL(103,$J$5:J309)</f>
        <v>305</v>
      </c>
      <c r="J309" s="404" t="s">
        <v>1244</v>
      </c>
      <c r="K309" s="879" t="s">
        <v>211</v>
      </c>
    </row>
    <row r="310" spans="1:12" s="132" customFormat="1" ht="18.75" customHeight="1" thickBot="1">
      <c r="A310" s="907"/>
      <c r="B310" s="902"/>
      <c r="C310" s="902"/>
      <c r="D310" s="902"/>
      <c r="E310" s="902"/>
      <c r="F310" s="902"/>
      <c r="G310" s="903"/>
      <c r="H310" s="1680"/>
      <c r="I310" s="884">
        <f>SUBTOTAL(103,$J$5:J310)</f>
        <v>306</v>
      </c>
      <c r="J310" s="885" t="s">
        <v>1245</v>
      </c>
      <c r="K310" s="886" t="s">
        <v>401</v>
      </c>
      <c r="L310" s="902"/>
    </row>
    <row r="312" spans="1:12">
      <c r="J312" s="855"/>
    </row>
    <row r="313" spans="1:12">
      <c r="J313" s="855"/>
    </row>
    <row r="314" spans="1:12">
      <c r="J314" s="855"/>
    </row>
  </sheetData>
  <autoFilter ref="I3:K309" xr:uid="{3E47E529-5BE9-4B2E-8A21-97BE8ECE68B5}"/>
  <mergeCells count="28">
    <mergeCell ref="P26:P27"/>
    <mergeCell ref="P28:P33"/>
    <mergeCell ref="I1:P1"/>
    <mergeCell ref="P4:P11"/>
    <mergeCell ref="P12:P16"/>
    <mergeCell ref="P17:P20"/>
    <mergeCell ref="P21:P22"/>
    <mergeCell ref="P23:P25"/>
    <mergeCell ref="O12:O16"/>
    <mergeCell ref="O17:O20"/>
    <mergeCell ref="O21:O22"/>
    <mergeCell ref="O23:O25"/>
    <mergeCell ref="O26:O27"/>
    <mergeCell ref="O28:O33"/>
    <mergeCell ref="O4:O11"/>
    <mergeCell ref="H1:H310"/>
    <mergeCell ref="A1:G1"/>
    <mergeCell ref="E34:F34"/>
    <mergeCell ref="M34:N34"/>
    <mergeCell ref="A2:A3"/>
    <mergeCell ref="I2:I3"/>
    <mergeCell ref="G28:G33"/>
    <mergeCell ref="E2:G2"/>
    <mergeCell ref="G12:G16"/>
    <mergeCell ref="G17:G20"/>
    <mergeCell ref="G21:G22"/>
    <mergeCell ref="G23:G25"/>
    <mergeCell ref="G4:G11"/>
  </mergeCells>
  <conditionalFormatting sqref="B2:B3">
    <cfRule type="duplicateValues" dxfId="48" priority="3"/>
  </conditionalFormatting>
  <conditionalFormatting sqref="B4:B302">
    <cfRule type="duplicateValues" dxfId="47" priority="4"/>
    <cfRule type="duplicateValues" dxfId="46" priority="5"/>
  </conditionalFormatting>
  <conditionalFormatting sqref="E4:E25 E27:E33">
    <cfRule type="duplicateValues" dxfId="45" priority="2"/>
  </conditionalFormatting>
  <conditionalFormatting sqref="E26">
    <cfRule type="duplicateValues" dxfId="44" priority="1"/>
  </conditionalFormatting>
  <conditionalFormatting sqref="J2:J1048576">
    <cfRule type="duplicateValues" dxfId="43" priority="6"/>
  </conditionalFormatting>
  <conditionalFormatting sqref="J299">
    <cfRule type="duplicateValues" dxfId="42" priority="16"/>
    <cfRule type="duplicateValues" dxfId="41" priority="17"/>
    <cfRule type="duplicateValues" dxfId="40" priority="18"/>
    <cfRule type="duplicateValues" dxfId="39" priority="19"/>
  </conditionalFormatting>
  <conditionalFormatting sqref="J311">
    <cfRule type="duplicateValues" dxfId="38" priority="1107"/>
    <cfRule type="duplicateValues" dxfId="37" priority="1108"/>
  </conditionalFormatting>
  <conditionalFormatting sqref="J311:J1048576 J4:J18 J20:J286 J288:J298 J300:J303">
    <cfRule type="duplicateValues" dxfId="36" priority="1112"/>
    <cfRule type="duplicateValues" dxfId="35" priority="1113"/>
  </conditionalFormatting>
  <printOptions horizontalCentered="1"/>
  <pageMargins left="0.47244094488188981" right="0.15748031496062992" top="0.51181102362204722" bottom="0.74803149606299213" header="0.31496062992125984" footer="0.31496062992125984"/>
  <pageSetup paperSize="9" scale="46" fitToHeight="0" orientation="portrait" r:id="rId1"/>
  <rowBreaks count="3" manualBreakCount="3">
    <brk id="79" max="15" man="1"/>
    <brk id="156" max="15" man="1"/>
    <brk id="224" max="15" man="1"/>
  </rowBreaks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55059-0E0E-4D90-96F2-C8F9C46281D6}">
  <sheetPr codeName="Sheet24">
    <tabColor rgb="FFFF0000"/>
    <pageSetUpPr fitToPage="1"/>
  </sheetPr>
  <dimension ref="A1:O1279"/>
  <sheetViews>
    <sheetView view="pageBreakPreview" zoomScale="78" zoomScaleNormal="100" zoomScaleSheetLayoutView="96" workbookViewId="0">
      <pane ySplit="5" topLeftCell="A15" activePane="bottomLeft" state="frozen"/>
      <selection activeCell="F1276" sqref="F1276"/>
      <selection pane="bottomLeft" activeCell="B19" sqref="B19:C19"/>
    </sheetView>
  </sheetViews>
  <sheetFormatPr defaultColWidth="9.1796875" defaultRowHeight="14.5"/>
  <cols>
    <col min="1" max="1" width="8.81640625" style="34" customWidth="1"/>
    <col min="2" max="2" width="17" style="34" customWidth="1"/>
    <col min="3" max="3" width="19" style="34" customWidth="1"/>
    <col min="4" max="4" width="28.1796875" style="34" customWidth="1"/>
    <col min="5" max="5" width="20.54296875" style="34" customWidth="1"/>
    <col min="6" max="6" width="32.54296875" style="34" customWidth="1"/>
    <col min="7" max="7" width="36.54296875" style="34" bestFit="1" customWidth="1"/>
    <col min="8" max="8" width="14.453125" style="34" hidden="1" customWidth="1"/>
    <col min="9" max="9" width="52.54296875" style="34" customWidth="1"/>
    <col min="10" max="11" width="9.1796875" style="34"/>
    <col min="12" max="12" width="12.453125" style="34" bestFit="1" customWidth="1"/>
    <col min="13" max="16384" width="9.1796875" style="34"/>
  </cols>
  <sheetData>
    <row r="1" spans="1:12" ht="18" customHeight="1">
      <c r="A1" s="1700" t="s">
        <v>1023</v>
      </c>
      <c r="B1" s="1700"/>
      <c r="C1" s="1700"/>
      <c r="D1" s="1700"/>
      <c r="E1" s="1700"/>
      <c r="F1" s="1700"/>
      <c r="G1" s="1700"/>
      <c r="H1" s="1700"/>
      <c r="I1" s="1700"/>
    </row>
    <row r="2" spans="1:12" ht="18" customHeight="1">
      <c r="A2" s="1700" t="s">
        <v>1024</v>
      </c>
      <c r="B2" s="1700"/>
      <c r="C2" s="1700"/>
      <c r="D2" s="1700"/>
      <c r="E2" s="1700"/>
      <c r="F2" s="1700"/>
      <c r="G2" s="1700"/>
      <c r="H2" s="1700"/>
      <c r="I2" s="1700"/>
    </row>
    <row r="3" spans="1:12" ht="18" customHeight="1">
      <c r="A3" s="1700" t="s">
        <v>1025</v>
      </c>
      <c r="B3" s="1700"/>
      <c r="C3" s="1700"/>
      <c r="D3" s="1700"/>
      <c r="E3" s="1700"/>
      <c r="F3" s="1700"/>
      <c r="G3" s="1700"/>
      <c r="H3" s="1700"/>
      <c r="I3" s="1700"/>
    </row>
    <row r="4" spans="1:12" ht="20.25" customHeight="1">
      <c r="A4" s="1701" t="s">
        <v>1026</v>
      </c>
      <c r="B4" s="1701"/>
      <c r="C4" s="1701"/>
      <c r="D4" s="1701"/>
      <c r="E4" s="1701"/>
      <c r="F4" s="1701"/>
      <c r="G4" s="1701"/>
      <c r="H4" s="1701"/>
      <c r="I4" s="1701"/>
    </row>
    <row r="5" spans="1:12" ht="30" customHeight="1">
      <c r="A5" s="527" t="s">
        <v>1027</v>
      </c>
      <c r="B5" s="1702" t="s">
        <v>1028</v>
      </c>
      <c r="C5" s="1703"/>
      <c r="D5" s="1704"/>
      <c r="E5" s="528" t="s">
        <v>1029</v>
      </c>
      <c r="F5" s="528" t="s">
        <v>1030</v>
      </c>
      <c r="G5" s="527" t="s">
        <v>92</v>
      </c>
      <c r="H5" s="527" t="s">
        <v>1031</v>
      </c>
      <c r="I5" s="527" t="s">
        <v>1</v>
      </c>
    </row>
    <row r="6" spans="1:12" ht="18.5">
      <c r="A6" s="1705" t="s">
        <v>1032</v>
      </c>
      <c r="B6" s="1705"/>
      <c r="C6" s="1705"/>
      <c r="D6" s="1705"/>
      <c r="E6" s="1705"/>
      <c r="F6" s="1705"/>
      <c r="G6" s="1705"/>
      <c r="H6" s="1705"/>
      <c r="I6" s="1705"/>
    </row>
    <row r="7" spans="1:12" ht="64.5" customHeight="1">
      <c r="A7" s="637">
        <v>1</v>
      </c>
      <c r="B7" s="638" t="s">
        <v>547</v>
      </c>
      <c r="C7" s="637" t="s">
        <v>548</v>
      </c>
      <c r="D7" s="639" t="s">
        <v>941</v>
      </c>
      <c r="E7" s="637" t="s">
        <v>347</v>
      </c>
      <c r="F7" s="637" t="s">
        <v>1033</v>
      </c>
      <c r="G7" s="639" t="s">
        <v>1097</v>
      </c>
      <c r="H7" s="640"/>
      <c r="I7" s="640" t="s">
        <v>1206</v>
      </c>
    </row>
    <row r="8" spans="1:12" ht="58">
      <c r="A8" s="637">
        <v>2</v>
      </c>
      <c r="B8" s="638" t="s">
        <v>549</v>
      </c>
      <c r="C8" s="637" t="s">
        <v>550</v>
      </c>
      <c r="D8" s="639" t="s">
        <v>349</v>
      </c>
      <c r="E8" s="637" t="s">
        <v>1102</v>
      </c>
      <c r="F8" s="637" t="s">
        <v>1033</v>
      </c>
      <c r="G8" s="639" t="s">
        <v>1097</v>
      </c>
      <c r="H8" s="640"/>
      <c r="I8" s="639" t="s">
        <v>1552</v>
      </c>
      <c r="L8" s="616"/>
    </row>
    <row r="9" spans="1:12" ht="68.25" customHeight="1">
      <c r="A9" s="637">
        <v>3</v>
      </c>
      <c r="B9" s="638" t="s">
        <v>557</v>
      </c>
      <c r="C9" s="637" t="s">
        <v>558</v>
      </c>
      <c r="D9" s="639" t="s">
        <v>943</v>
      </c>
      <c r="E9" s="637" t="s">
        <v>347</v>
      </c>
      <c r="F9" s="637" t="s">
        <v>1033</v>
      </c>
      <c r="G9" s="639" t="s">
        <v>1097</v>
      </c>
      <c r="H9" s="640"/>
      <c r="I9" s="640" t="s">
        <v>1205</v>
      </c>
    </row>
    <row r="10" spans="1:12" ht="66" customHeight="1">
      <c r="A10" s="637">
        <v>4</v>
      </c>
      <c r="B10" s="638" t="s">
        <v>559</v>
      </c>
      <c r="C10" s="637" t="s">
        <v>560</v>
      </c>
      <c r="D10" s="639" t="s">
        <v>942</v>
      </c>
      <c r="E10" s="637" t="s">
        <v>347</v>
      </c>
      <c r="F10" s="637" t="s">
        <v>1033</v>
      </c>
      <c r="G10" s="639" t="s">
        <v>1097</v>
      </c>
      <c r="H10" s="640"/>
      <c r="I10" s="640" t="s">
        <v>1205</v>
      </c>
    </row>
    <row r="11" spans="1:12" ht="66" customHeight="1">
      <c r="A11" s="637">
        <v>5</v>
      </c>
      <c r="B11" s="638" t="s">
        <v>561</v>
      </c>
      <c r="C11" s="637" t="s">
        <v>562</v>
      </c>
      <c r="D11" s="639" t="s">
        <v>359</v>
      </c>
      <c r="E11" s="637" t="s">
        <v>161</v>
      </c>
      <c r="F11" s="637" t="s">
        <v>1033</v>
      </c>
      <c r="G11" s="639" t="s">
        <v>1097</v>
      </c>
      <c r="H11" s="640"/>
      <c r="I11" s="640" t="s">
        <v>1553</v>
      </c>
    </row>
    <row r="12" spans="1:12" ht="66" customHeight="1">
      <c r="A12" s="637">
        <v>6</v>
      </c>
      <c r="B12" s="638" t="s">
        <v>1268</v>
      </c>
      <c r="C12" s="637" t="s">
        <v>1269</v>
      </c>
      <c r="D12" s="639" t="s">
        <v>1368</v>
      </c>
      <c r="E12" s="637" t="s">
        <v>347</v>
      </c>
      <c r="F12" s="637" t="s">
        <v>1369</v>
      </c>
      <c r="G12" s="639" t="s">
        <v>1370</v>
      </c>
      <c r="H12" s="640"/>
      <c r="I12" s="640" t="s">
        <v>1421</v>
      </c>
    </row>
    <row r="13" spans="1:12" ht="19.5" customHeight="1">
      <c r="A13" s="1706"/>
      <c r="B13" s="1707"/>
      <c r="C13" s="1707"/>
      <c r="D13" s="1707"/>
      <c r="E13" s="1707"/>
      <c r="F13" s="1707"/>
      <c r="G13" s="1707"/>
      <c r="H13" s="1707"/>
      <c r="I13" s="1708"/>
    </row>
    <row r="14" spans="1:12" ht="19.5" customHeight="1">
      <c r="A14" s="1709" t="s">
        <v>1034</v>
      </c>
      <c r="B14" s="1710"/>
      <c r="C14" s="1710"/>
      <c r="D14" s="1710"/>
      <c r="E14" s="1710"/>
      <c r="F14" s="1710"/>
      <c r="G14" s="1710"/>
      <c r="H14" s="1710"/>
      <c r="I14" s="1711"/>
    </row>
    <row r="15" spans="1:12" ht="66.75" customHeight="1">
      <c r="A15" s="529">
        <v>1</v>
      </c>
      <c r="B15" s="37" t="s">
        <v>554</v>
      </c>
      <c r="C15" s="529" t="s">
        <v>555</v>
      </c>
      <c r="D15" s="530" t="s">
        <v>1035</v>
      </c>
      <c r="E15" s="529" t="s">
        <v>1036</v>
      </c>
      <c r="F15" s="529" t="s">
        <v>1037</v>
      </c>
      <c r="G15" s="530" t="s">
        <v>1468</v>
      </c>
      <c r="H15" s="531"/>
      <c r="I15" s="531" t="s">
        <v>1463</v>
      </c>
    </row>
    <row r="16" spans="1:12" ht="19.5" customHeight="1">
      <c r="A16" s="1706"/>
      <c r="B16" s="1707"/>
      <c r="C16" s="1707"/>
      <c r="D16" s="1707"/>
      <c r="E16" s="1707"/>
      <c r="F16" s="1707"/>
      <c r="G16" s="1707"/>
      <c r="H16" s="1707"/>
      <c r="I16" s="1708"/>
    </row>
    <row r="17" spans="1:9" ht="19.5" customHeight="1">
      <c r="A17" s="1709" t="s">
        <v>1038</v>
      </c>
      <c r="B17" s="1710"/>
      <c r="C17" s="1710"/>
      <c r="D17" s="1710"/>
      <c r="E17" s="1710"/>
      <c r="F17" s="1710"/>
      <c r="G17" s="1710"/>
      <c r="H17" s="1710"/>
      <c r="I17" s="1711"/>
    </row>
    <row r="18" spans="1:9" ht="30" customHeight="1">
      <c r="A18" s="529">
        <v>1</v>
      </c>
      <c r="B18" s="1698" t="s">
        <v>1078</v>
      </c>
      <c r="C18" s="1699"/>
      <c r="D18" s="530" t="s">
        <v>271</v>
      </c>
      <c r="E18" s="529" t="s">
        <v>1039</v>
      </c>
      <c r="F18" s="529" t="s">
        <v>1040</v>
      </c>
      <c r="G18" s="530" t="s">
        <v>1546</v>
      </c>
      <c r="H18" s="531"/>
      <c r="I18" s="530" t="s">
        <v>1546</v>
      </c>
    </row>
    <row r="19" spans="1:9" ht="30" customHeight="1">
      <c r="A19" s="529">
        <v>2</v>
      </c>
      <c r="B19" s="1698" t="s">
        <v>1079</v>
      </c>
      <c r="C19" s="1699"/>
      <c r="D19" s="530" t="s">
        <v>271</v>
      </c>
      <c r="E19" s="529" t="s">
        <v>1039</v>
      </c>
      <c r="F19" s="529" t="s">
        <v>1040</v>
      </c>
      <c r="G19" s="530" t="s">
        <v>1546</v>
      </c>
      <c r="H19" s="531"/>
      <c r="I19" s="530" t="s">
        <v>1546</v>
      </c>
    </row>
    <row r="20" spans="1:9" ht="19.5" customHeight="1">
      <c r="A20" s="1706"/>
      <c r="B20" s="1707"/>
      <c r="C20" s="1707"/>
      <c r="D20" s="1707"/>
      <c r="E20" s="1707"/>
      <c r="F20" s="1707"/>
      <c r="G20" s="1707"/>
      <c r="H20" s="1707"/>
      <c r="I20" s="1708"/>
    </row>
    <row r="21" spans="1:9" ht="19.5" customHeight="1">
      <c r="A21" s="1709" t="s">
        <v>1041</v>
      </c>
      <c r="B21" s="1710"/>
      <c r="C21" s="1710"/>
      <c r="D21" s="1710"/>
      <c r="E21" s="1710"/>
      <c r="F21" s="1710"/>
      <c r="G21" s="1710"/>
      <c r="H21" s="1710"/>
      <c r="I21" s="1711"/>
    </row>
    <row r="22" spans="1:9" ht="59.25" customHeight="1">
      <c r="A22" s="533">
        <v>1</v>
      </c>
      <c r="B22" s="534" t="s">
        <v>419</v>
      </c>
      <c r="C22" s="534" t="s">
        <v>420</v>
      </c>
      <c r="D22" s="530" t="s">
        <v>1042</v>
      </c>
      <c r="E22" s="529" t="s">
        <v>1043</v>
      </c>
      <c r="F22" s="529" t="s">
        <v>1090</v>
      </c>
      <c r="G22" s="530" t="s">
        <v>1098</v>
      </c>
      <c r="H22" s="529"/>
      <c r="I22" s="532" t="s">
        <v>1494</v>
      </c>
    </row>
    <row r="23" spans="1:9" ht="19.5" customHeight="1">
      <c r="A23" s="1706"/>
      <c r="B23" s="1707"/>
      <c r="C23" s="1707"/>
      <c r="D23" s="1707"/>
      <c r="E23" s="1707"/>
      <c r="F23" s="1707"/>
      <c r="G23" s="1707"/>
      <c r="H23" s="1707"/>
      <c r="I23" s="1708"/>
    </row>
    <row r="24" spans="1:9" ht="19.5" customHeight="1">
      <c r="A24" s="1709" t="s">
        <v>1044</v>
      </c>
      <c r="B24" s="1710"/>
      <c r="C24" s="1710"/>
      <c r="D24" s="1710"/>
      <c r="E24" s="1710"/>
      <c r="F24" s="1710"/>
      <c r="G24" s="1710"/>
      <c r="H24" s="1710"/>
      <c r="I24" s="1711"/>
    </row>
    <row r="25" spans="1:9" ht="81.75" customHeight="1">
      <c r="A25" s="529">
        <v>1</v>
      </c>
      <c r="B25" s="1698" t="s">
        <v>546</v>
      </c>
      <c r="C25" s="1699" t="s">
        <v>547</v>
      </c>
      <c r="D25" s="530" t="s">
        <v>346</v>
      </c>
      <c r="E25" s="529" t="s">
        <v>1045</v>
      </c>
      <c r="F25" s="529" t="s">
        <v>1046</v>
      </c>
      <c r="G25" s="530" t="s">
        <v>1097</v>
      </c>
      <c r="H25" s="531"/>
      <c r="I25" s="530" t="s">
        <v>1550</v>
      </c>
    </row>
    <row r="26" spans="1:9" ht="80.25" customHeight="1">
      <c r="A26" s="529">
        <v>2</v>
      </c>
      <c r="B26" s="1698" t="s">
        <v>563</v>
      </c>
      <c r="C26" s="1699" t="s">
        <v>564</v>
      </c>
      <c r="D26" s="530" t="s">
        <v>1047</v>
      </c>
      <c r="E26" s="529" t="s">
        <v>1045</v>
      </c>
      <c r="F26" s="529" t="s">
        <v>1046</v>
      </c>
      <c r="G26" s="530" t="s">
        <v>1097</v>
      </c>
      <c r="H26" s="531"/>
      <c r="I26" s="530" t="s">
        <v>1554</v>
      </c>
    </row>
    <row r="27" spans="1:9" ht="12" customHeight="1">
      <c r="A27" s="1706"/>
      <c r="B27" s="1707"/>
      <c r="C27" s="1707"/>
      <c r="D27" s="1707"/>
      <c r="E27" s="1707"/>
      <c r="F27" s="1707"/>
      <c r="G27" s="1707"/>
      <c r="H27" s="1707"/>
      <c r="I27" s="1708"/>
    </row>
    <row r="28" spans="1:9" ht="19.5" customHeight="1">
      <c r="A28" s="1709" t="s">
        <v>1048</v>
      </c>
      <c r="B28" s="1710"/>
      <c r="C28" s="1710"/>
      <c r="D28" s="1710"/>
      <c r="E28" s="1710"/>
      <c r="F28" s="1710"/>
      <c r="G28" s="1710"/>
      <c r="H28" s="1710"/>
      <c r="I28" s="1711"/>
    </row>
    <row r="29" spans="1:9" ht="26.25" customHeight="1">
      <c r="A29" s="529">
        <v>1</v>
      </c>
      <c r="B29" s="534" t="s">
        <v>1628</v>
      </c>
      <c r="C29" s="534" t="s">
        <v>1627</v>
      </c>
      <c r="D29" s="530" t="s">
        <v>365</v>
      </c>
      <c r="E29" s="535" t="s">
        <v>1045</v>
      </c>
      <c r="F29" s="536" t="s">
        <v>1049</v>
      </c>
      <c r="G29" s="529" t="s">
        <v>1050</v>
      </c>
      <c r="H29" s="529"/>
      <c r="I29" s="530" t="s">
        <v>1051</v>
      </c>
    </row>
    <row r="30" spans="1:9" ht="19.5" customHeight="1">
      <c r="A30" s="529">
        <v>2</v>
      </c>
      <c r="B30" s="534" t="s">
        <v>362</v>
      </c>
      <c r="C30" s="537" t="s">
        <v>363</v>
      </c>
      <c r="D30" s="530" t="s">
        <v>364</v>
      </c>
      <c r="E30" s="535" t="s">
        <v>1045</v>
      </c>
      <c r="F30" s="536" t="s">
        <v>1049</v>
      </c>
      <c r="G30" s="529" t="s">
        <v>1050</v>
      </c>
      <c r="H30" s="529"/>
      <c r="I30" s="530" t="s">
        <v>1051</v>
      </c>
    </row>
    <row r="31" spans="1:9" ht="19.5" customHeight="1">
      <c r="A31" s="576"/>
      <c r="B31" s="577"/>
      <c r="C31" s="578"/>
      <c r="D31" s="579"/>
      <c r="E31" s="580"/>
      <c r="F31" s="581"/>
      <c r="G31" s="582"/>
      <c r="H31" s="582"/>
      <c r="I31" s="583"/>
    </row>
    <row r="32" spans="1:9" ht="19.5" customHeight="1">
      <c r="A32" s="1709" t="s">
        <v>1086</v>
      </c>
      <c r="B32" s="1710"/>
      <c r="C32" s="1710"/>
      <c r="D32" s="1710"/>
      <c r="E32" s="1710"/>
      <c r="F32" s="1710"/>
      <c r="G32" s="1710"/>
      <c r="H32" s="1710"/>
      <c r="I32" s="1711"/>
    </row>
    <row r="33" spans="1:11" ht="43.5">
      <c r="A33" s="529">
        <v>1</v>
      </c>
      <c r="B33" s="534" t="s">
        <v>1087</v>
      </c>
      <c r="C33" s="534" t="s">
        <v>1088</v>
      </c>
      <c r="D33" s="530" t="s">
        <v>1089</v>
      </c>
      <c r="E33" s="535" t="s">
        <v>1045</v>
      </c>
      <c r="F33" s="529" t="s">
        <v>1046</v>
      </c>
      <c r="G33" s="530" t="s">
        <v>1098</v>
      </c>
      <c r="H33" s="529"/>
      <c r="I33" s="530" t="s">
        <v>1551</v>
      </c>
    </row>
    <row r="34" spans="1:11" ht="19.5" customHeight="1">
      <c r="A34" s="1706"/>
      <c r="B34" s="1707"/>
      <c r="C34" s="1707"/>
      <c r="D34" s="1707"/>
      <c r="E34" s="1707"/>
      <c r="F34" s="1707"/>
      <c r="G34" s="1707"/>
      <c r="H34" s="1707"/>
      <c r="I34" s="1708"/>
    </row>
    <row r="35" spans="1:11" ht="19.5" customHeight="1">
      <c r="A35" s="538" t="s">
        <v>1027</v>
      </c>
      <c r="B35" s="1713" t="s">
        <v>1052</v>
      </c>
      <c r="C35" s="1713"/>
      <c r="D35" s="1713"/>
      <c r="E35" s="538" t="s">
        <v>1053</v>
      </c>
      <c r="F35" s="538" t="s">
        <v>1054</v>
      </c>
      <c r="G35" s="538" t="s">
        <v>1055</v>
      </c>
      <c r="H35" s="527" t="s">
        <v>1031</v>
      </c>
      <c r="I35" s="527" t="s">
        <v>1</v>
      </c>
    </row>
    <row r="36" spans="1:11">
      <c r="A36" s="533">
        <v>1</v>
      </c>
      <c r="B36" s="1712" t="s">
        <v>1056</v>
      </c>
      <c r="C36" s="1712"/>
      <c r="D36" s="1712"/>
      <c r="E36" s="533">
        <v>6</v>
      </c>
      <c r="F36" s="533">
        <v>6</v>
      </c>
      <c r="G36" s="535">
        <v>6</v>
      </c>
      <c r="H36" s="533"/>
      <c r="I36" s="531" t="s">
        <v>50</v>
      </c>
    </row>
    <row r="37" spans="1:11">
      <c r="A37" s="533">
        <v>2</v>
      </c>
      <c r="B37" s="1712" t="s">
        <v>1057</v>
      </c>
      <c r="C37" s="1712"/>
      <c r="D37" s="1712"/>
      <c r="E37" s="533">
        <v>2</v>
      </c>
      <c r="F37" s="533">
        <v>2</v>
      </c>
      <c r="G37" s="535">
        <v>2</v>
      </c>
      <c r="H37" s="535"/>
      <c r="I37" s="531" t="s">
        <v>50</v>
      </c>
      <c r="K37" s="7"/>
    </row>
    <row r="38" spans="1:11">
      <c r="A38" s="533">
        <v>3</v>
      </c>
      <c r="B38" s="1712" t="s">
        <v>1058</v>
      </c>
      <c r="C38" s="1712"/>
      <c r="D38" s="1712"/>
      <c r="E38" s="533">
        <v>1</v>
      </c>
      <c r="F38" s="533">
        <v>1</v>
      </c>
      <c r="G38" s="530">
        <v>1</v>
      </c>
      <c r="H38" s="535"/>
      <c r="I38" s="531" t="s">
        <v>50</v>
      </c>
      <c r="K38" s="7"/>
    </row>
    <row r="39" spans="1:11">
      <c r="A39" s="533">
        <v>4</v>
      </c>
      <c r="B39" s="1712" t="s">
        <v>1059</v>
      </c>
      <c r="C39" s="1712"/>
      <c r="D39" s="1712"/>
      <c r="E39" s="533">
        <v>1</v>
      </c>
      <c r="F39" s="533">
        <v>1</v>
      </c>
      <c r="G39" s="530">
        <v>1</v>
      </c>
      <c r="H39" s="535"/>
      <c r="I39" s="531" t="s">
        <v>1767</v>
      </c>
      <c r="K39" s="7"/>
    </row>
    <row r="40" spans="1:11">
      <c r="A40" s="533">
        <v>5</v>
      </c>
      <c r="B40" s="1712" t="s">
        <v>1371</v>
      </c>
      <c r="C40" s="1712"/>
      <c r="D40" s="1712"/>
      <c r="E40" s="533">
        <v>1</v>
      </c>
      <c r="F40" s="533">
        <v>1</v>
      </c>
      <c r="G40" s="58">
        <v>1</v>
      </c>
      <c r="H40" s="535"/>
      <c r="I40" s="58" t="s">
        <v>1469</v>
      </c>
      <c r="K40" s="7"/>
    </row>
    <row r="41" spans="1:11" ht="29">
      <c r="A41" s="533">
        <v>6</v>
      </c>
      <c r="B41" s="1712" t="s">
        <v>1060</v>
      </c>
      <c r="C41" s="1712"/>
      <c r="D41" s="1712"/>
      <c r="E41" s="533">
        <v>1</v>
      </c>
      <c r="F41" s="533">
        <v>1</v>
      </c>
      <c r="G41" s="535">
        <v>1</v>
      </c>
      <c r="H41" s="535"/>
      <c r="I41" s="530" t="s">
        <v>1085</v>
      </c>
      <c r="K41" s="7"/>
    </row>
    <row r="42" spans="1:11">
      <c r="A42" s="533">
        <v>5</v>
      </c>
      <c r="B42" s="1712" t="s">
        <v>1061</v>
      </c>
      <c r="C42" s="1712"/>
      <c r="D42" s="1712"/>
      <c r="E42" s="533">
        <v>1</v>
      </c>
      <c r="F42" s="533">
        <v>1</v>
      </c>
      <c r="G42" s="535">
        <v>1</v>
      </c>
      <c r="H42" s="535"/>
      <c r="I42" s="58" t="s">
        <v>1469</v>
      </c>
      <c r="K42" s="7"/>
    </row>
    <row r="43" spans="1:11" ht="33.75" customHeight="1">
      <c r="A43" s="533">
        <v>6</v>
      </c>
      <c r="B43" s="1715" t="s">
        <v>1062</v>
      </c>
      <c r="C43" s="1716"/>
      <c r="D43" s="1717"/>
      <c r="E43" s="533">
        <v>1</v>
      </c>
      <c r="F43" s="533">
        <v>1</v>
      </c>
      <c r="G43" s="535" t="s">
        <v>1458</v>
      </c>
      <c r="H43" s="532"/>
      <c r="I43" s="530" t="s">
        <v>1502</v>
      </c>
    </row>
    <row r="44" spans="1:11" ht="29">
      <c r="A44" s="533">
        <v>7</v>
      </c>
      <c r="B44" s="568" t="s">
        <v>1091</v>
      </c>
      <c r="C44" s="569"/>
      <c r="D44" s="570"/>
      <c r="E44" s="533">
        <v>1</v>
      </c>
      <c r="F44" s="533">
        <v>1</v>
      </c>
      <c r="G44" s="530">
        <v>1</v>
      </c>
      <c r="H44" s="532"/>
      <c r="I44" s="530" t="s">
        <v>1574</v>
      </c>
    </row>
    <row r="45" spans="1:11" ht="18.5">
      <c r="A45" s="533">
        <v>8</v>
      </c>
      <c r="B45" s="568" t="s">
        <v>1470</v>
      </c>
      <c r="C45" s="569"/>
      <c r="D45" s="570"/>
      <c r="E45" s="533">
        <v>1</v>
      </c>
      <c r="F45" s="533">
        <v>1</v>
      </c>
      <c r="G45" s="530">
        <v>1</v>
      </c>
      <c r="H45" s="532"/>
      <c r="I45" s="530" t="s">
        <v>1471</v>
      </c>
    </row>
    <row r="46" spans="1:11" ht="19.5" customHeight="1">
      <c r="A46" s="1714" t="s">
        <v>81</v>
      </c>
      <c r="B46" s="1714"/>
      <c r="C46" s="1714"/>
      <c r="D46" s="1714"/>
      <c r="E46" s="539">
        <f>SUM(E36:E45)</f>
        <v>16</v>
      </c>
      <c r="F46" s="539">
        <f>SUM(F36:F45)</f>
        <v>16</v>
      </c>
      <c r="G46" s="539">
        <f>SUM(G36:G45)</f>
        <v>15</v>
      </c>
      <c r="H46" s="539"/>
      <c r="I46" s="540"/>
    </row>
    <row r="1279" spans="2:15">
      <c r="B1279" s="988">
        <v>45795</v>
      </c>
      <c r="K1279" s="34">
        <v>1</v>
      </c>
      <c r="L1279" s="34">
        <v>1</v>
      </c>
      <c r="N1279" s="34">
        <v>1</v>
      </c>
      <c r="O1279" s="34">
        <v>1</v>
      </c>
    </row>
  </sheetData>
  <mergeCells count="32">
    <mergeCell ref="A46:D46"/>
    <mergeCell ref="B38:D38"/>
    <mergeCell ref="B39:D39"/>
    <mergeCell ref="B40:D40"/>
    <mergeCell ref="B41:D41"/>
    <mergeCell ref="B42:D42"/>
    <mergeCell ref="B43:D43"/>
    <mergeCell ref="B37:D37"/>
    <mergeCell ref="A20:I20"/>
    <mergeCell ref="A21:I21"/>
    <mergeCell ref="A23:I23"/>
    <mergeCell ref="A24:I24"/>
    <mergeCell ref="B25:C25"/>
    <mergeCell ref="B26:C26"/>
    <mergeCell ref="A27:I27"/>
    <mergeCell ref="A28:I28"/>
    <mergeCell ref="A34:I34"/>
    <mergeCell ref="B35:D35"/>
    <mergeCell ref="B36:D36"/>
    <mergeCell ref="A32:I32"/>
    <mergeCell ref="B19:C19"/>
    <mergeCell ref="A1:I1"/>
    <mergeCell ref="A2:I2"/>
    <mergeCell ref="A3:I3"/>
    <mergeCell ref="A4:I4"/>
    <mergeCell ref="B5:D5"/>
    <mergeCell ref="A6:I6"/>
    <mergeCell ref="A13:I13"/>
    <mergeCell ref="A14:I14"/>
    <mergeCell ref="A16:I16"/>
    <mergeCell ref="A17:I17"/>
    <mergeCell ref="B18:C18"/>
  </mergeCells>
  <printOptions horizontalCentered="1"/>
  <pageMargins left="0.118110236220472" right="0.118110236220472" top="0.39" bottom="0.17" header="0.118110236220472" footer="0.118110236220472"/>
  <pageSetup paperSize="9" scale="46" orientation="portrait" r:id="rId1"/>
  <rowBreaks count="1" manualBreakCount="1">
    <brk id="27" max="16383" man="1"/>
  </rowBreaks>
  <colBreaks count="1" manualBreakCount="1">
    <brk id="9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7B723-8176-4E60-8DA2-B1E49E93C3B0}">
  <sheetPr codeName="Sheet26">
    <tabColor rgb="FFFF0000"/>
  </sheetPr>
  <dimension ref="A1:M303"/>
  <sheetViews>
    <sheetView showGridLines="0" topLeftCell="A125" zoomScaleNormal="100" workbookViewId="0">
      <selection activeCell="H17" sqref="H17"/>
    </sheetView>
  </sheetViews>
  <sheetFormatPr defaultColWidth="9.1796875" defaultRowHeight="14.5"/>
  <cols>
    <col min="1" max="2" width="12.1796875" style="134" customWidth="1"/>
    <col min="3" max="3" width="14.7265625" style="135" bestFit="1" customWidth="1"/>
    <col min="4" max="4" width="11.1796875" style="153" bestFit="1" customWidth="1"/>
    <col min="5" max="5" width="22" style="135" customWidth="1"/>
    <col min="6" max="6" width="16.81640625" style="135" customWidth="1"/>
    <col min="7" max="7" width="3.453125" style="134" customWidth="1"/>
    <col min="8" max="8" width="13" style="134" bestFit="1" customWidth="1"/>
    <col min="9" max="9" width="12" style="134" customWidth="1"/>
    <col min="10" max="10" width="11.1796875" style="134" customWidth="1"/>
    <col min="11" max="16384" width="9.1796875" style="134"/>
  </cols>
  <sheetData>
    <row r="1" spans="1:6" ht="15" thickBot="1"/>
    <row r="2" spans="1:6" s="132" customFormat="1" ht="16.5" customHeight="1" thickBot="1">
      <c r="A2" s="1718" t="s">
        <v>662</v>
      </c>
      <c r="B2" s="1719"/>
      <c r="C2" s="1719"/>
      <c r="D2" s="1720"/>
      <c r="E2" s="1719"/>
      <c r="F2" s="1721"/>
    </row>
    <row r="3" spans="1:6" s="133" customFormat="1" ht="18.5">
      <c r="A3" s="1722" t="s">
        <v>91</v>
      </c>
      <c r="B3" s="303" t="s">
        <v>652</v>
      </c>
      <c r="C3" s="303" t="s">
        <v>651</v>
      </c>
      <c r="D3" s="303" t="s">
        <v>484</v>
      </c>
      <c r="E3" s="303" t="s">
        <v>985</v>
      </c>
      <c r="F3" s="303" t="s">
        <v>1</v>
      </c>
    </row>
    <row r="4" spans="1:6" s="133" customFormat="1" ht="19" thickBot="1">
      <c r="A4" s="1723"/>
      <c r="B4" s="420" t="s">
        <v>520</v>
      </c>
      <c r="C4" s="420" t="s">
        <v>521</v>
      </c>
      <c r="D4" s="420" t="s">
        <v>485</v>
      </c>
      <c r="E4" s="421" t="str">
        <f>TA413_PBNTL!M1</f>
        <v>17.07.2026</v>
      </c>
      <c r="F4" s="420"/>
    </row>
    <row r="5" spans="1:6" s="304" customFormat="1" ht="15.5">
      <c r="A5" s="422">
        <f>SUBTOTAL(103,$C$5:C5)</f>
        <v>1</v>
      </c>
      <c r="B5" s="423" t="s">
        <v>522</v>
      </c>
      <c r="C5" s="424" t="s">
        <v>244</v>
      </c>
      <c r="D5" s="425" t="s">
        <v>244</v>
      </c>
      <c r="E5" s="426" t="s">
        <v>50</v>
      </c>
      <c r="F5" s="427"/>
    </row>
    <row r="6" spans="1:6" s="304" customFormat="1" ht="15.5">
      <c r="A6" s="428">
        <f>SUBTOTAL(103,$C$5:C6)</f>
        <v>2</v>
      </c>
      <c r="B6" s="429" t="s">
        <v>523</v>
      </c>
      <c r="C6" s="430" t="s">
        <v>268</v>
      </c>
      <c r="D6" s="431" t="s">
        <v>188</v>
      </c>
      <c r="E6" s="432" t="s">
        <v>653</v>
      </c>
      <c r="F6" s="433"/>
    </row>
    <row r="7" spans="1:6" s="304" customFormat="1" ht="15.5">
      <c r="A7" s="428">
        <f>SUBTOTAL(103,$C$5:C7)</f>
        <v>3</v>
      </c>
      <c r="B7" s="429" t="s">
        <v>524</v>
      </c>
      <c r="C7" s="430" t="s">
        <v>269</v>
      </c>
      <c r="D7" s="431" t="s">
        <v>178</v>
      </c>
      <c r="E7" s="432" t="s">
        <v>653</v>
      </c>
      <c r="F7" s="433"/>
    </row>
    <row r="8" spans="1:6" s="304" customFormat="1" ht="15.5">
      <c r="A8" s="428">
        <f>SUBTOTAL(103,$C$5:C8)</f>
        <v>4</v>
      </c>
      <c r="B8" s="429" t="s">
        <v>525</v>
      </c>
      <c r="C8" s="430" t="s">
        <v>270</v>
      </c>
      <c r="D8" s="434" t="s">
        <v>184</v>
      </c>
      <c r="E8" s="432" t="s">
        <v>50</v>
      </c>
      <c r="F8" s="433"/>
    </row>
    <row r="9" spans="1:6" s="304" customFormat="1" ht="15.5">
      <c r="A9" s="428">
        <f>SUBTOTAL(103,$C$5:C9)</f>
        <v>5</v>
      </c>
      <c r="B9" s="430"/>
      <c r="C9" s="430" t="s">
        <v>526</v>
      </c>
      <c r="D9" s="434" t="s">
        <v>2</v>
      </c>
      <c r="E9" s="432" t="s">
        <v>50</v>
      </c>
      <c r="F9" s="433"/>
    </row>
    <row r="10" spans="1:6" s="304" customFormat="1" ht="15.5">
      <c r="A10" s="428">
        <f>SUBTOTAL(103,$C$5:C10)</f>
        <v>6</v>
      </c>
      <c r="B10" s="430"/>
      <c r="C10" s="430" t="s">
        <v>527</v>
      </c>
      <c r="D10" s="434" t="s">
        <v>79</v>
      </c>
      <c r="E10" s="432" t="s">
        <v>50</v>
      </c>
      <c r="F10" s="433"/>
    </row>
    <row r="11" spans="1:6" s="304" customFormat="1" ht="15.5">
      <c r="A11" s="428">
        <f>SUBTOTAL(103,$C$5:C11)</f>
        <v>7</v>
      </c>
      <c r="B11" s="430"/>
      <c r="C11" s="430" t="s">
        <v>528</v>
      </c>
      <c r="D11" s="434" t="s">
        <v>2</v>
      </c>
      <c r="E11" s="432" t="s">
        <v>50</v>
      </c>
      <c r="F11" s="433"/>
    </row>
    <row r="12" spans="1:6" s="304" customFormat="1" ht="15.5">
      <c r="A12" s="428">
        <f>SUBTOTAL(103,$C$5:C12)</f>
        <v>8</v>
      </c>
      <c r="B12" s="430"/>
      <c r="C12" s="430" t="s">
        <v>529</v>
      </c>
      <c r="D12" s="434" t="s">
        <v>79</v>
      </c>
      <c r="E12" s="432" t="s">
        <v>50</v>
      </c>
      <c r="F12" s="433"/>
    </row>
    <row r="13" spans="1:6" s="304" customFormat="1" ht="15.5">
      <c r="A13" s="428">
        <f>SUBTOTAL(103,$C$5:C13)</f>
        <v>9</v>
      </c>
      <c r="B13" s="430"/>
      <c r="C13" s="430" t="s">
        <v>530</v>
      </c>
      <c r="D13" s="434" t="s">
        <v>2</v>
      </c>
      <c r="E13" s="432" t="s">
        <v>50</v>
      </c>
      <c r="F13" s="433"/>
    </row>
    <row r="14" spans="1:6" s="304" customFormat="1" ht="15.5">
      <c r="A14" s="428">
        <f>SUBTOTAL(103,$C$5:C14)</f>
        <v>10</v>
      </c>
      <c r="B14" s="430"/>
      <c r="C14" s="430" t="s">
        <v>531</v>
      </c>
      <c r="D14" s="434" t="s">
        <v>2</v>
      </c>
      <c r="E14" s="432" t="s">
        <v>50</v>
      </c>
      <c r="F14" s="433"/>
    </row>
    <row r="15" spans="1:6" s="304" customFormat="1" ht="15.5">
      <c r="A15" s="428">
        <f>SUBTOTAL(103,$C$5:C15)</f>
        <v>11</v>
      </c>
      <c r="B15" s="430"/>
      <c r="C15" s="430" t="s">
        <v>532</v>
      </c>
      <c r="D15" s="434" t="s">
        <v>2</v>
      </c>
      <c r="E15" s="432" t="s">
        <v>50</v>
      </c>
      <c r="F15" s="433"/>
    </row>
    <row r="16" spans="1:6" s="304" customFormat="1" ht="15.5">
      <c r="A16" s="428">
        <f>SUBTOTAL(103,$C$5:C16)</f>
        <v>12</v>
      </c>
      <c r="B16" s="430"/>
      <c r="C16" s="430" t="s">
        <v>533</v>
      </c>
      <c r="D16" s="434" t="s">
        <v>3</v>
      </c>
      <c r="E16" s="432" t="s">
        <v>50</v>
      </c>
      <c r="F16" s="433"/>
    </row>
    <row r="17" spans="1:13" s="304" customFormat="1" ht="15.5">
      <c r="A17" s="428">
        <f>SUBTOTAL(103,$C$5:C17)</f>
        <v>13</v>
      </c>
      <c r="B17" s="430"/>
      <c r="C17" s="430" t="s">
        <v>534</v>
      </c>
      <c r="D17" s="434" t="s">
        <v>3</v>
      </c>
      <c r="E17" s="432" t="s">
        <v>50</v>
      </c>
      <c r="F17" s="433"/>
    </row>
    <row r="18" spans="1:13" s="304" customFormat="1" ht="15.5">
      <c r="A18" s="428">
        <f>SUBTOTAL(103,$C$5:C18)</f>
        <v>14</v>
      </c>
      <c r="B18" s="430"/>
      <c r="C18" s="430" t="s">
        <v>535</v>
      </c>
      <c r="D18" s="434" t="s">
        <v>49</v>
      </c>
      <c r="E18" s="432" t="s">
        <v>50</v>
      </c>
      <c r="F18" s="433"/>
    </row>
    <row r="19" spans="1:13" s="304" customFormat="1" ht="15.5">
      <c r="A19" s="428">
        <f>SUBTOTAL(103,$C$5:C19)</f>
        <v>15</v>
      </c>
      <c r="B19" s="430"/>
      <c r="C19" s="430" t="s">
        <v>536</v>
      </c>
      <c r="D19" s="434" t="s">
        <v>3</v>
      </c>
      <c r="E19" s="432" t="s">
        <v>50</v>
      </c>
      <c r="F19" s="433"/>
    </row>
    <row r="20" spans="1:13" s="304" customFormat="1" ht="15.5">
      <c r="A20" s="428">
        <f>SUBTOTAL(103,$C$5:C20)</f>
        <v>16</v>
      </c>
      <c r="B20" s="429" t="s">
        <v>537</v>
      </c>
      <c r="C20" s="435" t="s">
        <v>256</v>
      </c>
      <c r="D20" s="434" t="s">
        <v>211</v>
      </c>
      <c r="E20" s="432" t="s">
        <v>50</v>
      </c>
      <c r="F20" s="433"/>
      <c r="M20" s="911"/>
    </row>
    <row r="21" spans="1:13" s="304" customFormat="1" ht="15.5">
      <c r="A21" s="428">
        <f>SUBTOTAL(103,$C$5:C21)</f>
        <v>17</v>
      </c>
      <c r="B21" s="430"/>
      <c r="C21" s="430" t="s">
        <v>452</v>
      </c>
      <c r="D21" s="434" t="s">
        <v>79</v>
      </c>
      <c r="E21" s="432" t="s">
        <v>50</v>
      </c>
      <c r="F21" s="433"/>
      <c r="M21" s="911"/>
    </row>
    <row r="22" spans="1:13" s="304" customFormat="1" ht="15.5">
      <c r="A22" s="428">
        <f>SUBTOTAL(103,$C$5:C22)</f>
        <v>18</v>
      </c>
      <c r="B22" s="430"/>
      <c r="C22" s="430" t="s">
        <v>453</v>
      </c>
      <c r="D22" s="434" t="s">
        <v>2</v>
      </c>
      <c r="E22" s="432" t="s">
        <v>50</v>
      </c>
      <c r="F22" s="433"/>
    </row>
    <row r="23" spans="1:13" s="304" customFormat="1" ht="15.5">
      <c r="A23" s="428">
        <f>SUBTOTAL(103,$C$5:C23)</f>
        <v>19</v>
      </c>
      <c r="B23" s="430"/>
      <c r="C23" s="430" t="s">
        <v>454</v>
      </c>
      <c r="D23" s="434" t="s">
        <v>2</v>
      </c>
      <c r="E23" s="432" t="s">
        <v>50</v>
      </c>
      <c r="F23" s="433"/>
    </row>
    <row r="24" spans="1:13" s="304" customFormat="1" ht="15.5">
      <c r="A24" s="428">
        <f>SUBTOTAL(103,$C$5:C24)</f>
        <v>20</v>
      </c>
      <c r="B24" s="430"/>
      <c r="C24" s="430" t="s">
        <v>455</v>
      </c>
      <c r="D24" s="434" t="s">
        <v>79</v>
      </c>
      <c r="E24" s="432" t="s">
        <v>50</v>
      </c>
      <c r="F24" s="433"/>
    </row>
    <row r="25" spans="1:13" s="304" customFormat="1" ht="15.5">
      <c r="A25" s="428">
        <f>SUBTOTAL(103,$C$5:C25)</f>
        <v>21</v>
      </c>
      <c r="B25" s="430"/>
      <c r="C25" s="430" t="s">
        <v>456</v>
      </c>
      <c r="D25" s="434" t="s">
        <v>79</v>
      </c>
      <c r="E25" s="432" t="s">
        <v>50</v>
      </c>
      <c r="F25" s="433"/>
    </row>
    <row r="26" spans="1:13" s="304" customFormat="1" ht="15.5">
      <c r="A26" s="428">
        <f>SUBTOTAL(103,$C$5:C26)</f>
        <v>22</v>
      </c>
      <c r="B26" s="429" t="s">
        <v>889</v>
      </c>
      <c r="C26" s="435" t="s">
        <v>890</v>
      </c>
      <c r="D26" s="434" t="s">
        <v>226</v>
      </c>
      <c r="E26" s="432" t="s">
        <v>50</v>
      </c>
      <c r="F26" s="433"/>
    </row>
    <row r="27" spans="1:13" s="304" customFormat="1" ht="15.5">
      <c r="A27" s="428">
        <f>SUBTOTAL(103,$C$5:C27)</f>
        <v>23</v>
      </c>
      <c r="B27" s="430"/>
      <c r="C27" s="430" t="s">
        <v>891</v>
      </c>
      <c r="D27" s="434" t="s">
        <v>79</v>
      </c>
      <c r="E27" s="432" t="s">
        <v>50</v>
      </c>
      <c r="F27" s="433"/>
    </row>
    <row r="28" spans="1:13" s="304" customFormat="1" ht="15.5">
      <c r="A28" s="428">
        <f>SUBTOTAL(103,$C$5:C28)</f>
        <v>24</v>
      </c>
      <c r="B28" s="430"/>
      <c r="C28" s="430" t="s">
        <v>892</v>
      </c>
      <c r="D28" s="434" t="s">
        <v>79</v>
      </c>
      <c r="E28" s="432" t="s">
        <v>50</v>
      </c>
      <c r="F28" s="433"/>
    </row>
    <row r="29" spans="1:13" s="304" customFormat="1" ht="15.5">
      <c r="A29" s="428">
        <f>SUBTOTAL(103,$C$5:C29)</f>
        <v>25</v>
      </c>
      <c r="B29" s="430"/>
      <c r="C29" s="430" t="s">
        <v>893</v>
      </c>
      <c r="D29" s="434" t="s">
        <v>49</v>
      </c>
      <c r="E29" s="432" t="s">
        <v>50</v>
      </c>
      <c r="F29" s="433"/>
    </row>
    <row r="30" spans="1:13" s="304" customFormat="1" ht="15.5">
      <c r="A30" s="428">
        <f>SUBTOTAL(103,$C$5:C30)</f>
        <v>26</v>
      </c>
      <c r="B30" s="430"/>
      <c r="C30" s="430" t="s">
        <v>894</v>
      </c>
      <c r="D30" s="434" t="s">
        <v>79</v>
      </c>
      <c r="E30" s="432" t="s">
        <v>50</v>
      </c>
      <c r="F30" s="433"/>
    </row>
    <row r="31" spans="1:13" s="304" customFormat="1" ht="15.5">
      <c r="A31" s="428">
        <f>SUBTOTAL(103,$C$5:C31)</f>
        <v>27</v>
      </c>
      <c r="B31" s="430"/>
      <c r="C31" s="430" t="s">
        <v>895</v>
      </c>
      <c r="D31" s="434" t="s">
        <v>49</v>
      </c>
      <c r="E31" s="432" t="s">
        <v>50</v>
      </c>
      <c r="F31" s="433"/>
    </row>
    <row r="32" spans="1:13" s="304" customFormat="1" ht="15.5">
      <c r="A32" s="428">
        <f>SUBTOTAL(103,$C$5:C32)</f>
        <v>28</v>
      </c>
      <c r="B32" s="430"/>
      <c r="C32" s="430" t="s">
        <v>896</v>
      </c>
      <c r="D32" s="434" t="s">
        <v>49</v>
      </c>
      <c r="E32" s="432" t="s">
        <v>50</v>
      </c>
      <c r="F32" s="433"/>
    </row>
    <row r="33" spans="1:10" s="304" customFormat="1" ht="15.5">
      <c r="A33" s="428">
        <f>SUBTOTAL(103,$C$5:C33)</f>
        <v>29</v>
      </c>
      <c r="B33" s="429" t="s">
        <v>538</v>
      </c>
      <c r="C33" s="435" t="s">
        <v>257</v>
      </c>
      <c r="D33" s="434" t="s">
        <v>227</v>
      </c>
      <c r="E33" s="432" t="s">
        <v>50</v>
      </c>
      <c r="F33" s="433"/>
    </row>
    <row r="34" spans="1:10" s="304" customFormat="1" ht="15.5">
      <c r="A34" s="428">
        <f>SUBTOTAL(103,$C$5:C34)</f>
        <v>30</v>
      </c>
      <c r="B34" s="430"/>
      <c r="C34" s="430" t="s">
        <v>457</v>
      </c>
      <c r="D34" s="434" t="s">
        <v>79</v>
      </c>
      <c r="E34" s="432" t="s">
        <v>50</v>
      </c>
      <c r="F34" s="433"/>
    </row>
    <row r="35" spans="1:10" s="304" customFormat="1" ht="15.5">
      <c r="A35" s="428">
        <f>SUBTOTAL(103,$C$5:C35)</f>
        <v>31</v>
      </c>
      <c r="B35" s="430"/>
      <c r="C35" s="430" t="s">
        <v>458</v>
      </c>
      <c r="D35" s="434" t="s">
        <v>49</v>
      </c>
      <c r="E35" s="432" t="s">
        <v>50</v>
      </c>
      <c r="F35" s="433"/>
    </row>
    <row r="36" spans="1:10" s="304" customFormat="1" ht="15.5">
      <c r="A36" s="428">
        <f>SUBTOTAL(103,$C$5:C36)</f>
        <v>32</v>
      </c>
      <c r="B36" s="430"/>
      <c r="C36" s="430" t="s">
        <v>459</v>
      </c>
      <c r="D36" s="434" t="s">
        <v>49</v>
      </c>
      <c r="E36" s="432" t="s">
        <v>50</v>
      </c>
      <c r="F36" s="433"/>
      <c r="J36" s="304">
        <f>SUM(J35:J35)</f>
        <v>0</v>
      </c>
    </row>
    <row r="37" spans="1:10" s="304" customFormat="1" ht="15.5">
      <c r="A37" s="428">
        <f>SUBTOTAL(103,$C$5:C37)</f>
        <v>33</v>
      </c>
      <c r="B37" s="430"/>
      <c r="C37" s="430" t="s">
        <v>460</v>
      </c>
      <c r="D37" s="434" t="s">
        <v>154</v>
      </c>
      <c r="E37" s="432" t="s">
        <v>50</v>
      </c>
      <c r="F37" s="433"/>
    </row>
    <row r="38" spans="1:10" s="304" customFormat="1" ht="15.5">
      <c r="A38" s="428">
        <f>SUBTOTAL(103,$C$5:C38)</f>
        <v>34</v>
      </c>
      <c r="B38" s="430"/>
      <c r="C38" s="430" t="s">
        <v>461</v>
      </c>
      <c r="D38" s="434" t="s">
        <v>79</v>
      </c>
      <c r="E38" s="432" t="s">
        <v>50</v>
      </c>
      <c r="F38" s="433"/>
    </row>
    <row r="39" spans="1:10" s="304" customFormat="1" ht="15.5">
      <c r="A39" s="428">
        <f>SUBTOTAL(103,$C$5:C39)</f>
        <v>35</v>
      </c>
      <c r="B39" s="430"/>
      <c r="C39" s="430" t="s">
        <v>462</v>
      </c>
      <c r="D39" s="434" t="s">
        <v>2</v>
      </c>
      <c r="E39" s="432" t="s">
        <v>50</v>
      </c>
      <c r="F39" s="433"/>
    </row>
    <row r="40" spans="1:10" s="304" customFormat="1" ht="15.5">
      <c r="A40" s="428">
        <f>SUBTOTAL(103,$C$5:C40)</f>
        <v>36</v>
      </c>
      <c r="B40" s="430"/>
      <c r="C40" s="430" t="s">
        <v>463</v>
      </c>
      <c r="D40" s="434" t="s">
        <v>49</v>
      </c>
      <c r="E40" s="432" t="s">
        <v>50</v>
      </c>
      <c r="F40" s="433"/>
    </row>
    <row r="41" spans="1:10" s="304" customFormat="1" ht="15.5">
      <c r="A41" s="428">
        <f>SUBTOTAL(103,$C$5:C41)</f>
        <v>37</v>
      </c>
      <c r="B41" s="430"/>
      <c r="C41" s="430" t="s">
        <v>464</v>
      </c>
      <c r="D41" s="434" t="s">
        <v>79</v>
      </c>
      <c r="E41" s="432" t="s">
        <v>50</v>
      </c>
      <c r="F41" s="433"/>
    </row>
    <row r="42" spans="1:10" s="304" customFormat="1" ht="15.5">
      <c r="A42" s="428">
        <f>SUBTOTAL(103,$C$5:C42)</f>
        <v>38</v>
      </c>
      <c r="B42" s="430"/>
      <c r="C42" s="430" t="s">
        <v>465</v>
      </c>
      <c r="D42" s="434" t="s">
        <v>79</v>
      </c>
      <c r="E42" s="432" t="s">
        <v>50</v>
      </c>
      <c r="F42" s="433"/>
    </row>
    <row r="43" spans="1:10" s="304" customFormat="1" ht="15.5">
      <c r="A43" s="428">
        <f>SUBTOTAL(103,$C$5:C43)</f>
        <v>39</v>
      </c>
      <c r="B43" s="430"/>
      <c r="C43" s="430" t="s">
        <v>466</v>
      </c>
      <c r="D43" s="434" t="s">
        <v>49</v>
      </c>
      <c r="E43" s="432" t="s">
        <v>50</v>
      </c>
      <c r="F43" s="433"/>
    </row>
    <row r="44" spans="1:10" s="304" customFormat="1" ht="15.5">
      <c r="A44" s="428">
        <f>SUBTOTAL(103,$C$5:C44)</f>
        <v>40</v>
      </c>
      <c r="B44" s="429" t="s">
        <v>671</v>
      </c>
      <c r="C44" s="430" t="s">
        <v>672</v>
      </c>
      <c r="D44" s="434" t="s">
        <v>401</v>
      </c>
      <c r="E44" s="432" t="s">
        <v>50</v>
      </c>
      <c r="F44" s="433"/>
    </row>
    <row r="45" spans="1:10" s="304" customFormat="1" ht="15.5">
      <c r="A45" s="428">
        <f>SUBTOTAL(103,$C$5:C45)</f>
        <v>41</v>
      </c>
      <c r="B45" s="429" t="s">
        <v>539</v>
      </c>
      <c r="C45" s="435" t="s">
        <v>258</v>
      </c>
      <c r="D45" s="434" t="s">
        <v>211</v>
      </c>
      <c r="E45" s="432" t="s">
        <v>50</v>
      </c>
      <c r="F45" s="433"/>
    </row>
    <row r="46" spans="1:10" s="304" customFormat="1" ht="15.5">
      <c r="A46" s="428">
        <f>SUBTOTAL(103,$C$5:C46)</f>
        <v>42</v>
      </c>
      <c r="B46" s="430"/>
      <c r="C46" s="430" t="s">
        <v>259</v>
      </c>
      <c r="D46" s="434" t="s">
        <v>49</v>
      </c>
      <c r="E46" s="432" t="s">
        <v>50</v>
      </c>
      <c r="F46" s="433"/>
    </row>
    <row r="47" spans="1:10" s="304" customFormat="1" ht="15.5">
      <c r="A47" s="428">
        <f>SUBTOTAL(103,$C$5:C47)</f>
        <v>43</v>
      </c>
      <c r="B47" s="430"/>
      <c r="C47" s="430" t="s">
        <v>260</v>
      </c>
      <c r="D47" s="434" t="s">
        <v>79</v>
      </c>
      <c r="E47" s="432" t="s">
        <v>50</v>
      </c>
      <c r="F47" s="433"/>
    </row>
    <row r="48" spans="1:10" s="304" customFormat="1" ht="15.5">
      <c r="A48" s="428">
        <f>SUBTOTAL(103,$C$5:C48)</f>
        <v>44</v>
      </c>
      <c r="B48" s="430"/>
      <c r="C48" s="430" t="s">
        <v>467</v>
      </c>
      <c r="D48" s="434" t="s">
        <v>2</v>
      </c>
      <c r="E48" s="432" t="s">
        <v>50</v>
      </c>
      <c r="F48" s="433"/>
    </row>
    <row r="49" spans="1:6" s="304" customFormat="1" ht="15.5">
      <c r="A49" s="428">
        <f>SUBTOTAL(103,$C$5:C49)</f>
        <v>45</v>
      </c>
      <c r="B49" s="430"/>
      <c r="C49" s="430" t="s">
        <v>468</v>
      </c>
      <c r="D49" s="434" t="s">
        <v>49</v>
      </c>
      <c r="E49" s="432" t="s">
        <v>50</v>
      </c>
      <c r="F49" s="433"/>
    </row>
    <row r="50" spans="1:6" s="304" customFormat="1" ht="15.5">
      <c r="A50" s="428">
        <f>SUBTOTAL(103,$C$5:C50)</f>
        <v>46</v>
      </c>
      <c r="B50" s="430"/>
      <c r="C50" s="430" t="s">
        <v>469</v>
      </c>
      <c r="D50" s="434" t="s">
        <v>49</v>
      </c>
      <c r="E50" s="432" t="s">
        <v>50</v>
      </c>
      <c r="F50" s="433"/>
    </row>
    <row r="51" spans="1:6" s="304" customFormat="1" ht="15.5">
      <c r="A51" s="428">
        <f>SUBTOTAL(103,$C$5:C51)</f>
        <v>47</v>
      </c>
      <c r="B51" s="430"/>
      <c r="C51" s="430" t="s">
        <v>470</v>
      </c>
      <c r="D51" s="434" t="s">
        <v>4</v>
      </c>
      <c r="E51" s="432" t="s">
        <v>50</v>
      </c>
      <c r="F51" s="433"/>
    </row>
    <row r="52" spans="1:6" s="304" customFormat="1" ht="15.5">
      <c r="A52" s="428">
        <f>SUBTOTAL(103,$C$5:C52)</f>
        <v>48</v>
      </c>
      <c r="B52" s="430"/>
      <c r="C52" s="430" t="s">
        <v>471</v>
      </c>
      <c r="D52" s="434" t="s">
        <v>170</v>
      </c>
      <c r="E52" s="432" t="s">
        <v>50</v>
      </c>
      <c r="F52" s="433"/>
    </row>
    <row r="53" spans="1:6" s="304" customFormat="1" ht="15.5">
      <c r="A53" s="428">
        <f>SUBTOTAL(103,$C$5:C53)</f>
        <v>49</v>
      </c>
      <c r="B53" s="430"/>
      <c r="C53" s="430" t="s">
        <v>472</v>
      </c>
      <c r="D53" s="434" t="s">
        <v>2</v>
      </c>
      <c r="E53" s="432" t="s">
        <v>50</v>
      </c>
      <c r="F53" s="433"/>
    </row>
    <row r="54" spans="1:6" s="304" customFormat="1" ht="15.5">
      <c r="A54" s="428">
        <f>SUBTOTAL(103,$C$5:C54)</f>
        <v>50</v>
      </c>
      <c r="B54" s="430"/>
      <c r="C54" s="430" t="s">
        <v>473</v>
      </c>
      <c r="D54" s="434" t="s">
        <v>79</v>
      </c>
      <c r="E54" s="432" t="s">
        <v>50</v>
      </c>
      <c r="F54" s="433"/>
    </row>
    <row r="55" spans="1:6" s="304" customFormat="1" ht="15.5">
      <c r="A55" s="428">
        <f>SUBTOTAL(103,$C$5:C55)</f>
        <v>51</v>
      </c>
      <c r="B55" s="430"/>
      <c r="C55" s="430" t="s">
        <v>474</v>
      </c>
      <c r="D55" s="434" t="s">
        <v>170</v>
      </c>
      <c r="E55" s="432" t="s">
        <v>50</v>
      </c>
      <c r="F55" s="433"/>
    </row>
    <row r="56" spans="1:6" s="304" customFormat="1" ht="15.5">
      <c r="A56" s="428">
        <f>SUBTOTAL(103,$C$5:C56)</f>
        <v>52</v>
      </c>
      <c r="B56" s="430"/>
      <c r="C56" s="430" t="s">
        <v>475</v>
      </c>
      <c r="D56" s="434" t="s">
        <v>154</v>
      </c>
      <c r="E56" s="432" t="s">
        <v>50</v>
      </c>
      <c r="F56" s="433"/>
    </row>
    <row r="57" spans="1:6" s="304" customFormat="1" ht="15.5">
      <c r="A57" s="428">
        <f>SUBTOTAL(103,$C$5:C57)</f>
        <v>53</v>
      </c>
      <c r="B57" s="430"/>
      <c r="C57" s="430" t="s">
        <v>490</v>
      </c>
      <c r="D57" s="434" t="s">
        <v>170</v>
      </c>
      <c r="E57" s="432" t="s">
        <v>50</v>
      </c>
      <c r="F57" s="433"/>
    </row>
    <row r="58" spans="1:6" s="304" customFormat="1" ht="15.5">
      <c r="A58" s="428">
        <f>SUBTOTAL(103,$C$5:C58)</f>
        <v>54</v>
      </c>
      <c r="B58" s="429" t="s">
        <v>540</v>
      </c>
      <c r="C58" s="430" t="s">
        <v>261</v>
      </c>
      <c r="D58" s="434" t="s">
        <v>184</v>
      </c>
      <c r="E58" s="432" t="s">
        <v>50</v>
      </c>
      <c r="F58" s="433"/>
    </row>
    <row r="59" spans="1:6" s="304" customFormat="1" ht="15.5">
      <c r="A59" s="428">
        <f>SUBTOTAL(103,$C$5:C59)</f>
        <v>55</v>
      </c>
      <c r="B59" s="430"/>
      <c r="C59" s="430" t="s">
        <v>476</v>
      </c>
      <c r="D59" s="434" t="s">
        <v>4</v>
      </c>
      <c r="E59" s="432" t="s">
        <v>50</v>
      </c>
      <c r="F59" s="433"/>
    </row>
    <row r="60" spans="1:6" s="304" customFormat="1" ht="15.5">
      <c r="A60" s="428">
        <f>SUBTOTAL(103,$C$5:C60)</f>
        <v>56</v>
      </c>
      <c r="B60" s="430"/>
      <c r="C60" s="430" t="s">
        <v>477</v>
      </c>
      <c r="D60" s="434" t="s">
        <v>79</v>
      </c>
      <c r="E60" s="432" t="s">
        <v>50</v>
      </c>
      <c r="F60" s="433"/>
    </row>
    <row r="61" spans="1:6" s="304" customFormat="1" ht="15.5">
      <c r="A61" s="428">
        <f>SUBTOTAL(103,$C$5:C61)</f>
        <v>57</v>
      </c>
      <c r="B61" s="430"/>
      <c r="C61" s="430" t="s">
        <v>478</v>
      </c>
      <c r="D61" s="434" t="s">
        <v>49</v>
      </c>
      <c r="E61" s="432" t="s">
        <v>50</v>
      </c>
      <c r="F61" s="433"/>
    </row>
    <row r="62" spans="1:6" s="304" customFormat="1" ht="15.5">
      <c r="A62" s="428">
        <f>SUBTOTAL(103,$C$5:C62)</f>
        <v>58</v>
      </c>
      <c r="B62" s="430"/>
      <c r="C62" s="430" t="s">
        <v>479</v>
      </c>
      <c r="D62" s="434" t="s">
        <v>79</v>
      </c>
      <c r="E62" s="432" t="s">
        <v>50</v>
      </c>
      <c r="F62" s="433"/>
    </row>
    <row r="63" spans="1:6" s="304" customFormat="1" ht="15.5">
      <c r="A63" s="428">
        <f>SUBTOTAL(103,$C$5:C63)</f>
        <v>59</v>
      </c>
      <c r="B63" s="430"/>
      <c r="C63" s="430" t="s">
        <v>480</v>
      </c>
      <c r="D63" s="434" t="s">
        <v>79</v>
      </c>
      <c r="E63" s="432" t="s">
        <v>50</v>
      </c>
      <c r="F63" s="433"/>
    </row>
    <row r="64" spans="1:6" s="304" customFormat="1" ht="15.5">
      <c r="A64" s="428">
        <f>SUBTOTAL(103,$C$5:C64)</f>
        <v>60</v>
      </c>
      <c r="B64" s="430"/>
      <c r="C64" s="430" t="s">
        <v>481</v>
      </c>
      <c r="D64" s="434" t="s">
        <v>154</v>
      </c>
      <c r="E64" s="432" t="s">
        <v>50</v>
      </c>
      <c r="F64" s="433"/>
    </row>
    <row r="65" spans="1:6" s="304" customFormat="1" ht="15.5">
      <c r="A65" s="428">
        <f>SUBTOTAL(103,$C$5:C65)</f>
        <v>61</v>
      </c>
      <c r="B65" s="429" t="s">
        <v>541</v>
      </c>
      <c r="C65" s="435" t="s">
        <v>491</v>
      </c>
      <c r="D65" s="434" t="s">
        <v>227</v>
      </c>
      <c r="E65" s="432" t="s">
        <v>50</v>
      </c>
      <c r="F65" s="433"/>
    </row>
    <row r="66" spans="1:6" s="304" customFormat="1" ht="15.5">
      <c r="A66" s="428">
        <f>SUBTOTAL(103,$C$5:C66)</f>
        <v>62</v>
      </c>
      <c r="B66" s="430"/>
      <c r="C66" s="430" t="s">
        <v>492</v>
      </c>
      <c r="D66" s="434" t="s">
        <v>170</v>
      </c>
      <c r="E66" s="432" t="s">
        <v>50</v>
      </c>
      <c r="F66" s="433"/>
    </row>
    <row r="67" spans="1:6" s="304" customFormat="1" ht="15.5">
      <c r="A67" s="428">
        <f>SUBTOTAL(103,$C$5:C67)</f>
        <v>63</v>
      </c>
      <c r="B67" s="430"/>
      <c r="C67" s="430" t="s">
        <v>493</v>
      </c>
      <c r="D67" s="434" t="s">
        <v>2</v>
      </c>
      <c r="E67" s="432" t="s">
        <v>50</v>
      </c>
      <c r="F67" s="433"/>
    </row>
    <row r="68" spans="1:6" s="304" customFormat="1" ht="15.5">
      <c r="A68" s="428">
        <f>SUBTOTAL(103,$C$5:C68)</f>
        <v>64</v>
      </c>
      <c r="B68" s="430"/>
      <c r="C68" s="430" t="s">
        <v>494</v>
      </c>
      <c r="D68" s="434" t="s">
        <v>2</v>
      </c>
      <c r="E68" s="432" t="s">
        <v>50</v>
      </c>
      <c r="F68" s="433"/>
    </row>
    <row r="69" spans="1:6" s="304" customFormat="1" ht="15.5">
      <c r="A69" s="428">
        <f>SUBTOTAL(103,$C$5:C69)</f>
        <v>65</v>
      </c>
      <c r="B69" s="430"/>
      <c r="C69" s="430" t="s">
        <v>495</v>
      </c>
      <c r="D69" s="434" t="s">
        <v>2</v>
      </c>
      <c r="E69" s="432" t="s">
        <v>50</v>
      </c>
      <c r="F69" s="433"/>
    </row>
    <row r="70" spans="1:6" s="304" customFormat="1" ht="15.5">
      <c r="A70" s="428">
        <f>SUBTOTAL(103,$C$5:C70)</f>
        <v>66</v>
      </c>
      <c r="B70" s="430"/>
      <c r="C70" s="430" t="s">
        <v>496</v>
      </c>
      <c r="D70" s="434" t="s">
        <v>2</v>
      </c>
      <c r="E70" s="432" t="s">
        <v>50</v>
      </c>
      <c r="F70" s="433"/>
    </row>
    <row r="71" spans="1:6" s="304" customFormat="1" ht="15.5">
      <c r="A71" s="428">
        <f>SUBTOTAL(103,$C$5:C71)</f>
        <v>67</v>
      </c>
      <c r="B71" s="429" t="s">
        <v>542</v>
      </c>
      <c r="C71" s="435" t="s">
        <v>262</v>
      </c>
      <c r="D71" s="434" t="s">
        <v>197</v>
      </c>
      <c r="E71" s="432" t="s">
        <v>50</v>
      </c>
      <c r="F71" s="433"/>
    </row>
    <row r="72" spans="1:6" s="304" customFormat="1" ht="15.5">
      <c r="A72" s="428">
        <f>SUBTOTAL(103,$C$5:C72)</f>
        <v>68</v>
      </c>
      <c r="B72" s="430"/>
      <c r="C72" s="430" t="s">
        <v>390</v>
      </c>
      <c r="D72" s="434" t="s">
        <v>4</v>
      </c>
      <c r="E72" s="432" t="s">
        <v>50</v>
      </c>
      <c r="F72" s="433"/>
    </row>
    <row r="73" spans="1:6" s="304" customFormat="1" ht="15.5">
      <c r="A73" s="428">
        <f>SUBTOTAL(103,$C$5:C73)</f>
        <v>69</v>
      </c>
      <c r="B73" s="430"/>
      <c r="C73" s="430" t="s">
        <v>391</v>
      </c>
      <c r="D73" s="434" t="s">
        <v>79</v>
      </c>
      <c r="E73" s="432" t="s">
        <v>50</v>
      </c>
      <c r="F73" s="433"/>
    </row>
    <row r="74" spans="1:6" s="304" customFormat="1" ht="15.5">
      <c r="A74" s="428">
        <f>SUBTOTAL(103,$C$5:C74)</f>
        <v>70</v>
      </c>
      <c r="B74" s="430"/>
      <c r="C74" s="430" t="s">
        <v>392</v>
      </c>
      <c r="D74" s="434" t="s">
        <v>49</v>
      </c>
      <c r="E74" s="432" t="s">
        <v>50</v>
      </c>
      <c r="F74" s="433"/>
    </row>
    <row r="75" spans="1:6" s="304" customFormat="1" ht="15.5">
      <c r="A75" s="428">
        <f>SUBTOTAL(103,$C$5:C75)</f>
        <v>71</v>
      </c>
      <c r="B75" s="430"/>
      <c r="C75" s="430" t="s">
        <v>393</v>
      </c>
      <c r="D75" s="434" t="s">
        <v>79</v>
      </c>
      <c r="E75" s="432" t="s">
        <v>50</v>
      </c>
      <c r="F75" s="433"/>
    </row>
    <row r="76" spans="1:6" s="304" customFormat="1" ht="15.5">
      <c r="A76" s="428">
        <f>SUBTOTAL(103,$C$5:C76)</f>
        <v>72</v>
      </c>
      <c r="B76" s="430"/>
      <c r="C76" s="430" t="s">
        <v>394</v>
      </c>
      <c r="D76" s="434" t="s">
        <v>49</v>
      </c>
      <c r="E76" s="432" t="s">
        <v>50</v>
      </c>
      <c r="F76" s="433"/>
    </row>
    <row r="77" spans="1:6" s="304" customFormat="1" ht="15.5">
      <c r="A77" s="428">
        <f>SUBTOTAL(103,$C$5:C77)</f>
        <v>73</v>
      </c>
      <c r="B77" s="430"/>
      <c r="C77" s="430" t="s">
        <v>395</v>
      </c>
      <c r="D77" s="434" t="s">
        <v>2</v>
      </c>
      <c r="E77" s="432" t="s">
        <v>50</v>
      </c>
      <c r="F77" s="433"/>
    </row>
    <row r="78" spans="1:6" s="304" customFormat="1" ht="15.5">
      <c r="A78" s="428">
        <f>SUBTOTAL(103,$C$5:C78)</f>
        <v>74</v>
      </c>
      <c r="B78" s="430"/>
      <c r="C78" s="430" t="s">
        <v>396</v>
      </c>
      <c r="D78" s="434" t="s">
        <v>2</v>
      </c>
      <c r="E78" s="432" t="s">
        <v>50</v>
      </c>
      <c r="F78" s="433"/>
    </row>
    <row r="79" spans="1:6" s="304" customFormat="1" ht="15.5">
      <c r="A79" s="428">
        <f>SUBTOTAL(103,$C$5:C79)</f>
        <v>75</v>
      </c>
      <c r="B79" s="430"/>
      <c r="C79" s="430" t="s">
        <v>397</v>
      </c>
      <c r="D79" s="434" t="s">
        <v>49</v>
      </c>
      <c r="E79" s="432" t="s">
        <v>50</v>
      </c>
      <c r="F79" s="433"/>
    </row>
    <row r="80" spans="1:6" s="304" customFormat="1" ht="15.5">
      <c r="A80" s="428">
        <f>SUBTOTAL(103,$C$5:C80)</f>
        <v>76</v>
      </c>
      <c r="B80" s="430"/>
      <c r="C80" s="430" t="s">
        <v>398</v>
      </c>
      <c r="D80" s="434" t="s">
        <v>2</v>
      </c>
      <c r="E80" s="432" t="s">
        <v>50</v>
      </c>
      <c r="F80" s="433"/>
    </row>
    <row r="81" spans="1:6" s="304" customFormat="1" ht="15.5">
      <c r="A81" s="428">
        <f>SUBTOTAL(103,$C$5:C81)</f>
        <v>77</v>
      </c>
      <c r="B81" s="430"/>
      <c r="C81" s="430" t="s">
        <v>399</v>
      </c>
      <c r="D81" s="434" t="s">
        <v>3</v>
      </c>
      <c r="E81" s="432" t="s">
        <v>50</v>
      </c>
      <c r="F81" s="433"/>
    </row>
    <row r="82" spans="1:6" s="304" customFormat="1" ht="15.5">
      <c r="A82" s="428">
        <f>SUBTOTAL(103,$C$5:C82)</f>
        <v>78</v>
      </c>
      <c r="B82" s="430"/>
      <c r="C82" s="430" t="s">
        <v>400</v>
      </c>
      <c r="D82" s="434" t="s">
        <v>49</v>
      </c>
      <c r="E82" s="432" t="s">
        <v>50</v>
      </c>
      <c r="F82" s="433"/>
    </row>
    <row r="83" spans="1:6" s="304" customFormat="1" ht="15.5">
      <c r="A83" s="428">
        <f>SUBTOTAL(103,$C$5:C83)</f>
        <v>79</v>
      </c>
      <c r="B83" s="429" t="s">
        <v>543</v>
      </c>
      <c r="C83" s="430" t="s">
        <v>482</v>
      </c>
      <c r="D83" s="434" t="s">
        <v>401</v>
      </c>
      <c r="E83" s="432" t="s">
        <v>50</v>
      </c>
      <c r="F83" s="433"/>
    </row>
    <row r="84" spans="1:6" s="304" customFormat="1" ht="15.5">
      <c r="A84" s="428">
        <f>SUBTOTAL(103,$C$5:C84)</f>
        <v>80</v>
      </c>
      <c r="B84" s="429" t="s">
        <v>544</v>
      </c>
      <c r="C84" s="430" t="s">
        <v>263</v>
      </c>
      <c r="D84" s="434" t="s">
        <v>401</v>
      </c>
      <c r="E84" s="432" t="s">
        <v>50</v>
      </c>
      <c r="F84" s="433"/>
    </row>
    <row r="85" spans="1:6" s="304" customFormat="1" ht="15.5">
      <c r="A85" s="428">
        <f>SUBTOTAL(103,$C$5:C85)</f>
        <v>81</v>
      </c>
      <c r="B85" s="430"/>
      <c r="C85" s="430" t="s">
        <v>402</v>
      </c>
      <c r="D85" s="434" t="s">
        <v>2</v>
      </c>
      <c r="E85" s="432" t="s">
        <v>50</v>
      </c>
      <c r="F85" s="433"/>
    </row>
    <row r="86" spans="1:6" s="304" customFormat="1" ht="15.5">
      <c r="A86" s="428">
        <f>SUBTOTAL(103,$C$5:C86)</f>
        <v>82</v>
      </c>
      <c r="B86" s="430"/>
      <c r="C86" s="430" t="s">
        <v>404</v>
      </c>
      <c r="D86" s="434" t="s">
        <v>2</v>
      </c>
      <c r="E86" s="432" t="s">
        <v>50</v>
      </c>
      <c r="F86" s="433"/>
    </row>
    <row r="87" spans="1:6" s="304" customFormat="1" ht="15.5">
      <c r="A87" s="428">
        <f>SUBTOTAL(103,$C$5:C87)</f>
        <v>83</v>
      </c>
      <c r="B87" s="430"/>
      <c r="C87" s="430" t="s">
        <v>405</v>
      </c>
      <c r="D87" s="434" t="s">
        <v>3</v>
      </c>
      <c r="E87" s="432" t="s">
        <v>50</v>
      </c>
      <c r="F87" s="433"/>
    </row>
    <row r="88" spans="1:6" s="304" customFormat="1" ht="15.5">
      <c r="A88" s="428">
        <f>SUBTOTAL(103,$C$5:C88)</f>
        <v>84</v>
      </c>
      <c r="B88" s="430"/>
      <c r="C88" s="430" t="s">
        <v>368</v>
      </c>
      <c r="D88" s="434" t="s">
        <v>79</v>
      </c>
      <c r="E88" s="432" t="s">
        <v>50</v>
      </c>
      <c r="F88" s="433"/>
    </row>
    <row r="89" spans="1:6" s="304" customFormat="1" ht="15.5">
      <c r="A89" s="428">
        <f>SUBTOTAL(103,$C$5:C89)</f>
        <v>85</v>
      </c>
      <c r="B89" s="430"/>
      <c r="C89" s="430" t="s">
        <v>369</v>
      </c>
      <c r="D89" s="434" t="s">
        <v>2</v>
      </c>
      <c r="E89" s="432" t="s">
        <v>50</v>
      </c>
      <c r="F89" s="433"/>
    </row>
    <row r="90" spans="1:6" s="304" customFormat="1" ht="15.5">
      <c r="A90" s="428">
        <f>SUBTOTAL(103,$C$5:C90)</f>
        <v>86</v>
      </c>
      <c r="B90" s="430"/>
      <c r="C90" s="430" t="s">
        <v>370</v>
      </c>
      <c r="D90" s="434" t="s">
        <v>2</v>
      </c>
      <c r="E90" s="432" t="s">
        <v>50</v>
      </c>
      <c r="F90" s="433"/>
    </row>
    <row r="91" spans="1:6" s="304" customFormat="1" ht="15.5">
      <c r="A91" s="428">
        <f>SUBTOTAL(103,$C$5:C91)</f>
        <v>87</v>
      </c>
      <c r="B91" s="430"/>
      <c r="C91" s="430" t="s">
        <v>406</v>
      </c>
      <c r="D91" s="434" t="s">
        <v>49</v>
      </c>
      <c r="E91" s="432" t="s">
        <v>50</v>
      </c>
      <c r="F91" s="433"/>
    </row>
    <row r="92" spans="1:6" s="304" customFormat="1" ht="15.5">
      <c r="A92" s="428">
        <f>SUBTOTAL(103,$C$5:C92)</f>
        <v>88</v>
      </c>
      <c r="B92" s="430"/>
      <c r="C92" s="430" t="s">
        <v>407</v>
      </c>
      <c r="D92" s="434" t="s">
        <v>3</v>
      </c>
      <c r="E92" s="432" t="s">
        <v>50</v>
      </c>
      <c r="F92" s="433"/>
    </row>
    <row r="93" spans="1:6" s="304" customFormat="1" ht="15.5">
      <c r="A93" s="428">
        <f>SUBTOTAL(103,$C$5:C93)</f>
        <v>89</v>
      </c>
      <c r="B93" s="430"/>
      <c r="C93" s="430" t="s">
        <v>408</v>
      </c>
      <c r="D93" s="434" t="s">
        <v>3</v>
      </c>
      <c r="E93" s="432" t="s">
        <v>50</v>
      </c>
      <c r="F93" s="433"/>
    </row>
    <row r="94" spans="1:6" s="304" customFormat="1" ht="15.5">
      <c r="A94" s="428">
        <f>SUBTOTAL(103,$C$5:C94)</f>
        <v>90</v>
      </c>
      <c r="B94" s="430"/>
      <c r="C94" s="430" t="s">
        <v>409</v>
      </c>
      <c r="D94" s="434" t="s">
        <v>2</v>
      </c>
      <c r="E94" s="432" t="s">
        <v>50</v>
      </c>
      <c r="F94" s="433"/>
    </row>
    <row r="95" spans="1:6" s="304" customFormat="1" ht="15.5">
      <c r="A95" s="428">
        <f>SUBTOTAL(103,$C$5:C95)</f>
        <v>91</v>
      </c>
      <c r="B95" s="430"/>
      <c r="C95" s="430" t="s">
        <v>410</v>
      </c>
      <c r="D95" s="434" t="s">
        <v>2</v>
      </c>
      <c r="E95" s="432" t="s">
        <v>50</v>
      </c>
      <c r="F95" s="433"/>
    </row>
    <row r="96" spans="1:6" s="304" customFormat="1" ht="15.5">
      <c r="A96" s="428">
        <f>SUBTOTAL(103,$C$5:C96)</f>
        <v>92</v>
      </c>
      <c r="B96" s="429" t="s">
        <v>545</v>
      </c>
      <c r="C96" s="430" t="s">
        <v>264</v>
      </c>
      <c r="D96" s="434" t="s">
        <v>227</v>
      </c>
      <c r="E96" s="432" t="s">
        <v>50</v>
      </c>
      <c r="F96" s="433"/>
    </row>
    <row r="97" spans="1:6" s="304" customFormat="1" ht="15.5">
      <c r="A97" s="428">
        <f>SUBTOTAL(103,$C$5:C97)</f>
        <v>93</v>
      </c>
      <c r="B97" s="430"/>
      <c r="C97" s="430" t="s">
        <v>411</v>
      </c>
      <c r="D97" s="434" t="s">
        <v>2</v>
      </c>
      <c r="E97" s="432" t="s">
        <v>50</v>
      </c>
      <c r="F97" s="433"/>
    </row>
    <row r="98" spans="1:6" s="304" customFormat="1" ht="15.5">
      <c r="A98" s="428">
        <f>SUBTOTAL(103,$C$5:C98)</f>
        <v>94</v>
      </c>
      <c r="B98" s="430"/>
      <c r="C98" s="430" t="s">
        <v>412</v>
      </c>
      <c r="D98" s="434" t="s">
        <v>2</v>
      </c>
      <c r="E98" s="432" t="s">
        <v>50</v>
      </c>
      <c r="F98" s="433"/>
    </row>
    <row r="99" spans="1:6" s="304" customFormat="1" ht="15.5">
      <c r="A99" s="428">
        <f>SUBTOTAL(103,$C$5:C99)</f>
        <v>95</v>
      </c>
      <c r="B99" s="429" t="s">
        <v>546</v>
      </c>
      <c r="C99" s="430" t="s">
        <v>265</v>
      </c>
      <c r="D99" s="434" t="s">
        <v>178</v>
      </c>
      <c r="E99" s="432" t="s">
        <v>653</v>
      </c>
      <c r="F99" s="433" t="s">
        <v>1068</v>
      </c>
    </row>
    <row r="100" spans="1:6" s="304" customFormat="1" ht="15.5">
      <c r="A100" s="428">
        <f>SUBTOTAL(103,$C$5:C100)</f>
        <v>96</v>
      </c>
      <c r="B100" s="429" t="s">
        <v>547</v>
      </c>
      <c r="C100" s="430" t="s">
        <v>266</v>
      </c>
      <c r="D100" s="434" t="s">
        <v>211</v>
      </c>
      <c r="E100" s="432" t="s">
        <v>1174</v>
      </c>
      <c r="F100" s="433" t="s">
        <v>1067</v>
      </c>
    </row>
    <row r="101" spans="1:6" s="304" customFormat="1" ht="15.5">
      <c r="A101" s="428">
        <f>SUBTOTAL(103,$C$5:C101)</f>
        <v>97</v>
      </c>
      <c r="B101" s="429" t="s">
        <v>548</v>
      </c>
      <c r="C101" s="430" t="s">
        <v>267</v>
      </c>
      <c r="D101" s="434" t="s">
        <v>209</v>
      </c>
      <c r="E101" s="432" t="s">
        <v>653</v>
      </c>
      <c r="F101" s="433" t="s">
        <v>1067</v>
      </c>
    </row>
    <row r="102" spans="1:6" s="304" customFormat="1" ht="15.5">
      <c r="A102" s="428">
        <f>SUBTOTAL(103,$C$5:C102)</f>
        <v>98</v>
      </c>
      <c r="B102" s="429" t="s">
        <v>654</v>
      </c>
      <c r="C102" s="430" t="s">
        <v>483</v>
      </c>
      <c r="D102" s="434" t="s">
        <v>211</v>
      </c>
      <c r="E102" s="432" t="s">
        <v>50</v>
      </c>
      <c r="F102" s="433"/>
    </row>
    <row r="103" spans="1:6" s="304" customFormat="1" ht="15.5">
      <c r="A103" s="428">
        <f>SUBTOTAL(103,$C$5:C103)</f>
        <v>99</v>
      </c>
      <c r="B103" s="429" t="s">
        <v>549</v>
      </c>
      <c r="C103" s="430" t="s">
        <v>11</v>
      </c>
      <c r="D103" s="434" t="s">
        <v>186</v>
      </c>
      <c r="E103" s="432" t="s">
        <v>653</v>
      </c>
      <c r="F103" s="433" t="s">
        <v>1067</v>
      </c>
    </row>
    <row r="104" spans="1:6" s="304" customFormat="1" ht="15.5">
      <c r="A104" s="428">
        <f>SUBTOTAL(103,$C$5:C104)</f>
        <v>100</v>
      </c>
      <c r="B104" s="429" t="s">
        <v>550</v>
      </c>
      <c r="C104" s="430" t="s">
        <v>167</v>
      </c>
      <c r="D104" s="434" t="s">
        <v>218</v>
      </c>
      <c r="E104" s="432" t="s">
        <v>653</v>
      </c>
      <c r="F104" s="433" t="s">
        <v>1067</v>
      </c>
    </row>
    <row r="105" spans="1:6" s="304" customFormat="1" ht="15.5">
      <c r="A105" s="428">
        <f>SUBTOTAL(103,$C$5:C105)</f>
        <v>101</v>
      </c>
      <c r="B105" s="430"/>
      <c r="C105" s="430" t="s">
        <v>308</v>
      </c>
      <c r="D105" s="434" t="s">
        <v>79</v>
      </c>
      <c r="E105" s="432" t="s">
        <v>50</v>
      </c>
      <c r="F105" s="433"/>
    </row>
    <row r="106" spans="1:6" s="304" customFormat="1" ht="15.5">
      <c r="A106" s="428">
        <f>SUBTOTAL(103,$C$5:C106)</f>
        <v>102</v>
      </c>
      <c r="B106" s="430"/>
      <c r="C106" s="430" t="s">
        <v>413</v>
      </c>
      <c r="D106" s="434" t="s">
        <v>2</v>
      </c>
      <c r="E106" s="432" t="s">
        <v>50</v>
      </c>
      <c r="F106" s="433"/>
    </row>
    <row r="107" spans="1:6" s="304" customFormat="1" ht="15.5">
      <c r="A107" s="428">
        <f>SUBTOTAL(103,$C$5:C107)</f>
        <v>103</v>
      </c>
      <c r="B107" s="430"/>
      <c r="C107" s="430" t="s">
        <v>414</v>
      </c>
      <c r="D107" s="434" t="s">
        <v>2</v>
      </c>
      <c r="E107" s="432" t="s">
        <v>50</v>
      </c>
      <c r="F107" s="433"/>
    </row>
    <row r="108" spans="1:6" s="304" customFormat="1" ht="15.5">
      <c r="A108" s="428">
        <f>SUBTOTAL(103,$C$5:C108)</f>
        <v>104</v>
      </c>
      <c r="B108" s="430"/>
      <c r="C108" s="430" t="s">
        <v>415</v>
      </c>
      <c r="D108" s="434" t="s">
        <v>79</v>
      </c>
      <c r="E108" s="432" t="s">
        <v>50</v>
      </c>
      <c r="F108" s="433"/>
    </row>
    <row r="109" spans="1:6" s="304" customFormat="1" ht="15.5">
      <c r="A109" s="428">
        <f>SUBTOTAL(103,$C$5:C109)</f>
        <v>105</v>
      </c>
      <c r="B109" s="430"/>
      <c r="C109" s="430" t="s">
        <v>416</v>
      </c>
      <c r="D109" s="434" t="s">
        <v>2</v>
      </c>
      <c r="E109" s="432" t="s">
        <v>50</v>
      </c>
      <c r="F109" s="433"/>
    </row>
    <row r="110" spans="1:6" s="304" customFormat="1" ht="15.5">
      <c r="A110" s="428">
        <f>SUBTOTAL(103,$C$5:C110)</f>
        <v>106</v>
      </c>
      <c r="B110" s="430"/>
      <c r="C110" s="430" t="s">
        <v>417</v>
      </c>
      <c r="D110" s="434" t="s">
        <v>49</v>
      </c>
      <c r="E110" s="432" t="s">
        <v>50</v>
      </c>
      <c r="F110" s="433"/>
    </row>
    <row r="111" spans="1:6" s="304" customFormat="1" ht="15.5">
      <c r="A111" s="428">
        <f>SUBTOTAL(103,$C$5:C111)</f>
        <v>107</v>
      </c>
      <c r="B111" s="430"/>
      <c r="C111" s="430" t="s">
        <v>418</v>
      </c>
      <c r="D111" s="434" t="s">
        <v>3</v>
      </c>
      <c r="E111" s="432" t="s">
        <v>50</v>
      </c>
      <c r="F111" s="433"/>
    </row>
    <row r="112" spans="1:6" s="304" customFormat="1" ht="15.5">
      <c r="A112" s="428">
        <f>SUBTOTAL(103,$C$5:C112)</f>
        <v>108</v>
      </c>
      <c r="B112" s="430"/>
      <c r="C112" s="430" t="s">
        <v>419</v>
      </c>
      <c r="D112" s="434" t="s">
        <v>170</v>
      </c>
      <c r="E112" s="432" t="s">
        <v>50</v>
      </c>
      <c r="F112" s="433"/>
    </row>
    <row r="113" spans="1:6" s="304" customFormat="1" ht="15.5">
      <c r="A113" s="428">
        <f>SUBTOTAL(103,$C$5:C113)</f>
        <v>109</v>
      </c>
      <c r="B113" s="430"/>
      <c r="C113" s="430" t="s">
        <v>420</v>
      </c>
      <c r="D113" s="434" t="s">
        <v>3</v>
      </c>
      <c r="E113" s="432" t="s">
        <v>50</v>
      </c>
      <c r="F113" s="433"/>
    </row>
    <row r="114" spans="1:6" s="304" customFormat="1" ht="15.5">
      <c r="A114" s="428">
        <f>SUBTOTAL(103,$C$5:C114)</f>
        <v>110</v>
      </c>
      <c r="B114" s="430"/>
      <c r="C114" s="430" t="s">
        <v>421</v>
      </c>
      <c r="D114" s="434" t="s">
        <v>154</v>
      </c>
      <c r="E114" s="432" t="s">
        <v>50</v>
      </c>
      <c r="F114" s="433"/>
    </row>
    <row r="115" spans="1:6" s="304" customFormat="1" ht="15.5">
      <c r="A115" s="428">
        <f>SUBTOTAL(103,$C$5:C115)</f>
        <v>111</v>
      </c>
      <c r="B115" s="430"/>
      <c r="C115" s="430" t="s">
        <v>422</v>
      </c>
      <c r="D115" s="434" t="s">
        <v>3</v>
      </c>
      <c r="E115" s="432" t="s">
        <v>50</v>
      </c>
      <c r="F115" s="433"/>
    </row>
    <row r="116" spans="1:6" s="304" customFormat="1" ht="15.5">
      <c r="A116" s="428">
        <f>SUBTOTAL(103,$C$5:C116)</f>
        <v>112</v>
      </c>
      <c r="B116" s="430"/>
      <c r="C116" s="430" t="s">
        <v>423</v>
      </c>
      <c r="D116" s="434" t="s">
        <v>79</v>
      </c>
      <c r="E116" s="432" t="s">
        <v>50</v>
      </c>
      <c r="F116" s="433"/>
    </row>
    <row r="117" spans="1:6" s="304" customFormat="1" ht="15.5">
      <c r="A117" s="428">
        <f>SUBTOTAL(103,$C$5:C117)</f>
        <v>113</v>
      </c>
      <c r="B117" s="429" t="s">
        <v>551</v>
      </c>
      <c r="C117" s="430" t="s">
        <v>12</v>
      </c>
      <c r="D117" s="434" t="s">
        <v>173</v>
      </c>
      <c r="E117" s="432" t="s">
        <v>50</v>
      </c>
      <c r="F117" s="433"/>
    </row>
    <row r="118" spans="1:6" s="304" customFormat="1" ht="15.5">
      <c r="A118" s="428">
        <f>SUBTOTAL(103,$C$5:C118)</f>
        <v>114</v>
      </c>
      <c r="B118" s="429" t="s">
        <v>552</v>
      </c>
      <c r="C118" s="430" t="s">
        <v>13</v>
      </c>
      <c r="D118" s="434" t="s">
        <v>217</v>
      </c>
      <c r="E118" s="432" t="s">
        <v>50</v>
      </c>
      <c r="F118" s="433"/>
    </row>
    <row r="119" spans="1:6" s="304" customFormat="1" ht="15.5">
      <c r="A119" s="428">
        <f>SUBTOTAL(103,$C$5:C119)</f>
        <v>115</v>
      </c>
      <c r="B119" s="429" t="s">
        <v>553</v>
      </c>
      <c r="C119" s="430" t="s">
        <v>51</v>
      </c>
      <c r="D119" s="434" t="s">
        <v>229</v>
      </c>
      <c r="E119" s="432" t="s">
        <v>50</v>
      </c>
      <c r="F119" s="433"/>
    </row>
    <row r="120" spans="1:6" s="304" customFormat="1" ht="15.5">
      <c r="A120" s="428">
        <f>SUBTOTAL(103,$C$5:C120)</f>
        <v>116</v>
      </c>
      <c r="B120" s="430"/>
      <c r="C120" s="430" t="s">
        <v>192</v>
      </c>
      <c r="D120" s="434" t="s">
        <v>2</v>
      </c>
      <c r="E120" s="432" t="s">
        <v>50</v>
      </c>
      <c r="F120" s="433"/>
    </row>
    <row r="121" spans="1:6" s="304" customFormat="1" ht="15.5">
      <c r="A121" s="428">
        <f>SUBTOTAL(103,$C$5:C121)</f>
        <v>117</v>
      </c>
      <c r="B121" s="430"/>
      <c r="C121" s="430" t="s">
        <v>193</v>
      </c>
      <c r="D121" s="434" t="s">
        <v>170</v>
      </c>
      <c r="E121" s="432" t="s">
        <v>50</v>
      </c>
      <c r="F121" s="433"/>
    </row>
    <row r="122" spans="1:6" s="304" customFormat="1" ht="15.5">
      <c r="A122" s="428">
        <f>SUBTOTAL(103,$C$5:C122)</f>
        <v>118</v>
      </c>
      <c r="B122" s="430"/>
      <c r="C122" s="430" t="s">
        <v>254</v>
      </c>
      <c r="D122" s="434" t="s">
        <v>79</v>
      </c>
      <c r="E122" s="432" t="s">
        <v>50</v>
      </c>
      <c r="F122" s="433"/>
    </row>
    <row r="123" spans="1:6" s="304" customFormat="1" ht="15.5">
      <c r="A123" s="428">
        <f>SUBTOTAL(103,$C$5:C123)</f>
        <v>119</v>
      </c>
      <c r="B123" s="430"/>
      <c r="C123" s="430" t="s">
        <v>253</v>
      </c>
      <c r="D123" s="434" t="s">
        <v>4</v>
      </c>
      <c r="E123" s="432" t="s">
        <v>50</v>
      </c>
      <c r="F123" s="433"/>
    </row>
    <row r="124" spans="1:6" s="304" customFormat="1" ht="15.5">
      <c r="A124" s="428">
        <f>SUBTOTAL(103,$C$5:C124)</f>
        <v>120</v>
      </c>
      <c r="B124" s="430"/>
      <c r="C124" s="430" t="s">
        <v>252</v>
      </c>
      <c r="D124" s="434" t="s">
        <v>3</v>
      </c>
      <c r="E124" s="432" t="s">
        <v>50</v>
      </c>
      <c r="F124" s="433"/>
    </row>
    <row r="125" spans="1:6" s="304" customFormat="1" ht="15.5">
      <c r="A125" s="428">
        <f>SUBTOTAL(103,$C$5:C125)</f>
        <v>121</v>
      </c>
      <c r="B125" s="430"/>
      <c r="C125" s="430" t="s">
        <v>251</v>
      </c>
      <c r="D125" s="434" t="s">
        <v>49</v>
      </c>
      <c r="E125" s="432" t="s">
        <v>50</v>
      </c>
      <c r="F125" s="433"/>
    </row>
    <row r="126" spans="1:6" s="304" customFormat="1" ht="15.5">
      <c r="A126" s="428">
        <f>SUBTOTAL(103,$C$5:C126)</f>
        <v>122</v>
      </c>
      <c r="B126" s="430"/>
      <c r="C126" s="430" t="s">
        <v>424</v>
      </c>
      <c r="D126" s="434" t="s">
        <v>170</v>
      </c>
      <c r="E126" s="432" t="s">
        <v>50</v>
      </c>
      <c r="F126" s="433"/>
    </row>
    <row r="127" spans="1:6" s="304" customFormat="1" ht="15.5">
      <c r="A127" s="428">
        <f>SUBTOTAL(103,$C$5:C127)</f>
        <v>123</v>
      </c>
      <c r="B127" s="429" t="s">
        <v>554</v>
      </c>
      <c r="C127" s="430" t="s">
        <v>52</v>
      </c>
      <c r="D127" s="434" t="s">
        <v>213</v>
      </c>
      <c r="E127" s="432" t="s">
        <v>653</v>
      </c>
      <c r="F127" s="433" t="s">
        <v>1066</v>
      </c>
    </row>
    <row r="128" spans="1:6" s="304" customFormat="1" ht="15.5">
      <c r="A128" s="428">
        <f>SUBTOTAL(103,$C$5:C128)</f>
        <v>124</v>
      </c>
      <c r="B128" s="429" t="s">
        <v>555</v>
      </c>
      <c r="C128" s="430" t="s">
        <v>53</v>
      </c>
      <c r="D128" s="434" t="s">
        <v>213</v>
      </c>
      <c r="E128" s="432" t="s">
        <v>653</v>
      </c>
      <c r="F128" s="433" t="s">
        <v>1066</v>
      </c>
    </row>
    <row r="129" spans="1:6" s="304" customFormat="1" ht="15.5">
      <c r="A129" s="428">
        <f>SUBTOTAL(103,$C$5:C129)</f>
        <v>125</v>
      </c>
      <c r="B129" s="430"/>
      <c r="C129" s="430" t="s">
        <v>174</v>
      </c>
      <c r="D129" s="434" t="s">
        <v>4</v>
      </c>
      <c r="E129" s="432" t="s">
        <v>50</v>
      </c>
      <c r="F129" s="433"/>
    </row>
    <row r="130" spans="1:6" s="304" customFormat="1" ht="15.5">
      <c r="A130" s="428">
        <f>SUBTOTAL(103,$C$5:C130)</f>
        <v>126</v>
      </c>
      <c r="B130" s="430"/>
      <c r="C130" s="430" t="s">
        <v>175</v>
      </c>
      <c r="D130" s="434" t="s">
        <v>4</v>
      </c>
      <c r="E130" s="432" t="s">
        <v>50</v>
      </c>
      <c r="F130" s="433"/>
    </row>
    <row r="131" spans="1:6" s="304" customFormat="1" ht="15.5">
      <c r="A131" s="428">
        <f>SUBTOTAL(103,$C$5:C131)</f>
        <v>127</v>
      </c>
      <c r="B131" s="430"/>
      <c r="C131" s="430" t="s">
        <v>176</v>
      </c>
      <c r="D131" s="434" t="s">
        <v>170</v>
      </c>
      <c r="E131" s="432" t="s">
        <v>50</v>
      </c>
      <c r="F131" s="433"/>
    </row>
    <row r="132" spans="1:6" s="304" customFormat="1" ht="15.5">
      <c r="A132" s="428">
        <f>SUBTOTAL(103,$C$5:C132)</f>
        <v>128</v>
      </c>
      <c r="B132" s="430"/>
      <c r="C132" s="430" t="s">
        <v>177</v>
      </c>
      <c r="D132" s="434" t="s">
        <v>2</v>
      </c>
      <c r="E132" s="432" t="s">
        <v>50</v>
      </c>
      <c r="F132" s="433"/>
    </row>
    <row r="133" spans="1:6" s="304" customFormat="1" ht="15.5">
      <c r="A133" s="428">
        <f>SUBTOTAL(103,$C$5:C133)</f>
        <v>129</v>
      </c>
      <c r="B133" s="430"/>
      <c r="C133" s="430" t="s">
        <v>425</v>
      </c>
      <c r="D133" s="434" t="s">
        <v>3</v>
      </c>
      <c r="E133" s="432" t="s">
        <v>50</v>
      </c>
      <c r="F133" s="433"/>
    </row>
    <row r="134" spans="1:6" s="304" customFormat="1" ht="15.5">
      <c r="A134" s="428">
        <f>SUBTOTAL(103,$C$5:C134)</f>
        <v>130</v>
      </c>
      <c r="B134" s="430"/>
      <c r="C134" s="430" t="s">
        <v>426</v>
      </c>
      <c r="D134" s="434" t="s">
        <v>4</v>
      </c>
      <c r="E134" s="432" t="s">
        <v>50</v>
      </c>
      <c r="F134" s="433"/>
    </row>
    <row r="135" spans="1:6" s="304" customFormat="1" ht="15.5">
      <c r="A135" s="428">
        <f>SUBTOTAL(103,$C$5:C135)</f>
        <v>131</v>
      </c>
      <c r="B135" s="429" t="s">
        <v>556</v>
      </c>
      <c r="C135" s="430" t="s">
        <v>54</v>
      </c>
      <c r="D135" s="434" t="s">
        <v>197</v>
      </c>
      <c r="E135" s="432" t="s">
        <v>50</v>
      </c>
      <c r="F135" s="433"/>
    </row>
    <row r="136" spans="1:6" s="304" customFormat="1" ht="15.5">
      <c r="A136" s="428">
        <f>SUBTOTAL(103,$C$5:C136)</f>
        <v>132</v>
      </c>
      <c r="B136" s="430"/>
      <c r="C136" s="430" t="s">
        <v>179</v>
      </c>
      <c r="D136" s="434" t="s">
        <v>3</v>
      </c>
      <c r="E136" s="432" t="s">
        <v>50</v>
      </c>
      <c r="F136" s="433"/>
    </row>
    <row r="137" spans="1:6" s="304" customFormat="1" ht="15.5">
      <c r="A137" s="428">
        <f>SUBTOTAL(103,$C$5:C137)</f>
        <v>133</v>
      </c>
      <c r="B137" s="430"/>
      <c r="C137" s="430" t="s">
        <v>180</v>
      </c>
      <c r="D137" s="434" t="s">
        <v>79</v>
      </c>
      <c r="E137" s="432" t="s">
        <v>50</v>
      </c>
      <c r="F137" s="433"/>
    </row>
    <row r="138" spans="1:6" s="304" customFormat="1" ht="15.5">
      <c r="A138" s="428">
        <f>SUBTOTAL(103,$C$5:C138)</f>
        <v>134</v>
      </c>
      <c r="B138" s="430"/>
      <c r="C138" s="430" t="s">
        <v>181</v>
      </c>
      <c r="D138" s="434" t="s">
        <v>79</v>
      </c>
      <c r="E138" s="432" t="s">
        <v>50</v>
      </c>
      <c r="F138" s="433"/>
    </row>
    <row r="139" spans="1:6" s="304" customFormat="1" ht="15.5">
      <c r="A139" s="428">
        <f>SUBTOTAL(103,$C$5:C139)</f>
        <v>135</v>
      </c>
      <c r="B139" s="430"/>
      <c r="C139" s="430" t="s">
        <v>182</v>
      </c>
      <c r="D139" s="434" t="s">
        <v>3</v>
      </c>
      <c r="E139" s="432" t="s">
        <v>50</v>
      </c>
      <c r="F139" s="433"/>
    </row>
    <row r="140" spans="1:6" s="304" customFormat="1" ht="15.5">
      <c r="A140" s="428">
        <f>SUBTOTAL(103,$C$5:C140)</f>
        <v>136</v>
      </c>
      <c r="B140" s="430"/>
      <c r="C140" s="430" t="s">
        <v>427</v>
      </c>
      <c r="D140" s="434" t="s">
        <v>3</v>
      </c>
      <c r="E140" s="432" t="s">
        <v>50</v>
      </c>
      <c r="F140" s="433"/>
    </row>
    <row r="141" spans="1:6" s="304" customFormat="1" ht="15.5">
      <c r="A141" s="428">
        <f>SUBTOTAL(103,$C$5:C141)</f>
        <v>137</v>
      </c>
      <c r="B141" s="429" t="s">
        <v>557</v>
      </c>
      <c r="C141" s="430" t="s">
        <v>55</v>
      </c>
      <c r="D141" s="434" t="s">
        <v>428</v>
      </c>
      <c r="E141" s="432" t="s">
        <v>50</v>
      </c>
      <c r="F141" s="433" t="s">
        <v>1067</v>
      </c>
    </row>
    <row r="142" spans="1:6" s="304" customFormat="1" ht="15.5">
      <c r="A142" s="428">
        <f>SUBTOTAL(103,$C$5:C142)</f>
        <v>138</v>
      </c>
      <c r="B142" s="429" t="s">
        <v>558</v>
      </c>
      <c r="C142" s="430" t="s">
        <v>56</v>
      </c>
      <c r="D142" s="434" t="s">
        <v>215</v>
      </c>
      <c r="E142" s="432" t="s">
        <v>50</v>
      </c>
      <c r="F142" s="433" t="s">
        <v>1067</v>
      </c>
    </row>
    <row r="143" spans="1:6" s="304" customFormat="1" ht="15.5">
      <c r="A143" s="428">
        <f>SUBTOTAL(103,$C$5:C143)</f>
        <v>139</v>
      </c>
      <c r="B143" s="429" t="s">
        <v>673</v>
      </c>
      <c r="C143" s="430" t="s">
        <v>674</v>
      </c>
      <c r="D143" s="434" t="s">
        <v>211</v>
      </c>
      <c r="E143" s="432" t="s">
        <v>50</v>
      </c>
      <c r="F143" s="433"/>
    </row>
    <row r="144" spans="1:6" s="304" customFormat="1" ht="15.5">
      <c r="A144" s="428">
        <f>SUBTOTAL(103,$C$5:C144)</f>
        <v>140</v>
      </c>
      <c r="B144" s="429" t="s">
        <v>559</v>
      </c>
      <c r="C144" s="430" t="s">
        <v>57</v>
      </c>
      <c r="D144" s="434" t="s">
        <v>186</v>
      </c>
      <c r="E144" s="432" t="s">
        <v>50</v>
      </c>
      <c r="F144" s="433" t="s">
        <v>1067</v>
      </c>
    </row>
    <row r="145" spans="1:6" s="304" customFormat="1" ht="15.5">
      <c r="A145" s="428">
        <f>SUBTOTAL(103,$C$5:C145)</f>
        <v>141</v>
      </c>
      <c r="B145" s="429" t="s">
        <v>560</v>
      </c>
      <c r="C145" s="430" t="s">
        <v>58</v>
      </c>
      <c r="D145" s="434" t="s">
        <v>186</v>
      </c>
      <c r="E145" s="432" t="s">
        <v>50</v>
      </c>
      <c r="F145" s="433" t="s">
        <v>1067</v>
      </c>
    </row>
    <row r="146" spans="1:6" s="304" customFormat="1" ht="15.5">
      <c r="A146" s="428">
        <f>SUBTOTAL(103,$C$5:C146)</f>
        <v>142</v>
      </c>
      <c r="B146" s="429" t="s">
        <v>561</v>
      </c>
      <c r="C146" s="430" t="s">
        <v>59</v>
      </c>
      <c r="D146" s="434" t="s">
        <v>429</v>
      </c>
      <c r="E146" s="432" t="s">
        <v>50</v>
      </c>
      <c r="F146" s="433" t="s">
        <v>1067</v>
      </c>
    </row>
    <row r="147" spans="1:6" s="304" customFormat="1" ht="15.5">
      <c r="A147" s="428">
        <f>SUBTOTAL(103,$C$5:C147)</f>
        <v>143</v>
      </c>
      <c r="B147" s="429" t="s">
        <v>562</v>
      </c>
      <c r="C147" s="430" t="s">
        <v>60</v>
      </c>
      <c r="D147" s="434" t="s">
        <v>429</v>
      </c>
      <c r="E147" s="432" t="s">
        <v>50</v>
      </c>
      <c r="F147" s="433" t="s">
        <v>1067</v>
      </c>
    </row>
    <row r="148" spans="1:6" s="304" customFormat="1" ht="15.5">
      <c r="A148" s="428">
        <f>SUBTOTAL(103,$C$5:C148)</f>
        <v>144</v>
      </c>
      <c r="B148" s="430"/>
      <c r="C148" s="430" t="s">
        <v>61</v>
      </c>
      <c r="D148" s="434" t="s">
        <v>49</v>
      </c>
      <c r="E148" s="432" t="s">
        <v>50</v>
      </c>
      <c r="F148" s="433"/>
    </row>
    <row r="149" spans="1:6" s="304" customFormat="1" ht="15.5">
      <c r="A149" s="428">
        <f>SUBTOTAL(103,$C$5:C149)</f>
        <v>145</v>
      </c>
      <c r="B149" s="436"/>
      <c r="C149" s="430" t="s">
        <v>62</v>
      </c>
      <c r="D149" s="434" t="s">
        <v>154</v>
      </c>
      <c r="E149" s="432" t="s">
        <v>50</v>
      </c>
      <c r="F149" s="433"/>
    </row>
    <row r="150" spans="1:6" s="304" customFormat="1" ht="15.5">
      <c r="A150" s="428">
        <f>SUBTOTAL(103,$C$5:C150)</f>
        <v>146</v>
      </c>
      <c r="B150" s="430"/>
      <c r="C150" s="430" t="s">
        <v>153</v>
      </c>
      <c r="D150" s="434" t="s">
        <v>170</v>
      </c>
      <c r="E150" s="432" t="s">
        <v>50</v>
      </c>
      <c r="F150" s="433"/>
    </row>
    <row r="151" spans="1:6" s="304" customFormat="1" ht="15.5">
      <c r="A151" s="428">
        <f>SUBTOTAL(103,$C$5:C151)</f>
        <v>147</v>
      </c>
      <c r="B151" s="430"/>
      <c r="C151" s="430" t="s">
        <v>155</v>
      </c>
      <c r="D151" s="434" t="s">
        <v>170</v>
      </c>
      <c r="E151" s="432" t="s">
        <v>50</v>
      </c>
      <c r="F151" s="433"/>
    </row>
    <row r="152" spans="1:6" s="304" customFormat="1" ht="15.5">
      <c r="A152" s="428">
        <f>SUBTOTAL(103,$C$5:C152)</f>
        <v>148</v>
      </c>
      <c r="B152" s="430"/>
      <c r="C152" s="430" t="s">
        <v>156</v>
      </c>
      <c r="D152" s="434" t="s">
        <v>154</v>
      </c>
      <c r="E152" s="432" t="s">
        <v>50</v>
      </c>
      <c r="F152" s="433"/>
    </row>
    <row r="153" spans="1:6" s="304" customFormat="1" ht="15.5">
      <c r="A153" s="428">
        <f>SUBTOTAL(103,$C$5:C153)</f>
        <v>149</v>
      </c>
      <c r="B153" s="430"/>
      <c r="C153" s="430" t="s">
        <v>162</v>
      </c>
      <c r="D153" s="434" t="s">
        <v>4</v>
      </c>
      <c r="E153" s="432" t="s">
        <v>50</v>
      </c>
      <c r="F153" s="433"/>
    </row>
    <row r="154" spans="1:6" s="304" customFormat="1" ht="15.5">
      <c r="A154" s="428">
        <f>SUBTOTAL(103,$C$5:C154)</f>
        <v>150</v>
      </c>
      <c r="B154" s="429" t="s">
        <v>563</v>
      </c>
      <c r="C154" s="430" t="s">
        <v>63</v>
      </c>
      <c r="D154" s="434" t="s">
        <v>250</v>
      </c>
      <c r="E154" s="432" t="s">
        <v>653</v>
      </c>
      <c r="F154" s="433" t="s">
        <v>1068</v>
      </c>
    </row>
    <row r="155" spans="1:6" s="304" customFormat="1" ht="15.5">
      <c r="A155" s="428">
        <f>SUBTOTAL(103,$C$5:C155)</f>
        <v>151</v>
      </c>
      <c r="B155" s="429" t="s">
        <v>564</v>
      </c>
      <c r="C155" s="430" t="s">
        <v>64</v>
      </c>
      <c r="D155" s="434" t="s">
        <v>185</v>
      </c>
      <c r="E155" s="432" t="s">
        <v>653</v>
      </c>
      <c r="F155" s="433" t="s">
        <v>1068</v>
      </c>
    </row>
    <row r="156" spans="1:6" s="304" customFormat="1" ht="15.5">
      <c r="A156" s="428">
        <f>SUBTOTAL(103,$C$5:C156)</f>
        <v>152</v>
      </c>
      <c r="B156" s="430"/>
      <c r="C156" s="430" t="s">
        <v>430</v>
      </c>
      <c r="D156" s="434" t="s">
        <v>79</v>
      </c>
      <c r="E156" s="432" t="s">
        <v>50</v>
      </c>
      <c r="F156" s="433"/>
    </row>
    <row r="157" spans="1:6" s="304" customFormat="1" ht="15.5">
      <c r="A157" s="428">
        <f>SUBTOTAL(103,$C$5:C157)</f>
        <v>153</v>
      </c>
      <c r="B157" s="430"/>
      <c r="C157" s="430" t="s">
        <v>431</v>
      </c>
      <c r="D157" s="434" t="s">
        <v>3</v>
      </c>
      <c r="E157" s="432" t="s">
        <v>50</v>
      </c>
      <c r="F157" s="433"/>
    </row>
    <row r="158" spans="1:6" s="304" customFormat="1" ht="15.5">
      <c r="A158" s="428">
        <f>SUBTOTAL(103,$C$5:C158)</f>
        <v>154</v>
      </c>
      <c r="B158" s="430"/>
      <c r="C158" s="430" t="s">
        <v>432</v>
      </c>
      <c r="D158" s="434" t="s">
        <v>3</v>
      </c>
      <c r="E158" s="432" t="s">
        <v>50</v>
      </c>
      <c r="F158" s="433"/>
    </row>
    <row r="159" spans="1:6" s="304" customFormat="1" ht="15.5">
      <c r="A159" s="428">
        <f>SUBTOTAL(103,$C$5:C159)</f>
        <v>155</v>
      </c>
      <c r="B159" s="430"/>
      <c r="C159" s="430" t="s">
        <v>433</v>
      </c>
      <c r="D159" s="434" t="s">
        <v>2</v>
      </c>
      <c r="E159" s="432" t="s">
        <v>50</v>
      </c>
      <c r="F159" s="433"/>
    </row>
    <row r="160" spans="1:6" s="304" customFormat="1" ht="15.5">
      <c r="A160" s="428">
        <f>SUBTOTAL(103,$C$5:C160)</f>
        <v>156</v>
      </c>
      <c r="B160" s="430"/>
      <c r="C160" s="430" t="s">
        <v>434</v>
      </c>
      <c r="D160" s="434" t="s">
        <v>3</v>
      </c>
      <c r="E160" s="432" t="s">
        <v>50</v>
      </c>
      <c r="F160" s="433"/>
    </row>
    <row r="161" spans="1:6" s="304" customFormat="1" ht="15.5">
      <c r="A161" s="428">
        <f>SUBTOTAL(103,$C$5:C161)</f>
        <v>157</v>
      </c>
      <c r="B161" s="429" t="s">
        <v>897</v>
      </c>
      <c r="C161" s="430" t="s">
        <v>898</v>
      </c>
      <c r="D161" s="434" t="s">
        <v>197</v>
      </c>
      <c r="E161" s="432" t="s">
        <v>50</v>
      </c>
      <c r="F161" s="433"/>
    </row>
    <row r="162" spans="1:6" s="304" customFormat="1" ht="15.5">
      <c r="A162" s="428">
        <f>SUBTOTAL(103,$C$5:C162)</f>
        <v>158</v>
      </c>
      <c r="B162" s="430"/>
      <c r="C162" s="430" t="s">
        <v>899</v>
      </c>
      <c r="D162" s="434" t="s">
        <v>79</v>
      </c>
      <c r="E162" s="432" t="s">
        <v>50</v>
      </c>
      <c r="F162" s="433"/>
    </row>
    <row r="163" spans="1:6" s="304" customFormat="1" ht="15.5">
      <c r="A163" s="428">
        <f>SUBTOTAL(103,$C$5:C163)</f>
        <v>159</v>
      </c>
      <c r="B163" s="430"/>
      <c r="C163" s="430" t="s">
        <v>900</v>
      </c>
      <c r="D163" s="434" t="s">
        <v>79</v>
      </c>
      <c r="E163" s="432" t="s">
        <v>50</v>
      </c>
      <c r="F163" s="433"/>
    </row>
    <row r="164" spans="1:6" s="304" customFormat="1" ht="15.5">
      <c r="A164" s="428">
        <f>SUBTOTAL(103,$C$5:C164)</f>
        <v>160</v>
      </c>
      <c r="B164" s="430"/>
      <c r="C164" s="430" t="s">
        <v>901</v>
      </c>
      <c r="D164" s="434" t="s">
        <v>79</v>
      </c>
      <c r="E164" s="432" t="s">
        <v>50</v>
      </c>
      <c r="F164" s="433"/>
    </row>
    <row r="165" spans="1:6" s="304" customFormat="1" ht="15.5">
      <c r="A165" s="428">
        <f>SUBTOTAL(103,$C$5:C165)</f>
        <v>161</v>
      </c>
      <c r="B165" s="430"/>
      <c r="C165" s="430" t="s">
        <v>902</v>
      </c>
      <c r="D165" s="434" t="s">
        <v>2</v>
      </c>
      <c r="E165" s="432" t="s">
        <v>50</v>
      </c>
      <c r="F165" s="433"/>
    </row>
    <row r="166" spans="1:6" s="304" customFormat="1" ht="15.5">
      <c r="A166" s="428">
        <f>SUBTOTAL(103,$C$5:C166)</f>
        <v>162</v>
      </c>
      <c r="B166" s="430"/>
      <c r="C166" s="524" t="s">
        <v>903</v>
      </c>
      <c r="D166" s="525" t="s">
        <v>79</v>
      </c>
      <c r="E166" s="432" t="s">
        <v>50</v>
      </c>
      <c r="F166" s="433"/>
    </row>
    <row r="167" spans="1:6" s="304" customFormat="1" ht="15.5">
      <c r="A167" s="428">
        <f>SUBTOTAL(103,$C$5:C167)</f>
        <v>163</v>
      </c>
      <c r="B167" s="430"/>
      <c r="C167" s="430" t="s">
        <v>904</v>
      </c>
      <c r="D167" s="434" t="s">
        <v>49</v>
      </c>
      <c r="E167" s="432" t="s">
        <v>50</v>
      </c>
      <c r="F167" s="433"/>
    </row>
    <row r="168" spans="1:6" s="304" customFormat="1" ht="15.5">
      <c r="A168" s="428">
        <f>SUBTOTAL(103,$C$5:C168)</f>
        <v>164</v>
      </c>
      <c r="B168" s="429" t="s">
        <v>565</v>
      </c>
      <c r="C168" s="430" t="s">
        <v>65</v>
      </c>
      <c r="D168" s="434" t="s">
        <v>197</v>
      </c>
      <c r="E168" s="432" t="s">
        <v>50</v>
      </c>
      <c r="F168" s="433"/>
    </row>
    <row r="169" spans="1:6" s="304" customFormat="1" ht="15.5">
      <c r="A169" s="428">
        <f>SUBTOTAL(103,$C$5:C169)</f>
        <v>165</v>
      </c>
      <c r="B169" s="430"/>
      <c r="C169" s="430" t="s">
        <v>26</v>
      </c>
      <c r="D169" s="434" t="s">
        <v>3</v>
      </c>
      <c r="E169" s="432" t="s">
        <v>50</v>
      </c>
      <c r="F169" s="433"/>
    </row>
    <row r="170" spans="1:6" s="304" customFormat="1" ht="15.5">
      <c r="A170" s="428">
        <f>SUBTOTAL(103,$C$5:C170)</f>
        <v>166</v>
      </c>
      <c r="B170" s="430"/>
      <c r="C170" s="430" t="s">
        <v>435</v>
      </c>
      <c r="D170" s="434" t="s">
        <v>49</v>
      </c>
      <c r="E170" s="432" t="s">
        <v>50</v>
      </c>
      <c r="F170" s="433"/>
    </row>
    <row r="171" spans="1:6" s="304" customFormat="1" ht="15.5">
      <c r="A171" s="428">
        <f>SUBTOTAL(103,$C$5:C171)</f>
        <v>167</v>
      </c>
      <c r="B171" s="430"/>
      <c r="C171" s="430" t="s">
        <v>436</v>
      </c>
      <c r="D171" s="434" t="s">
        <v>2</v>
      </c>
      <c r="E171" s="432" t="s">
        <v>50</v>
      </c>
      <c r="F171" s="433"/>
    </row>
    <row r="172" spans="1:6" s="304" customFormat="1" ht="15.5">
      <c r="A172" s="428">
        <f>SUBTOTAL(103,$C$5:C172)</f>
        <v>168</v>
      </c>
      <c r="B172" s="430"/>
      <c r="C172" s="430" t="s">
        <v>437</v>
      </c>
      <c r="D172" s="434" t="s">
        <v>49</v>
      </c>
      <c r="E172" s="432" t="s">
        <v>50</v>
      </c>
      <c r="F172" s="433"/>
    </row>
    <row r="173" spans="1:6" s="304" customFormat="1" ht="15.5">
      <c r="A173" s="428">
        <f>SUBTOTAL(103,$C$5:C173)</f>
        <v>169</v>
      </c>
      <c r="B173" s="430"/>
      <c r="C173" s="430" t="s">
        <v>438</v>
      </c>
      <c r="D173" s="434" t="s">
        <v>3</v>
      </c>
      <c r="E173" s="432" t="s">
        <v>50</v>
      </c>
      <c r="F173" s="433"/>
    </row>
    <row r="174" spans="1:6" s="304" customFormat="1" ht="15.5">
      <c r="A174" s="428">
        <f>SUBTOTAL(103,$C$5:C174)</f>
        <v>170</v>
      </c>
      <c r="B174" s="430"/>
      <c r="C174" s="430" t="s">
        <v>439</v>
      </c>
      <c r="D174" s="434" t="s">
        <v>79</v>
      </c>
      <c r="E174" s="432" t="s">
        <v>50</v>
      </c>
      <c r="F174" s="433"/>
    </row>
    <row r="175" spans="1:6" s="304" customFormat="1" ht="15.5">
      <c r="A175" s="428">
        <f>SUBTOTAL(103,$C$5:C175)</f>
        <v>171</v>
      </c>
      <c r="B175" s="430"/>
      <c r="C175" s="430" t="s">
        <v>440</v>
      </c>
      <c r="D175" s="434" t="s">
        <v>4</v>
      </c>
      <c r="E175" s="432" t="s">
        <v>50</v>
      </c>
      <c r="F175" s="433"/>
    </row>
    <row r="176" spans="1:6" s="304" customFormat="1" ht="15.5">
      <c r="A176" s="428">
        <f>SUBTOTAL(103,$C$5:C176)</f>
        <v>172</v>
      </c>
      <c r="B176" s="430"/>
      <c r="C176" s="430" t="s">
        <v>441</v>
      </c>
      <c r="D176" s="434" t="s">
        <v>2</v>
      </c>
      <c r="E176" s="432" t="s">
        <v>50</v>
      </c>
      <c r="F176" s="433"/>
    </row>
    <row r="177" spans="1:6" s="304" customFormat="1" ht="15.5">
      <c r="A177" s="428">
        <f>SUBTOTAL(103,$C$5:C177)</f>
        <v>173</v>
      </c>
      <c r="B177" s="430"/>
      <c r="C177" s="430" t="s">
        <v>442</v>
      </c>
      <c r="D177" s="434" t="s">
        <v>4</v>
      </c>
      <c r="E177" s="432" t="s">
        <v>50</v>
      </c>
      <c r="F177" s="433"/>
    </row>
    <row r="178" spans="1:6" s="304" customFormat="1" ht="15.5">
      <c r="A178" s="428">
        <f>SUBTOTAL(103,$C$5:C178)</f>
        <v>174</v>
      </c>
      <c r="B178" s="430"/>
      <c r="C178" s="430" t="s">
        <v>443</v>
      </c>
      <c r="D178" s="434" t="s">
        <v>2</v>
      </c>
      <c r="E178" s="432" t="s">
        <v>50</v>
      </c>
      <c r="F178" s="433"/>
    </row>
    <row r="179" spans="1:6" s="304" customFormat="1" ht="15.5">
      <c r="A179" s="428">
        <f>SUBTOTAL(103,$C$5:C179)</f>
        <v>175</v>
      </c>
      <c r="B179" s="429" t="s">
        <v>566</v>
      </c>
      <c r="C179" s="430" t="s">
        <v>9</v>
      </c>
      <c r="D179" s="434" t="s">
        <v>197</v>
      </c>
      <c r="E179" s="432" t="s">
        <v>50</v>
      </c>
      <c r="F179" s="433"/>
    </row>
    <row r="180" spans="1:6" s="304" customFormat="1" ht="15.5">
      <c r="A180" s="428">
        <f>SUBTOTAL(103,$C$5:C180)</f>
        <v>176</v>
      </c>
      <c r="B180" s="430"/>
      <c r="C180" s="430" t="s">
        <v>82</v>
      </c>
      <c r="D180" s="434" t="s">
        <v>2</v>
      </c>
      <c r="E180" s="432" t="s">
        <v>50</v>
      </c>
      <c r="F180" s="433"/>
    </row>
    <row r="181" spans="1:6" s="304" customFormat="1" ht="15.5">
      <c r="A181" s="428">
        <f>SUBTOTAL(103,$C$5:C181)</f>
        <v>177</v>
      </c>
      <c r="B181" s="430"/>
      <c r="C181" s="430" t="s">
        <v>163</v>
      </c>
      <c r="D181" s="434" t="s">
        <v>170</v>
      </c>
      <c r="E181" s="432" t="s">
        <v>50</v>
      </c>
      <c r="F181" s="433"/>
    </row>
    <row r="182" spans="1:6" s="304" customFormat="1" ht="15.5">
      <c r="A182" s="428">
        <f>SUBTOTAL(103,$C$5:C182)</f>
        <v>178</v>
      </c>
      <c r="B182" s="430"/>
      <c r="C182" s="430" t="s">
        <v>164</v>
      </c>
      <c r="D182" s="434" t="s">
        <v>2</v>
      </c>
      <c r="E182" s="432" t="s">
        <v>50</v>
      </c>
      <c r="F182" s="433"/>
    </row>
    <row r="183" spans="1:6" s="304" customFormat="1" ht="15.5">
      <c r="A183" s="428">
        <f>SUBTOTAL(103,$C$5:C183)</f>
        <v>179</v>
      </c>
      <c r="B183" s="430"/>
      <c r="C183" s="430" t="s">
        <v>444</v>
      </c>
      <c r="D183" s="434" t="s">
        <v>154</v>
      </c>
      <c r="E183" s="432" t="s">
        <v>50</v>
      </c>
      <c r="F183" s="433"/>
    </row>
    <row r="184" spans="1:6" s="304" customFormat="1" ht="15.5">
      <c r="A184" s="428">
        <f>SUBTOTAL(103,$C$5:C184)</f>
        <v>180</v>
      </c>
      <c r="B184" s="430"/>
      <c r="C184" s="430" t="s">
        <v>445</v>
      </c>
      <c r="D184" s="434" t="s">
        <v>79</v>
      </c>
      <c r="E184" s="432" t="s">
        <v>50</v>
      </c>
      <c r="F184" s="433"/>
    </row>
    <row r="185" spans="1:6" s="304" customFormat="1" ht="15.5">
      <c r="A185" s="428">
        <f>SUBTOTAL(103,$C$5:C185)</f>
        <v>181</v>
      </c>
      <c r="B185" s="430"/>
      <c r="C185" s="430" t="s">
        <v>446</v>
      </c>
      <c r="D185" s="434" t="s">
        <v>49</v>
      </c>
      <c r="E185" s="432" t="s">
        <v>50</v>
      </c>
      <c r="F185" s="433"/>
    </row>
    <row r="186" spans="1:6" s="304" customFormat="1" ht="15.5">
      <c r="A186" s="428">
        <f>SUBTOTAL(103,$C$5:C186)</f>
        <v>182</v>
      </c>
      <c r="B186" s="430"/>
      <c r="C186" s="430" t="s">
        <v>447</v>
      </c>
      <c r="D186" s="434" t="s">
        <v>3</v>
      </c>
      <c r="E186" s="432" t="s">
        <v>50</v>
      </c>
      <c r="F186" s="433"/>
    </row>
    <row r="187" spans="1:6" s="304" customFormat="1" ht="15.5">
      <c r="A187" s="428">
        <f>SUBTOTAL(103,$C$5:C187)</f>
        <v>183</v>
      </c>
      <c r="B187" s="430"/>
      <c r="C187" s="430" t="s">
        <v>448</v>
      </c>
      <c r="D187" s="434" t="s">
        <v>3</v>
      </c>
      <c r="E187" s="432" t="s">
        <v>50</v>
      </c>
      <c r="F187" s="433"/>
    </row>
    <row r="188" spans="1:6" s="304" customFormat="1" ht="15.5">
      <c r="A188" s="428">
        <f>SUBTOTAL(103,$C$5:C188)</f>
        <v>184</v>
      </c>
      <c r="B188" s="430"/>
      <c r="C188" s="430" t="s">
        <v>449</v>
      </c>
      <c r="D188" s="434" t="s">
        <v>170</v>
      </c>
      <c r="E188" s="432" t="s">
        <v>50</v>
      </c>
      <c r="F188" s="433"/>
    </row>
    <row r="189" spans="1:6" s="304" customFormat="1" ht="15.5">
      <c r="A189" s="428">
        <f>SUBTOTAL(103,$C$5:C189)</f>
        <v>185</v>
      </c>
      <c r="B189" s="430"/>
      <c r="C189" s="430" t="s">
        <v>450</v>
      </c>
      <c r="D189" s="434" t="s">
        <v>987</v>
      </c>
      <c r="E189" s="432" t="s">
        <v>50</v>
      </c>
      <c r="F189" s="433"/>
    </row>
    <row r="190" spans="1:6" s="304" customFormat="1" ht="15.5">
      <c r="A190" s="428">
        <f>SUBTOTAL(103,$C$5:C190)</f>
        <v>186</v>
      </c>
      <c r="B190" s="429" t="s">
        <v>567</v>
      </c>
      <c r="C190" s="430" t="s">
        <v>10</v>
      </c>
      <c r="D190" s="434" t="s">
        <v>184</v>
      </c>
      <c r="E190" s="432" t="s">
        <v>50</v>
      </c>
      <c r="F190" s="433"/>
    </row>
    <row r="191" spans="1:6" s="304" customFormat="1" ht="15.5">
      <c r="A191" s="428">
        <f>SUBTOTAL(103,$C$5:C191)</f>
        <v>187</v>
      </c>
      <c r="B191" s="430"/>
      <c r="C191" s="430" t="s">
        <v>66</v>
      </c>
      <c r="D191" s="434" t="s">
        <v>79</v>
      </c>
      <c r="E191" s="432" t="s">
        <v>50</v>
      </c>
      <c r="F191" s="433"/>
    </row>
    <row r="192" spans="1:6" s="304" customFormat="1" ht="15.5">
      <c r="A192" s="428">
        <f>SUBTOTAL(103,$C$5:C192)</f>
        <v>188</v>
      </c>
      <c r="B192" s="430"/>
      <c r="C192" s="430" t="s">
        <v>165</v>
      </c>
      <c r="D192" s="434" t="s">
        <v>49</v>
      </c>
      <c r="E192" s="432" t="s">
        <v>50</v>
      </c>
      <c r="F192" s="433"/>
    </row>
    <row r="193" spans="1:6" s="304" customFormat="1" ht="15.5">
      <c r="A193" s="428">
        <f>SUBTOTAL(103,$C$5:C193)</f>
        <v>189</v>
      </c>
      <c r="B193" s="430"/>
      <c r="C193" s="430" t="s">
        <v>873</v>
      </c>
      <c r="D193" s="434" t="s">
        <v>79</v>
      </c>
      <c r="E193" s="432" t="s">
        <v>50</v>
      </c>
      <c r="F193" s="433"/>
    </row>
    <row r="194" spans="1:6" s="304" customFormat="1" ht="15.5">
      <c r="A194" s="428">
        <f>SUBTOTAL(103,$C$5:C194)</f>
        <v>190</v>
      </c>
      <c r="B194" s="430"/>
      <c r="C194" s="430" t="s">
        <v>874</v>
      </c>
      <c r="D194" s="434" t="s">
        <v>49</v>
      </c>
      <c r="E194" s="432" t="s">
        <v>50</v>
      </c>
      <c r="F194" s="433"/>
    </row>
    <row r="195" spans="1:6" s="304" customFormat="1" ht="15.5">
      <c r="A195" s="428">
        <f>SUBTOTAL(103,$C$5:C195)</f>
        <v>191</v>
      </c>
      <c r="B195" s="430"/>
      <c r="C195" s="430" t="s">
        <v>875</v>
      </c>
      <c r="D195" s="434" t="s">
        <v>49</v>
      </c>
      <c r="E195" s="432" t="s">
        <v>50</v>
      </c>
      <c r="F195" s="433"/>
    </row>
    <row r="196" spans="1:6" s="304" customFormat="1" ht="15.5">
      <c r="A196" s="428">
        <f>SUBTOTAL(103,$C$5:C196)</f>
        <v>192</v>
      </c>
      <c r="B196" s="430"/>
      <c r="C196" s="430" t="s">
        <v>876</v>
      </c>
      <c r="D196" s="434" t="s">
        <v>49</v>
      </c>
      <c r="E196" s="432" t="s">
        <v>50</v>
      </c>
      <c r="F196" s="433"/>
    </row>
    <row r="197" spans="1:6" s="304" customFormat="1" ht="15.5">
      <c r="A197" s="428">
        <f>SUBTOTAL(103,$C$5:C197)</f>
        <v>193</v>
      </c>
      <c r="B197" s="430"/>
      <c r="C197" s="430" t="s">
        <v>877</v>
      </c>
      <c r="D197" s="434" t="s">
        <v>2</v>
      </c>
      <c r="E197" s="432" t="s">
        <v>50</v>
      </c>
      <c r="F197" s="433"/>
    </row>
    <row r="198" spans="1:6" s="304" customFormat="1" ht="15.5">
      <c r="A198" s="428">
        <f>SUBTOTAL(103,$C$5:C198)</f>
        <v>194</v>
      </c>
      <c r="B198" s="429" t="s">
        <v>905</v>
      </c>
      <c r="C198" s="430" t="s">
        <v>773</v>
      </c>
      <c r="D198" s="434" t="s">
        <v>211</v>
      </c>
      <c r="E198" s="432" t="s">
        <v>50</v>
      </c>
      <c r="F198" s="433"/>
    </row>
    <row r="199" spans="1:6" s="304" customFormat="1" ht="15.5">
      <c r="A199" s="428">
        <f>SUBTOTAL(103,$C$5:C199)</f>
        <v>195</v>
      </c>
      <c r="B199" s="430"/>
      <c r="C199" s="430" t="s">
        <v>774</v>
      </c>
      <c r="D199" s="434" t="s">
        <v>79</v>
      </c>
      <c r="E199" s="432" t="s">
        <v>50</v>
      </c>
      <c r="F199" s="433"/>
    </row>
    <row r="200" spans="1:6" s="304" customFormat="1" ht="15.5">
      <c r="A200" s="428">
        <f>SUBTOTAL(103,$C$5:C200)</f>
        <v>196</v>
      </c>
      <c r="B200" s="429" t="s">
        <v>568</v>
      </c>
      <c r="C200" s="430" t="s">
        <v>67</v>
      </c>
      <c r="D200" s="434" t="s">
        <v>211</v>
      </c>
      <c r="E200" s="432" t="s">
        <v>50</v>
      </c>
      <c r="F200" s="433"/>
    </row>
    <row r="201" spans="1:6" s="304" customFormat="1" ht="15.5">
      <c r="A201" s="428">
        <f>SUBTOTAL(103,$C$5:C201)</f>
        <v>197</v>
      </c>
      <c r="B201" s="430"/>
      <c r="C201" s="430" t="s">
        <v>68</v>
      </c>
      <c r="D201" s="434" t="s">
        <v>49</v>
      </c>
      <c r="E201" s="432" t="s">
        <v>50</v>
      </c>
      <c r="F201" s="433"/>
    </row>
    <row r="202" spans="1:6" s="304" customFormat="1" ht="15.5">
      <c r="A202" s="428">
        <f>SUBTOTAL(103,$C$5:C202)</f>
        <v>198</v>
      </c>
      <c r="B202" s="430"/>
      <c r="C202" s="430" t="s">
        <v>69</v>
      </c>
      <c r="D202" s="434" t="s">
        <v>49</v>
      </c>
      <c r="E202" s="432" t="s">
        <v>50</v>
      </c>
      <c r="F202" s="433"/>
    </row>
    <row r="203" spans="1:6" s="304" customFormat="1" ht="15.5">
      <c r="A203" s="428">
        <f>SUBTOTAL(103,$C$5:C203)</f>
        <v>199</v>
      </c>
      <c r="B203" s="430"/>
      <c r="C203" s="430" t="s">
        <v>70</v>
      </c>
      <c r="D203" s="434" t="s">
        <v>2</v>
      </c>
      <c r="E203" s="432" t="s">
        <v>50</v>
      </c>
      <c r="F203" s="433"/>
    </row>
    <row r="204" spans="1:6" s="304" customFormat="1" ht="15.5">
      <c r="A204" s="428">
        <f>SUBTOTAL(103,$C$5:C204)</f>
        <v>200</v>
      </c>
      <c r="B204" s="430"/>
      <c r="C204" s="430" t="s">
        <v>187</v>
      </c>
      <c r="D204" s="434" t="s">
        <v>2</v>
      </c>
      <c r="E204" s="432" t="s">
        <v>50</v>
      </c>
      <c r="F204" s="433"/>
    </row>
    <row r="205" spans="1:6" s="304" customFormat="1" ht="15.5">
      <c r="A205" s="428">
        <f>SUBTOTAL(103,$C$5:C205)</f>
        <v>201</v>
      </c>
      <c r="B205" s="430"/>
      <c r="C205" s="430" t="s">
        <v>569</v>
      </c>
      <c r="D205" s="434" t="s">
        <v>3</v>
      </c>
      <c r="E205" s="432" t="s">
        <v>50</v>
      </c>
      <c r="F205" s="433"/>
    </row>
    <row r="206" spans="1:6" s="304" customFormat="1" ht="15.5">
      <c r="A206" s="428">
        <f>SUBTOTAL(103,$C$5:C206)</f>
        <v>202</v>
      </c>
      <c r="B206" s="430"/>
      <c r="C206" s="430" t="s">
        <v>570</v>
      </c>
      <c r="D206" s="434" t="s">
        <v>79</v>
      </c>
      <c r="E206" s="432" t="s">
        <v>50</v>
      </c>
      <c r="F206" s="433"/>
    </row>
    <row r="207" spans="1:6" s="304" customFormat="1" ht="15.5">
      <c r="A207" s="428">
        <f>SUBTOTAL(103,$C$5:C207)</f>
        <v>203</v>
      </c>
      <c r="B207" s="430"/>
      <c r="C207" s="430" t="s">
        <v>571</v>
      </c>
      <c r="D207" s="434" t="s">
        <v>79</v>
      </c>
      <c r="E207" s="432" t="s">
        <v>50</v>
      </c>
      <c r="F207" s="433"/>
    </row>
    <row r="208" spans="1:6" s="304" customFormat="1" ht="15.5">
      <c r="A208" s="428">
        <f>SUBTOTAL(103,$C$5:C208)</f>
        <v>204</v>
      </c>
      <c r="B208" s="430"/>
      <c r="C208" s="430" t="s">
        <v>572</v>
      </c>
      <c r="D208" s="434" t="s">
        <v>2</v>
      </c>
      <c r="E208" s="432" t="s">
        <v>50</v>
      </c>
      <c r="F208" s="433"/>
    </row>
    <row r="209" spans="1:6" s="304" customFormat="1" ht="15.5">
      <c r="A209" s="428">
        <f>SUBTOTAL(103,$C$5:C209)</f>
        <v>205</v>
      </c>
      <c r="B209" s="430"/>
      <c r="C209" s="430" t="s">
        <v>573</v>
      </c>
      <c r="D209" s="434" t="s">
        <v>170</v>
      </c>
      <c r="E209" s="432" t="s">
        <v>50</v>
      </c>
      <c r="F209" s="433"/>
    </row>
    <row r="210" spans="1:6" s="304" customFormat="1" ht="15.5">
      <c r="A210" s="428">
        <f>SUBTOTAL(103,$C$5:C210)</f>
        <v>206</v>
      </c>
      <c r="B210" s="429" t="s">
        <v>574</v>
      </c>
      <c r="C210" s="430" t="s">
        <v>166</v>
      </c>
      <c r="D210" s="434" t="s">
        <v>227</v>
      </c>
      <c r="E210" s="432" t="s">
        <v>50</v>
      </c>
      <c r="F210" s="433"/>
    </row>
    <row r="211" spans="1:6" s="304" customFormat="1" ht="15.5">
      <c r="A211" s="428">
        <f>SUBTOTAL(103,$C$5:C211)</f>
        <v>207</v>
      </c>
      <c r="B211" s="430"/>
      <c r="C211" s="430" t="s">
        <v>575</v>
      </c>
      <c r="D211" s="434" t="s">
        <v>49</v>
      </c>
      <c r="E211" s="432" t="s">
        <v>50</v>
      </c>
      <c r="F211" s="433"/>
    </row>
    <row r="212" spans="1:6" s="304" customFormat="1" ht="15.5">
      <c r="A212" s="428">
        <f>SUBTOTAL(103,$C$5:C212)</f>
        <v>208</v>
      </c>
      <c r="B212" s="430"/>
      <c r="C212" s="430" t="s">
        <v>576</v>
      </c>
      <c r="D212" s="434" t="s">
        <v>49</v>
      </c>
      <c r="E212" s="432" t="s">
        <v>50</v>
      </c>
      <c r="F212" s="433"/>
    </row>
    <row r="213" spans="1:6" s="304" customFormat="1" ht="15.5">
      <c r="A213" s="428">
        <f>SUBTOTAL(103,$C$5:C213)</f>
        <v>209</v>
      </c>
      <c r="B213" s="430"/>
      <c r="C213" s="430" t="s">
        <v>577</v>
      </c>
      <c r="D213" s="434" t="s">
        <v>170</v>
      </c>
      <c r="E213" s="432" t="s">
        <v>50</v>
      </c>
      <c r="F213" s="433"/>
    </row>
    <row r="214" spans="1:6" s="304" customFormat="1" ht="15.5">
      <c r="A214" s="428">
        <f>SUBTOTAL(103,$C$5:C214)</f>
        <v>210</v>
      </c>
      <c r="B214" s="430"/>
      <c r="C214" s="430" t="s">
        <v>578</v>
      </c>
      <c r="D214" s="434" t="s">
        <v>79</v>
      </c>
      <c r="E214" s="432" t="s">
        <v>50</v>
      </c>
      <c r="F214" s="433"/>
    </row>
    <row r="215" spans="1:6" s="304" customFormat="1" ht="15.5">
      <c r="A215" s="428">
        <f>SUBTOTAL(103,$C$5:C215)</f>
        <v>211</v>
      </c>
      <c r="B215" s="430"/>
      <c r="C215" s="430" t="s">
        <v>579</v>
      </c>
      <c r="D215" s="434" t="s">
        <v>49</v>
      </c>
      <c r="E215" s="432" t="s">
        <v>50</v>
      </c>
      <c r="F215" s="433"/>
    </row>
    <row r="216" spans="1:6" s="304" customFormat="1" ht="15.5">
      <c r="A216" s="428">
        <f>SUBTOTAL(103,$C$5:C216)</f>
        <v>212</v>
      </c>
      <c r="B216" s="430"/>
      <c r="C216" s="430" t="s">
        <v>580</v>
      </c>
      <c r="D216" s="434" t="s">
        <v>2</v>
      </c>
      <c r="E216" s="432" t="s">
        <v>50</v>
      </c>
      <c r="F216" s="433"/>
    </row>
    <row r="217" spans="1:6" s="304" customFormat="1" ht="15.5">
      <c r="A217" s="428">
        <f>SUBTOTAL(103,$C$5:C217)</f>
        <v>213</v>
      </c>
      <c r="B217" s="430"/>
      <c r="C217" s="430" t="s">
        <v>581</v>
      </c>
      <c r="D217" s="434" t="s">
        <v>3</v>
      </c>
      <c r="E217" s="432" t="s">
        <v>50</v>
      </c>
      <c r="F217" s="433"/>
    </row>
    <row r="218" spans="1:6" s="304" customFormat="1" ht="15.5">
      <c r="A218" s="428">
        <f>SUBTOTAL(103,$C$5:C218)</f>
        <v>214</v>
      </c>
      <c r="B218" s="430"/>
      <c r="C218" s="430" t="s">
        <v>582</v>
      </c>
      <c r="D218" s="434" t="s">
        <v>3</v>
      </c>
      <c r="E218" s="432" t="s">
        <v>50</v>
      </c>
      <c r="F218" s="433"/>
    </row>
    <row r="219" spans="1:6" s="304" customFormat="1" ht="15.5">
      <c r="A219" s="428">
        <f>SUBTOTAL(103,$C$5:C219)</f>
        <v>215</v>
      </c>
      <c r="B219" s="430"/>
      <c r="C219" s="430" t="s">
        <v>583</v>
      </c>
      <c r="D219" s="434" t="s">
        <v>170</v>
      </c>
      <c r="E219" s="432" t="s">
        <v>50</v>
      </c>
      <c r="F219" s="433"/>
    </row>
    <row r="220" spans="1:6" s="304" customFormat="1" ht="15.5">
      <c r="A220" s="428">
        <f>SUBTOTAL(103,$C$5:C220)</f>
        <v>216</v>
      </c>
      <c r="B220" s="430"/>
      <c r="C220" s="430" t="s">
        <v>584</v>
      </c>
      <c r="D220" s="434" t="s">
        <v>4</v>
      </c>
      <c r="E220" s="432" t="s">
        <v>50</v>
      </c>
      <c r="F220" s="433"/>
    </row>
    <row r="221" spans="1:6" s="304" customFormat="1" ht="15.5">
      <c r="A221" s="428">
        <f>SUBTOTAL(103,$C$5:C221)</f>
        <v>217</v>
      </c>
      <c r="B221" s="430"/>
      <c r="C221" s="430" t="s">
        <v>585</v>
      </c>
      <c r="D221" s="434" t="s">
        <v>170</v>
      </c>
      <c r="E221" s="432" t="s">
        <v>50</v>
      </c>
      <c r="F221" s="433"/>
    </row>
    <row r="222" spans="1:6" s="304" customFormat="1" ht="15.5">
      <c r="A222" s="428">
        <f>SUBTOTAL(103,$C$5:C222)</f>
        <v>218</v>
      </c>
      <c r="B222" s="430"/>
      <c r="C222" s="430" t="s">
        <v>586</v>
      </c>
      <c r="D222" s="434" t="s">
        <v>2</v>
      </c>
      <c r="E222" s="432" t="s">
        <v>50</v>
      </c>
      <c r="F222" s="433"/>
    </row>
    <row r="223" spans="1:6" s="304" customFormat="1" ht="15.5">
      <c r="A223" s="428">
        <f>SUBTOTAL(103,$C$5:C223)</f>
        <v>219</v>
      </c>
      <c r="B223" s="429" t="s">
        <v>587</v>
      </c>
      <c r="C223" s="430" t="s">
        <v>71</v>
      </c>
      <c r="D223" s="434" t="s">
        <v>184</v>
      </c>
      <c r="E223" s="432" t="s">
        <v>50</v>
      </c>
      <c r="F223" s="433"/>
    </row>
    <row r="224" spans="1:6" s="304" customFormat="1" ht="15.5">
      <c r="A224" s="428">
        <f>SUBTOTAL(103,$C$5:C224)</f>
        <v>220</v>
      </c>
      <c r="B224" s="430"/>
      <c r="C224" s="430" t="s">
        <v>588</v>
      </c>
      <c r="D224" s="434" t="s">
        <v>79</v>
      </c>
      <c r="E224" s="432" t="s">
        <v>50</v>
      </c>
      <c r="F224" s="433"/>
    </row>
    <row r="225" spans="1:6" s="304" customFormat="1" ht="15.5">
      <c r="A225" s="428">
        <f>SUBTOTAL(103,$C$5:C225)</f>
        <v>221</v>
      </c>
      <c r="B225" s="430"/>
      <c r="C225" s="430" t="s">
        <v>589</v>
      </c>
      <c r="D225" s="434" t="s">
        <v>79</v>
      </c>
      <c r="E225" s="432" t="s">
        <v>50</v>
      </c>
      <c r="F225" s="433"/>
    </row>
    <row r="226" spans="1:6" s="304" customFormat="1" ht="15.5">
      <c r="A226" s="428">
        <f>SUBTOTAL(103,$C$5:C226)</f>
        <v>222</v>
      </c>
      <c r="B226" s="430"/>
      <c r="C226" s="430" t="s">
        <v>590</v>
      </c>
      <c r="D226" s="434" t="s">
        <v>4</v>
      </c>
      <c r="E226" s="432" t="s">
        <v>50</v>
      </c>
      <c r="F226" s="433"/>
    </row>
    <row r="227" spans="1:6" s="304" customFormat="1" ht="15.5">
      <c r="A227" s="428">
        <f>SUBTOTAL(103,$C$5:C227)</f>
        <v>223</v>
      </c>
      <c r="B227" s="430"/>
      <c r="C227" s="430" t="s">
        <v>591</v>
      </c>
      <c r="D227" s="434" t="s">
        <v>49</v>
      </c>
      <c r="E227" s="432" t="s">
        <v>50</v>
      </c>
      <c r="F227" s="433"/>
    </row>
    <row r="228" spans="1:6" s="304" customFormat="1" ht="15.5">
      <c r="A228" s="428">
        <f>SUBTOTAL(103,$C$5:C228)</f>
        <v>224</v>
      </c>
      <c r="B228" s="430"/>
      <c r="C228" s="430" t="s">
        <v>592</v>
      </c>
      <c r="D228" s="434" t="s">
        <v>49</v>
      </c>
      <c r="E228" s="432" t="s">
        <v>50</v>
      </c>
      <c r="F228" s="433"/>
    </row>
    <row r="229" spans="1:6" s="304" customFormat="1" ht="15.5">
      <c r="A229" s="428">
        <f>SUBTOTAL(103,$C$5:C229)</f>
        <v>225</v>
      </c>
      <c r="B229" s="430"/>
      <c r="C229" s="430" t="s">
        <v>593</v>
      </c>
      <c r="D229" s="434" t="s">
        <v>79</v>
      </c>
      <c r="E229" s="432" t="s">
        <v>50</v>
      </c>
      <c r="F229" s="433"/>
    </row>
    <row r="230" spans="1:6" s="304" customFormat="1" ht="15.5">
      <c r="A230" s="428">
        <f>SUBTOTAL(103,$C$5:C230)</f>
        <v>226</v>
      </c>
      <c r="B230" s="430"/>
      <c r="C230" s="430" t="s">
        <v>594</v>
      </c>
      <c r="D230" s="434" t="s">
        <v>2</v>
      </c>
      <c r="E230" s="432" t="s">
        <v>50</v>
      </c>
      <c r="F230" s="433"/>
    </row>
    <row r="231" spans="1:6" s="304" customFormat="1" ht="15.5">
      <c r="A231" s="428">
        <f>SUBTOTAL(103,$C$5:C231)</f>
        <v>227</v>
      </c>
      <c r="B231" s="430"/>
      <c r="C231" s="430" t="s">
        <v>595</v>
      </c>
      <c r="D231" s="434" t="s">
        <v>79</v>
      </c>
      <c r="E231" s="432" t="s">
        <v>50</v>
      </c>
      <c r="F231" s="433"/>
    </row>
    <row r="232" spans="1:6" s="304" customFormat="1" ht="15.5">
      <c r="A232" s="428">
        <f>SUBTOTAL(103,$C$5:C232)</f>
        <v>228</v>
      </c>
      <c r="B232" s="430"/>
      <c r="C232" s="430" t="s">
        <v>596</v>
      </c>
      <c r="D232" s="434" t="s">
        <v>170</v>
      </c>
      <c r="E232" s="432" t="s">
        <v>50</v>
      </c>
      <c r="F232" s="433"/>
    </row>
    <row r="233" spans="1:6" s="304" customFormat="1" ht="15.5">
      <c r="A233" s="428">
        <f>SUBTOTAL(103,$C$5:C233)</f>
        <v>229</v>
      </c>
      <c r="B233" s="430"/>
      <c r="C233" s="430" t="s">
        <v>597</v>
      </c>
      <c r="D233" s="434" t="s">
        <v>2</v>
      </c>
      <c r="E233" s="432" t="s">
        <v>50</v>
      </c>
      <c r="F233" s="433"/>
    </row>
    <row r="234" spans="1:6" s="304" customFormat="1" ht="15.5">
      <c r="A234" s="428">
        <f>SUBTOTAL(103,$C$5:C234)</f>
        <v>230</v>
      </c>
      <c r="B234" s="430"/>
      <c r="C234" s="430" t="s">
        <v>598</v>
      </c>
      <c r="D234" s="434" t="s">
        <v>2</v>
      </c>
      <c r="E234" s="432" t="s">
        <v>50</v>
      </c>
      <c r="F234" s="433"/>
    </row>
    <row r="235" spans="1:6" s="304" customFormat="1" ht="15.5">
      <c r="A235" s="428">
        <f>SUBTOTAL(103,$C$5:C235)</f>
        <v>231</v>
      </c>
      <c r="B235" s="429" t="s">
        <v>599</v>
      </c>
      <c r="C235" s="430" t="s">
        <v>8</v>
      </c>
      <c r="D235" s="434" t="s">
        <v>228</v>
      </c>
      <c r="E235" s="432" t="s">
        <v>50</v>
      </c>
      <c r="F235" s="433"/>
    </row>
    <row r="236" spans="1:6" s="304" customFormat="1" ht="15.5">
      <c r="A236" s="428">
        <f>SUBTOTAL(103,$C$5:C236)</f>
        <v>232</v>
      </c>
      <c r="B236" s="430"/>
      <c r="C236" s="430" t="s">
        <v>241</v>
      </c>
      <c r="D236" s="434" t="s">
        <v>211</v>
      </c>
      <c r="E236" s="432" t="s">
        <v>50</v>
      </c>
      <c r="F236" s="433"/>
    </row>
    <row r="237" spans="1:6" s="304" customFormat="1" ht="15.5">
      <c r="A237" s="428">
        <f>SUBTOTAL(103,$C$5:C237)</f>
        <v>233</v>
      </c>
      <c r="B237" s="430"/>
      <c r="C237" s="430" t="s">
        <v>242</v>
      </c>
      <c r="D237" s="434" t="s">
        <v>2</v>
      </c>
      <c r="E237" s="432" t="s">
        <v>50</v>
      </c>
      <c r="F237" s="433"/>
    </row>
    <row r="238" spans="1:6" s="304" customFormat="1" ht="15.5">
      <c r="A238" s="428">
        <f>SUBTOTAL(103,$C$5:C238)</f>
        <v>234</v>
      </c>
      <c r="B238" s="430"/>
      <c r="C238" s="430" t="s">
        <v>205</v>
      </c>
      <c r="D238" s="434" t="s">
        <v>49</v>
      </c>
      <c r="E238" s="432" t="s">
        <v>50</v>
      </c>
      <c r="F238" s="433"/>
    </row>
    <row r="239" spans="1:6" s="304" customFormat="1" ht="15.5">
      <c r="A239" s="428">
        <f>SUBTOTAL(103,$C$5:C239)</f>
        <v>235</v>
      </c>
      <c r="B239" s="429" t="s">
        <v>600</v>
      </c>
      <c r="C239" s="430" t="s">
        <v>168</v>
      </c>
      <c r="D239" s="434" t="s">
        <v>228</v>
      </c>
      <c r="E239" s="432" t="s">
        <v>50</v>
      </c>
      <c r="F239" s="433"/>
    </row>
    <row r="240" spans="1:6" s="304" customFormat="1" ht="15.5">
      <c r="A240" s="428">
        <f>SUBTOTAL(103,$C$5:C240)</f>
        <v>236</v>
      </c>
      <c r="B240" s="430"/>
      <c r="C240" s="430" t="s">
        <v>601</v>
      </c>
      <c r="D240" s="434" t="s">
        <v>2</v>
      </c>
      <c r="E240" s="432" t="s">
        <v>50</v>
      </c>
      <c r="F240" s="433"/>
    </row>
    <row r="241" spans="1:6" s="304" customFormat="1" ht="15.5">
      <c r="A241" s="428">
        <f>SUBTOTAL(103,$C$5:C241)</f>
        <v>237</v>
      </c>
      <c r="B241" s="430"/>
      <c r="C241" s="430" t="s">
        <v>602</v>
      </c>
      <c r="D241" s="434" t="s">
        <v>2</v>
      </c>
      <c r="E241" s="432" t="s">
        <v>50</v>
      </c>
      <c r="F241" s="433"/>
    </row>
    <row r="242" spans="1:6" s="304" customFormat="1" ht="15.5">
      <c r="A242" s="428">
        <f>SUBTOTAL(103,$C$5:C242)</f>
        <v>238</v>
      </c>
      <c r="B242" s="430"/>
      <c r="C242" s="430" t="s">
        <v>603</v>
      </c>
      <c r="D242" s="434" t="s">
        <v>154</v>
      </c>
      <c r="E242" s="432" t="s">
        <v>50</v>
      </c>
      <c r="F242" s="433"/>
    </row>
    <row r="243" spans="1:6" s="304" customFormat="1" ht="15.5">
      <c r="A243" s="428">
        <f>SUBTOTAL(103,$C$5:C243)</f>
        <v>239</v>
      </c>
      <c r="B243" s="430"/>
      <c r="C243" s="430" t="s">
        <v>604</v>
      </c>
      <c r="D243" s="434" t="s">
        <v>49</v>
      </c>
      <c r="E243" s="432" t="s">
        <v>50</v>
      </c>
      <c r="F243" s="433"/>
    </row>
    <row r="244" spans="1:6" s="304" customFormat="1" ht="15.5">
      <c r="A244" s="428">
        <f>SUBTOTAL(103,$C$5:C244)</f>
        <v>240</v>
      </c>
      <c r="B244" s="430"/>
      <c r="C244" s="430" t="s">
        <v>605</v>
      </c>
      <c r="D244" s="434" t="s">
        <v>2</v>
      </c>
      <c r="E244" s="432" t="s">
        <v>50</v>
      </c>
      <c r="F244" s="433"/>
    </row>
    <row r="245" spans="1:6" s="304" customFormat="1" ht="15.5">
      <c r="A245" s="428">
        <f>SUBTOTAL(103,$C$5:C245)</f>
        <v>241</v>
      </c>
      <c r="B245" s="429" t="s">
        <v>790</v>
      </c>
      <c r="C245" s="430" t="s">
        <v>775</v>
      </c>
      <c r="D245" s="434" t="s">
        <v>197</v>
      </c>
      <c r="E245" s="432" t="s">
        <v>50</v>
      </c>
      <c r="F245" s="433"/>
    </row>
    <row r="246" spans="1:6" s="304" customFormat="1" ht="15.5">
      <c r="A246" s="428">
        <f>SUBTOTAL(103,$C$5:C246)</f>
        <v>242</v>
      </c>
      <c r="B246" s="430"/>
      <c r="C246" s="430" t="s">
        <v>776</v>
      </c>
      <c r="D246" s="434" t="s">
        <v>2</v>
      </c>
      <c r="E246" s="432" t="s">
        <v>50</v>
      </c>
      <c r="F246" s="433"/>
    </row>
    <row r="247" spans="1:6" s="304" customFormat="1" ht="15.5">
      <c r="A247" s="428">
        <f>SUBTOTAL(103,$C$5:C247)</f>
        <v>243</v>
      </c>
      <c r="B247" s="430"/>
      <c r="C247" s="430" t="s">
        <v>777</v>
      </c>
      <c r="D247" s="434" t="s">
        <v>170</v>
      </c>
      <c r="E247" s="432" t="s">
        <v>50</v>
      </c>
      <c r="F247" s="433"/>
    </row>
    <row r="248" spans="1:6" s="304" customFormat="1" ht="15.5">
      <c r="A248" s="428">
        <f>SUBTOTAL(103,$C$5:C248)</f>
        <v>244</v>
      </c>
      <c r="B248" s="430"/>
      <c r="C248" s="430" t="s">
        <v>778</v>
      </c>
      <c r="D248" s="434" t="s">
        <v>2</v>
      </c>
      <c r="E248" s="432" t="s">
        <v>50</v>
      </c>
      <c r="F248" s="433"/>
    </row>
    <row r="249" spans="1:6" s="304" customFormat="1" ht="15.5">
      <c r="A249" s="428">
        <f>SUBTOTAL(103,$C$5:C249)</f>
        <v>245</v>
      </c>
      <c r="B249" s="430"/>
      <c r="C249" s="430" t="s">
        <v>779</v>
      </c>
      <c r="D249" s="434" t="s">
        <v>49</v>
      </c>
      <c r="E249" s="432" t="s">
        <v>50</v>
      </c>
      <c r="F249" s="433"/>
    </row>
    <row r="250" spans="1:6" s="304" customFormat="1" ht="15.5">
      <c r="A250" s="428">
        <f>SUBTOTAL(103,$C$5:C250)</f>
        <v>246</v>
      </c>
      <c r="B250" s="430"/>
      <c r="C250" s="430" t="s">
        <v>780</v>
      </c>
      <c r="D250" s="434" t="s">
        <v>2</v>
      </c>
      <c r="E250" s="432" t="s">
        <v>50</v>
      </c>
      <c r="F250" s="433"/>
    </row>
    <row r="251" spans="1:6" s="304" customFormat="1" ht="15.5">
      <c r="A251" s="428">
        <f>SUBTOTAL(103,$C$5:C251)</f>
        <v>247</v>
      </c>
      <c r="B251" s="430"/>
      <c r="C251" s="430" t="s">
        <v>781</v>
      </c>
      <c r="D251" s="434" t="s">
        <v>2</v>
      </c>
      <c r="E251" s="432" t="s">
        <v>50</v>
      </c>
      <c r="F251" s="433"/>
    </row>
    <row r="252" spans="1:6" s="304" customFormat="1" ht="15.5">
      <c r="A252" s="428">
        <f>SUBTOTAL(103,$C$5:C252)</f>
        <v>248</v>
      </c>
      <c r="B252" s="429" t="s">
        <v>606</v>
      </c>
      <c r="C252" s="430" t="s">
        <v>72</v>
      </c>
      <c r="D252" s="434" t="s">
        <v>226</v>
      </c>
      <c r="E252" s="432" t="s">
        <v>50</v>
      </c>
      <c r="F252" s="433"/>
    </row>
    <row r="253" spans="1:6" s="304" customFormat="1" ht="15.5">
      <c r="A253" s="428">
        <f>SUBTOTAL(103,$C$5:C253)</f>
        <v>249</v>
      </c>
      <c r="B253" s="430"/>
      <c r="C253" s="430" t="s">
        <v>607</v>
      </c>
      <c r="D253" s="434" t="s">
        <v>3</v>
      </c>
      <c r="E253" s="432" t="s">
        <v>50</v>
      </c>
      <c r="F253" s="433"/>
    </row>
    <row r="254" spans="1:6" s="304" customFormat="1" ht="15.5">
      <c r="A254" s="428">
        <f>SUBTOTAL(103,$C$5:C254)</f>
        <v>250</v>
      </c>
      <c r="B254" s="430"/>
      <c r="C254" s="430" t="s">
        <v>608</v>
      </c>
      <c r="D254" s="434" t="s">
        <v>3</v>
      </c>
      <c r="E254" s="432" t="s">
        <v>50</v>
      </c>
      <c r="F254" s="433"/>
    </row>
    <row r="255" spans="1:6" s="304" customFormat="1" ht="15.5">
      <c r="A255" s="428">
        <f>SUBTOTAL(103,$C$5:C255)</f>
        <v>251</v>
      </c>
      <c r="B255" s="430"/>
      <c r="C255" s="430" t="s">
        <v>609</v>
      </c>
      <c r="D255" s="434" t="s">
        <v>2</v>
      </c>
      <c r="E255" s="432" t="s">
        <v>50</v>
      </c>
      <c r="F255" s="433"/>
    </row>
    <row r="256" spans="1:6" s="304" customFormat="1" ht="15.5">
      <c r="A256" s="428">
        <f>SUBTOTAL(103,$C$5:C256)</f>
        <v>252</v>
      </c>
      <c r="B256" s="430"/>
      <c r="C256" s="430" t="s">
        <v>610</v>
      </c>
      <c r="D256" s="434" t="s">
        <v>170</v>
      </c>
      <c r="E256" s="432" t="s">
        <v>50</v>
      </c>
      <c r="F256" s="433"/>
    </row>
    <row r="257" spans="1:6" s="304" customFormat="1" ht="15.5">
      <c r="A257" s="428">
        <f>SUBTOTAL(103,$C$5:C257)</f>
        <v>253</v>
      </c>
      <c r="B257" s="430"/>
      <c r="C257" s="430" t="s">
        <v>611</v>
      </c>
      <c r="D257" s="434" t="s">
        <v>2</v>
      </c>
      <c r="E257" s="432" t="s">
        <v>50</v>
      </c>
      <c r="F257" s="433"/>
    </row>
    <row r="258" spans="1:6" s="304" customFormat="1" ht="15.5">
      <c r="A258" s="428">
        <f>SUBTOTAL(103,$C$5:C258)</f>
        <v>254</v>
      </c>
      <c r="B258" s="430"/>
      <c r="C258" s="430" t="s">
        <v>612</v>
      </c>
      <c r="D258" s="434" t="s">
        <v>79</v>
      </c>
      <c r="E258" s="432" t="s">
        <v>50</v>
      </c>
      <c r="F258" s="433"/>
    </row>
    <row r="259" spans="1:6" s="304" customFormat="1" ht="15.5">
      <c r="A259" s="428">
        <f>SUBTOTAL(103,$C$5:C259)</f>
        <v>255</v>
      </c>
      <c r="B259" s="430"/>
      <c r="C259" s="430" t="s">
        <v>613</v>
      </c>
      <c r="D259" s="434" t="s">
        <v>49</v>
      </c>
      <c r="E259" s="432" t="s">
        <v>50</v>
      </c>
      <c r="F259" s="433"/>
    </row>
    <row r="260" spans="1:6" s="304" customFormat="1" ht="15.5">
      <c r="A260" s="428">
        <f>SUBTOTAL(103,$C$5:C260)</f>
        <v>256</v>
      </c>
      <c r="B260" s="430"/>
      <c r="C260" s="430" t="s">
        <v>614</v>
      </c>
      <c r="D260" s="434" t="s">
        <v>170</v>
      </c>
      <c r="E260" s="432" t="s">
        <v>50</v>
      </c>
      <c r="F260" s="433"/>
    </row>
    <row r="261" spans="1:6" s="304" customFormat="1" ht="15.5">
      <c r="A261" s="428">
        <f>SUBTOTAL(103,$C$5:C261)</f>
        <v>257</v>
      </c>
      <c r="B261" s="430"/>
      <c r="C261" s="430" t="s">
        <v>615</v>
      </c>
      <c r="D261" s="434" t="s">
        <v>3</v>
      </c>
      <c r="E261" s="432" t="s">
        <v>50</v>
      </c>
      <c r="F261" s="433"/>
    </row>
    <row r="262" spans="1:6" s="304" customFormat="1" ht="15.5">
      <c r="A262" s="428">
        <f>SUBTOTAL(103,$C$5:C262)</f>
        <v>258</v>
      </c>
      <c r="B262" s="430"/>
      <c r="C262" s="430" t="s">
        <v>616</v>
      </c>
      <c r="D262" s="434" t="s">
        <v>2</v>
      </c>
      <c r="E262" s="432" t="s">
        <v>50</v>
      </c>
      <c r="F262" s="433"/>
    </row>
    <row r="263" spans="1:6" s="304" customFormat="1" ht="15.5">
      <c r="A263" s="428">
        <f>SUBTOTAL(103,$C$5:C263)</f>
        <v>259</v>
      </c>
      <c r="B263" s="429" t="s">
        <v>617</v>
      </c>
      <c r="C263" s="430" t="s">
        <v>73</v>
      </c>
      <c r="D263" s="434" t="s">
        <v>184</v>
      </c>
      <c r="E263" s="432" t="s">
        <v>50</v>
      </c>
      <c r="F263" s="433"/>
    </row>
    <row r="264" spans="1:6" s="304" customFormat="1" ht="15.5">
      <c r="A264" s="428">
        <f>SUBTOTAL(103,$C$5:C264)</f>
        <v>260</v>
      </c>
      <c r="B264" s="430"/>
      <c r="C264" s="430" t="s">
        <v>618</v>
      </c>
      <c r="D264" s="434" t="s">
        <v>154</v>
      </c>
      <c r="E264" s="432" t="s">
        <v>50</v>
      </c>
      <c r="F264" s="433"/>
    </row>
    <row r="265" spans="1:6" s="304" customFormat="1" ht="15.5">
      <c r="A265" s="428">
        <f>SUBTOTAL(103,$C$5:C265)</f>
        <v>261</v>
      </c>
      <c r="B265" s="430"/>
      <c r="C265" s="430" t="s">
        <v>619</v>
      </c>
      <c r="D265" s="434" t="s">
        <v>2</v>
      </c>
      <c r="E265" s="432" t="s">
        <v>50</v>
      </c>
      <c r="F265" s="433"/>
    </row>
    <row r="266" spans="1:6" s="304" customFormat="1" ht="15.5">
      <c r="A266" s="428">
        <f>SUBTOTAL(103,$C$5:C266)</f>
        <v>262</v>
      </c>
      <c r="B266" s="430"/>
      <c r="C266" s="430" t="s">
        <v>620</v>
      </c>
      <c r="D266" s="434" t="s">
        <v>170</v>
      </c>
      <c r="E266" s="432" t="s">
        <v>50</v>
      </c>
      <c r="F266" s="433"/>
    </row>
    <row r="267" spans="1:6" s="304" customFormat="1" ht="15.5">
      <c r="A267" s="428">
        <f>SUBTOTAL(103,$C$5:C267)</f>
        <v>263</v>
      </c>
      <c r="B267" s="430"/>
      <c r="C267" s="430" t="s">
        <v>621</v>
      </c>
      <c r="D267" s="434" t="s">
        <v>2</v>
      </c>
      <c r="E267" s="432" t="s">
        <v>50</v>
      </c>
      <c r="F267" s="433"/>
    </row>
    <row r="268" spans="1:6" s="304" customFormat="1" ht="15.5">
      <c r="A268" s="428">
        <f>SUBTOTAL(103,$C$5:C268)</f>
        <v>264</v>
      </c>
      <c r="B268" s="430"/>
      <c r="C268" s="430" t="s">
        <v>622</v>
      </c>
      <c r="D268" s="434" t="s">
        <v>170</v>
      </c>
      <c r="E268" s="432" t="s">
        <v>50</v>
      </c>
      <c r="F268" s="433"/>
    </row>
    <row r="269" spans="1:6" s="304" customFormat="1" ht="15.5">
      <c r="A269" s="428">
        <f>SUBTOTAL(103,$C$5:C269)</f>
        <v>265</v>
      </c>
      <c r="B269" s="430"/>
      <c r="C269" s="430" t="s">
        <v>623</v>
      </c>
      <c r="D269" s="434" t="s">
        <v>170</v>
      </c>
      <c r="E269" s="432" t="s">
        <v>50</v>
      </c>
      <c r="F269" s="433"/>
    </row>
    <row r="270" spans="1:6" s="304" customFormat="1" ht="15.5">
      <c r="A270" s="428">
        <f>SUBTOTAL(103,$C$5:C270)</f>
        <v>266</v>
      </c>
      <c r="B270" s="430"/>
      <c r="C270" s="430" t="s">
        <v>624</v>
      </c>
      <c r="D270" s="434" t="s">
        <v>2</v>
      </c>
      <c r="E270" s="432" t="s">
        <v>50</v>
      </c>
      <c r="F270" s="433"/>
    </row>
    <row r="271" spans="1:6" s="304" customFormat="1" ht="15.5">
      <c r="A271" s="428">
        <f>SUBTOTAL(103,$C$5:C271)</f>
        <v>267</v>
      </c>
      <c r="B271" s="430"/>
      <c r="C271" s="430" t="s">
        <v>625</v>
      </c>
      <c r="D271" s="434" t="s">
        <v>170</v>
      </c>
      <c r="E271" s="432" t="s">
        <v>50</v>
      </c>
      <c r="F271" s="433"/>
    </row>
    <row r="272" spans="1:6" s="304" customFormat="1" ht="15.5">
      <c r="A272" s="428">
        <f>SUBTOTAL(103,$C$5:C272)</f>
        <v>268</v>
      </c>
      <c r="B272" s="430"/>
      <c r="C272" s="430" t="s">
        <v>626</v>
      </c>
      <c r="D272" s="434" t="s">
        <v>79</v>
      </c>
      <c r="E272" s="432" t="s">
        <v>50</v>
      </c>
      <c r="F272" s="433"/>
    </row>
    <row r="273" spans="1:6" s="304" customFormat="1" ht="15.5">
      <c r="A273" s="428">
        <f>SUBTOTAL(103,$C$5:C273)</f>
        <v>269</v>
      </c>
      <c r="B273" s="430"/>
      <c r="C273" s="430" t="s">
        <v>627</v>
      </c>
      <c r="D273" s="434" t="s">
        <v>2</v>
      </c>
      <c r="E273" s="432" t="s">
        <v>50</v>
      </c>
      <c r="F273" s="433"/>
    </row>
    <row r="274" spans="1:6" s="304" customFormat="1" ht="15.5">
      <c r="A274" s="428">
        <f>SUBTOTAL(103,$C$5:C274)</f>
        <v>270</v>
      </c>
      <c r="B274" s="430"/>
      <c r="C274" s="430" t="s">
        <v>628</v>
      </c>
      <c r="D274" s="434" t="s">
        <v>79</v>
      </c>
      <c r="E274" s="432" t="s">
        <v>50</v>
      </c>
      <c r="F274" s="433"/>
    </row>
    <row r="275" spans="1:6" s="304" customFormat="1" ht="15.5">
      <c r="A275" s="428">
        <f>SUBTOTAL(103,$C$5:C275)</f>
        <v>271</v>
      </c>
      <c r="B275" s="429" t="s">
        <v>629</v>
      </c>
      <c r="C275" s="430" t="s">
        <v>74</v>
      </c>
      <c r="D275" s="434" t="s">
        <v>227</v>
      </c>
      <c r="E275" s="432" t="s">
        <v>50</v>
      </c>
      <c r="F275" s="433"/>
    </row>
    <row r="276" spans="1:6" s="304" customFormat="1" ht="15.5">
      <c r="A276" s="428">
        <f>SUBTOTAL(103,$C$5:C276)</f>
        <v>272</v>
      </c>
      <c r="B276" s="430"/>
      <c r="C276" s="430" t="s">
        <v>206</v>
      </c>
      <c r="D276" s="434" t="s">
        <v>49</v>
      </c>
      <c r="E276" s="432" t="s">
        <v>50</v>
      </c>
      <c r="F276" s="433"/>
    </row>
    <row r="277" spans="1:6" s="304" customFormat="1" ht="15.5">
      <c r="A277" s="428">
        <f>SUBTOTAL(103,$C$5:C277)</f>
        <v>273</v>
      </c>
      <c r="B277" s="430"/>
      <c r="C277" s="430" t="s">
        <v>207</v>
      </c>
      <c r="D277" s="434" t="s">
        <v>79</v>
      </c>
      <c r="E277" s="432" t="s">
        <v>50</v>
      </c>
      <c r="F277" s="433"/>
    </row>
    <row r="278" spans="1:6" s="304" customFormat="1" ht="15.5">
      <c r="A278" s="428">
        <f>SUBTOTAL(103,$C$5:C278)</f>
        <v>274</v>
      </c>
      <c r="B278" s="430"/>
      <c r="C278" s="430" t="s">
        <v>5</v>
      </c>
      <c r="D278" s="434" t="s">
        <v>2</v>
      </c>
      <c r="E278" s="432" t="s">
        <v>50</v>
      </c>
      <c r="F278" s="433"/>
    </row>
    <row r="279" spans="1:6" s="304" customFormat="1" ht="15.5">
      <c r="A279" s="428">
        <f>SUBTOTAL(103,$C$5:C279)</f>
        <v>275</v>
      </c>
      <c r="B279" s="430"/>
      <c r="C279" s="430" t="s">
        <v>6</v>
      </c>
      <c r="D279" s="434" t="s">
        <v>79</v>
      </c>
      <c r="E279" s="432" t="s">
        <v>50</v>
      </c>
      <c r="F279" s="433"/>
    </row>
    <row r="280" spans="1:6" s="304" customFormat="1" ht="15.5">
      <c r="A280" s="428">
        <f>SUBTOTAL(103,$C$5:C280)</f>
        <v>276</v>
      </c>
      <c r="B280" s="430"/>
      <c r="C280" s="430" t="s">
        <v>630</v>
      </c>
      <c r="D280" s="434" t="s">
        <v>49</v>
      </c>
      <c r="E280" s="432" t="s">
        <v>50</v>
      </c>
      <c r="F280" s="433"/>
    </row>
    <row r="281" spans="1:6" s="304" customFormat="1" ht="15.5">
      <c r="A281" s="428">
        <f>SUBTOTAL(103,$C$5:C281)</f>
        <v>277</v>
      </c>
      <c r="B281" s="430"/>
      <c r="C281" s="430" t="s">
        <v>631</v>
      </c>
      <c r="D281" s="434" t="s">
        <v>49</v>
      </c>
      <c r="E281" s="432" t="s">
        <v>50</v>
      </c>
      <c r="F281" s="433"/>
    </row>
    <row r="282" spans="1:6" s="304" customFormat="1" ht="15.5">
      <c r="A282" s="428">
        <f>SUBTOTAL(103,$C$5:C282)</f>
        <v>278</v>
      </c>
      <c r="B282" s="430"/>
      <c r="C282" s="430" t="s">
        <v>632</v>
      </c>
      <c r="D282" s="434" t="s">
        <v>2</v>
      </c>
      <c r="E282" s="432" t="s">
        <v>50</v>
      </c>
      <c r="F282" s="433"/>
    </row>
    <row r="283" spans="1:6" s="304" customFormat="1" ht="15.5">
      <c r="A283" s="428">
        <f>SUBTOTAL(103,$C$5:C283)</f>
        <v>279</v>
      </c>
      <c r="B283" s="430"/>
      <c r="C283" s="430" t="s">
        <v>633</v>
      </c>
      <c r="D283" s="434" t="s">
        <v>154</v>
      </c>
      <c r="E283" s="432" t="s">
        <v>50</v>
      </c>
      <c r="F283" s="433"/>
    </row>
    <row r="284" spans="1:6" s="304" customFormat="1" ht="15.5">
      <c r="A284" s="428">
        <f>SUBTOTAL(103,$C$5:C284)</f>
        <v>280</v>
      </c>
      <c r="B284" s="430"/>
      <c r="C284" s="430" t="s">
        <v>634</v>
      </c>
      <c r="D284" s="434" t="s">
        <v>49</v>
      </c>
      <c r="E284" s="432" t="s">
        <v>50</v>
      </c>
      <c r="F284" s="433"/>
    </row>
    <row r="285" spans="1:6" s="304" customFormat="1" ht="15.5">
      <c r="A285" s="428">
        <f>SUBTOTAL(103,$C$5:C285)</f>
        <v>281</v>
      </c>
      <c r="B285" s="430"/>
      <c r="C285" s="430" t="s">
        <v>635</v>
      </c>
      <c r="D285" s="434" t="s">
        <v>2</v>
      </c>
      <c r="E285" s="432" t="s">
        <v>50</v>
      </c>
      <c r="F285" s="433"/>
    </row>
    <row r="286" spans="1:6" s="304" customFormat="1" ht="15.5">
      <c r="A286" s="428">
        <f>SUBTOTAL(103,$C$5:C286)</f>
        <v>282</v>
      </c>
      <c r="B286" s="430"/>
      <c r="C286" s="430" t="s">
        <v>636</v>
      </c>
      <c r="D286" s="434" t="s">
        <v>49</v>
      </c>
      <c r="E286" s="432" t="s">
        <v>50</v>
      </c>
      <c r="F286" s="433"/>
    </row>
    <row r="287" spans="1:6" s="304" customFormat="1" ht="15.5">
      <c r="A287" s="428">
        <f>SUBTOTAL(103,$C$5:C287)</f>
        <v>283</v>
      </c>
      <c r="B287" s="429" t="s">
        <v>637</v>
      </c>
      <c r="C287" s="430" t="s">
        <v>638</v>
      </c>
      <c r="D287" s="434" t="s">
        <v>211</v>
      </c>
      <c r="E287" s="432" t="s">
        <v>50</v>
      </c>
      <c r="F287" s="433"/>
    </row>
    <row r="288" spans="1:6" s="304" customFormat="1" ht="15.5">
      <c r="A288" s="428">
        <f>SUBTOTAL(103,$C$5:C288)</f>
        <v>284</v>
      </c>
      <c r="B288" s="429" t="s">
        <v>639</v>
      </c>
      <c r="C288" s="430" t="s">
        <v>75</v>
      </c>
      <c r="D288" s="434" t="s">
        <v>211</v>
      </c>
      <c r="E288" s="432" t="s">
        <v>50</v>
      </c>
      <c r="F288" s="433"/>
    </row>
    <row r="289" spans="1:6" s="304" customFormat="1" ht="15.5">
      <c r="A289" s="428">
        <f>SUBTOTAL(103,$C$5:C289)</f>
        <v>285</v>
      </c>
      <c r="B289" s="430"/>
      <c r="C289" s="430" t="s">
        <v>76</v>
      </c>
      <c r="D289" s="434" t="s">
        <v>49</v>
      </c>
      <c r="E289" s="432" t="s">
        <v>50</v>
      </c>
      <c r="F289" s="433"/>
    </row>
    <row r="290" spans="1:6" s="304" customFormat="1" ht="15.5">
      <c r="A290" s="428">
        <f>SUBTOTAL(103,$C$5:C290)</f>
        <v>286</v>
      </c>
      <c r="B290" s="429" t="s">
        <v>640</v>
      </c>
      <c r="C290" s="430" t="s">
        <v>77</v>
      </c>
      <c r="D290" s="434" t="s">
        <v>184</v>
      </c>
      <c r="E290" s="432" t="s">
        <v>50</v>
      </c>
      <c r="F290" s="433"/>
    </row>
    <row r="291" spans="1:6" s="304" customFormat="1" ht="15.5">
      <c r="A291" s="428">
        <f>SUBTOTAL(103,$C$5:C291)</f>
        <v>287</v>
      </c>
      <c r="B291" s="430"/>
      <c r="C291" s="430" t="s">
        <v>171</v>
      </c>
      <c r="D291" s="434" t="s">
        <v>2</v>
      </c>
      <c r="E291" s="432" t="s">
        <v>50</v>
      </c>
      <c r="F291" s="433"/>
    </row>
    <row r="292" spans="1:6" s="304" customFormat="1" ht="15.5">
      <c r="A292" s="428">
        <f>SUBTOTAL(103,$C$5:C292)</f>
        <v>288</v>
      </c>
      <c r="B292" s="430"/>
      <c r="C292" s="430" t="s">
        <v>172</v>
      </c>
      <c r="D292" s="434" t="s">
        <v>49</v>
      </c>
      <c r="E292" s="432" t="s">
        <v>50</v>
      </c>
      <c r="F292" s="433"/>
    </row>
    <row r="293" spans="1:6" s="304" customFormat="1" ht="15.5">
      <c r="A293" s="428">
        <f>SUBTOTAL(103,$C$5:C293)</f>
        <v>289</v>
      </c>
      <c r="B293" s="430"/>
      <c r="C293" s="430" t="s">
        <v>169</v>
      </c>
      <c r="D293" s="434" t="s">
        <v>211</v>
      </c>
      <c r="E293" s="432" t="s">
        <v>50</v>
      </c>
      <c r="F293" s="433"/>
    </row>
    <row r="294" spans="1:6" s="304" customFormat="1" ht="15.5">
      <c r="A294" s="428">
        <f>SUBTOTAL(103,$C$5:C294)</f>
        <v>290</v>
      </c>
      <c r="B294" s="429" t="s">
        <v>641</v>
      </c>
      <c r="C294" s="430" t="s">
        <v>78</v>
      </c>
      <c r="D294" s="434" t="s">
        <v>197</v>
      </c>
      <c r="E294" s="432" t="s">
        <v>50</v>
      </c>
      <c r="F294" s="433"/>
    </row>
    <row r="295" spans="1:6" s="304" customFormat="1" ht="15.5">
      <c r="A295" s="428">
        <f>SUBTOTAL(103,$C$5:C295)</f>
        <v>291</v>
      </c>
      <c r="B295" s="430"/>
      <c r="C295" s="430" t="s">
        <v>642</v>
      </c>
      <c r="D295" s="434" t="s">
        <v>154</v>
      </c>
      <c r="E295" s="432" t="s">
        <v>50</v>
      </c>
      <c r="F295" s="433"/>
    </row>
    <row r="296" spans="1:6" s="304" customFormat="1" ht="15.5">
      <c r="A296" s="428">
        <f>SUBTOTAL(103,$C$5:C296)</f>
        <v>292</v>
      </c>
      <c r="B296" s="430"/>
      <c r="C296" s="430" t="s">
        <v>643</v>
      </c>
      <c r="D296" s="434" t="s">
        <v>79</v>
      </c>
      <c r="E296" s="432" t="s">
        <v>50</v>
      </c>
      <c r="F296" s="433"/>
    </row>
    <row r="297" spans="1:6" s="304" customFormat="1" ht="15.5">
      <c r="A297" s="428">
        <f>SUBTOTAL(103,$C$5:C297)</f>
        <v>293</v>
      </c>
      <c r="B297" s="430"/>
      <c r="C297" s="430" t="s">
        <v>644</v>
      </c>
      <c r="D297" s="434" t="s">
        <v>154</v>
      </c>
      <c r="E297" s="432" t="s">
        <v>50</v>
      </c>
      <c r="F297" s="433"/>
    </row>
    <row r="298" spans="1:6" s="304" customFormat="1" ht="15.5">
      <c r="A298" s="428">
        <f>SUBTOTAL(103,$C$5:C298)</f>
        <v>294</v>
      </c>
      <c r="B298" s="430"/>
      <c r="C298" s="430" t="s">
        <v>645</v>
      </c>
      <c r="D298" s="434" t="s">
        <v>3</v>
      </c>
      <c r="E298" s="432" t="s">
        <v>50</v>
      </c>
      <c r="F298" s="433"/>
    </row>
    <row r="299" spans="1:6" s="304" customFormat="1" ht="48">
      <c r="A299" s="428">
        <f>SUBTOTAL(103,$C$5:C299)</f>
        <v>295</v>
      </c>
      <c r="B299" s="430" t="s">
        <v>1225</v>
      </c>
      <c r="C299" s="607" t="s">
        <v>646</v>
      </c>
      <c r="D299" s="606" t="s">
        <v>173</v>
      </c>
      <c r="E299" s="432" t="s">
        <v>50</v>
      </c>
      <c r="F299" s="665" t="s">
        <v>1144</v>
      </c>
    </row>
    <row r="300" spans="1:6" s="304" customFormat="1" ht="15.5">
      <c r="A300" s="428">
        <f>SUBTOTAL(103,$C$5:C300)</f>
        <v>296</v>
      </c>
      <c r="B300" s="430"/>
      <c r="C300" s="430" t="s">
        <v>647</v>
      </c>
      <c r="D300" s="434" t="s">
        <v>2</v>
      </c>
      <c r="E300" s="432" t="s">
        <v>50</v>
      </c>
      <c r="F300" s="433"/>
    </row>
    <row r="301" spans="1:6" s="304" customFormat="1" ht="15.5">
      <c r="A301" s="428">
        <f>SUBTOTAL(103,$C$5:C301)</f>
        <v>297</v>
      </c>
      <c r="B301" s="430"/>
      <c r="C301" s="430" t="s">
        <v>648</v>
      </c>
      <c r="D301" s="434" t="s">
        <v>3</v>
      </c>
      <c r="E301" s="432" t="s">
        <v>50</v>
      </c>
      <c r="F301" s="433"/>
    </row>
    <row r="302" spans="1:6" s="304" customFormat="1" ht="15.5">
      <c r="A302" s="428">
        <f>SUBTOTAL(103,$C$5:C302)</f>
        <v>298</v>
      </c>
      <c r="B302" s="430"/>
      <c r="C302" s="430" t="s">
        <v>649</v>
      </c>
      <c r="D302" s="434" t="s">
        <v>49</v>
      </c>
      <c r="E302" s="432" t="s">
        <v>50</v>
      </c>
      <c r="F302" s="433"/>
    </row>
    <row r="303" spans="1:6" s="304" customFormat="1" ht="16" thickBot="1">
      <c r="A303" s="437">
        <f>SUBTOTAL(103,$C$5:C303)</f>
        <v>299</v>
      </c>
      <c r="B303" s="438" t="s">
        <v>650</v>
      </c>
      <c r="C303" s="439" t="s">
        <v>7</v>
      </c>
      <c r="D303" s="440" t="s">
        <v>227</v>
      </c>
      <c r="E303" s="441" t="s">
        <v>50</v>
      </c>
      <c r="F303" s="442"/>
    </row>
  </sheetData>
  <autoFilter ref="A4:G302" xr:uid="{1D362497-E018-47D6-96F1-15FDDB54571B}"/>
  <mergeCells count="2">
    <mergeCell ref="A2:F2"/>
    <mergeCell ref="A3:A4"/>
  </mergeCells>
  <conditionalFormatting sqref="C3:C1048576">
    <cfRule type="duplicateValues" dxfId="34" priority="3"/>
    <cfRule type="duplicateValues" dxfId="33" priority="4"/>
  </conditionalFormatting>
  <pageMargins left="0.7" right="0.7" top="0.75" bottom="0.75" header="0.3" footer="0.3"/>
  <pageSetup scale="68" orientation="portrait" r:id="rId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7E529-5BE9-4B2E-8A21-97BE8ECE68B5}">
  <sheetPr codeName="Sheet25" filterMode="1">
    <tabColor theme="5" tint="0.39997558519241921"/>
    <pageSetUpPr fitToPage="1"/>
  </sheetPr>
  <dimension ref="A1:U782"/>
  <sheetViews>
    <sheetView view="pageBreakPreview" zoomScale="93" zoomScaleNormal="90" zoomScaleSheetLayoutView="93" workbookViewId="0">
      <pane ySplit="3" topLeftCell="A254" activePane="bottomLeft" state="frozen"/>
      <selection activeCell="B1" sqref="B1:L1"/>
      <selection pane="bottomLeft" activeCell="C2" sqref="C1:C1048576"/>
    </sheetView>
  </sheetViews>
  <sheetFormatPr defaultColWidth="9.1796875" defaultRowHeight="14.5"/>
  <cols>
    <col min="1" max="2" width="12.1796875" style="134" customWidth="1"/>
    <col min="3" max="3" width="16.453125" style="621" customWidth="1"/>
    <col min="4" max="4" width="13.1796875" style="622" bestFit="1" customWidth="1"/>
    <col min="5" max="5" width="3.7265625" style="622" hidden="1" customWidth="1"/>
    <col min="6" max="6" width="3.90625" style="153" hidden="1" customWidth="1"/>
    <col min="7" max="7" width="8" style="747" hidden="1" customWidth="1"/>
    <col min="8" max="8" width="14.453125" style="153" bestFit="1" customWidth="1"/>
    <col min="9" max="9" width="14.453125" style="153" customWidth="1"/>
    <col min="10" max="10" width="22" style="135" customWidth="1"/>
    <col min="11" max="12" width="17.81640625" style="135" customWidth="1"/>
    <col min="13" max="13" width="19.26953125" style="135" customWidth="1"/>
    <col min="14" max="14" width="17.81640625" style="135" customWidth="1"/>
    <col min="15" max="15" width="16.54296875" style="135" customWidth="1"/>
    <col min="16" max="16" width="23.26953125" style="135" customWidth="1"/>
    <col min="17" max="16384" width="9.1796875" style="134"/>
  </cols>
  <sheetData>
    <row r="1" spans="1:16" s="132" customFormat="1" ht="36" customHeight="1">
      <c r="A1" s="1681" t="s">
        <v>662</v>
      </c>
      <c r="B1" s="1682"/>
      <c r="C1" s="1682"/>
      <c r="D1" s="1724"/>
      <c r="E1" s="1724"/>
      <c r="F1" s="1724"/>
      <c r="G1" s="1724"/>
      <c r="H1" s="1724"/>
      <c r="I1" s="1724"/>
      <c r="J1" s="1682"/>
      <c r="K1" s="1682"/>
      <c r="L1" s="1682"/>
      <c r="M1" s="1682"/>
      <c r="N1" s="1682"/>
      <c r="O1" s="1682"/>
      <c r="P1" s="1683"/>
    </row>
    <row r="2" spans="1:16" s="133" customFormat="1" ht="29.25" customHeight="1">
      <c r="A2" s="1725" t="s">
        <v>91</v>
      </c>
      <c r="B2" s="396" t="s">
        <v>652</v>
      </c>
      <c r="C2" s="396" t="s">
        <v>651</v>
      </c>
      <c r="D2" s="396" t="s">
        <v>484</v>
      </c>
      <c r="E2" s="396"/>
      <c r="F2" s="396" t="s">
        <v>1115</v>
      </c>
      <c r="G2" s="396"/>
      <c r="H2" s="396" t="s">
        <v>956</v>
      </c>
      <c r="I2" s="396" t="s">
        <v>957</v>
      </c>
      <c r="J2" s="396" t="s">
        <v>958</v>
      </c>
      <c r="K2" s="396">
        <f>COUNTIFS(K4:K616,K140)</f>
        <v>306</v>
      </c>
      <c r="L2" s="396">
        <f>COUNTIFS(L4:L616,L140)</f>
        <v>304</v>
      </c>
      <c r="M2" s="396">
        <f>COUNTIFS(M4:M617,M322)</f>
        <v>304</v>
      </c>
      <c r="N2" s="396">
        <f>COUNTIFS(N4:N602,N322)</f>
        <v>116</v>
      </c>
      <c r="O2" s="396">
        <f>SUBTOTAL(3,O4:O604)</f>
        <v>26</v>
      </c>
      <c r="P2" s="396" t="s">
        <v>1</v>
      </c>
    </row>
    <row r="3" spans="1:16" s="133" customFormat="1" ht="18.5">
      <c r="A3" s="1725"/>
      <c r="B3" s="396" t="s">
        <v>520</v>
      </c>
      <c r="C3" s="396" t="s">
        <v>521</v>
      </c>
      <c r="D3" s="396" t="s">
        <v>485</v>
      </c>
      <c r="E3" s="396"/>
      <c r="F3" s="396"/>
      <c r="G3" s="396"/>
      <c r="H3" s="396" t="s">
        <v>959</v>
      </c>
      <c r="I3" s="396" t="s">
        <v>960</v>
      </c>
      <c r="J3" s="397">
        <v>46165</v>
      </c>
      <c r="K3" s="397" t="s">
        <v>99</v>
      </c>
      <c r="L3" s="397" t="s">
        <v>34</v>
      </c>
      <c r="M3" s="397" t="s">
        <v>1014</v>
      </c>
      <c r="N3" s="397" t="s">
        <v>1480</v>
      </c>
      <c r="O3" s="397" t="s">
        <v>961</v>
      </c>
      <c r="P3" s="396"/>
    </row>
    <row r="4" spans="1:16" s="133" customFormat="1" ht="18.5">
      <c r="A4" s="398">
        <v>0</v>
      </c>
      <c r="B4" s="404"/>
      <c r="C4" s="404" t="s">
        <v>1160</v>
      </c>
      <c r="D4" s="620" t="s">
        <v>244</v>
      </c>
      <c r="E4" s="620"/>
      <c r="F4" s="401"/>
      <c r="G4" s="400"/>
      <c r="H4" s="451"/>
      <c r="I4" s="407">
        <v>0</v>
      </c>
      <c r="J4" s="404"/>
      <c r="K4" s="398"/>
      <c r="L4" s="398"/>
      <c r="M4" s="398"/>
      <c r="N4" s="398"/>
      <c r="O4" s="398"/>
      <c r="P4" s="398"/>
    </row>
    <row r="5" spans="1:16" s="133" customFormat="1" ht="18.5" hidden="1">
      <c r="A5" s="403"/>
      <c r="B5" s="398"/>
      <c r="C5" s="619"/>
      <c r="D5" s="451"/>
      <c r="E5" s="451"/>
      <c r="F5" s="401"/>
      <c r="G5" s="743" t="str">
        <f>C4</f>
        <v xml:space="preserve">Gantry </v>
      </c>
      <c r="H5" s="453">
        <v>150.01400000000001</v>
      </c>
      <c r="I5" s="1164"/>
      <c r="J5" s="404"/>
      <c r="K5" s="398"/>
      <c r="L5" s="398"/>
      <c r="M5" s="398"/>
      <c r="N5" s="398"/>
      <c r="O5" s="398"/>
      <c r="P5" s="398"/>
    </row>
    <row r="6" spans="1:16" s="133" customFormat="1" ht="18.75" customHeight="1">
      <c r="A6" s="398">
        <f>SUBTOTAL(103,$C$6:C6)</f>
        <v>1</v>
      </c>
      <c r="B6" s="399" t="s">
        <v>523</v>
      </c>
      <c r="C6" s="404" t="s">
        <v>268</v>
      </c>
      <c r="D6" s="730" t="s">
        <v>188</v>
      </c>
      <c r="E6" s="730" t="s">
        <v>1415</v>
      </c>
      <c r="F6" s="405"/>
      <c r="G6" s="744"/>
      <c r="H6" s="453"/>
      <c r="I6" s="407">
        <f>ROUND(H5/1000,4)</f>
        <v>0.15</v>
      </c>
      <c r="J6" s="404" t="s">
        <v>50</v>
      </c>
      <c r="K6" s="398" t="s">
        <v>255</v>
      </c>
      <c r="L6" s="398" t="s">
        <v>255</v>
      </c>
      <c r="M6" s="398" t="s">
        <v>255</v>
      </c>
      <c r="N6" s="398"/>
      <c r="O6" s="398"/>
      <c r="P6" s="398"/>
    </row>
    <row r="7" spans="1:16" s="133" customFormat="1" ht="18.75" hidden="1" customHeight="1">
      <c r="A7" s="398"/>
      <c r="B7" s="398"/>
      <c r="C7" s="619"/>
      <c r="D7" s="451"/>
      <c r="E7" s="451"/>
      <c r="F7" s="401"/>
      <c r="G7" s="743" t="str">
        <f>C6</f>
        <v>1/0</v>
      </c>
      <c r="H7" s="453">
        <v>290.20999999999998</v>
      </c>
      <c r="I7" s="407"/>
      <c r="J7" s="404"/>
      <c r="K7" s="398"/>
      <c r="L7" s="398"/>
      <c r="M7" s="398"/>
      <c r="N7" s="398"/>
      <c r="O7" s="398"/>
      <c r="P7" s="398"/>
    </row>
    <row r="8" spans="1:16" s="133" customFormat="1" ht="18.75" customHeight="1">
      <c r="A8" s="398">
        <f>SUBTOTAL(103,$C$6:C8)</f>
        <v>2</v>
      </c>
      <c r="B8" s="399" t="s">
        <v>1249</v>
      </c>
      <c r="C8" s="737" t="s">
        <v>1248</v>
      </c>
      <c r="D8" s="730" t="s">
        <v>178</v>
      </c>
      <c r="E8" s="730" t="s">
        <v>1415</v>
      </c>
      <c r="F8" s="405"/>
      <c r="G8" s="744"/>
      <c r="H8" s="453"/>
      <c r="I8" s="407">
        <f>ROUND(H7/1000,4)+I6</f>
        <v>0.44020000000000004</v>
      </c>
      <c r="J8" s="402" t="s">
        <v>50</v>
      </c>
      <c r="K8" s="398" t="s">
        <v>255</v>
      </c>
      <c r="L8" s="398" t="s">
        <v>255</v>
      </c>
      <c r="M8" s="398" t="s">
        <v>255</v>
      </c>
      <c r="N8" s="398"/>
      <c r="O8" s="398"/>
      <c r="P8" s="398"/>
    </row>
    <row r="9" spans="1:16" s="133" customFormat="1" ht="18.75" hidden="1" customHeight="1">
      <c r="A9" s="398"/>
      <c r="B9" s="398"/>
      <c r="C9" s="619"/>
      <c r="D9" s="451"/>
      <c r="E9" s="451"/>
      <c r="F9" s="401"/>
      <c r="G9" s="743" t="str">
        <f>C8</f>
        <v>2A/0</v>
      </c>
      <c r="H9" s="453">
        <v>378</v>
      </c>
      <c r="I9" s="407"/>
      <c r="J9" s="404"/>
      <c r="K9" s="398"/>
      <c r="L9" s="398"/>
      <c r="M9" s="398"/>
      <c r="N9" s="398"/>
      <c r="O9" s="398"/>
      <c r="P9" s="398"/>
    </row>
    <row r="10" spans="1:16" s="133" customFormat="1" ht="18.75" customHeight="1">
      <c r="A10" s="398">
        <f>SUBTOTAL(103,$C$6:C10)</f>
        <v>3</v>
      </c>
      <c r="B10" s="399" t="s">
        <v>525</v>
      </c>
      <c r="C10" s="404" t="s">
        <v>1250</v>
      </c>
      <c r="D10" s="620" t="s">
        <v>3</v>
      </c>
      <c r="E10" s="620"/>
      <c r="F10" s="401"/>
      <c r="G10" s="400"/>
      <c r="H10" s="453"/>
      <c r="I10" s="407">
        <f>ROUND(H9/1000,4)+I8</f>
        <v>0.81820000000000004</v>
      </c>
      <c r="J10" s="402" t="s">
        <v>50</v>
      </c>
      <c r="K10" s="398" t="s">
        <v>255</v>
      </c>
      <c r="L10" s="398" t="s">
        <v>255</v>
      </c>
      <c r="M10" s="398" t="s">
        <v>255</v>
      </c>
      <c r="N10" s="398"/>
      <c r="O10" s="398"/>
      <c r="P10" s="398"/>
    </row>
    <row r="11" spans="1:16" s="133" customFormat="1" ht="18.75" hidden="1" customHeight="1">
      <c r="A11" s="398"/>
      <c r="B11" s="398"/>
      <c r="C11" s="619"/>
      <c r="D11" s="451"/>
      <c r="E11" s="451"/>
      <c r="F11" s="401"/>
      <c r="G11" s="743" t="str">
        <f>C10</f>
        <v>2A/1</v>
      </c>
      <c r="H11" s="453">
        <v>381</v>
      </c>
      <c r="I11" s="407"/>
      <c r="J11" s="404"/>
      <c r="K11" s="398"/>
      <c r="L11" s="398"/>
      <c r="M11" s="398"/>
      <c r="N11" s="398"/>
      <c r="O11" s="398"/>
      <c r="P11" s="398"/>
    </row>
    <row r="12" spans="1:16" s="133" customFormat="1" ht="18.75" customHeight="1">
      <c r="A12" s="398">
        <f>SUBTOTAL(103,$C$6:C12)</f>
        <v>4</v>
      </c>
      <c r="B12" s="398"/>
      <c r="C12" s="404" t="s">
        <v>1251</v>
      </c>
      <c r="D12" s="620" t="s">
        <v>2</v>
      </c>
      <c r="E12" s="620"/>
      <c r="F12" s="406"/>
      <c r="G12" s="398"/>
      <c r="H12" s="452"/>
      <c r="I12" s="407">
        <f>ROUND(H11/1000,4)+I10</f>
        <v>1.1992</v>
      </c>
      <c r="J12" s="402" t="s">
        <v>50</v>
      </c>
      <c r="K12" s="398" t="s">
        <v>255</v>
      </c>
      <c r="L12" s="398" t="s">
        <v>255</v>
      </c>
      <c r="M12" s="398" t="s">
        <v>255</v>
      </c>
      <c r="N12" s="398"/>
      <c r="O12" s="398"/>
      <c r="P12" s="398"/>
    </row>
    <row r="13" spans="1:16" s="133" customFormat="1" ht="18.75" hidden="1" customHeight="1">
      <c r="A13" s="398"/>
      <c r="B13" s="398"/>
      <c r="C13" s="619"/>
      <c r="D13" s="451"/>
      <c r="E13" s="451"/>
      <c r="F13" s="401"/>
      <c r="G13" s="743" t="str">
        <f>C12</f>
        <v>2A/2</v>
      </c>
      <c r="H13" s="453">
        <v>419</v>
      </c>
      <c r="I13" s="407"/>
      <c r="J13" s="404"/>
      <c r="K13" s="398"/>
      <c r="L13" s="398"/>
      <c r="M13" s="398"/>
      <c r="N13" s="398"/>
      <c r="O13" s="398"/>
      <c r="P13" s="398"/>
    </row>
    <row r="14" spans="1:16" s="133" customFormat="1" ht="18.75" customHeight="1">
      <c r="A14" s="398">
        <f>SUBTOTAL(103,$C$6:C14)</f>
        <v>5</v>
      </c>
      <c r="B14" s="398"/>
      <c r="C14" s="404" t="s">
        <v>1252</v>
      </c>
      <c r="D14" s="620" t="s">
        <v>2</v>
      </c>
      <c r="E14" s="620"/>
      <c r="F14" s="406"/>
      <c r="G14" s="398"/>
      <c r="H14" s="453"/>
      <c r="I14" s="407">
        <f>ROUND(H13/1000,4)+I12</f>
        <v>1.6182000000000001</v>
      </c>
      <c r="J14" s="402" t="s">
        <v>50</v>
      </c>
      <c r="K14" s="398" t="s">
        <v>255</v>
      </c>
      <c r="L14" s="398" t="s">
        <v>255</v>
      </c>
      <c r="M14" s="398" t="s">
        <v>255</v>
      </c>
      <c r="N14" s="398"/>
      <c r="O14" s="398"/>
      <c r="P14" s="398"/>
    </row>
    <row r="15" spans="1:16" s="133" customFormat="1" ht="18.75" hidden="1" customHeight="1">
      <c r="A15" s="398"/>
      <c r="B15" s="398"/>
      <c r="C15" s="619"/>
      <c r="D15" s="451"/>
      <c r="E15" s="451"/>
      <c r="F15" s="401"/>
      <c r="G15" s="743" t="str">
        <f>C14</f>
        <v>2A/3</v>
      </c>
      <c r="H15" s="453">
        <v>422</v>
      </c>
      <c r="I15" s="407"/>
      <c r="J15" s="404"/>
      <c r="K15" s="398"/>
      <c r="L15" s="398"/>
      <c r="M15" s="398"/>
      <c r="N15" s="398"/>
      <c r="O15" s="398"/>
      <c r="P15" s="398"/>
    </row>
    <row r="16" spans="1:16" s="133" customFormat="1" ht="18.75" customHeight="1">
      <c r="A16" s="398">
        <f>SUBTOTAL(103,$C$6:C16)</f>
        <v>6</v>
      </c>
      <c r="B16" s="398"/>
      <c r="C16" s="404" t="s">
        <v>1253</v>
      </c>
      <c r="D16" s="620" t="s">
        <v>2</v>
      </c>
      <c r="E16" s="620"/>
      <c r="F16" s="406"/>
      <c r="G16" s="398"/>
      <c r="H16" s="453"/>
      <c r="I16" s="407">
        <f>ROUND(H15/1000,4)+I14</f>
        <v>2.0402</v>
      </c>
      <c r="J16" s="402" t="s">
        <v>50</v>
      </c>
      <c r="K16" s="398" t="s">
        <v>255</v>
      </c>
      <c r="L16" s="398" t="s">
        <v>255</v>
      </c>
      <c r="M16" s="398" t="s">
        <v>255</v>
      </c>
      <c r="N16" s="398"/>
      <c r="O16" s="398"/>
      <c r="P16" s="398"/>
    </row>
    <row r="17" spans="1:21" s="133" customFormat="1" ht="18.75" hidden="1" customHeight="1">
      <c r="A17" s="398"/>
      <c r="B17" s="398"/>
      <c r="C17" s="619"/>
      <c r="D17" s="451"/>
      <c r="E17" s="451"/>
      <c r="F17" s="401"/>
      <c r="G17" s="743" t="str">
        <f>C16</f>
        <v>2A/4</v>
      </c>
      <c r="H17" s="453">
        <v>399</v>
      </c>
      <c r="I17" s="407"/>
      <c r="J17" s="404"/>
      <c r="K17" s="398"/>
      <c r="L17" s="398"/>
      <c r="M17" s="398"/>
      <c r="N17" s="398"/>
      <c r="O17" s="398"/>
      <c r="P17" s="398"/>
    </row>
    <row r="18" spans="1:21" s="133" customFormat="1" ht="18.75" customHeight="1">
      <c r="A18" s="398">
        <f>SUBTOTAL(103,$C$6:C18)</f>
        <v>7</v>
      </c>
      <c r="B18" s="398"/>
      <c r="C18" s="404" t="s">
        <v>1254</v>
      </c>
      <c r="D18" s="620" t="s">
        <v>2</v>
      </c>
      <c r="E18" s="620"/>
      <c r="F18" s="406"/>
      <c r="G18" s="398"/>
      <c r="H18" s="453"/>
      <c r="I18" s="407">
        <f>ROUND(H17/1000,4)+I16</f>
        <v>2.4392</v>
      </c>
      <c r="J18" s="402" t="s">
        <v>50</v>
      </c>
      <c r="K18" s="398" t="s">
        <v>255</v>
      </c>
      <c r="L18" s="398" t="s">
        <v>255</v>
      </c>
      <c r="M18" s="398" t="s">
        <v>255</v>
      </c>
      <c r="N18" s="398"/>
      <c r="O18" s="398"/>
      <c r="P18" s="398"/>
    </row>
    <row r="19" spans="1:21" s="133" customFormat="1" ht="18.75" hidden="1" customHeight="1">
      <c r="A19" s="398"/>
      <c r="B19" s="398"/>
      <c r="C19" s="619"/>
      <c r="D19" s="451"/>
      <c r="E19" s="451"/>
      <c r="F19" s="401"/>
      <c r="G19" s="743" t="str">
        <f>C18</f>
        <v>2A/5</v>
      </c>
      <c r="H19" s="453">
        <v>423</v>
      </c>
      <c r="I19" s="407"/>
      <c r="J19" s="404"/>
      <c r="K19" s="398"/>
      <c r="L19" s="398"/>
      <c r="M19" s="398"/>
      <c r="N19" s="398"/>
      <c r="O19" s="398"/>
      <c r="P19" s="398"/>
    </row>
    <row r="20" spans="1:21" s="133" customFormat="1" ht="18.75" customHeight="1">
      <c r="A20" s="398">
        <f>SUBTOTAL(103,$C$6:C20)</f>
        <v>8</v>
      </c>
      <c r="B20" s="398"/>
      <c r="C20" s="404" t="s">
        <v>1255</v>
      </c>
      <c r="D20" s="620" t="s">
        <v>79</v>
      </c>
      <c r="E20" s="620"/>
      <c r="F20" s="406"/>
      <c r="G20" s="398"/>
      <c r="H20" s="453"/>
      <c r="I20" s="407">
        <f>ROUND(H19/1000,4)+I18</f>
        <v>2.8622000000000001</v>
      </c>
      <c r="J20" s="402" t="s">
        <v>50</v>
      </c>
      <c r="K20" s="398" t="s">
        <v>255</v>
      </c>
      <c r="L20" s="398" t="s">
        <v>255</v>
      </c>
      <c r="M20" s="398" t="s">
        <v>255</v>
      </c>
      <c r="N20" s="398"/>
      <c r="O20" s="398"/>
      <c r="P20" s="398"/>
    </row>
    <row r="21" spans="1:21" s="133" customFormat="1" ht="18.75" hidden="1" customHeight="1">
      <c r="A21" s="398"/>
      <c r="B21" s="398"/>
      <c r="C21" s="619"/>
      <c r="D21" s="451"/>
      <c r="E21" s="451"/>
      <c r="F21" s="401"/>
      <c r="G21" s="743" t="str">
        <f>C20</f>
        <v>2A/6</v>
      </c>
      <c r="H21" s="453">
        <v>414.99200000000002</v>
      </c>
      <c r="I21" s="407"/>
      <c r="J21" s="404"/>
      <c r="K21" s="398"/>
      <c r="L21" s="398"/>
      <c r="M21" s="398"/>
      <c r="N21" s="398"/>
      <c r="O21" s="398"/>
      <c r="P21" s="398"/>
    </row>
    <row r="22" spans="1:21" s="133" customFormat="1" ht="18.75" customHeight="1">
      <c r="A22" s="398">
        <f>SUBTOTAL(103,$C$6:C22)</f>
        <v>9</v>
      </c>
      <c r="B22" s="398"/>
      <c r="C22" s="404" t="s">
        <v>1256</v>
      </c>
      <c r="D22" s="620" t="s">
        <v>183</v>
      </c>
      <c r="E22" s="620" t="s">
        <v>1415</v>
      </c>
      <c r="F22" s="406"/>
      <c r="G22" s="398"/>
      <c r="H22" s="453"/>
      <c r="I22" s="407">
        <f>ROUND(H21/1000,4)+I20</f>
        <v>3.2772000000000001</v>
      </c>
      <c r="J22" s="402" t="s">
        <v>50</v>
      </c>
      <c r="K22" s="398" t="s">
        <v>255</v>
      </c>
      <c r="L22" s="398" t="s">
        <v>255</v>
      </c>
      <c r="M22" s="398" t="s">
        <v>255</v>
      </c>
      <c r="N22" s="398"/>
      <c r="O22" s="398"/>
      <c r="P22" s="398"/>
    </row>
    <row r="23" spans="1:21" s="133" customFormat="1" ht="18.75" hidden="1" customHeight="1">
      <c r="A23" s="398"/>
      <c r="B23" s="398"/>
      <c r="C23" s="619"/>
      <c r="D23" s="451"/>
      <c r="E23" s="451"/>
      <c r="F23" s="401"/>
      <c r="G23" s="743" t="str">
        <f>C22</f>
        <v>3A/0</v>
      </c>
      <c r="H23" s="453">
        <v>409</v>
      </c>
      <c r="I23" s="407"/>
      <c r="J23" s="404"/>
      <c r="K23" s="398"/>
      <c r="L23" s="398"/>
      <c r="M23" s="398"/>
      <c r="N23" s="398"/>
      <c r="O23" s="398"/>
      <c r="P23" s="398"/>
    </row>
    <row r="24" spans="1:21" s="133" customFormat="1" ht="18.75" customHeight="1">
      <c r="A24" s="398">
        <f>SUBTOTAL(103,$C$6:C24)</f>
        <v>10</v>
      </c>
      <c r="B24" s="398"/>
      <c r="C24" s="404" t="s">
        <v>1257</v>
      </c>
      <c r="D24" s="620" t="s">
        <v>2</v>
      </c>
      <c r="E24" s="620"/>
      <c r="F24" s="406"/>
      <c r="G24" s="398"/>
      <c r="H24" s="453"/>
      <c r="I24" s="407">
        <f>ROUND(H23/1000,4)+I22</f>
        <v>3.6861999999999999</v>
      </c>
      <c r="J24" s="402" t="s">
        <v>50</v>
      </c>
      <c r="K24" s="398" t="s">
        <v>255</v>
      </c>
      <c r="L24" s="398" t="s">
        <v>255</v>
      </c>
      <c r="M24" s="398" t="s">
        <v>255</v>
      </c>
      <c r="N24" s="398"/>
      <c r="O24" s="398"/>
      <c r="P24" s="398"/>
    </row>
    <row r="25" spans="1:21" s="133" customFormat="1" ht="18.75" hidden="1" customHeight="1">
      <c r="A25" s="398"/>
      <c r="B25" s="398"/>
      <c r="C25" s="619"/>
      <c r="D25" s="451"/>
      <c r="E25" s="451"/>
      <c r="F25" s="401"/>
      <c r="G25" s="743" t="str">
        <f>C24</f>
        <v>3A/1</v>
      </c>
      <c r="H25" s="453">
        <v>402</v>
      </c>
      <c r="I25" s="407"/>
      <c r="J25" s="404"/>
      <c r="K25" s="404"/>
      <c r="L25" s="404"/>
      <c r="M25" s="398"/>
      <c r="N25" s="398"/>
      <c r="O25" s="398"/>
      <c r="P25" s="398"/>
    </row>
    <row r="26" spans="1:21" s="133" customFormat="1" ht="18.75" customHeight="1">
      <c r="A26" s="398">
        <f>SUBTOTAL(103,$C$6:C26)</f>
        <v>11</v>
      </c>
      <c r="B26" s="398"/>
      <c r="C26" s="404" t="s">
        <v>1258</v>
      </c>
      <c r="D26" s="620" t="s">
        <v>2</v>
      </c>
      <c r="E26" s="620"/>
      <c r="F26" s="406"/>
      <c r="G26" s="398"/>
      <c r="H26" s="453"/>
      <c r="I26" s="407">
        <f>ROUND(H25/1000,4)+I24</f>
        <v>4.0881999999999996</v>
      </c>
      <c r="J26" s="402" t="s">
        <v>50</v>
      </c>
      <c r="K26" s="398" t="s">
        <v>255</v>
      </c>
      <c r="L26" s="398" t="s">
        <v>255</v>
      </c>
      <c r="M26" s="398" t="s">
        <v>255</v>
      </c>
      <c r="N26" s="398"/>
      <c r="O26" s="398"/>
      <c r="P26" s="398"/>
    </row>
    <row r="27" spans="1:21" s="133" customFormat="1" ht="18.75" hidden="1" customHeight="1">
      <c r="A27" s="398"/>
      <c r="B27" s="398"/>
      <c r="C27" s="619"/>
      <c r="D27" s="451"/>
      <c r="E27" s="451"/>
      <c r="F27" s="401"/>
      <c r="G27" s="743" t="str">
        <f>C26</f>
        <v>3A/2</v>
      </c>
      <c r="H27" s="453">
        <v>409</v>
      </c>
      <c r="I27" s="407"/>
      <c r="J27" s="404"/>
      <c r="K27" s="404"/>
      <c r="L27" s="404"/>
      <c r="M27" s="398"/>
      <c r="N27" s="398"/>
      <c r="O27" s="398"/>
      <c r="P27" s="398"/>
    </row>
    <row r="28" spans="1:21" s="133" customFormat="1" ht="18.75" customHeight="1">
      <c r="A28" s="398">
        <f>SUBTOTAL(103,$C$6:C28)</f>
        <v>12</v>
      </c>
      <c r="B28" s="398"/>
      <c r="C28" s="404" t="s">
        <v>1259</v>
      </c>
      <c r="D28" s="620" t="s">
        <v>3</v>
      </c>
      <c r="E28" s="620"/>
      <c r="F28" s="406"/>
      <c r="G28" s="398"/>
      <c r="H28" s="453"/>
      <c r="I28" s="407">
        <f>ROUND(H27/1000,4)+I26</f>
        <v>4.4971999999999994</v>
      </c>
      <c r="J28" s="402" t="s">
        <v>50</v>
      </c>
      <c r="K28" s="398" t="s">
        <v>255</v>
      </c>
      <c r="L28" s="398" t="s">
        <v>255</v>
      </c>
      <c r="M28" s="398" t="s">
        <v>255</v>
      </c>
      <c r="N28" s="398"/>
      <c r="O28" s="398" t="s">
        <v>962</v>
      </c>
      <c r="P28" s="398"/>
      <c r="U28" s="133">
        <f>280-6</f>
        <v>274</v>
      </c>
    </row>
    <row r="29" spans="1:21" s="133" customFormat="1" ht="18.75" hidden="1" customHeight="1">
      <c r="A29" s="398"/>
      <c r="B29" s="398"/>
      <c r="C29" s="619"/>
      <c r="D29" s="451"/>
      <c r="E29" s="451"/>
      <c r="F29" s="401"/>
      <c r="G29" s="743" t="str">
        <f>C28</f>
        <v>3A/3</v>
      </c>
      <c r="H29" s="453">
        <v>337</v>
      </c>
      <c r="I29" s="407"/>
      <c r="J29" s="404"/>
      <c r="K29" s="404"/>
      <c r="L29" s="404"/>
      <c r="M29" s="398"/>
      <c r="N29" s="398"/>
      <c r="O29" s="398"/>
      <c r="P29" s="398"/>
    </row>
    <row r="30" spans="1:21" s="133" customFormat="1" ht="18.75" customHeight="1">
      <c r="A30" s="398">
        <f>SUBTOTAL(103,$C$6:C30)</f>
        <v>13</v>
      </c>
      <c r="B30" s="398"/>
      <c r="C30" s="404" t="s">
        <v>1260</v>
      </c>
      <c r="D30" s="620" t="s">
        <v>3</v>
      </c>
      <c r="E30" s="620"/>
      <c r="F30" s="406"/>
      <c r="G30" s="398"/>
      <c r="H30" s="453"/>
      <c r="I30" s="407">
        <f>ROUND(H29/1000,4)+I28</f>
        <v>4.8341999999999992</v>
      </c>
      <c r="J30" s="402" t="s">
        <v>50</v>
      </c>
      <c r="K30" s="398" t="s">
        <v>255</v>
      </c>
      <c r="L30" s="398" t="s">
        <v>255</v>
      </c>
      <c r="M30" s="398" t="s">
        <v>255</v>
      </c>
      <c r="N30" s="398"/>
      <c r="O30" s="398"/>
      <c r="P30" s="398"/>
    </row>
    <row r="31" spans="1:21" s="133" customFormat="1" ht="18.75" hidden="1" customHeight="1">
      <c r="A31" s="398"/>
      <c r="B31" s="398"/>
      <c r="C31" s="619"/>
      <c r="D31" s="451"/>
      <c r="E31" s="451"/>
      <c r="F31" s="401"/>
      <c r="G31" s="743" t="str">
        <f>C30</f>
        <v>3A/4</v>
      </c>
      <c r="H31" s="453">
        <v>365</v>
      </c>
      <c r="I31" s="407"/>
      <c r="J31" s="404"/>
      <c r="K31" s="404"/>
      <c r="L31" s="404"/>
      <c r="M31" s="398"/>
      <c r="N31" s="398"/>
      <c r="O31" s="398"/>
      <c r="P31" s="398"/>
    </row>
    <row r="32" spans="1:21" s="133" customFormat="1" ht="18.75" customHeight="1">
      <c r="A32" s="398">
        <f>SUBTOTAL(103,$C$6:C32)</f>
        <v>14</v>
      </c>
      <c r="B32" s="398"/>
      <c r="C32" s="404" t="s">
        <v>1261</v>
      </c>
      <c r="D32" s="620" t="s">
        <v>2</v>
      </c>
      <c r="E32" s="620"/>
      <c r="F32" s="406"/>
      <c r="G32" s="398"/>
      <c r="H32" s="453"/>
      <c r="I32" s="407">
        <f>ROUND(H31/1000,4)+I30</f>
        <v>5.1991999999999994</v>
      </c>
      <c r="J32" s="402" t="s">
        <v>50</v>
      </c>
      <c r="K32" s="398" t="s">
        <v>255</v>
      </c>
      <c r="L32" s="398" t="s">
        <v>255</v>
      </c>
      <c r="M32" s="398" t="s">
        <v>255</v>
      </c>
      <c r="N32" s="398"/>
      <c r="O32" s="398"/>
      <c r="P32" s="398"/>
    </row>
    <row r="33" spans="1:21" s="133" customFormat="1" ht="18.75" hidden="1" customHeight="1">
      <c r="A33" s="398"/>
      <c r="B33" s="398"/>
      <c r="C33" s="619"/>
      <c r="D33" s="451"/>
      <c r="E33" s="451"/>
      <c r="F33" s="401"/>
      <c r="G33" s="743" t="str">
        <f>C32</f>
        <v>3A/5</v>
      </c>
      <c r="H33" s="453">
        <v>378</v>
      </c>
      <c r="I33" s="407"/>
      <c r="J33" s="404"/>
      <c r="K33" s="404"/>
      <c r="L33" s="404"/>
      <c r="M33" s="398"/>
      <c r="N33" s="398"/>
      <c r="O33" s="398"/>
      <c r="P33" s="398"/>
    </row>
    <row r="34" spans="1:21" s="574" customFormat="1" ht="18.75" customHeight="1">
      <c r="A34" s="398">
        <f>SUBTOTAL(103,$C$6:C34)</f>
        <v>15</v>
      </c>
      <c r="B34" s="571" t="s">
        <v>537</v>
      </c>
      <c r="C34" s="571" t="s">
        <v>1262</v>
      </c>
      <c r="D34" s="731" t="s">
        <v>3</v>
      </c>
      <c r="E34" s="731"/>
      <c r="F34" s="572"/>
      <c r="G34" s="745"/>
      <c r="H34" s="573"/>
      <c r="I34" s="573">
        <f>ROUND(H33/1000,4)+I32</f>
        <v>5.5771999999999995</v>
      </c>
      <c r="J34" s="571" t="s">
        <v>50</v>
      </c>
      <c r="K34" s="571" t="s">
        <v>255</v>
      </c>
      <c r="L34" s="398" t="s">
        <v>255</v>
      </c>
      <c r="M34" s="571" t="s">
        <v>255</v>
      </c>
      <c r="N34" s="398"/>
      <c r="O34" s="571"/>
      <c r="P34" s="571"/>
    </row>
    <row r="35" spans="1:21" s="133" customFormat="1" ht="18.75" hidden="1" customHeight="1">
      <c r="A35" s="398"/>
      <c r="B35" s="398"/>
      <c r="C35" s="619"/>
      <c r="D35" s="451"/>
      <c r="E35" s="451"/>
      <c r="F35" s="401"/>
      <c r="G35" s="743" t="str">
        <f>C34</f>
        <v>3A/6</v>
      </c>
      <c r="H35" s="454">
        <v>391.46699999999998</v>
      </c>
      <c r="I35" s="407"/>
      <c r="J35" s="404"/>
      <c r="K35" s="398"/>
      <c r="L35" s="398"/>
      <c r="M35" s="398"/>
      <c r="N35" s="398"/>
      <c r="O35" s="398"/>
      <c r="P35" s="398"/>
    </row>
    <row r="36" spans="1:21" s="133" customFormat="1" ht="18.75" customHeight="1">
      <c r="A36" s="398">
        <f>SUBTOTAL(103,$C$6:C36)</f>
        <v>16</v>
      </c>
      <c r="B36" s="398"/>
      <c r="C36" s="404" t="s">
        <v>1263</v>
      </c>
      <c r="D36" s="620" t="s">
        <v>211</v>
      </c>
      <c r="E36" s="620"/>
      <c r="F36" s="406"/>
      <c r="G36" s="398"/>
      <c r="H36" s="454"/>
      <c r="I36" s="407">
        <f>ROUND(H35/1000,4)+I34</f>
        <v>5.9686999999999992</v>
      </c>
      <c r="J36" s="402" t="s">
        <v>50</v>
      </c>
      <c r="K36" s="398" t="s">
        <v>255</v>
      </c>
      <c r="L36" s="398" t="s">
        <v>255</v>
      </c>
      <c r="M36" s="398" t="s">
        <v>255</v>
      </c>
      <c r="N36" s="398"/>
      <c r="O36" s="398"/>
      <c r="P36" s="404"/>
    </row>
    <row r="37" spans="1:21" s="133" customFormat="1" ht="18.75" hidden="1" customHeight="1">
      <c r="A37" s="398"/>
      <c r="B37" s="398"/>
      <c r="C37" s="619"/>
      <c r="D37" s="451"/>
      <c r="E37" s="451"/>
      <c r="F37" s="401"/>
      <c r="G37" s="743" t="str">
        <f>C36</f>
        <v>3B/0</v>
      </c>
      <c r="H37" s="454">
        <v>356</v>
      </c>
      <c r="I37" s="407"/>
      <c r="J37" s="404"/>
      <c r="K37" s="398"/>
      <c r="L37" s="398"/>
      <c r="M37" s="398"/>
      <c r="N37" s="398"/>
      <c r="O37" s="398"/>
      <c r="P37" s="398"/>
    </row>
    <row r="38" spans="1:21" s="133" customFormat="1" ht="18.75" customHeight="1">
      <c r="A38" s="398">
        <f>SUBTOTAL(103,$C$6:C38)</f>
        <v>17</v>
      </c>
      <c r="B38" s="398"/>
      <c r="C38" s="404" t="s">
        <v>1264</v>
      </c>
      <c r="D38" s="620" t="s">
        <v>2</v>
      </c>
      <c r="E38" s="620"/>
      <c r="F38" s="406"/>
      <c r="G38" s="398"/>
      <c r="H38" s="454"/>
      <c r="I38" s="407">
        <f>ROUND(H37/1000,4)+I36</f>
        <v>6.3246999999999991</v>
      </c>
      <c r="J38" s="402" t="s">
        <v>50</v>
      </c>
      <c r="K38" s="398" t="s">
        <v>255</v>
      </c>
      <c r="L38" s="398" t="s">
        <v>255</v>
      </c>
      <c r="M38" s="398" t="s">
        <v>255</v>
      </c>
      <c r="N38" s="398"/>
      <c r="O38" s="398"/>
      <c r="P38" s="404"/>
    </row>
    <row r="39" spans="1:21" s="133" customFormat="1" ht="18.75" hidden="1" customHeight="1">
      <c r="A39" s="398"/>
      <c r="B39" s="398"/>
      <c r="C39" s="619"/>
      <c r="D39" s="451"/>
      <c r="E39" s="451"/>
      <c r="F39" s="401"/>
      <c r="G39" s="743" t="str">
        <f>C38</f>
        <v>3B/1</v>
      </c>
      <c r="H39" s="454">
        <v>439</v>
      </c>
      <c r="I39" s="407"/>
      <c r="J39" s="404"/>
      <c r="K39" s="398"/>
      <c r="L39" s="398"/>
      <c r="M39" s="398"/>
      <c r="N39" s="398"/>
      <c r="O39" s="398"/>
      <c r="P39" s="398"/>
    </row>
    <row r="40" spans="1:21" s="133" customFormat="1" ht="18.75" customHeight="1">
      <c r="A40" s="398">
        <f>SUBTOTAL(103,$C$6:C40)</f>
        <v>18</v>
      </c>
      <c r="B40" s="398"/>
      <c r="C40" s="404" t="s">
        <v>1265</v>
      </c>
      <c r="D40" s="620" t="s">
        <v>49</v>
      </c>
      <c r="E40" s="620"/>
      <c r="F40" s="406"/>
      <c r="G40" s="398"/>
      <c r="H40" s="454"/>
      <c r="I40" s="407">
        <f>ROUND(H39/1000,4)+I38</f>
        <v>6.7636999999999992</v>
      </c>
      <c r="J40" s="402" t="s">
        <v>50</v>
      </c>
      <c r="K40" s="398" t="s">
        <v>255</v>
      </c>
      <c r="L40" s="398" t="s">
        <v>255</v>
      </c>
      <c r="M40" s="398" t="s">
        <v>255</v>
      </c>
      <c r="N40" s="398"/>
      <c r="O40" s="398"/>
      <c r="P40" s="404"/>
    </row>
    <row r="41" spans="1:21" s="133" customFormat="1" ht="18.75" hidden="1" customHeight="1">
      <c r="A41" s="398"/>
      <c r="B41" s="398"/>
      <c r="C41" s="619"/>
      <c r="D41" s="451"/>
      <c r="E41" s="451"/>
      <c r="F41" s="401"/>
      <c r="G41" s="743" t="str">
        <f>C40</f>
        <v>3B/2</v>
      </c>
      <c r="H41" s="454">
        <v>377</v>
      </c>
      <c r="I41" s="407"/>
      <c r="J41" s="404"/>
      <c r="K41" s="398"/>
      <c r="L41" s="398"/>
      <c r="M41" s="398"/>
      <c r="N41" s="398"/>
      <c r="O41" s="398"/>
      <c r="P41" s="398"/>
    </row>
    <row r="42" spans="1:21" s="133" customFormat="1" ht="18.75" customHeight="1">
      <c r="A42" s="398">
        <f>SUBTOTAL(103,$C$6:C42)</f>
        <v>19</v>
      </c>
      <c r="B42" s="398"/>
      <c r="C42" s="404" t="s">
        <v>1266</v>
      </c>
      <c r="D42" s="620" t="s">
        <v>79</v>
      </c>
      <c r="E42" s="620"/>
      <c r="F42" s="406"/>
      <c r="G42" s="398"/>
      <c r="H42" s="454"/>
      <c r="I42" s="407">
        <f>ROUND(H41/1000,4)+I40</f>
        <v>7.1406999999999989</v>
      </c>
      <c r="J42" s="402" t="s">
        <v>50</v>
      </c>
      <c r="K42" s="398" t="s">
        <v>255</v>
      </c>
      <c r="L42" s="398" t="s">
        <v>255</v>
      </c>
      <c r="M42" s="398" t="s">
        <v>255</v>
      </c>
      <c r="N42" s="398"/>
      <c r="O42" s="398"/>
      <c r="P42" s="404"/>
    </row>
    <row r="43" spans="1:21" s="133" customFormat="1" ht="18.75" hidden="1" customHeight="1">
      <c r="A43" s="398"/>
      <c r="B43" s="398"/>
      <c r="C43" s="619"/>
      <c r="D43" s="451"/>
      <c r="E43" s="451"/>
      <c r="F43" s="401"/>
      <c r="G43" s="743" t="str">
        <f>C42</f>
        <v>3B/3</v>
      </c>
      <c r="H43" s="454">
        <v>455.07</v>
      </c>
      <c r="I43" s="407"/>
      <c r="J43" s="404"/>
      <c r="K43" s="398"/>
      <c r="L43" s="398"/>
      <c r="M43" s="398"/>
      <c r="N43" s="398"/>
      <c r="O43" s="398"/>
      <c r="P43" s="398"/>
      <c r="U43" s="133">
        <f>306-267</f>
        <v>39</v>
      </c>
    </row>
    <row r="44" spans="1:21" s="133" customFormat="1" ht="18.75" customHeight="1">
      <c r="A44" s="398">
        <f>SUBTOTAL(103,$C$6:C44)</f>
        <v>20</v>
      </c>
      <c r="B44" s="398"/>
      <c r="C44" s="619" t="s">
        <v>256</v>
      </c>
      <c r="D44" s="451" t="s">
        <v>215</v>
      </c>
      <c r="E44" s="451"/>
      <c r="F44" s="401"/>
      <c r="G44" s="743"/>
      <c r="H44" s="454"/>
      <c r="I44" s="407">
        <f>ROUND(H43/1000,4)+I42</f>
        <v>7.5957999999999988</v>
      </c>
      <c r="J44" s="404" t="s">
        <v>50</v>
      </c>
      <c r="K44" s="398" t="s">
        <v>255</v>
      </c>
      <c r="L44" s="398" t="s">
        <v>255</v>
      </c>
      <c r="M44" s="398" t="s">
        <v>255</v>
      </c>
      <c r="N44" s="398"/>
      <c r="O44" s="398"/>
      <c r="P44" s="398"/>
    </row>
    <row r="45" spans="1:21" s="133" customFormat="1" ht="18.75" hidden="1" customHeight="1">
      <c r="A45" s="398"/>
      <c r="B45" s="398"/>
      <c r="C45" s="619"/>
      <c r="D45" s="451"/>
      <c r="E45" s="451"/>
      <c r="F45" s="401"/>
      <c r="G45" s="743" t="str">
        <f>C44</f>
        <v>4/0</v>
      </c>
      <c r="H45" s="454">
        <v>344.16300000000001</v>
      </c>
      <c r="I45" s="407"/>
      <c r="J45" s="404"/>
      <c r="K45" s="398"/>
      <c r="L45" s="398"/>
      <c r="M45" s="398"/>
      <c r="N45" s="398"/>
      <c r="O45" s="398"/>
      <c r="P45" s="398"/>
    </row>
    <row r="46" spans="1:21" s="133" customFormat="1" ht="18.75" customHeight="1">
      <c r="A46" s="398">
        <f>SUBTOTAL(103,$C$6:C46)</f>
        <v>21</v>
      </c>
      <c r="B46" s="398"/>
      <c r="C46" s="404" t="s">
        <v>452</v>
      </c>
      <c r="D46" s="620" t="s">
        <v>79</v>
      </c>
      <c r="E46" s="620"/>
      <c r="F46" s="406"/>
      <c r="G46" s="398"/>
      <c r="H46" s="454"/>
      <c r="I46" s="407">
        <f>ROUND(H45/1000,4)+I44</f>
        <v>7.9399999999999986</v>
      </c>
      <c r="J46" s="402" t="s">
        <v>50</v>
      </c>
      <c r="K46" s="398" t="s">
        <v>255</v>
      </c>
      <c r="L46" s="398" t="s">
        <v>255</v>
      </c>
      <c r="M46" s="398" t="s">
        <v>255</v>
      </c>
      <c r="N46" s="398"/>
      <c r="O46" s="398"/>
      <c r="P46" s="404" t="s">
        <v>1267</v>
      </c>
    </row>
    <row r="47" spans="1:21" s="133" customFormat="1" ht="18.75" hidden="1" customHeight="1">
      <c r="A47" s="398"/>
      <c r="B47" s="398"/>
      <c r="C47" s="619"/>
      <c r="D47" s="451"/>
      <c r="E47" s="451"/>
      <c r="F47" s="401"/>
      <c r="G47" s="743" t="str">
        <f>C46</f>
        <v>4/1</v>
      </c>
      <c r="H47" s="454">
        <v>365</v>
      </c>
      <c r="I47" s="407"/>
      <c r="J47" s="404"/>
      <c r="K47" s="398"/>
      <c r="L47" s="398"/>
      <c r="M47" s="398"/>
      <c r="N47" s="398"/>
      <c r="O47" s="398"/>
      <c r="P47" s="398"/>
    </row>
    <row r="48" spans="1:21" s="647" customFormat="1" ht="18.75" customHeight="1">
      <c r="A48" s="398">
        <f>SUBTOTAL(103,$C$6:C48)</f>
        <v>22</v>
      </c>
      <c r="B48" s="404" t="s">
        <v>889</v>
      </c>
      <c r="C48" s="404" t="s">
        <v>890</v>
      </c>
      <c r="D48" s="620" t="s">
        <v>226</v>
      </c>
      <c r="E48" s="620"/>
      <c r="F48" s="451"/>
      <c r="G48" s="404"/>
      <c r="H48" s="454"/>
      <c r="I48" s="454">
        <f>ROUND(H47/1000,4)+I46</f>
        <v>8.3049999999999979</v>
      </c>
      <c r="J48" s="404" t="s">
        <v>50</v>
      </c>
      <c r="K48" s="404" t="s">
        <v>255</v>
      </c>
      <c r="L48" s="398" t="s">
        <v>255</v>
      </c>
      <c r="M48" s="404" t="s">
        <v>255</v>
      </c>
      <c r="N48" s="398"/>
      <c r="O48" s="404"/>
      <c r="P48" s="404"/>
    </row>
    <row r="49" spans="1:16" s="133" customFormat="1" ht="18.75" hidden="1" customHeight="1">
      <c r="A49" s="398"/>
      <c r="B49" s="398"/>
      <c r="C49" s="619"/>
      <c r="D49" s="451"/>
      <c r="E49" s="451"/>
      <c r="F49" s="401"/>
      <c r="G49" s="743" t="str">
        <f>C48</f>
        <v>4A/0</v>
      </c>
      <c r="H49" s="454">
        <v>340</v>
      </c>
      <c r="I49" s="407"/>
      <c r="J49" s="404"/>
      <c r="K49" s="398"/>
      <c r="L49" s="398"/>
      <c r="M49" s="398"/>
      <c r="N49" s="398"/>
      <c r="O49" s="398"/>
      <c r="P49" s="398"/>
    </row>
    <row r="50" spans="1:16" s="133" customFormat="1" ht="18.75" customHeight="1">
      <c r="A50" s="398">
        <f>SUBTOTAL(103,$C$6:C50)</f>
        <v>23</v>
      </c>
      <c r="B50" s="398"/>
      <c r="C50" s="404" t="s">
        <v>891</v>
      </c>
      <c r="D50" s="620" t="s">
        <v>79</v>
      </c>
      <c r="E50" s="620"/>
      <c r="F50" s="406"/>
      <c r="G50" s="398"/>
      <c r="H50" s="454"/>
      <c r="I50" s="407">
        <f>ROUND(H49/1000,4)+I48</f>
        <v>8.6449999999999978</v>
      </c>
      <c r="J50" s="402" t="s">
        <v>50</v>
      </c>
      <c r="K50" s="398" t="s">
        <v>255</v>
      </c>
      <c r="L50" s="398" t="s">
        <v>255</v>
      </c>
      <c r="M50" s="398" t="s">
        <v>255</v>
      </c>
      <c r="N50" s="398"/>
      <c r="O50" s="398"/>
      <c r="P50" s="404"/>
    </row>
    <row r="51" spans="1:16" s="133" customFormat="1" ht="18.75" hidden="1" customHeight="1">
      <c r="A51" s="398"/>
      <c r="B51" s="398"/>
      <c r="C51" s="619"/>
      <c r="D51" s="451"/>
      <c r="E51" s="451"/>
      <c r="F51" s="401"/>
      <c r="G51" s="743" t="str">
        <f>C50</f>
        <v>4A/1</v>
      </c>
      <c r="H51" s="454">
        <v>420</v>
      </c>
      <c r="I51" s="407"/>
      <c r="J51" s="404"/>
      <c r="K51" s="398"/>
      <c r="L51" s="398"/>
      <c r="M51" s="398"/>
      <c r="N51" s="398"/>
      <c r="O51" s="398"/>
      <c r="P51" s="398"/>
    </row>
    <row r="52" spans="1:16" s="133" customFormat="1" ht="18.75" customHeight="1">
      <c r="A52" s="398">
        <f>SUBTOTAL(103,$C$6:C52)</f>
        <v>24</v>
      </c>
      <c r="B52" s="398"/>
      <c r="C52" s="404" t="s">
        <v>892</v>
      </c>
      <c r="D52" s="620" t="s">
        <v>79</v>
      </c>
      <c r="E52" s="620"/>
      <c r="F52" s="406"/>
      <c r="G52" s="398"/>
      <c r="H52" s="454"/>
      <c r="I52" s="407">
        <f>ROUND(H51/1000,4)+I50</f>
        <v>9.0649999999999977</v>
      </c>
      <c r="J52" s="402" t="s">
        <v>50</v>
      </c>
      <c r="K52" s="398" t="s">
        <v>255</v>
      </c>
      <c r="L52" s="398" t="s">
        <v>255</v>
      </c>
      <c r="M52" s="398" t="s">
        <v>255</v>
      </c>
      <c r="N52" s="398"/>
      <c r="O52" s="398"/>
      <c r="P52" s="404"/>
    </row>
    <row r="53" spans="1:16" s="133" customFormat="1" ht="18.75" hidden="1" customHeight="1">
      <c r="A53" s="398"/>
      <c r="B53" s="398"/>
      <c r="C53" s="619"/>
      <c r="D53" s="451"/>
      <c r="E53" s="451"/>
      <c r="F53" s="401"/>
      <c r="G53" s="743" t="str">
        <f>C52</f>
        <v>4A/2</v>
      </c>
      <c r="H53" s="454">
        <v>415</v>
      </c>
      <c r="I53" s="407"/>
      <c r="J53" s="404"/>
      <c r="K53" s="398"/>
      <c r="L53" s="398"/>
      <c r="M53" s="398"/>
      <c r="N53" s="398"/>
      <c r="O53" s="398"/>
      <c r="P53" s="398"/>
    </row>
    <row r="54" spans="1:16" s="133" customFormat="1" ht="18.75" customHeight="1">
      <c r="A54" s="398">
        <f>SUBTOTAL(103,$C$6:C54)</f>
        <v>25</v>
      </c>
      <c r="B54" s="398"/>
      <c r="C54" s="404" t="s">
        <v>893</v>
      </c>
      <c r="D54" s="620" t="s">
        <v>49</v>
      </c>
      <c r="E54" s="620"/>
      <c r="F54" s="406"/>
      <c r="G54" s="398"/>
      <c r="H54" s="454"/>
      <c r="I54" s="407">
        <f>ROUND(H53/1000,4)+I52</f>
        <v>9.4799999999999969</v>
      </c>
      <c r="J54" s="402" t="s">
        <v>50</v>
      </c>
      <c r="K54" s="398" t="s">
        <v>255</v>
      </c>
      <c r="L54" s="398" t="s">
        <v>255</v>
      </c>
      <c r="M54" s="398" t="s">
        <v>255</v>
      </c>
      <c r="N54" s="398"/>
      <c r="O54" s="398"/>
      <c r="P54" s="404"/>
    </row>
    <row r="55" spans="1:16" s="133" customFormat="1" ht="18.75" hidden="1" customHeight="1">
      <c r="A55" s="398"/>
      <c r="B55" s="398"/>
      <c r="C55" s="619"/>
      <c r="D55" s="451"/>
      <c r="E55" s="451"/>
      <c r="F55" s="401"/>
      <c r="G55" s="743" t="str">
        <f>C54</f>
        <v>4A/3</v>
      </c>
      <c r="H55" s="454">
        <v>365</v>
      </c>
      <c r="I55" s="407"/>
      <c r="J55" s="404"/>
      <c r="K55" s="398"/>
      <c r="L55" s="398"/>
      <c r="M55" s="398"/>
      <c r="N55" s="398"/>
      <c r="O55" s="398"/>
      <c r="P55" s="398"/>
    </row>
    <row r="56" spans="1:16" s="133" customFormat="1" ht="18.75" customHeight="1">
      <c r="A56" s="398">
        <f>SUBTOTAL(103,$C$6:C56)</f>
        <v>26</v>
      </c>
      <c r="B56" s="398"/>
      <c r="C56" s="404" t="s">
        <v>894</v>
      </c>
      <c r="D56" s="620" t="s">
        <v>79</v>
      </c>
      <c r="E56" s="620"/>
      <c r="F56" s="406"/>
      <c r="G56" s="398"/>
      <c r="H56" s="454"/>
      <c r="I56" s="407">
        <f>ROUND(H55/1000,4)+I54</f>
        <v>9.8449999999999971</v>
      </c>
      <c r="J56" s="402" t="s">
        <v>50</v>
      </c>
      <c r="K56" s="398" t="s">
        <v>255</v>
      </c>
      <c r="L56" s="398" t="s">
        <v>255</v>
      </c>
      <c r="M56" s="398" t="s">
        <v>255</v>
      </c>
      <c r="N56" s="398"/>
      <c r="O56" s="398"/>
      <c r="P56" s="404"/>
    </row>
    <row r="57" spans="1:16" s="133" customFormat="1" ht="18.75" hidden="1" customHeight="1">
      <c r="A57" s="398"/>
      <c r="B57" s="398"/>
      <c r="C57" s="619"/>
      <c r="D57" s="451"/>
      <c r="E57" s="451"/>
      <c r="F57" s="401"/>
      <c r="G57" s="743" t="str">
        <f>C56</f>
        <v>4A/4</v>
      </c>
      <c r="H57" s="454">
        <v>330</v>
      </c>
      <c r="I57" s="407"/>
      <c r="J57" s="404"/>
      <c r="K57" s="398"/>
      <c r="L57" s="398"/>
      <c r="M57" s="398"/>
      <c r="N57" s="398"/>
      <c r="O57" s="398"/>
      <c r="P57" s="398"/>
    </row>
    <row r="58" spans="1:16" s="133" customFormat="1" ht="18.75" customHeight="1">
      <c r="A58" s="398">
        <f>SUBTOTAL(103,$C$6:C58)</f>
        <v>27</v>
      </c>
      <c r="B58" s="398"/>
      <c r="C58" s="404" t="s">
        <v>895</v>
      </c>
      <c r="D58" s="620" t="s">
        <v>49</v>
      </c>
      <c r="E58" s="620"/>
      <c r="F58" s="406"/>
      <c r="G58" s="398"/>
      <c r="H58" s="454"/>
      <c r="I58" s="407">
        <f>ROUND(H57/1000,4)+I56</f>
        <v>10.174999999999997</v>
      </c>
      <c r="J58" s="402" t="s">
        <v>50</v>
      </c>
      <c r="K58" s="398" t="s">
        <v>255</v>
      </c>
      <c r="L58" s="398" t="s">
        <v>255</v>
      </c>
      <c r="M58" s="398" t="s">
        <v>255</v>
      </c>
      <c r="N58" s="398"/>
      <c r="O58" s="398"/>
      <c r="P58" s="404"/>
    </row>
    <row r="59" spans="1:16" s="133" customFormat="1" ht="18.75" hidden="1" customHeight="1">
      <c r="A59" s="398"/>
      <c r="B59" s="398"/>
      <c r="C59" s="619"/>
      <c r="D59" s="451"/>
      <c r="E59" s="451"/>
      <c r="F59" s="401"/>
      <c r="G59" s="743" t="str">
        <f>C58</f>
        <v>4A/5</v>
      </c>
      <c r="H59" s="454">
        <v>457</v>
      </c>
      <c r="I59" s="407"/>
      <c r="J59" s="404"/>
      <c r="K59" s="398"/>
      <c r="L59" s="398"/>
      <c r="M59" s="398"/>
      <c r="N59" s="398"/>
      <c r="O59" s="398"/>
      <c r="P59" s="398"/>
    </row>
    <row r="60" spans="1:16" s="133" customFormat="1" ht="18.75" customHeight="1">
      <c r="A60" s="398">
        <f>SUBTOTAL(103,$C$6:C60)</f>
        <v>28</v>
      </c>
      <c r="B60" s="398"/>
      <c r="C60" s="404" t="s">
        <v>896</v>
      </c>
      <c r="D60" s="620" t="s">
        <v>49</v>
      </c>
      <c r="E60" s="620"/>
      <c r="F60" s="406"/>
      <c r="G60" s="398"/>
      <c r="H60" s="454"/>
      <c r="I60" s="407">
        <f>ROUND(H59/1000,4)+I58</f>
        <v>10.631999999999998</v>
      </c>
      <c r="J60" s="402" t="s">
        <v>50</v>
      </c>
      <c r="K60" s="398" t="s">
        <v>255</v>
      </c>
      <c r="L60" s="398" t="s">
        <v>255</v>
      </c>
      <c r="M60" s="398" t="s">
        <v>255</v>
      </c>
      <c r="N60" s="398"/>
      <c r="O60" s="398"/>
      <c r="P60" s="404"/>
    </row>
    <row r="61" spans="1:16" s="133" customFormat="1" ht="18.75" hidden="1" customHeight="1">
      <c r="A61" s="398"/>
      <c r="B61" s="398"/>
      <c r="C61" s="619"/>
      <c r="D61" s="451"/>
      <c r="E61" s="451"/>
      <c r="F61" s="401"/>
      <c r="G61" s="743" t="str">
        <f>C60</f>
        <v>4A/6</v>
      </c>
      <c r="H61" s="454">
        <v>354.61099999999999</v>
      </c>
      <c r="I61" s="407"/>
      <c r="J61" s="404"/>
      <c r="K61" s="398"/>
      <c r="L61" s="398"/>
      <c r="M61" s="398"/>
      <c r="N61" s="398"/>
      <c r="O61" s="398"/>
      <c r="P61" s="398"/>
    </row>
    <row r="62" spans="1:16" s="133" customFormat="1" ht="18.75" customHeight="1">
      <c r="A62" s="398">
        <f>SUBTOTAL(103,$C$6:C62)</f>
        <v>29</v>
      </c>
      <c r="B62" s="399" t="s">
        <v>1137</v>
      </c>
      <c r="C62" s="404" t="s">
        <v>257</v>
      </c>
      <c r="D62" s="620" t="s">
        <v>227</v>
      </c>
      <c r="E62" s="620"/>
      <c r="F62" s="401"/>
      <c r="G62" s="400"/>
      <c r="H62" s="453"/>
      <c r="I62" s="407">
        <f>ROUND(H61/1000,4)+I60</f>
        <v>10.986599999999997</v>
      </c>
      <c r="J62" s="402" t="s">
        <v>50</v>
      </c>
      <c r="K62" s="398" t="s">
        <v>255</v>
      </c>
      <c r="L62" s="398" t="s">
        <v>255</v>
      </c>
      <c r="M62" s="398" t="s">
        <v>255</v>
      </c>
      <c r="N62" s="398"/>
      <c r="O62" s="398" t="s">
        <v>962</v>
      </c>
      <c r="P62" s="404"/>
    </row>
    <row r="63" spans="1:16" s="133" customFormat="1" ht="18.75" hidden="1" customHeight="1">
      <c r="A63" s="398"/>
      <c r="B63" s="398"/>
      <c r="C63" s="619"/>
      <c r="D63" s="451"/>
      <c r="E63" s="451"/>
      <c r="F63" s="401"/>
      <c r="G63" s="743" t="str">
        <f>C62</f>
        <v>5/0</v>
      </c>
      <c r="H63" s="453">
        <v>428.38900000000001</v>
      </c>
      <c r="I63" s="407"/>
      <c r="J63" s="404"/>
      <c r="K63" s="398"/>
      <c r="L63" s="398"/>
      <c r="M63" s="398"/>
      <c r="N63" s="398"/>
      <c r="O63" s="398"/>
      <c r="P63" s="398"/>
    </row>
    <row r="64" spans="1:16" s="133" customFormat="1" ht="18.75" customHeight="1">
      <c r="A64" s="398">
        <f>SUBTOTAL(103,$C$6:C64)</f>
        <v>30</v>
      </c>
      <c r="B64" s="398"/>
      <c r="C64" s="404" t="s">
        <v>457</v>
      </c>
      <c r="D64" s="620" t="s">
        <v>79</v>
      </c>
      <c r="E64" s="620"/>
      <c r="F64" s="406"/>
      <c r="G64" s="398"/>
      <c r="H64" s="453"/>
      <c r="I64" s="407">
        <f>ROUND(H63/1000,4)+I62</f>
        <v>11.414999999999997</v>
      </c>
      <c r="J64" s="402" t="s">
        <v>50</v>
      </c>
      <c r="K64" s="398" t="s">
        <v>255</v>
      </c>
      <c r="L64" s="398" t="s">
        <v>255</v>
      </c>
      <c r="M64" s="398" t="s">
        <v>255</v>
      </c>
      <c r="N64" s="398"/>
      <c r="O64" s="398"/>
      <c r="P64" s="404"/>
    </row>
    <row r="65" spans="1:16" s="133" customFormat="1" ht="18.75" hidden="1" customHeight="1">
      <c r="A65" s="398"/>
      <c r="B65" s="398"/>
      <c r="C65" s="619"/>
      <c r="D65" s="451"/>
      <c r="E65" s="451"/>
      <c r="F65" s="401"/>
      <c r="G65" s="743" t="str">
        <f>C64</f>
        <v>5/1</v>
      </c>
      <c r="H65" s="453">
        <v>340</v>
      </c>
      <c r="I65" s="407"/>
      <c r="J65" s="404"/>
      <c r="K65" s="398"/>
      <c r="L65" s="398"/>
      <c r="M65" s="398"/>
      <c r="N65" s="398"/>
      <c r="O65" s="398"/>
      <c r="P65" s="398"/>
    </row>
    <row r="66" spans="1:16" s="133" customFormat="1" ht="18.75" customHeight="1">
      <c r="A66" s="398">
        <f>SUBTOTAL(103,$C$6:C66)</f>
        <v>31</v>
      </c>
      <c r="B66" s="398"/>
      <c r="C66" s="404" t="s">
        <v>458</v>
      </c>
      <c r="D66" s="620" t="s">
        <v>49</v>
      </c>
      <c r="E66" s="620"/>
      <c r="F66" s="406"/>
      <c r="G66" s="398"/>
      <c r="H66" s="453"/>
      <c r="I66" s="407">
        <f>ROUND(H65/1000,4)+I64</f>
        <v>11.754999999999997</v>
      </c>
      <c r="J66" s="402" t="s">
        <v>50</v>
      </c>
      <c r="K66" s="398" t="s">
        <v>255</v>
      </c>
      <c r="L66" s="398" t="s">
        <v>255</v>
      </c>
      <c r="M66" s="398" t="s">
        <v>255</v>
      </c>
      <c r="N66" s="398"/>
      <c r="O66" s="398"/>
      <c r="P66" s="404"/>
    </row>
    <row r="67" spans="1:16" s="133" customFormat="1" ht="18.75" hidden="1" customHeight="1">
      <c r="A67" s="398"/>
      <c r="B67" s="398"/>
      <c r="C67" s="619"/>
      <c r="D67" s="451"/>
      <c r="E67" s="451"/>
      <c r="F67" s="401"/>
      <c r="G67" s="743" t="str">
        <f>C66</f>
        <v>5/2</v>
      </c>
      <c r="H67" s="453">
        <v>375</v>
      </c>
      <c r="I67" s="407"/>
      <c r="J67" s="404"/>
      <c r="K67" s="398"/>
      <c r="L67" s="398"/>
      <c r="M67" s="398"/>
      <c r="N67" s="398"/>
      <c r="O67" s="398"/>
      <c r="P67" s="398"/>
    </row>
    <row r="68" spans="1:16" s="133" customFormat="1" ht="18.75" customHeight="1">
      <c r="A68" s="398">
        <f>SUBTOTAL(103,$C$6:C68)</f>
        <v>32</v>
      </c>
      <c r="B68" s="398"/>
      <c r="C68" s="404" t="s">
        <v>459</v>
      </c>
      <c r="D68" s="620" t="s">
        <v>49</v>
      </c>
      <c r="E68" s="620"/>
      <c r="F68" s="406"/>
      <c r="G68" s="398"/>
      <c r="H68" s="453"/>
      <c r="I68" s="407">
        <f>ROUND(H67/1000,4)+I66</f>
        <v>12.129999999999997</v>
      </c>
      <c r="J68" s="402" t="s">
        <v>50</v>
      </c>
      <c r="K68" s="398" t="s">
        <v>255</v>
      </c>
      <c r="L68" s="398" t="s">
        <v>255</v>
      </c>
      <c r="M68" s="398" t="s">
        <v>255</v>
      </c>
      <c r="N68" s="398"/>
      <c r="O68" s="398"/>
      <c r="P68" s="404"/>
    </row>
    <row r="69" spans="1:16" s="133" customFormat="1" ht="18.75" hidden="1" customHeight="1">
      <c r="A69" s="398"/>
      <c r="B69" s="398"/>
      <c r="C69" s="619"/>
      <c r="D69" s="451"/>
      <c r="E69" s="451"/>
      <c r="F69" s="401"/>
      <c r="G69" s="743" t="str">
        <f>C68</f>
        <v>5/3</v>
      </c>
      <c r="H69" s="453">
        <v>365</v>
      </c>
      <c r="I69" s="407"/>
      <c r="J69" s="404"/>
      <c r="K69" s="398"/>
      <c r="L69" s="398"/>
      <c r="M69" s="398"/>
      <c r="N69" s="398"/>
      <c r="O69" s="398"/>
      <c r="P69" s="398"/>
    </row>
    <row r="70" spans="1:16" s="133" customFormat="1" ht="18.75" customHeight="1">
      <c r="A70" s="398">
        <f>SUBTOTAL(103,$C$6:C70)</f>
        <v>33</v>
      </c>
      <c r="B70" s="398"/>
      <c r="C70" s="404" t="s">
        <v>460</v>
      </c>
      <c r="D70" s="620" t="s">
        <v>154</v>
      </c>
      <c r="E70" s="620"/>
      <c r="F70" s="406"/>
      <c r="G70" s="398"/>
      <c r="H70" s="453"/>
      <c r="I70" s="407">
        <f>ROUND(H69/1000,4)+I68</f>
        <v>12.494999999999997</v>
      </c>
      <c r="J70" s="402" t="s">
        <v>50</v>
      </c>
      <c r="K70" s="398" t="s">
        <v>255</v>
      </c>
      <c r="L70" s="398" t="s">
        <v>255</v>
      </c>
      <c r="M70" s="398" t="s">
        <v>255</v>
      </c>
      <c r="N70" s="398"/>
      <c r="O70" s="398"/>
      <c r="P70" s="404"/>
    </row>
    <row r="71" spans="1:16" s="133" customFormat="1" ht="18.75" hidden="1" customHeight="1">
      <c r="A71" s="398"/>
      <c r="B71" s="398"/>
      <c r="C71" s="619"/>
      <c r="D71" s="451"/>
      <c r="E71" s="451"/>
      <c r="F71" s="401"/>
      <c r="G71" s="743" t="str">
        <f>C70</f>
        <v>5/4</v>
      </c>
      <c r="H71" s="453">
        <v>460</v>
      </c>
      <c r="I71" s="407"/>
      <c r="J71" s="404"/>
      <c r="K71" s="398"/>
      <c r="L71" s="398"/>
      <c r="M71" s="398"/>
      <c r="N71" s="398"/>
      <c r="O71" s="398"/>
      <c r="P71" s="398"/>
    </row>
    <row r="72" spans="1:16" s="133" customFormat="1" ht="18.75" customHeight="1">
      <c r="A72" s="398">
        <f>SUBTOTAL(103,$C$6:C72)</f>
        <v>34</v>
      </c>
      <c r="B72" s="398"/>
      <c r="C72" s="404" t="s">
        <v>461</v>
      </c>
      <c r="D72" s="620" t="s">
        <v>79</v>
      </c>
      <c r="E72" s="620"/>
      <c r="F72" s="406"/>
      <c r="G72" s="398"/>
      <c r="H72" s="453"/>
      <c r="I72" s="407">
        <f>ROUND(H71/1000,4)+I70</f>
        <v>12.954999999999998</v>
      </c>
      <c r="J72" s="402" t="s">
        <v>50</v>
      </c>
      <c r="K72" s="398" t="s">
        <v>255</v>
      </c>
      <c r="L72" s="398" t="s">
        <v>255</v>
      </c>
      <c r="M72" s="398" t="s">
        <v>255</v>
      </c>
      <c r="N72" s="398"/>
      <c r="O72" s="398"/>
      <c r="P72" s="404"/>
    </row>
    <row r="73" spans="1:16" s="133" customFormat="1" ht="18.75" hidden="1" customHeight="1">
      <c r="A73" s="398"/>
      <c r="B73" s="398"/>
      <c r="C73" s="619"/>
      <c r="D73" s="451"/>
      <c r="E73" s="451"/>
      <c r="F73" s="401"/>
      <c r="G73" s="743" t="str">
        <f>C72</f>
        <v>5/5</v>
      </c>
      <c r="H73" s="453">
        <v>380</v>
      </c>
      <c r="I73" s="407"/>
      <c r="J73" s="404"/>
      <c r="K73" s="398"/>
      <c r="L73" s="398"/>
      <c r="M73" s="398"/>
      <c r="N73" s="398"/>
      <c r="O73" s="398"/>
      <c r="P73" s="398"/>
    </row>
    <row r="74" spans="1:16" s="133" customFormat="1" ht="18.75" customHeight="1">
      <c r="A74" s="398">
        <f>SUBTOTAL(103,$C$6:C74)</f>
        <v>35</v>
      </c>
      <c r="B74" s="398"/>
      <c r="C74" s="404" t="s">
        <v>462</v>
      </c>
      <c r="D74" s="620" t="s">
        <v>2</v>
      </c>
      <c r="E74" s="620"/>
      <c r="F74" s="406"/>
      <c r="G74" s="398"/>
      <c r="H74" s="453"/>
      <c r="I74" s="407">
        <f>ROUND(H73/1000,4)+I72</f>
        <v>13.334999999999999</v>
      </c>
      <c r="J74" s="402" t="s">
        <v>50</v>
      </c>
      <c r="K74" s="398" t="s">
        <v>255</v>
      </c>
      <c r="L74" s="398" t="s">
        <v>255</v>
      </c>
      <c r="M74" s="398" t="s">
        <v>255</v>
      </c>
      <c r="N74" s="398"/>
      <c r="O74" s="398"/>
      <c r="P74" s="404"/>
    </row>
    <row r="75" spans="1:16" s="133" customFormat="1" ht="18.75" hidden="1" customHeight="1">
      <c r="A75" s="398"/>
      <c r="B75" s="398"/>
      <c r="C75" s="619"/>
      <c r="D75" s="451"/>
      <c r="E75" s="451"/>
      <c r="F75" s="401"/>
      <c r="G75" s="743" t="str">
        <f>C74</f>
        <v>5/6</v>
      </c>
      <c r="H75" s="453">
        <v>410</v>
      </c>
      <c r="I75" s="407"/>
      <c r="J75" s="404"/>
      <c r="K75" s="398"/>
      <c r="L75" s="398"/>
      <c r="M75" s="398"/>
      <c r="N75" s="398"/>
      <c r="O75" s="398"/>
      <c r="P75" s="398"/>
    </row>
    <row r="76" spans="1:16" s="133" customFormat="1" ht="18.75" customHeight="1">
      <c r="A76" s="398">
        <f>SUBTOTAL(103,$C$6:C76)</f>
        <v>36</v>
      </c>
      <c r="B76" s="398"/>
      <c r="C76" s="404" t="s">
        <v>463</v>
      </c>
      <c r="D76" s="620" t="s">
        <v>49</v>
      </c>
      <c r="E76" s="620"/>
      <c r="F76" s="406"/>
      <c r="G76" s="398"/>
      <c r="H76" s="453"/>
      <c r="I76" s="407">
        <f>ROUND(H75/1000,4)+I74</f>
        <v>13.744999999999999</v>
      </c>
      <c r="J76" s="402" t="s">
        <v>50</v>
      </c>
      <c r="K76" s="398" t="s">
        <v>255</v>
      </c>
      <c r="L76" s="398" t="s">
        <v>255</v>
      </c>
      <c r="M76" s="398" t="s">
        <v>255</v>
      </c>
      <c r="N76" s="398"/>
      <c r="O76" s="398"/>
      <c r="P76" s="404"/>
    </row>
    <row r="77" spans="1:16" s="133" customFormat="1" ht="18.75" hidden="1" customHeight="1">
      <c r="A77" s="398"/>
      <c r="B77" s="398"/>
      <c r="C77" s="619"/>
      <c r="D77" s="451"/>
      <c r="E77" s="451"/>
      <c r="F77" s="401"/>
      <c r="G77" s="743" t="str">
        <f>C76</f>
        <v>5/7</v>
      </c>
      <c r="H77" s="453">
        <v>400</v>
      </c>
      <c r="I77" s="407"/>
      <c r="J77" s="404"/>
      <c r="K77" s="398"/>
      <c r="L77" s="398"/>
      <c r="M77" s="398"/>
      <c r="N77" s="398"/>
      <c r="O77" s="398"/>
      <c r="P77" s="398"/>
    </row>
    <row r="78" spans="1:16" s="133" customFormat="1" ht="18.75" customHeight="1">
      <c r="A78" s="398">
        <f>SUBTOTAL(103,$C$6:C78)</f>
        <v>37</v>
      </c>
      <c r="B78" s="398"/>
      <c r="C78" s="404" t="s">
        <v>464</v>
      </c>
      <c r="D78" s="620" t="s">
        <v>79</v>
      </c>
      <c r="E78" s="620"/>
      <c r="F78" s="406"/>
      <c r="G78" s="398"/>
      <c r="H78" s="453"/>
      <c r="I78" s="407">
        <f>ROUND(H77/1000,4)+I76</f>
        <v>14.145</v>
      </c>
      <c r="J78" s="402" t="s">
        <v>50</v>
      </c>
      <c r="K78" s="398" t="s">
        <v>255</v>
      </c>
      <c r="L78" s="398" t="s">
        <v>255</v>
      </c>
      <c r="M78" s="398" t="s">
        <v>255</v>
      </c>
      <c r="N78" s="398"/>
      <c r="O78" s="398"/>
      <c r="P78" s="404"/>
    </row>
    <row r="79" spans="1:16" s="133" customFormat="1" ht="18.75" hidden="1" customHeight="1">
      <c r="A79" s="398"/>
      <c r="B79" s="398"/>
      <c r="C79" s="619"/>
      <c r="D79" s="451"/>
      <c r="E79" s="451"/>
      <c r="F79" s="401"/>
      <c r="G79" s="743" t="str">
        <f>C78</f>
        <v>5/8</v>
      </c>
      <c r="H79" s="453">
        <v>420</v>
      </c>
      <c r="I79" s="407"/>
      <c r="J79" s="404"/>
      <c r="K79" s="398"/>
      <c r="L79" s="398"/>
      <c r="M79" s="398"/>
      <c r="N79" s="398"/>
      <c r="O79" s="398"/>
      <c r="P79" s="398"/>
    </row>
    <row r="80" spans="1:16" s="133" customFormat="1" ht="18.75" customHeight="1">
      <c r="A80" s="398">
        <f>SUBTOTAL(103,$C$6:C80)</f>
        <v>38</v>
      </c>
      <c r="B80" s="398"/>
      <c r="C80" s="404" t="s">
        <v>465</v>
      </c>
      <c r="D80" s="620" t="s">
        <v>79</v>
      </c>
      <c r="E80" s="620"/>
      <c r="F80" s="406"/>
      <c r="G80" s="398"/>
      <c r="H80" s="453"/>
      <c r="I80" s="407">
        <f>ROUND(H79/1000,4)+I78</f>
        <v>14.565</v>
      </c>
      <c r="J80" s="402" t="s">
        <v>50</v>
      </c>
      <c r="K80" s="398" t="s">
        <v>255</v>
      </c>
      <c r="L80" s="398" t="s">
        <v>255</v>
      </c>
      <c r="M80" s="398" t="s">
        <v>255</v>
      </c>
      <c r="N80" s="398"/>
      <c r="O80" s="398"/>
      <c r="P80" s="404"/>
    </row>
    <row r="81" spans="1:16" s="133" customFormat="1" ht="18.75" hidden="1" customHeight="1">
      <c r="A81" s="398"/>
      <c r="B81" s="398"/>
      <c r="C81" s="619"/>
      <c r="D81" s="451"/>
      <c r="E81" s="451"/>
      <c r="F81" s="401"/>
      <c r="G81" s="743" t="str">
        <f>C80</f>
        <v>5/9</v>
      </c>
      <c r="H81" s="453">
        <v>345</v>
      </c>
      <c r="I81" s="407"/>
      <c r="J81" s="404"/>
      <c r="K81" s="398"/>
      <c r="L81" s="398"/>
      <c r="M81" s="398"/>
      <c r="N81" s="398"/>
      <c r="O81" s="398"/>
      <c r="P81" s="398"/>
    </row>
    <row r="82" spans="1:16" s="133" customFormat="1" ht="18.75" customHeight="1">
      <c r="A82" s="398">
        <f>SUBTOTAL(103,$C$6:C82)</f>
        <v>39</v>
      </c>
      <c r="B82" s="398"/>
      <c r="C82" s="404" t="s">
        <v>466</v>
      </c>
      <c r="D82" s="620" t="s">
        <v>49</v>
      </c>
      <c r="E82" s="620"/>
      <c r="F82" s="406"/>
      <c r="G82" s="398"/>
      <c r="H82" s="453"/>
      <c r="I82" s="407">
        <f>ROUND(H81/1000,4)+I80</f>
        <v>14.91</v>
      </c>
      <c r="J82" s="402" t="s">
        <v>50</v>
      </c>
      <c r="K82" s="398" t="s">
        <v>255</v>
      </c>
      <c r="L82" s="398" t="s">
        <v>255</v>
      </c>
      <c r="M82" s="398" t="s">
        <v>255</v>
      </c>
      <c r="N82" s="398" t="s">
        <v>962</v>
      </c>
      <c r="O82" s="398"/>
      <c r="P82" s="404"/>
    </row>
    <row r="83" spans="1:16" s="133" customFormat="1" ht="18.75" hidden="1" customHeight="1">
      <c r="A83" s="398"/>
      <c r="B83" s="398"/>
      <c r="C83" s="619"/>
      <c r="D83" s="451"/>
      <c r="E83" s="451"/>
      <c r="F83" s="401"/>
      <c r="G83" s="743" t="str">
        <f>C82</f>
        <v>5/10</v>
      </c>
      <c r="H83" s="453">
        <v>495</v>
      </c>
      <c r="I83" s="407"/>
      <c r="J83" s="404"/>
      <c r="K83" s="398"/>
      <c r="L83" s="398"/>
      <c r="M83" s="398"/>
      <c r="N83" s="398"/>
      <c r="O83" s="398"/>
      <c r="P83" s="398"/>
    </row>
    <row r="84" spans="1:16" s="133" customFormat="1" ht="18.75" customHeight="1">
      <c r="A84" s="398">
        <f>SUBTOTAL(103,$C$6:C84)</f>
        <v>40</v>
      </c>
      <c r="B84" s="399" t="s">
        <v>671</v>
      </c>
      <c r="C84" s="404" t="s">
        <v>672</v>
      </c>
      <c r="D84" s="620" t="s">
        <v>401</v>
      </c>
      <c r="E84" s="620"/>
      <c r="F84" s="401"/>
      <c r="G84" s="400"/>
      <c r="H84" s="453"/>
      <c r="I84" s="407">
        <f>ROUND(H83/1000,4)+I82</f>
        <v>15.404999999999999</v>
      </c>
      <c r="J84" s="402" t="s">
        <v>50</v>
      </c>
      <c r="K84" s="398" t="s">
        <v>255</v>
      </c>
      <c r="L84" s="398" t="s">
        <v>255</v>
      </c>
      <c r="M84" s="398" t="s">
        <v>255</v>
      </c>
      <c r="N84" s="398"/>
      <c r="O84" s="398"/>
      <c r="P84" s="404"/>
    </row>
    <row r="85" spans="1:16" s="133" customFormat="1" ht="18.75" hidden="1" customHeight="1">
      <c r="A85" s="398"/>
      <c r="B85" s="398"/>
      <c r="C85" s="619"/>
      <c r="D85" s="451"/>
      <c r="E85" s="451"/>
      <c r="F85" s="401"/>
      <c r="G85" s="743" t="str">
        <f>C84</f>
        <v>5A/0</v>
      </c>
      <c r="H85" s="453">
        <v>419.48</v>
      </c>
      <c r="I85" s="407"/>
      <c r="J85" s="404"/>
      <c r="K85" s="398"/>
      <c r="L85" s="398"/>
      <c r="M85" s="398"/>
      <c r="N85" s="398"/>
      <c r="O85" s="398"/>
      <c r="P85" s="398"/>
    </row>
    <row r="86" spans="1:16" s="545" customFormat="1" ht="18.75" customHeight="1">
      <c r="A86" s="398">
        <f>SUBTOTAL(103,$C$6:C86)</f>
        <v>41</v>
      </c>
      <c r="B86" s="541" t="s">
        <v>539</v>
      </c>
      <c r="C86" s="732" t="s">
        <v>258</v>
      </c>
      <c r="D86" s="733" t="s">
        <v>211</v>
      </c>
      <c r="E86" s="733"/>
      <c r="F86" s="543"/>
      <c r="G86" s="542"/>
      <c r="H86" s="546"/>
      <c r="I86" s="544">
        <f>ROUND(H85/1000,4)+I84</f>
        <v>15.824499999999999</v>
      </c>
      <c r="J86" s="541" t="s">
        <v>50</v>
      </c>
      <c r="K86" s="541" t="s">
        <v>255</v>
      </c>
      <c r="L86" s="541" t="s">
        <v>255</v>
      </c>
      <c r="M86" s="541" t="s">
        <v>255</v>
      </c>
      <c r="N86" s="541" t="s">
        <v>962</v>
      </c>
      <c r="O86" s="541"/>
      <c r="P86" s="541"/>
    </row>
    <row r="87" spans="1:16" s="133" customFormat="1" ht="18.75" hidden="1" customHeight="1">
      <c r="A87" s="398"/>
      <c r="B87" s="398"/>
      <c r="C87" s="619"/>
      <c r="D87" s="451"/>
      <c r="E87" s="451"/>
      <c r="F87" s="401"/>
      <c r="G87" s="743" t="str">
        <f>C86</f>
        <v>6/0</v>
      </c>
      <c r="H87" s="453">
        <v>350.52</v>
      </c>
      <c r="I87" s="407"/>
      <c r="J87" s="404"/>
      <c r="K87" s="398"/>
      <c r="L87" s="398"/>
      <c r="M87" s="398"/>
      <c r="N87" s="398"/>
      <c r="O87" s="398"/>
      <c r="P87" s="398"/>
    </row>
    <row r="88" spans="1:16" s="133" customFormat="1" ht="18.75" customHeight="1">
      <c r="A88" s="398">
        <f>SUBTOTAL(103,$C$6:C88)</f>
        <v>42</v>
      </c>
      <c r="B88" s="398"/>
      <c r="C88" s="404" t="s">
        <v>259</v>
      </c>
      <c r="D88" s="620" t="s">
        <v>49</v>
      </c>
      <c r="E88" s="620"/>
      <c r="F88" s="406"/>
      <c r="G88" s="398"/>
      <c r="H88" s="455"/>
      <c r="I88" s="407">
        <f>ROUND(H87/1000,4)+I86</f>
        <v>16.174999999999997</v>
      </c>
      <c r="J88" s="402" t="s">
        <v>50</v>
      </c>
      <c r="K88" s="398" t="s">
        <v>255</v>
      </c>
      <c r="L88" s="398" t="s">
        <v>255</v>
      </c>
      <c r="M88" s="398" t="s">
        <v>255</v>
      </c>
      <c r="N88" s="398" t="s">
        <v>962</v>
      </c>
      <c r="O88" s="398"/>
      <c r="P88" s="398"/>
    </row>
    <row r="89" spans="1:16" s="133" customFormat="1" ht="18.75" hidden="1" customHeight="1">
      <c r="A89" s="398"/>
      <c r="B89" s="398"/>
      <c r="C89" s="619"/>
      <c r="D89" s="451"/>
      <c r="E89" s="451"/>
      <c r="F89" s="401"/>
      <c r="G89" s="743" t="str">
        <f>C88</f>
        <v>6/1</v>
      </c>
      <c r="H89" s="453">
        <v>445</v>
      </c>
      <c r="I89" s="407"/>
      <c r="J89" s="404"/>
      <c r="K89" s="398"/>
      <c r="L89" s="398"/>
      <c r="M89" s="398"/>
      <c r="N89" s="398"/>
      <c r="O89" s="398"/>
      <c r="P89" s="398"/>
    </row>
    <row r="90" spans="1:16" s="133" customFormat="1" ht="18.75" customHeight="1">
      <c r="A90" s="398">
        <f>SUBTOTAL(103,$C$6:C90)</f>
        <v>43</v>
      </c>
      <c r="B90" s="398"/>
      <c r="C90" s="404" t="s">
        <v>260</v>
      </c>
      <c r="D90" s="620" t="s">
        <v>79</v>
      </c>
      <c r="E90" s="620"/>
      <c r="F90" s="406"/>
      <c r="G90" s="398"/>
      <c r="H90" s="455"/>
      <c r="I90" s="407">
        <f>ROUND(H89/1000,4)+I88</f>
        <v>16.619999999999997</v>
      </c>
      <c r="J90" s="402" t="s">
        <v>50</v>
      </c>
      <c r="K90" s="398" t="s">
        <v>255</v>
      </c>
      <c r="L90" s="398" t="s">
        <v>255</v>
      </c>
      <c r="M90" s="398" t="s">
        <v>255</v>
      </c>
      <c r="N90" s="398" t="s">
        <v>962</v>
      </c>
      <c r="O90" s="398"/>
      <c r="P90" s="398"/>
    </row>
    <row r="91" spans="1:16" s="133" customFormat="1" ht="18.75" hidden="1" customHeight="1">
      <c r="A91" s="398"/>
      <c r="B91" s="398"/>
      <c r="C91" s="619"/>
      <c r="D91" s="451"/>
      <c r="E91" s="451"/>
      <c r="F91" s="401"/>
      <c r="G91" s="743" t="str">
        <f>C90</f>
        <v>6/2</v>
      </c>
      <c r="H91" s="453">
        <v>390</v>
      </c>
      <c r="I91" s="407"/>
      <c r="J91" s="404"/>
      <c r="K91" s="398"/>
      <c r="L91" s="398"/>
      <c r="M91" s="398"/>
      <c r="N91" s="398"/>
      <c r="O91" s="398"/>
      <c r="P91" s="398"/>
    </row>
    <row r="92" spans="1:16" s="133" customFormat="1" ht="18.75" customHeight="1">
      <c r="A92" s="398">
        <f>SUBTOTAL(103,$C$6:C92)</f>
        <v>44</v>
      </c>
      <c r="B92" s="398"/>
      <c r="C92" s="404" t="s">
        <v>467</v>
      </c>
      <c r="D92" s="620" t="s">
        <v>2</v>
      </c>
      <c r="E92" s="620"/>
      <c r="F92" s="406"/>
      <c r="G92" s="398"/>
      <c r="H92" s="455"/>
      <c r="I92" s="407">
        <f>ROUND(H91/1000,4)+I90</f>
        <v>17.009999999999998</v>
      </c>
      <c r="J92" s="402" t="s">
        <v>50</v>
      </c>
      <c r="K92" s="398" t="s">
        <v>255</v>
      </c>
      <c r="L92" s="398" t="s">
        <v>255</v>
      </c>
      <c r="M92" s="398" t="s">
        <v>255</v>
      </c>
      <c r="N92" s="398" t="s">
        <v>962</v>
      </c>
      <c r="O92" s="398"/>
      <c r="P92" s="398"/>
    </row>
    <row r="93" spans="1:16" s="133" customFormat="1" ht="18.75" hidden="1" customHeight="1">
      <c r="A93" s="398"/>
      <c r="B93" s="398"/>
      <c r="C93" s="619"/>
      <c r="D93" s="451"/>
      <c r="E93" s="451"/>
      <c r="F93" s="401"/>
      <c r="G93" s="743" t="str">
        <f>C92</f>
        <v>6/3</v>
      </c>
      <c r="H93" s="453">
        <v>350</v>
      </c>
      <c r="I93" s="407"/>
      <c r="J93" s="404"/>
      <c r="K93" s="398"/>
      <c r="L93" s="398"/>
      <c r="M93" s="398"/>
      <c r="N93" s="398"/>
      <c r="O93" s="398"/>
      <c r="P93" s="398"/>
    </row>
    <row r="94" spans="1:16" s="133" customFormat="1" ht="18.75" customHeight="1">
      <c r="A94" s="398">
        <f>SUBTOTAL(103,$C$6:C94)</f>
        <v>45</v>
      </c>
      <c r="B94" s="398"/>
      <c r="C94" s="404" t="s">
        <v>468</v>
      </c>
      <c r="D94" s="620" t="s">
        <v>49</v>
      </c>
      <c r="E94" s="620"/>
      <c r="F94" s="406"/>
      <c r="G94" s="398"/>
      <c r="H94" s="455"/>
      <c r="I94" s="407">
        <f>ROUND(H93/1000,4)+I92</f>
        <v>17.36</v>
      </c>
      <c r="J94" s="402" t="s">
        <v>50</v>
      </c>
      <c r="K94" s="398" t="s">
        <v>255</v>
      </c>
      <c r="L94" s="398" t="s">
        <v>255</v>
      </c>
      <c r="M94" s="398" t="s">
        <v>255</v>
      </c>
      <c r="N94" s="398" t="s">
        <v>962</v>
      </c>
      <c r="O94" s="398"/>
      <c r="P94" s="398"/>
    </row>
    <row r="95" spans="1:16" s="133" customFormat="1" ht="18.75" hidden="1" customHeight="1">
      <c r="A95" s="398"/>
      <c r="B95" s="398"/>
      <c r="C95" s="619"/>
      <c r="D95" s="451"/>
      <c r="E95" s="451"/>
      <c r="F95" s="401"/>
      <c r="G95" s="743" t="str">
        <f>C94</f>
        <v>6/4</v>
      </c>
      <c r="H95" s="453">
        <v>490</v>
      </c>
      <c r="I95" s="407"/>
      <c r="J95" s="404"/>
      <c r="K95" s="398"/>
      <c r="L95" s="398"/>
      <c r="M95" s="398"/>
      <c r="N95" s="398"/>
      <c r="O95" s="398"/>
      <c r="P95" s="398"/>
    </row>
    <row r="96" spans="1:16" s="133" customFormat="1" ht="18.75" customHeight="1">
      <c r="A96" s="398">
        <f>SUBTOTAL(103,$C$6:C96)</f>
        <v>46</v>
      </c>
      <c r="B96" s="398"/>
      <c r="C96" s="404" t="s">
        <v>469</v>
      </c>
      <c r="D96" s="620" t="s">
        <v>49</v>
      </c>
      <c r="E96" s="620"/>
      <c r="F96" s="406"/>
      <c r="G96" s="398"/>
      <c r="H96" s="455"/>
      <c r="I96" s="407">
        <f>ROUND(H95/1000,4)+I94</f>
        <v>17.849999999999998</v>
      </c>
      <c r="J96" s="402" t="s">
        <v>50</v>
      </c>
      <c r="K96" s="398" t="s">
        <v>255</v>
      </c>
      <c r="L96" s="398" t="s">
        <v>255</v>
      </c>
      <c r="M96" s="398" t="s">
        <v>255</v>
      </c>
      <c r="N96" s="398" t="s">
        <v>962</v>
      </c>
      <c r="O96" s="398"/>
      <c r="P96" s="398"/>
    </row>
    <row r="97" spans="1:16" s="133" customFormat="1" ht="18.75" hidden="1" customHeight="1">
      <c r="A97" s="398"/>
      <c r="B97" s="398"/>
      <c r="C97" s="619"/>
      <c r="D97" s="451"/>
      <c r="E97" s="451"/>
      <c r="F97" s="401"/>
      <c r="G97" s="743" t="str">
        <f>C96</f>
        <v>6/5</v>
      </c>
      <c r="H97" s="453">
        <v>350</v>
      </c>
      <c r="I97" s="407"/>
      <c r="J97" s="404"/>
      <c r="K97" s="398"/>
      <c r="L97" s="398"/>
      <c r="M97" s="398"/>
      <c r="N97" s="398"/>
      <c r="O97" s="398"/>
      <c r="P97" s="398"/>
    </row>
    <row r="98" spans="1:16" s="133" customFormat="1" ht="18.75" customHeight="1">
      <c r="A98" s="398">
        <f>SUBTOTAL(103,$C$6:C98)</f>
        <v>47</v>
      </c>
      <c r="B98" s="398"/>
      <c r="C98" s="404" t="s">
        <v>470</v>
      </c>
      <c r="D98" s="620" t="s">
        <v>4</v>
      </c>
      <c r="E98" s="620"/>
      <c r="F98" s="406"/>
      <c r="G98" s="398"/>
      <c r="H98" s="455"/>
      <c r="I98" s="407">
        <f>ROUND(H97/1000,4)+I96</f>
        <v>18.2</v>
      </c>
      <c r="J98" s="402" t="s">
        <v>50</v>
      </c>
      <c r="K98" s="398" t="s">
        <v>255</v>
      </c>
      <c r="L98" s="398" t="s">
        <v>255</v>
      </c>
      <c r="M98" s="398" t="s">
        <v>255</v>
      </c>
      <c r="N98" s="398" t="s">
        <v>962</v>
      </c>
      <c r="O98" s="398"/>
      <c r="P98" s="398"/>
    </row>
    <row r="99" spans="1:16" s="133" customFormat="1" ht="18.75" hidden="1" customHeight="1">
      <c r="A99" s="398"/>
      <c r="B99" s="398"/>
      <c r="C99" s="619"/>
      <c r="D99" s="451"/>
      <c r="E99" s="451"/>
      <c r="F99" s="401"/>
      <c r="G99" s="743" t="str">
        <f>C98</f>
        <v>6/6</v>
      </c>
      <c r="H99" s="453">
        <v>347</v>
      </c>
      <c r="I99" s="407"/>
      <c r="J99" s="404"/>
      <c r="K99" s="398"/>
      <c r="L99" s="398"/>
      <c r="M99" s="398"/>
      <c r="N99" s="398"/>
      <c r="O99" s="398"/>
      <c r="P99" s="398"/>
    </row>
    <row r="100" spans="1:16" s="133" customFormat="1" ht="18.75" customHeight="1">
      <c r="A100" s="398">
        <f>SUBTOTAL(103,$C$6:C100)</f>
        <v>48</v>
      </c>
      <c r="B100" s="398"/>
      <c r="C100" s="404" t="s">
        <v>471</v>
      </c>
      <c r="D100" s="620" t="s">
        <v>170</v>
      </c>
      <c r="E100" s="620"/>
      <c r="F100" s="406"/>
      <c r="G100" s="398"/>
      <c r="H100" s="455"/>
      <c r="I100" s="407">
        <f>ROUND(H99/1000,4)+I98</f>
        <v>18.547000000000001</v>
      </c>
      <c r="J100" s="402" t="s">
        <v>50</v>
      </c>
      <c r="K100" s="398" t="s">
        <v>255</v>
      </c>
      <c r="L100" s="398" t="s">
        <v>255</v>
      </c>
      <c r="M100" s="398" t="s">
        <v>255</v>
      </c>
      <c r="N100" s="398" t="s">
        <v>962</v>
      </c>
      <c r="O100" s="398"/>
      <c r="P100" s="398"/>
    </row>
    <row r="101" spans="1:16" s="133" customFormat="1" ht="18.75" hidden="1" customHeight="1">
      <c r="A101" s="398"/>
      <c r="B101" s="398"/>
      <c r="C101" s="619"/>
      <c r="D101" s="451"/>
      <c r="E101" s="451"/>
      <c r="F101" s="401"/>
      <c r="G101" s="743" t="str">
        <f>C100</f>
        <v>6/7</v>
      </c>
      <c r="H101" s="453">
        <v>373</v>
      </c>
      <c r="I101" s="407"/>
      <c r="J101" s="404"/>
      <c r="K101" s="398"/>
      <c r="L101" s="398"/>
      <c r="M101" s="398"/>
      <c r="N101" s="398"/>
      <c r="O101" s="398"/>
      <c r="P101" s="398"/>
    </row>
    <row r="102" spans="1:16" s="133" customFormat="1" ht="18.75" customHeight="1">
      <c r="A102" s="398">
        <f>SUBTOTAL(103,$C$6:C102)</f>
        <v>49</v>
      </c>
      <c r="B102" s="398"/>
      <c r="C102" s="404" t="s">
        <v>472</v>
      </c>
      <c r="D102" s="620" t="s">
        <v>2</v>
      </c>
      <c r="E102" s="620"/>
      <c r="F102" s="406"/>
      <c r="G102" s="398"/>
      <c r="H102" s="455"/>
      <c r="I102" s="407">
        <f>ROUND(H101/1000,4)+I100</f>
        <v>18.920000000000002</v>
      </c>
      <c r="J102" s="402" t="s">
        <v>50</v>
      </c>
      <c r="K102" s="398" t="s">
        <v>255</v>
      </c>
      <c r="L102" s="398" t="s">
        <v>255</v>
      </c>
      <c r="M102" s="398" t="s">
        <v>255</v>
      </c>
      <c r="N102" s="398" t="s">
        <v>962</v>
      </c>
      <c r="O102" s="398"/>
      <c r="P102" s="398"/>
    </row>
    <row r="103" spans="1:16" s="133" customFormat="1" ht="18.75" hidden="1" customHeight="1">
      <c r="A103" s="398"/>
      <c r="B103" s="398"/>
      <c r="C103" s="619"/>
      <c r="D103" s="451"/>
      <c r="E103" s="451"/>
      <c r="F103" s="401"/>
      <c r="G103" s="743" t="str">
        <f>C102</f>
        <v>6/8</v>
      </c>
      <c r="H103" s="453">
        <v>380</v>
      </c>
      <c r="I103" s="407"/>
      <c r="J103" s="404"/>
      <c r="K103" s="398"/>
      <c r="L103" s="398"/>
      <c r="M103" s="398"/>
      <c r="N103" s="398"/>
      <c r="O103" s="398"/>
      <c r="P103" s="398"/>
    </row>
    <row r="104" spans="1:16" s="133" customFormat="1" ht="18.75" customHeight="1">
      <c r="A104" s="398">
        <f>SUBTOTAL(103,$C$6:C104)</f>
        <v>50</v>
      </c>
      <c r="B104" s="398"/>
      <c r="C104" s="404" t="s">
        <v>473</v>
      </c>
      <c r="D104" s="620" t="s">
        <v>79</v>
      </c>
      <c r="E104" s="620"/>
      <c r="F104" s="406"/>
      <c r="G104" s="398"/>
      <c r="H104" s="455"/>
      <c r="I104" s="407">
        <f>ROUND(H103/1000,4)+I102</f>
        <v>19.3</v>
      </c>
      <c r="J104" s="402" t="s">
        <v>50</v>
      </c>
      <c r="K104" s="398" t="s">
        <v>255</v>
      </c>
      <c r="L104" s="398" t="s">
        <v>255</v>
      </c>
      <c r="M104" s="398" t="s">
        <v>255</v>
      </c>
      <c r="N104" s="398" t="s">
        <v>962</v>
      </c>
      <c r="O104" s="398"/>
      <c r="P104" s="398"/>
    </row>
    <row r="105" spans="1:16" s="133" customFormat="1" ht="18.75" hidden="1" customHeight="1">
      <c r="A105" s="398"/>
      <c r="B105" s="398"/>
      <c r="C105" s="619"/>
      <c r="D105" s="451"/>
      <c r="E105" s="451"/>
      <c r="F105" s="401"/>
      <c r="G105" s="743" t="str">
        <f>C104</f>
        <v>6/9</v>
      </c>
      <c r="H105" s="453">
        <v>335</v>
      </c>
      <c r="I105" s="407"/>
      <c r="J105" s="404"/>
      <c r="K105" s="398"/>
      <c r="L105" s="398"/>
      <c r="M105" s="398"/>
      <c r="N105" s="398"/>
      <c r="O105" s="398"/>
      <c r="P105" s="398"/>
    </row>
    <row r="106" spans="1:16" s="133" customFormat="1" ht="18.75" customHeight="1">
      <c r="A106" s="398">
        <f>SUBTOTAL(103,$C$6:C106)</f>
        <v>51</v>
      </c>
      <c r="B106" s="398"/>
      <c r="C106" s="404" t="s">
        <v>474</v>
      </c>
      <c r="D106" s="620" t="s">
        <v>170</v>
      </c>
      <c r="E106" s="620"/>
      <c r="F106" s="406"/>
      <c r="G106" s="398"/>
      <c r="H106" s="455"/>
      <c r="I106" s="407">
        <f>ROUND(H105/1000,4)+I104</f>
        <v>19.635000000000002</v>
      </c>
      <c r="J106" s="402" t="s">
        <v>50</v>
      </c>
      <c r="K106" s="398" t="s">
        <v>255</v>
      </c>
      <c r="L106" s="398" t="s">
        <v>255</v>
      </c>
      <c r="M106" s="398" t="s">
        <v>255</v>
      </c>
      <c r="N106" s="398" t="s">
        <v>962</v>
      </c>
      <c r="O106" s="398"/>
      <c r="P106" s="398"/>
    </row>
    <row r="107" spans="1:16" s="133" customFormat="1" ht="18.75" hidden="1" customHeight="1">
      <c r="A107" s="398"/>
      <c r="B107" s="398"/>
      <c r="C107" s="619"/>
      <c r="D107" s="451"/>
      <c r="E107" s="451"/>
      <c r="F107" s="401"/>
      <c r="G107" s="743" t="str">
        <f>C106</f>
        <v>6/10</v>
      </c>
      <c r="H107" s="453">
        <v>315</v>
      </c>
      <c r="I107" s="407"/>
      <c r="J107" s="404"/>
      <c r="K107" s="398"/>
      <c r="L107" s="398"/>
      <c r="M107" s="398"/>
      <c r="N107" s="398"/>
      <c r="O107" s="398"/>
      <c r="P107" s="398"/>
    </row>
    <row r="108" spans="1:16" s="133" customFormat="1" ht="18.75" customHeight="1">
      <c r="A108" s="398">
        <f>SUBTOTAL(103,$C$6:C108)</f>
        <v>52</v>
      </c>
      <c r="B108" s="398"/>
      <c r="C108" s="404" t="s">
        <v>475</v>
      </c>
      <c r="D108" s="620" t="s">
        <v>154</v>
      </c>
      <c r="E108" s="620"/>
      <c r="F108" s="406"/>
      <c r="G108" s="398"/>
      <c r="H108" s="455"/>
      <c r="I108" s="407">
        <f>ROUND(H107/1000,4)+I106</f>
        <v>19.950000000000003</v>
      </c>
      <c r="J108" s="402" t="s">
        <v>50</v>
      </c>
      <c r="K108" s="398" t="s">
        <v>255</v>
      </c>
      <c r="L108" s="398" t="s">
        <v>255</v>
      </c>
      <c r="M108" s="398" t="s">
        <v>255</v>
      </c>
      <c r="N108" s="398" t="s">
        <v>962</v>
      </c>
      <c r="O108" s="398"/>
      <c r="P108" s="398"/>
    </row>
    <row r="109" spans="1:16" s="133" customFormat="1" ht="18.75" hidden="1" customHeight="1">
      <c r="A109" s="398"/>
      <c r="B109" s="398"/>
      <c r="C109" s="619"/>
      <c r="D109" s="451"/>
      <c r="E109" s="451"/>
      <c r="F109" s="401"/>
      <c r="G109" s="743" t="str">
        <f>C108</f>
        <v>6/11</v>
      </c>
      <c r="H109" s="453">
        <v>410</v>
      </c>
      <c r="I109" s="407"/>
      <c r="J109" s="404"/>
      <c r="K109" s="398"/>
      <c r="L109" s="398"/>
      <c r="M109" s="398"/>
      <c r="N109" s="398"/>
      <c r="O109" s="398"/>
      <c r="P109" s="398"/>
    </row>
    <row r="110" spans="1:16" s="133" customFormat="1" ht="18.75" customHeight="1">
      <c r="A110" s="398">
        <f>SUBTOTAL(103,$C$6:C110)</f>
        <v>53</v>
      </c>
      <c r="B110" s="398"/>
      <c r="C110" s="404" t="s">
        <v>490</v>
      </c>
      <c r="D110" s="620" t="s">
        <v>170</v>
      </c>
      <c r="E110" s="620"/>
      <c r="F110" s="406"/>
      <c r="G110" s="398"/>
      <c r="H110" s="455"/>
      <c r="I110" s="407">
        <f>ROUND(H109/1000,4)+I108</f>
        <v>20.360000000000003</v>
      </c>
      <c r="J110" s="402" t="s">
        <v>50</v>
      </c>
      <c r="K110" s="398" t="s">
        <v>255</v>
      </c>
      <c r="L110" s="398" t="s">
        <v>255</v>
      </c>
      <c r="M110" s="398" t="s">
        <v>255</v>
      </c>
      <c r="N110" s="398" t="s">
        <v>962</v>
      </c>
      <c r="O110" s="398"/>
      <c r="P110" s="398"/>
    </row>
    <row r="111" spans="1:16" s="133" customFormat="1" ht="18.75" hidden="1" customHeight="1">
      <c r="A111" s="398"/>
      <c r="B111" s="398"/>
      <c r="C111" s="619"/>
      <c r="D111" s="451"/>
      <c r="E111" s="451"/>
      <c r="F111" s="401"/>
      <c r="G111" s="743" t="str">
        <f>C110</f>
        <v>6/12</v>
      </c>
      <c r="H111" s="453">
        <v>365.71600000000001</v>
      </c>
      <c r="I111" s="407"/>
      <c r="J111" s="404"/>
      <c r="K111" s="398"/>
      <c r="L111" s="398"/>
      <c r="M111" s="398"/>
      <c r="N111" s="398"/>
      <c r="O111" s="398"/>
      <c r="P111" s="398"/>
    </row>
    <row r="112" spans="1:16" s="133" customFormat="1" ht="18.75" customHeight="1">
      <c r="A112" s="398">
        <f>SUBTOTAL(103,$C$6:C112)</f>
        <v>54</v>
      </c>
      <c r="B112" s="399" t="s">
        <v>540</v>
      </c>
      <c r="C112" s="404" t="s">
        <v>261</v>
      </c>
      <c r="D112" s="620" t="s">
        <v>184</v>
      </c>
      <c r="E112" s="620"/>
      <c r="F112" s="401"/>
      <c r="G112" s="400"/>
      <c r="H112" s="456"/>
      <c r="I112" s="407">
        <f>ROUND(H111/1000,4)+I110</f>
        <v>20.725700000000003</v>
      </c>
      <c r="J112" s="402" t="s">
        <v>50</v>
      </c>
      <c r="K112" s="398" t="s">
        <v>255</v>
      </c>
      <c r="L112" s="398" t="s">
        <v>255</v>
      </c>
      <c r="M112" s="398" t="s">
        <v>255</v>
      </c>
      <c r="N112" s="398" t="s">
        <v>962</v>
      </c>
      <c r="O112" s="398" t="s">
        <v>962</v>
      </c>
      <c r="P112" s="398"/>
    </row>
    <row r="113" spans="1:16" s="133" customFormat="1" ht="18.75" hidden="1" customHeight="1">
      <c r="A113" s="398"/>
      <c r="B113" s="398"/>
      <c r="C113" s="619"/>
      <c r="D113" s="451"/>
      <c r="E113" s="451"/>
      <c r="F113" s="401"/>
      <c r="G113" s="743" t="str">
        <f>C112</f>
        <v>7/0</v>
      </c>
      <c r="H113" s="454">
        <v>319.28399999999999</v>
      </c>
      <c r="I113" s="407"/>
      <c r="J113" s="404"/>
      <c r="K113" s="398"/>
      <c r="L113" s="398"/>
      <c r="M113" s="398"/>
      <c r="N113" s="398"/>
      <c r="O113" s="398"/>
      <c r="P113" s="398"/>
    </row>
    <row r="114" spans="1:16" s="133" customFormat="1" ht="18.75" customHeight="1">
      <c r="A114" s="398">
        <f>SUBTOTAL(103,$C$6:C114)</f>
        <v>55</v>
      </c>
      <c r="B114" s="398"/>
      <c r="C114" s="404" t="s">
        <v>476</v>
      </c>
      <c r="D114" s="620" t="s">
        <v>4</v>
      </c>
      <c r="E114" s="620"/>
      <c r="F114" s="406"/>
      <c r="G114" s="398"/>
      <c r="H114" s="456"/>
      <c r="I114" s="407">
        <f>ROUND(H113/1000,4)+I112</f>
        <v>21.045000000000002</v>
      </c>
      <c r="J114" s="402" t="s">
        <v>50</v>
      </c>
      <c r="K114" s="398" t="s">
        <v>255</v>
      </c>
      <c r="L114" s="398" t="s">
        <v>255</v>
      </c>
      <c r="M114" s="398" t="s">
        <v>255</v>
      </c>
      <c r="N114" s="398" t="str">
        <f>VLOOKUP(C114,'Tack Welding'!$D$5:$J$94,7,0)</f>
        <v xml:space="preserve">Completed </v>
      </c>
      <c r="O114" s="398"/>
      <c r="P114" s="398"/>
    </row>
    <row r="115" spans="1:16" s="133" customFormat="1" ht="18.75" hidden="1" customHeight="1">
      <c r="A115" s="398"/>
      <c r="B115" s="398"/>
      <c r="C115" s="619"/>
      <c r="D115" s="451"/>
      <c r="E115" s="451"/>
      <c r="F115" s="401"/>
      <c r="G115" s="743" t="str">
        <f>C114</f>
        <v>7/1</v>
      </c>
      <c r="H115" s="454">
        <v>465</v>
      </c>
      <c r="I115" s="407"/>
      <c r="J115" s="404"/>
      <c r="K115" s="398"/>
      <c r="L115" s="398"/>
      <c r="M115" s="398"/>
      <c r="N115" s="398"/>
      <c r="O115" s="398"/>
      <c r="P115" s="398"/>
    </row>
    <row r="116" spans="1:16" s="133" customFormat="1" ht="18.75" customHeight="1">
      <c r="A116" s="398">
        <f>SUBTOTAL(103,$C$6:C116)</f>
        <v>56</v>
      </c>
      <c r="B116" s="398"/>
      <c r="C116" s="404" t="s">
        <v>477</v>
      </c>
      <c r="D116" s="620" t="s">
        <v>79</v>
      </c>
      <c r="E116" s="620"/>
      <c r="F116" s="406"/>
      <c r="G116" s="398"/>
      <c r="H116" s="456"/>
      <c r="I116" s="407">
        <f>ROUND(H115/1000,4)+I114</f>
        <v>21.51</v>
      </c>
      <c r="J116" s="402" t="s">
        <v>50</v>
      </c>
      <c r="K116" s="398" t="s">
        <v>255</v>
      </c>
      <c r="L116" s="398" t="s">
        <v>255</v>
      </c>
      <c r="M116" s="398" t="s">
        <v>255</v>
      </c>
      <c r="N116" s="398" t="str">
        <f>VLOOKUP(C116,'Tack Welding'!$D$5:$J$94,7,0)</f>
        <v xml:space="preserve">Completed </v>
      </c>
      <c r="O116" s="398"/>
      <c r="P116" s="398"/>
    </row>
    <row r="117" spans="1:16" s="133" customFormat="1" ht="18.75" hidden="1" customHeight="1">
      <c r="A117" s="398"/>
      <c r="B117" s="398"/>
      <c r="C117" s="619"/>
      <c r="D117" s="451"/>
      <c r="E117" s="451"/>
      <c r="F117" s="401"/>
      <c r="G117" s="743" t="str">
        <f>C116</f>
        <v>7/2</v>
      </c>
      <c r="H117" s="454">
        <v>375</v>
      </c>
      <c r="I117" s="407"/>
      <c r="J117" s="404"/>
      <c r="K117" s="398"/>
      <c r="L117" s="398"/>
      <c r="M117" s="398"/>
      <c r="N117" s="398"/>
      <c r="O117" s="398"/>
      <c r="P117" s="398"/>
    </row>
    <row r="118" spans="1:16" s="133" customFormat="1" ht="18.75" customHeight="1">
      <c r="A118" s="398">
        <f>SUBTOTAL(103,$C$6:C118)</f>
        <v>57</v>
      </c>
      <c r="B118" s="398"/>
      <c r="C118" s="404" t="s">
        <v>478</v>
      </c>
      <c r="D118" s="620" t="s">
        <v>49</v>
      </c>
      <c r="E118" s="620"/>
      <c r="F118" s="406"/>
      <c r="G118" s="398"/>
      <c r="H118" s="456"/>
      <c r="I118" s="407">
        <f>ROUND(H117/1000,4)+I116</f>
        <v>21.885000000000002</v>
      </c>
      <c r="J118" s="402" t="s">
        <v>50</v>
      </c>
      <c r="K118" s="398" t="s">
        <v>255</v>
      </c>
      <c r="L118" s="398" t="s">
        <v>255</v>
      </c>
      <c r="M118" s="398" t="s">
        <v>255</v>
      </c>
      <c r="N118" s="398" t="s">
        <v>962</v>
      </c>
      <c r="O118" s="398"/>
      <c r="P118" s="398"/>
    </row>
    <row r="119" spans="1:16" s="133" customFormat="1" ht="18.75" hidden="1" customHeight="1">
      <c r="A119" s="398"/>
      <c r="B119" s="398"/>
      <c r="C119" s="619"/>
      <c r="D119" s="451"/>
      <c r="E119" s="451"/>
      <c r="F119" s="401"/>
      <c r="G119" s="743" t="str">
        <f>C118</f>
        <v>7/3</v>
      </c>
      <c r="H119" s="454">
        <v>355</v>
      </c>
      <c r="I119" s="407"/>
      <c r="J119" s="404"/>
      <c r="K119" s="398"/>
      <c r="L119" s="398"/>
      <c r="M119" s="398"/>
      <c r="N119" s="398"/>
      <c r="O119" s="398"/>
      <c r="P119" s="398"/>
    </row>
    <row r="120" spans="1:16" s="133" customFormat="1" ht="18.75" customHeight="1">
      <c r="A120" s="398">
        <f>SUBTOTAL(103,$C$6:C120)</f>
        <v>58</v>
      </c>
      <c r="B120" s="398"/>
      <c r="C120" s="404" t="s">
        <v>479</v>
      </c>
      <c r="D120" s="620" t="s">
        <v>79</v>
      </c>
      <c r="E120" s="620"/>
      <c r="F120" s="406"/>
      <c r="G120" s="398"/>
      <c r="H120" s="456"/>
      <c r="I120" s="407">
        <f>ROUND(H119/1000,4)+I118</f>
        <v>22.240000000000002</v>
      </c>
      <c r="J120" s="402" t="s">
        <v>50</v>
      </c>
      <c r="K120" s="398" t="s">
        <v>255</v>
      </c>
      <c r="L120" s="398" t="s">
        <v>255</v>
      </c>
      <c r="M120" s="398" t="s">
        <v>255</v>
      </c>
      <c r="N120" s="398"/>
      <c r="O120" s="398"/>
      <c r="P120" s="398"/>
    </row>
    <row r="121" spans="1:16" s="133" customFormat="1" ht="18.75" hidden="1" customHeight="1">
      <c r="A121" s="398"/>
      <c r="B121" s="398"/>
      <c r="C121" s="619"/>
      <c r="D121" s="451"/>
      <c r="E121" s="451"/>
      <c r="F121" s="401"/>
      <c r="G121" s="743" t="str">
        <f>C120</f>
        <v>7/4</v>
      </c>
      <c r="H121" s="454">
        <v>420</v>
      </c>
      <c r="I121" s="407"/>
      <c r="J121" s="404"/>
      <c r="K121" s="398"/>
      <c r="L121" s="398"/>
      <c r="M121" s="398"/>
      <c r="N121" s="398"/>
      <c r="O121" s="398"/>
      <c r="P121" s="398"/>
    </row>
    <row r="122" spans="1:16" s="133" customFormat="1" ht="18.75" customHeight="1">
      <c r="A122" s="398">
        <f>SUBTOTAL(103,$C$6:C122)</f>
        <v>59</v>
      </c>
      <c r="B122" s="398"/>
      <c r="C122" s="404" t="s">
        <v>480</v>
      </c>
      <c r="D122" s="620" t="s">
        <v>79</v>
      </c>
      <c r="E122" s="620"/>
      <c r="F122" s="406"/>
      <c r="G122" s="398"/>
      <c r="H122" s="456"/>
      <c r="I122" s="407">
        <f>ROUND(H121/1000,4)+I120</f>
        <v>22.660000000000004</v>
      </c>
      <c r="J122" s="402" t="s">
        <v>50</v>
      </c>
      <c r="K122" s="398" t="s">
        <v>255</v>
      </c>
      <c r="L122" s="398" t="s">
        <v>255</v>
      </c>
      <c r="M122" s="398" t="s">
        <v>255</v>
      </c>
      <c r="N122" s="398" t="str">
        <f>VLOOKUP(C122,'Tack Welding'!$D$5:$J$94,7,0)</f>
        <v xml:space="preserve">Completed </v>
      </c>
      <c r="O122" s="398"/>
      <c r="P122" s="398"/>
    </row>
    <row r="123" spans="1:16" s="133" customFormat="1" ht="18.75" hidden="1" customHeight="1">
      <c r="A123" s="398"/>
      <c r="B123" s="398"/>
      <c r="C123" s="619"/>
      <c r="D123" s="451"/>
      <c r="E123" s="451"/>
      <c r="F123" s="401"/>
      <c r="G123" s="743" t="str">
        <f>C122</f>
        <v>7/5</v>
      </c>
      <c r="H123" s="454">
        <v>315</v>
      </c>
      <c r="I123" s="407"/>
      <c r="J123" s="404"/>
      <c r="K123" s="398"/>
      <c r="L123" s="398"/>
      <c r="M123" s="398"/>
      <c r="N123" s="398"/>
      <c r="O123" s="398"/>
      <c r="P123" s="398"/>
    </row>
    <row r="124" spans="1:16" s="133" customFormat="1" ht="18.75" customHeight="1">
      <c r="A124" s="398">
        <f>SUBTOTAL(103,$C$6:C124)</f>
        <v>60</v>
      </c>
      <c r="B124" s="398"/>
      <c r="C124" s="404" t="s">
        <v>481</v>
      </c>
      <c r="D124" s="620" t="s">
        <v>154</v>
      </c>
      <c r="E124" s="620"/>
      <c r="F124" s="406"/>
      <c r="G124" s="398"/>
      <c r="H124" s="456"/>
      <c r="I124" s="407">
        <f>ROUND(H123/1000,4)+I122</f>
        <v>22.975000000000005</v>
      </c>
      <c r="J124" s="402" t="s">
        <v>50</v>
      </c>
      <c r="K124" s="398" t="s">
        <v>255</v>
      </c>
      <c r="L124" s="398" t="s">
        <v>255</v>
      </c>
      <c r="M124" s="398" t="s">
        <v>255</v>
      </c>
      <c r="N124" s="398" t="str">
        <f>VLOOKUP(C124,'Tack Welding'!$D$5:$J$94,7,0)</f>
        <v xml:space="preserve">Completed </v>
      </c>
      <c r="O124" s="398"/>
      <c r="P124" s="398"/>
    </row>
    <row r="125" spans="1:16" s="133" customFormat="1" ht="18.75" hidden="1" customHeight="1">
      <c r="A125" s="398"/>
      <c r="B125" s="398"/>
      <c r="C125" s="619"/>
      <c r="D125" s="451"/>
      <c r="E125" s="451"/>
      <c r="F125" s="401"/>
      <c r="G125" s="743" t="str">
        <f>C124</f>
        <v>7/6</v>
      </c>
      <c r="H125" s="454">
        <v>450</v>
      </c>
      <c r="I125" s="407"/>
      <c r="J125" s="404"/>
      <c r="K125" s="398"/>
      <c r="L125" s="398"/>
      <c r="M125" s="398"/>
      <c r="N125" s="398"/>
      <c r="O125" s="398"/>
      <c r="P125" s="398"/>
    </row>
    <row r="126" spans="1:16" s="133" customFormat="1" ht="18.75" customHeight="1">
      <c r="A126" s="398">
        <f>SUBTOTAL(103,$C$6:C126)</f>
        <v>61</v>
      </c>
      <c r="B126" s="399" t="s">
        <v>541</v>
      </c>
      <c r="C126" s="404" t="s">
        <v>491</v>
      </c>
      <c r="D126" s="620" t="s">
        <v>227</v>
      </c>
      <c r="E126" s="620"/>
      <c r="F126" s="401"/>
      <c r="G126" s="400"/>
      <c r="H126" s="456"/>
      <c r="I126" s="407">
        <f>ROUND(H125/1000,4)+I124</f>
        <v>23.425000000000004</v>
      </c>
      <c r="J126" s="402" t="s">
        <v>50</v>
      </c>
      <c r="K126" s="398" t="s">
        <v>255</v>
      </c>
      <c r="L126" s="398" t="s">
        <v>255</v>
      </c>
      <c r="M126" s="398" t="s">
        <v>255</v>
      </c>
      <c r="N126" s="398" t="str">
        <f>VLOOKUP(C126,'Tack Welding'!$D$5:$J$94,7,0)</f>
        <v xml:space="preserve">Completed </v>
      </c>
      <c r="O126" s="398"/>
      <c r="P126" s="398"/>
    </row>
    <row r="127" spans="1:16" s="133" customFormat="1" ht="18.75" hidden="1" customHeight="1">
      <c r="A127" s="398"/>
      <c r="B127" s="398"/>
      <c r="C127" s="619"/>
      <c r="D127" s="451"/>
      <c r="E127" s="451"/>
      <c r="F127" s="401"/>
      <c r="G127" s="743" t="str">
        <f>C126</f>
        <v>7A/0</v>
      </c>
      <c r="H127" s="454">
        <v>435</v>
      </c>
      <c r="I127" s="407"/>
      <c r="J127" s="404"/>
      <c r="K127" s="398"/>
      <c r="L127" s="398"/>
      <c r="M127" s="398"/>
      <c r="N127" s="398"/>
      <c r="O127" s="398"/>
      <c r="P127" s="398"/>
    </row>
    <row r="128" spans="1:16" s="133" customFormat="1" ht="18.75" customHeight="1">
      <c r="A128" s="398">
        <f>SUBTOTAL(103,$C$6:C128)</f>
        <v>62</v>
      </c>
      <c r="B128" s="398"/>
      <c r="C128" s="404" t="s">
        <v>492</v>
      </c>
      <c r="D128" s="620" t="s">
        <v>170</v>
      </c>
      <c r="E128" s="620"/>
      <c r="F128" s="406"/>
      <c r="G128" s="398"/>
      <c r="H128" s="456"/>
      <c r="I128" s="407">
        <f>ROUND(H127/1000,4)+I126</f>
        <v>23.860000000000003</v>
      </c>
      <c r="J128" s="402" t="s">
        <v>50</v>
      </c>
      <c r="K128" s="398" t="s">
        <v>255</v>
      </c>
      <c r="L128" s="398" t="s">
        <v>255</v>
      </c>
      <c r="M128" s="398" t="s">
        <v>255</v>
      </c>
      <c r="N128" s="398" t="s">
        <v>962</v>
      </c>
      <c r="O128" s="398"/>
      <c r="P128" s="398"/>
    </row>
    <row r="129" spans="1:16" s="133" customFormat="1" ht="18.75" hidden="1" customHeight="1">
      <c r="A129" s="398"/>
      <c r="B129" s="398"/>
      <c r="C129" s="619"/>
      <c r="D129" s="451"/>
      <c r="E129" s="451"/>
      <c r="F129" s="401"/>
      <c r="G129" s="743" t="str">
        <f>C128</f>
        <v>7A/1</v>
      </c>
      <c r="H129" s="454">
        <v>385</v>
      </c>
      <c r="I129" s="407"/>
      <c r="J129" s="404"/>
      <c r="K129" s="398"/>
      <c r="L129" s="398"/>
      <c r="M129" s="398"/>
      <c r="N129" s="398"/>
      <c r="O129" s="398"/>
      <c r="P129" s="398"/>
    </row>
    <row r="130" spans="1:16" s="133" customFormat="1" ht="18.75" customHeight="1">
      <c r="A130" s="398">
        <f>SUBTOTAL(103,$C$6:C130)</f>
        <v>63</v>
      </c>
      <c r="B130" s="398"/>
      <c r="C130" s="404" t="s">
        <v>493</v>
      </c>
      <c r="D130" s="620" t="s">
        <v>2</v>
      </c>
      <c r="E130" s="620"/>
      <c r="F130" s="406"/>
      <c r="G130" s="398"/>
      <c r="H130" s="456"/>
      <c r="I130" s="407">
        <f>ROUND(H129/1000,4)+I128</f>
        <v>24.245000000000005</v>
      </c>
      <c r="J130" s="402" t="s">
        <v>50</v>
      </c>
      <c r="K130" s="398" t="s">
        <v>255</v>
      </c>
      <c r="L130" s="398" t="s">
        <v>255</v>
      </c>
      <c r="M130" s="398" t="s">
        <v>255</v>
      </c>
      <c r="N130" s="398" t="str">
        <f>VLOOKUP(C130,'Tack Welding'!$D$5:$J$94,7,0)</f>
        <v xml:space="preserve">Completed </v>
      </c>
      <c r="O130" s="398"/>
      <c r="P130" s="398"/>
    </row>
    <row r="131" spans="1:16" s="133" customFormat="1" ht="18.75" hidden="1" customHeight="1">
      <c r="A131" s="398"/>
      <c r="B131" s="398"/>
      <c r="C131" s="619"/>
      <c r="D131" s="451"/>
      <c r="E131" s="451"/>
      <c r="F131" s="401"/>
      <c r="G131" s="743" t="str">
        <f>C130</f>
        <v>7A/2</v>
      </c>
      <c r="H131" s="454">
        <v>390</v>
      </c>
      <c r="I131" s="407"/>
      <c r="J131" s="404"/>
      <c r="K131" s="398"/>
      <c r="L131" s="398"/>
      <c r="M131" s="398"/>
      <c r="N131" s="398"/>
      <c r="O131" s="398"/>
      <c r="P131" s="398"/>
    </row>
    <row r="132" spans="1:16" s="133" customFormat="1" ht="18.75" customHeight="1">
      <c r="A132" s="398">
        <f>SUBTOTAL(103,$C$6:C132)</f>
        <v>64</v>
      </c>
      <c r="B132" s="398"/>
      <c r="C132" s="404" t="s">
        <v>494</v>
      </c>
      <c r="D132" s="620" t="s">
        <v>2</v>
      </c>
      <c r="E132" s="620"/>
      <c r="F132" s="406"/>
      <c r="G132" s="398"/>
      <c r="H132" s="456"/>
      <c r="I132" s="407">
        <f>ROUND(H131/1000,4)+I130</f>
        <v>24.635000000000005</v>
      </c>
      <c r="J132" s="402" t="s">
        <v>50</v>
      </c>
      <c r="K132" s="398" t="s">
        <v>255</v>
      </c>
      <c r="L132" s="398" t="s">
        <v>255</v>
      </c>
      <c r="M132" s="398" t="s">
        <v>255</v>
      </c>
      <c r="N132" s="398" t="str">
        <f>VLOOKUP(C132,'Tack Welding'!$D$5:$J$94,7,0)</f>
        <v xml:space="preserve">Completed </v>
      </c>
      <c r="O132" s="398"/>
      <c r="P132" s="398"/>
    </row>
    <row r="133" spans="1:16" s="133" customFormat="1" ht="18.75" hidden="1" customHeight="1">
      <c r="A133" s="398"/>
      <c r="B133" s="398"/>
      <c r="C133" s="619"/>
      <c r="D133" s="451"/>
      <c r="E133" s="451"/>
      <c r="F133" s="401"/>
      <c r="G133" s="743" t="str">
        <f>C132</f>
        <v>7A/3</v>
      </c>
      <c r="H133" s="454">
        <v>405</v>
      </c>
      <c r="I133" s="407"/>
      <c r="J133" s="404"/>
      <c r="K133" s="398"/>
      <c r="L133" s="398"/>
      <c r="M133" s="398"/>
      <c r="N133" s="398"/>
      <c r="O133" s="398"/>
      <c r="P133" s="398"/>
    </row>
    <row r="134" spans="1:16" s="133" customFormat="1" ht="18.75" customHeight="1">
      <c r="A134" s="398">
        <f>SUBTOTAL(103,$C$6:C134)</f>
        <v>65</v>
      </c>
      <c r="B134" s="398"/>
      <c r="C134" s="404" t="s">
        <v>495</v>
      </c>
      <c r="D134" s="620" t="s">
        <v>2</v>
      </c>
      <c r="E134" s="620"/>
      <c r="F134" s="406"/>
      <c r="G134" s="398"/>
      <c r="H134" s="456"/>
      <c r="I134" s="407">
        <f>ROUND(H133/1000,4)+I132</f>
        <v>25.040000000000006</v>
      </c>
      <c r="J134" s="402" t="s">
        <v>50</v>
      </c>
      <c r="K134" s="398" t="s">
        <v>255</v>
      </c>
      <c r="L134" s="398" t="s">
        <v>255</v>
      </c>
      <c r="M134" s="398" t="s">
        <v>255</v>
      </c>
      <c r="N134" s="398" t="str">
        <f>VLOOKUP(C134,'Tack Welding'!$D$5:$J$94,7,0)</f>
        <v xml:space="preserve">Completed </v>
      </c>
      <c r="O134" s="398" t="s">
        <v>962</v>
      </c>
      <c r="P134" s="398"/>
    </row>
    <row r="135" spans="1:16" s="133" customFormat="1" ht="18.75" hidden="1" customHeight="1">
      <c r="A135" s="398"/>
      <c r="B135" s="398"/>
      <c r="C135" s="619"/>
      <c r="D135" s="451"/>
      <c r="E135" s="451"/>
      <c r="F135" s="401"/>
      <c r="G135" s="743" t="str">
        <f>C134</f>
        <v>7A/4</v>
      </c>
      <c r="H135" s="454">
        <v>390</v>
      </c>
      <c r="I135" s="407"/>
      <c r="J135" s="404"/>
      <c r="K135" s="398"/>
      <c r="L135" s="398"/>
      <c r="M135" s="398"/>
      <c r="N135" s="398"/>
      <c r="O135" s="398"/>
      <c r="P135" s="398"/>
    </row>
    <row r="136" spans="1:16" s="133" customFormat="1" ht="18.75" customHeight="1">
      <c r="A136" s="398">
        <f>SUBTOTAL(103,$C$6:C136)</f>
        <v>66</v>
      </c>
      <c r="B136" s="398"/>
      <c r="C136" s="404" t="s">
        <v>496</v>
      </c>
      <c r="D136" s="620" t="s">
        <v>2</v>
      </c>
      <c r="E136" s="620"/>
      <c r="F136" s="406"/>
      <c r="G136" s="398"/>
      <c r="H136" s="456"/>
      <c r="I136" s="407">
        <f>ROUND(H135/1000,4)+I134</f>
        <v>25.430000000000007</v>
      </c>
      <c r="J136" s="402" t="s">
        <v>50</v>
      </c>
      <c r="K136" s="398" t="s">
        <v>255</v>
      </c>
      <c r="L136" s="398" t="s">
        <v>255</v>
      </c>
      <c r="M136" s="398" t="s">
        <v>255</v>
      </c>
      <c r="N136" s="398" t="str">
        <f>VLOOKUP(C136,'Tack Welding'!$D$5:$J$94,7,0)</f>
        <v xml:space="preserve">Completed </v>
      </c>
      <c r="O136" s="398"/>
      <c r="P136" s="398"/>
    </row>
    <row r="137" spans="1:16" s="133" customFormat="1" ht="18.75" hidden="1" customHeight="1">
      <c r="A137" s="398"/>
      <c r="B137" s="398"/>
      <c r="C137" s="619"/>
      <c r="D137" s="451"/>
      <c r="E137" s="451"/>
      <c r="F137" s="401"/>
      <c r="G137" s="743" t="str">
        <f>C136</f>
        <v>7A/5</v>
      </c>
      <c r="H137" s="454">
        <v>429.77</v>
      </c>
      <c r="I137" s="407"/>
      <c r="J137" s="404"/>
      <c r="K137" s="398"/>
      <c r="L137" s="398"/>
      <c r="M137" s="398"/>
      <c r="N137" s="398"/>
      <c r="O137" s="398"/>
      <c r="P137" s="398"/>
    </row>
    <row r="138" spans="1:16" s="133" customFormat="1" ht="18.75" customHeight="1">
      <c r="A138" s="398">
        <f>SUBTOTAL(103,$C$6:C138)</f>
        <v>67</v>
      </c>
      <c r="B138" s="399" t="s">
        <v>542</v>
      </c>
      <c r="C138" s="734" t="s">
        <v>262</v>
      </c>
      <c r="D138" s="620" t="s">
        <v>197</v>
      </c>
      <c r="E138" s="620"/>
      <c r="F138" s="401"/>
      <c r="G138" s="400"/>
      <c r="H138" s="456"/>
      <c r="I138" s="407">
        <f>ROUND(H137/1000,4)+I136</f>
        <v>25.859800000000007</v>
      </c>
      <c r="J138" s="402" t="s">
        <v>50</v>
      </c>
      <c r="K138" s="398" t="s">
        <v>255</v>
      </c>
      <c r="L138" s="398" t="s">
        <v>255</v>
      </c>
      <c r="M138" s="398" t="s">
        <v>255</v>
      </c>
      <c r="N138" s="398" t="str">
        <f>VLOOKUP(C138,'Tack Welding'!$D$5:$J$94,7,0)</f>
        <v xml:space="preserve">Completed </v>
      </c>
      <c r="O138" s="398"/>
      <c r="P138" s="398"/>
    </row>
    <row r="139" spans="1:16" s="133" customFormat="1" ht="18.75" hidden="1" customHeight="1">
      <c r="A139" s="398"/>
      <c r="B139" s="398"/>
      <c r="C139" s="619"/>
      <c r="D139" s="451"/>
      <c r="E139" s="451"/>
      <c r="F139" s="401"/>
      <c r="G139" s="743" t="str">
        <f>C138</f>
        <v>8/0</v>
      </c>
      <c r="H139" s="454">
        <v>350</v>
      </c>
      <c r="I139" s="407"/>
      <c r="J139" s="404"/>
      <c r="K139" s="398"/>
      <c r="L139" s="398"/>
      <c r="M139" s="398"/>
      <c r="N139" s="398"/>
      <c r="O139" s="398"/>
      <c r="P139" s="398"/>
    </row>
    <row r="140" spans="1:16" s="133" customFormat="1" ht="18.75" customHeight="1">
      <c r="A140" s="398">
        <f>SUBTOTAL(103,$C$6:C140)</f>
        <v>68</v>
      </c>
      <c r="B140" s="398"/>
      <c r="C140" s="404" t="s">
        <v>390</v>
      </c>
      <c r="D140" s="620" t="s">
        <v>4</v>
      </c>
      <c r="E140" s="620"/>
      <c r="F140" s="406"/>
      <c r="G140" s="398"/>
      <c r="H140" s="456"/>
      <c r="I140" s="407">
        <f>ROUND(H139/1000,4)+I138</f>
        <v>26.209800000000008</v>
      </c>
      <c r="J140" s="402" t="s">
        <v>50</v>
      </c>
      <c r="K140" s="398" t="s">
        <v>255</v>
      </c>
      <c r="L140" s="398" t="s">
        <v>255</v>
      </c>
      <c r="M140" s="398" t="s">
        <v>255</v>
      </c>
      <c r="N140" s="398" t="str">
        <f>VLOOKUP(C140,'Tack Welding'!$D$5:$J$94,7,0)</f>
        <v xml:space="preserve">Completed </v>
      </c>
      <c r="O140" s="398"/>
      <c r="P140" s="398"/>
    </row>
    <row r="141" spans="1:16" s="133" customFormat="1" ht="18.75" hidden="1" customHeight="1">
      <c r="A141" s="398"/>
      <c r="B141" s="398"/>
      <c r="C141" s="619"/>
      <c r="D141" s="451"/>
      <c r="E141" s="451"/>
      <c r="F141" s="401"/>
      <c r="G141" s="743" t="str">
        <f>C140</f>
        <v>8/1</v>
      </c>
      <c r="H141" s="454">
        <v>330</v>
      </c>
      <c r="I141" s="407"/>
      <c r="J141" s="404"/>
      <c r="K141" s="398"/>
      <c r="L141" s="398"/>
      <c r="M141" s="398"/>
      <c r="N141" s="398"/>
      <c r="O141" s="398"/>
      <c r="P141" s="398"/>
    </row>
    <row r="142" spans="1:16" s="133" customFormat="1" ht="18.75" customHeight="1">
      <c r="A142" s="398">
        <f>SUBTOTAL(103,$C$6:C142)</f>
        <v>69</v>
      </c>
      <c r="B142" s="398"/>
      <c r="C142" s="404" t="s">
        <v>391</v>
      </c>
      <c r="D142" s="620" t="s">
        <v>79</v>
      </c>
      <c r="E142" s="620"/>
      <c r="F142" s="406"/>
      <c r="G142" s="398"/>
      <c r="H142" s="456"/>
      <c r="I142" s="407">
        <f>ROUND(H141/1000,4)+I140</f>
        <v>26.539800000000007</v>
      </c>
      <c r="J142" s="402" t="s">
        <v>50</v>
      </c>
      <c r="K142" s="398" t="s">
        <v>255</v>
      </c>
      <c r="L142" s="398" t="s">
        <v>255</v>
      </c>
      <c r="M142" s="398" t="s">
        <v>255</v>
      </c>
      <c r="N142" s="398" t="str">
        <f>VLOOKUP(C142,'Tack Welding'!$D$5:$J$94,7,0)</f>
        <v xml:space="preserve">Completed </v>
      </c>
      <c r="O142" s="398"/>
      <c r="P142" s="398"/>
    </row>
    <row r="143" spans="1:16" s="133" customFormat="1" ht="18.75" hidden="1" customHeight="1">
      <c r="A143" s="398"/>
      <c r="B143" s="398"/>
      <c r="C143" s="619"/>
      <c r="D143" s="451"/>
      <c r="E143" s="451"/>
      <c r="F143" s="401"/>
      <c r="G143" s="743" t="str">
        <f>C142</f>
        <v>8/2</v>
      </c>
      <c r="H143" s="454">
        <v>390</v>
      </c>
      <c r="I143" s="407"/>
      <c r="J143" s="404"/>
      <c r="K143" s="398"/>
      <c r="L143" s="398"/>
      <c r="M143" s="398"/>
      <c r="N143" s="398"/>
      <c r="O143" s="398"/>
      <c r="P143" s="398"/>
    </row>
    <row r="144" spans="1:16" s="133" customFormat="1" ht="18.75" customHeight="1">
      <c r="A144" s="398">
        <f>SUBTOTAL(103,$C$6:C144)</f>
        <v>70</v>
      </c>
      <c r="B144" s="398"/>
      <c r="C144" s="404" t="s">
        <v>392</v>
      </c>
      <c r="D144" s="620" t="s">
        <v>49</v>
      </c>
      <c r="E144" s="620"/>
      <c r="F144" s="406"/>
      <c r="G144" s="398"/>
      <c r="H144" s="456"/>
      <c r="I144" s="407">
        <f>ROUND(H143/1000,4)+I142</f>
        <v>26.929800000000007</v>
      </c>
      <c r="J144" s="402" t="s">
        <v>50</v>
      </c>
      <c r="K144" s="398" t="s">
        <v>255</v>
      </c>
      <c r="L144" s="398" t="s">
        <v>255</v>
      </c>
      <c r="M144" s="398" t="s">
        <v>255</v>
      </c>
      <c r="N144" s="398" t="str">
        <f>VLOOKUP(C144,'Tack Welding'!$D$5:$J$94,7,0)</f>
        <v xml:space="preserve">Completed </v>
      </c>
      <c r="O144" s="398"/>
      <c r="P144" s="398"/>
    </row>
    <row r="145" spans="1:16" s="133" customFormat="1" ht="18.75" hidden="1" customHeight="1">
      <c r="A145" s="398"/>
      <c r="B145" s="398"/>
      <c r="C145" s="619"/>
      <c r="D145" s="451"/>
      <c r="E145" s="451"/>
      <c r="F145" s="401"/>
      <c r="G145" s="743" t="str">
        <f>C144</f>
        <v>8/3</v>
      </c>
      <c r="H145" s="454">
        <v>400</v>
      </c>
      <c r="I145" s="407"/>
      <c r="J145" s="404"/>
      <c r="K145" s="398"/>
      <c r="L145" s="398"/>
      <c r="M145" s="398"/>
      <c r="N145" s="398"/>
      <c r="O145" s="398"/>
      <c r="P145" s="398"/>
    </row>
    <row r="146" spans="1:16" s="133" customFormat="1" ht="18.75" customHeight="1">
      <c r="A146" s="398">
        <f>SUBTOTAL(103,$C$6:C146)</f>
        <v>71</v>
      </c>
      <c r="B146" s="398"/>
      <c r="C146" s="404" t="s">
        <v>393</v>
      </c>
      <c r="D146" s="620" t="s">
        <v>79</v>
      </c>
      <c r="E146" s="620"/>
      <c r="F146" s="406"/>
      <c r="G146" s="398"/>
      <c r="H146" s="456"/>
      <c r="I146" s="407">
        <f>ROUND(H145/1000,4)+I144</f>
        <v>27.329800000000006</v>
      </c>
      <c r="J146" s="402" t="s">
        <v>50</v>
      </c>
      <c r="K146" s="398" t="s">
        <v>255</v>
      </c>
      <c r="L146" s="398" t="s">
        <v>255</v>
      </c>
      <c r="M146" s="398" t="s">
        <v>255</v>
      </c>
      <c r="N146" s="398" t="str">
        <f>VLOOKUP(C146,'Tack Welding'!$D$5:$J$94,7,0)</f>
        <v xml:space="preserve">Completed </v>
      </c>
      <c r="O146" s="398"/>
      <c r="P146" s="398"/>
    </row>
    <row r="147" spans="1:16" s="133" customFormat="1" ht="18.75" hidden="1" customHeight="1">
      <c r="A147" s="398"/>
      <c r="B147" s="398"/>
      <c r="C147" s="619"/>
      <c r="D147" s="451"/>
      <c r="E147" s="451"/>
      <c r="F147" s="401"/>
      <c r="G147" s="743" t="str">
        <f>C146</f>
        <v>8/4</v>
      </c>
      <c r="H147" s="454">
        <v>338</v>
      </c>
      <c r="I147" s="407"/>
      <c r="J147" s="404"/>
      <c r="K147" s="398"/>
      <c r="L147" s="398"/>
      <c r="M147" s="398"/>
      <c r="N147" s="398"/>
      <c r="O147" s="398"/>
      <c r="P147" s="398"/>
    </row>
    <row r="148" spans="1:16" s="133" customFormat="1" ht="18.75" customHeight="1">
      <c r="A148" s="398">
        <f>SUBTOTAL(103,$C$6:C148)</f>
        <v>72</v>
      </c>
      <c r="B148" s="398"/>
      <c r="C148" s="404" t="s">
        <v>394</v>
      </c>
      <c r="D148" s="620" t="s">
        <v>49</v>
      </c>
      <c r="E148" s="620"/>
      <c r="F148" s="406"/>
      <c r="G148" s="398"/>
      <c r="H148" s="456"/>
      <c r="I148" s="407">
        <f>ROUND(H147/1000,4)+I146</f>
        <v>27.667800000000007</v>
      </c>
      <c r="J148" s="402" t="s">
        <v>50</v>
      </c>
      <c r="K148" s="398" t="s">
        <v>255</v>
      </c>
      <c r="L148" s="398" t="s">
        <v>255</v>
      </c>
      <c r="M148" s="398" t="s">
        <v>255</v>
      </c>
      <c r="N148" s="398" t="str">
        <f>VLOOKUP(C148,'Tack Welding'!$D$5:$J$94,7,0)</f>
        <v xml:space="preserve">Completed </v>
      </c>
      <c r="O148" s="398"/>
      <c r="P148" s="398"/>
    </row>
    <row r="149" spans="1:16" s="133" customFormat="1" ht="18.75" hidden="1" customHeight="1">
      <c r="A149" s="398"/>
      <c r="B149" s="398"/>
      <c r="C149" s="619"/>
      <c r="D149" s="451"/>
      <c r="E149" s="451"/>
      <c r="F149" s="401"/>
      <c r="G149" s="743" t="str">
        <f>C148</f>
        <v>8/5</v>
      </c>
      <c r="H149" s="454">
        <v>357</v>
      </c>
      <c r="I149" s="407"/>
      <c r="J149" s="404"/>
      <c r="K149" s="398"/>
      <c r="L149" s="398"/>
      <c r="M149" s="398"/>
      <c r="N149" s="398"/>
      <c r="O149" s="398"/>
      <c r="P149" s="398"/>
    </row>
    <row r="150" spans="1:16" s="133" customFormat="1" ht="18.75" customHeight="1">
      <c r="A150" s="398">
        <f>SUBTOTAL(103,$C$6:C150)</f>
        <v>73</v>
      </c>
      <c r="B150" s="854"/>
      <c r="C150" s="404" t="s">
        <v>395</v>
      </c>
      <c r="D150" s="620" t="s">
        <v>2</v>
      </c>
      <c r="E150" s="620"/>
      <c r="F150" s="406"/>
      <c r="G150" s="398"/>
      <c r="H150" s="456"/>
      <c r="I150" s="407">
        <f>ROUND(H149/1000,4)+I148</f>
        <v>28.024800000000006</v>
      </c>
      <c r="J150" s="402" t="s">
        <v>50</v>
      </c>
      <c r="K150" s="398" t="s">
        <v>255</v>
      </c>
      <c r="L150" s="398" t="s">
        <v>255</v>
      </c>
      <c r="M150" s="398" t="s">
        <v>255</v>
      </c>
      <c r="N150" s="398" t="str">
        <f>VLOOKUP(C150,'Tack Welding'!$D$5:$J$94,7,0)</f>
        <v xml:space="preserve">Completed </v>
      </c>
      <c r="O150" s="398"/>
      <c r="P150" s="398"/>
    </row>
    <row r="151" spans="1:16" s="133" customFormat="1" ht="18.75" hidden="1" customHeight="1">
      <c r="A151" s="398"/>
      <c r="B151" s="398"/>
      <c r="C151" s="619"/>
      <c r="D151" s="451"/>
      <c r="E151" s="451"/>
      <c r="F151" s="401"/>
      <c r="G151" s="743" t="str">
        <f>C150</f>
        <v>8/6</v>
      </c>
      <c r="H151" s="454">
        <v>335</v>
      </c>
      <c r="I151" s="407"/>
      <c r="J151" s="404"/>
      <c r="K151" s="398"/>
      <c r="L151" s="398"/>
      <c r="M151" s="398"/>
      <c r="N151" s="398"/>
      <c r="O151" s="398"/>
      <c r="P151" s="398"/>
    </row>
    <row r="152" spans="1:16" s="133" customFormat="1" ht="18.75" customHeight="1">
      <c r="A152" s="398">
        <f>SUBTOTAL(103,$C$6:C152)</f>
        <v>74</v>
      </c>
      <c r="B152" s="398"/>
      <c r="C152" s="404" t="s">
        <v>396</v>
      </c>
      <c r="D152" s="620" t="s">
        <v>2</v>
      </c>
      <c r="E152" s="620"/>
      <c r="F152" s="406"/>
      <c r="G152" s="398"/>
      <c r="H152" s="456"/>
      <c r="I152" s="407">
        <f>ROUND(H151/1000,4)+I150</f>
        <v>28.359800000000007</v>
      </c>
      <c r="J152" s="402" t="s">
        <v>50</v>
      </c>
      <c r="K152" s="398" t="s">
        <v>255</v>
      </c>
      <c r="L152" s="398" t="s">
        <v>255</v>
      </c>
      <c r="M152" s="398" t="s">
        <v>255</v>
      </c>
      <c r="N152" s="398" t="str">
        <f>VLOOKUP(C152,'Tack Welding'!$D$5:$J$94,7,0)</f>
        <v xml:space="preserve">Completed </v>
      </c>
      <c r="O152" s="398"/>
      <c r="P152" s="398"/>
    </row>
    <row r="153" spans="1:16" s="133" customFormat="1" ht="18.75" hidden="1" customHeight="1">
      <c r="A153" s="398"/>
      <c r="B153" s="398"/>
      <c r="C153" s="619"/>
      <c r="D153" s="451"/>
      <c r="E153" s="451"/>
      <c r="F153" s="401"/>
      <c r="G153" s="743" t="str">
        <f>C152</f>
        <v>8/7</v>
      </c>
      <c r="H153" s="454">
        <v>415</v>
      </c>
      <c r="I153" s="407"/>
      <c r="J153" s="404"/>
      <c r="K153" s="398"/>
      <c r="L153" s="398"/>
      <c r="M153" s="398"/>
      <c r="N153" s="398"/>
      <c r="O153" s="398"/>
      <c r="P153" s="398"/>
    </row>
    <row r="154" spans="1:16" s="133" customFormat="1" ht="18.75" customHeight="1">
      <c r="A154" s="398">
        <f>SUBTOTAL(103,$C$6:C154)</f>
        <v>75</v>
      </c>
      <c r="B154" s="398"/>
      <c r="C154" s="404" t="s">
        <v>397</v>
      </c>
      <c r="D154" s="620" t="s">
        <v>49</v>
      </c>
      <c r="E154" s="620"/>
      <c r="F154" s="406"/>
      <c r="G154" s="398"/>
      <c r="H154" s="456"/>
      <c r="I154" s="407">
        <f>ROUND(H153/1000,4)+I152</f>
        <v>28.774800000000006</v>
      </c>
      <c r="J154" s="402" t="s">
        <v>50</v>
      </c>
      <c r="K154" s="398" t="s">
        <v>255</v>
      </c>
      <c r="L154" s="398" t="s">
        <v>255</v>
      </c>
      <c r="M154" s="398" t="s">
        <v>255</v>
      </c>
      <c r="N154" s="398" t="str">
        <f>VLOOKUP(C154,'Tack Welding'!$D$5:$J$94,7,0)</f>
        <v xml:space="preserve">Completed </v>
      </c>
      <c r="O154" s="398"/>
      <c r="P154" s="398"/>
    </row>
    <row r="155" spans="1:16" s="133" customFormat="1" ht="18.75" hidden="1" customHeight="1">
      <c r="A155" s="398"/>
      <c r="B155" s="398"/>
      <c r="C155" s="619"/>
      <c r="D155" s="451"/>
      <c r="E155" s="451"/>
      <c r="F155" s="401"/>
      <c r="G155" s="743" t="str">
        <f>C154</f>
        <v>8/8</v>
      </c>
      <c r="H155" s="454">
        <v>375</v>
      </c>
      <c r="I155" s="407"/>
      <c r="J155" s="404"/>
      <c r="K155" s="398"/>
      <c r="L155" s="398"/>
      <c r="M155" s="398"/>
      <c r="N155" s="398"/>
      <c r="O155" s="398"/>
      <c r="P155" s="398"/>
    </row>
    <row r="156" spans="1:16" s="133" customFormat="1" ht="18.75" customHeight="1">
      <c r="A156" s="398">
        <f>SUBTOTAL(103,$C$6:C156)</f>
        <v>76</v>
      </c>
      <c r="B156" s="398"/>
      <c r="C156" s="404" t="s">
        <v>398</v>
      </c>
      <c r="D156" s="620" t="s">
        <v>2</v>
      </c>
      <c r="E156" s="620"/>
      <c r="F156" s="406"/>
      <c r="G156" s="398"/>
      <c r="H156" s="456"/>
      <c r="I156" s="407">
        <f>ROUND(H155/1000,4)+I154</f>
        <v>29.149800000000006</v>
      </c>
      <c r="J156" s="402" t="s">
        <v>50</v>
      </c>
      <c r="K156" s="398" t="s">
        <v>255</v>
      </c>
      <c r="L156" s="398" t="s">
        <v>255</v>
      </c>
      <c r="M156" s="398" t="s">
        <v>255</v>
      </c>
      <c r="N156" s="398" t="str">
        <f>VLOOKUP(C156,'Tack Welding'!$D$5:$J$94,7,0)</f>
        <v xml:space="preserve">Completed </v>
      </c>
      <c r="O156" s="398"/>
      <c r="P156" s="398"/>
    </row>
    <row r="157" spans="1:16" s="133" customFormat="1" ht="18.75" hidden="1" customHeight="1">
      <c r="A157" s="398"/>
      <c r="B157" s="398"/>
      <c r="C157" s="619"/>
      <c r="D157" s="451"/>
      <c r="E157" s="451"/>
      <c r="F157" s="401"/>
      <c r="G157" s="743" t="str">
        <f>C156</f>
        <v>8/9</v>
      </c>
      <c r="H157" s="454">
        <v>375</v>
      </c>
      <c r="I157" s="407"/>
      <c r="J157" s="404"/>
      <c r="K157" s="398"/>
      <c r="L157" s="398"/>
      <c r="M157" s="398"/>
      <c r="N157" s="398"/>
      <c r="O157" s="398"/>
      <c r="P157" s="398"/>
    </row>
    <row r="158" spans="1:16" s="133" customFormat="1" ht="18.75" customHeight="1">
      <c r="A158" s="398">
        <f>SUBTOTAL(103,$C$6:C158)</f>
        <v>77</v>
      </c>
      <c r="B158" s="398"/>
      <c r="C158" s="404" t="s">
        <v>399</v>
      </c>
      <c r="D158" s="620" t="s">
        <v>3</v>
      </c>
      <c r="E158" s="620"/>
      <c r="F158" s="406"/>
      <c r="G158" s="398"/>
      <c r="H158" s="456"/>
      <c r="I158" s="407">
        <f>ROUND(H157/1000,4)+I156</f>
        <v>29.524800000000006</v>
      </c>
      <c r="J158" s="402" t="s">
        <v>50</v>
      </c>
      <c r="K158" s="398" t="s">
        <v>255</v>
      </c>
      <c r="L158" s="398" t="s">
        <v>255</v>
      </c>
      <c r="M158" s="398" t="s">
        <v>255</v>
      </c>
      <c r="N158" s="398" t="str">
        <f>VLOOKUP(C158,'Tack Welding'!$D$5:$J$94,7,0)</f>
        <v xml:space="preserve">Completed </v>
      </c>
      <c r="O158" s="398"/>
      <c r="P158" s="398"/>
    </row>
    <row r="159" spans="1:16" s="133" customFormat="1" ht="18.75" hidden="1" customHeight="1">
      <c r="A159" s="398"/>
      <c r="B159" s="398"/>
      <c r="C159" s="619"/>
      <c r="D159" s="451"/>
      <c r="E159" s="451"/>
      <c r="F159" s="401"/>
      <c r="G159" s="743" t="str">
        <f>C158</f>
        <v>8/10</v>
      </c>
      <c r="H159" s="454">
        <v>375</v>
      </c>
      <c r="I159" s="407"/>
      <c r="J159" s="404"/>
      <c r="K159" s="398"/>
      <c r="L159" s="398"/>
      <c r="M159" s="398"/>
      <c r="N159" s="398"/>
      <c r="O159" s="398"/>
      <c r="P159" s="398"/>
    </row>
    <row r="160" spans="1:16" s="133" customFormat="1" ht="18.75" customHeight="1">
      <c r="A160" s="398">
        <f>SUBTOTAL(103,$C$6:C160)</f>
        <v>78</v>
      </c>
      <c r="B160" s="398"/>
      <c r="C160" s="404" t="s">
        <v>400</v>
      </c>
      <c r="D160" s="620" t="s">
        <v>49</v>
      </c>
      <c r="E160" s="620"/>
      <c r="F160" s="406"/>
      <c r="G160" s="398"/>
      <c r="H160" s="456"/>
      <c r="I160" s="407">
        <f>ROUND(H159/1000,4)+I158</f>
        <v>29.899800000000006</v>
      </c>
      <c r="J160" s="402" t="s">
        <v>50</v>
      </c>
      <c r="K160" s="398" t="s">
        <v>255</v>
      </c>
      <c r="L160" s="398" t="s">
        <v>255</v>
      </c>
      <c r="M160" s="398" t="s">
        <v>255</v>
      </c>
      <c r="N160" s="398" t="s">
        <v>962</v>
      </c>
      <c r="O160" s="398"/>
      <c r="P160" s="398"/>
    </row>
    <row r="161" spans="1:16" s="133" customFormat="1" ht="18.75" hidden="1" customHeight="1">
      <c r="A161" s="398"/>
      <c r="B161" s="398"/>
      <c r="C161" s="619"/>
      <c r="D161" s="451"/>
      <c r="E161" s="451"/>
      <c r="F161" s="401"/>
      <c r="G161" s="743" t="str">
        <f>C160</f>
        <v>8/11</v>
      </c>
      <c r="H161" s="454">
        <v>415</v>
      </c>
      <c r="I161" s="407"/>
      <c r="J161" s="404"/>
      <c r="K161" s="398"/>
      <c r="L161" s="398"/>
      <c r="M161" s="398"/>
      <c r="N161" s="398"/>
      <c r="O161" s="398"/>
      <c r="P161" s="398"/>
    </row>
    <row r="162" spans="1:16" s="133" customFormat="1" ht="18.75" customHeight="1">
      <c r="A162" s="398">
        <f>SUBTOTAL(103,$C$6:C162)</f>
        <v>79</v>
      </c>
      <c r="B162" s="399" t="s">
        <v>543</v>
      </c>
      <c r="C162" s="404" t="s">
        <v>482</v>
      </c>
      <c r="D162" s="620" t="s">
        <v>401</v>
      </c>
      <c r="E162" s="620"/>
      <c r="F162" s="401"/>
      <c r="G162" s="400"/>
      <c r="H162" s="456"/>
      <c r="I162" s="407">
        <f>ROUND(H161/1000,4)+I160</f>
        <v>30.314800000000005</v>
      </c>
      <c r="J162" s="402" t="s">
        <v>50</v>
      </c>
      <c r="K162" s="398" t="s">
        <v>255</v>
      </c>
      <c r="L162" s="398" t="s">
        <v>255</v>
      </c>
      <c r="M162" s="398" t="s">
        <v>255</v>
      </c>
      <c r="N162" s="398" t="s">
        <v>962</v>
      </c>
      <c r="O162" s="398"/>
      <c r="P162" s="398"/>
    </row>
    <row r="163" spans="1:16" s="133" customFormat="1" ht="18.75" hidden="1" customHeight="1">
      <c r="A163" s="398"/>
      <c r="B163" s="398"/>
      <c r="C163" s="619"/>
      <c r="D163" s="451"/>
      <c r="E163" s="451"/>
      <c r="F163" s="401"/>
      <c r="G163" s="743" t="str">
        <f>C162</f>
        <v>8A/0</v>
      </c>
      <c r="H163" s="454">
        <v>466.63</v>
      </c>
      <c r="I163" s="407"/>
      <c r="J163" s="404"/>
      <c r="K163" s="398"/>
      <c r="L163" s="398"/>
      <c r="M163" s="398"/>
      <c r="N163" s="398"/>
      <c r="O163" s="398"/>
      <c r="P163" s="398"/>
    </row>
    <row r="164" spans="1:16" s="133" customFormat="1" ht="18.75" customHeight="1">
      <c r="A164" s="398">
        <f>SUBTOTAL(103,$C$6:C164)</f>
        <v>80</v>
      </c>
      <c r="B164" s="399" t="s">
        <v>544</v>
      </c>
      <c r="C164" s="404" t="s">
        <v>263</v>
      </c>
      <c r="D164" s="620" t="s">
        <v>401</v>
      </c>
      <c r="E164" s="620"/>
      <c r="F164" s="401"/>
      <c r="G164" s="400"/>
      <c r="H164" s="456"/>
      <c r="I164" s="407">
        <f>ROUND(H163/1000,4)+I162</f>
        <v>30.781400000000005</v>
      </c>
      <c r="J164" s="402" t="s">
        <v>50</v>
      </c>
      <c r="K164" s="398" t="s">
        <v>255</v>
      </c>
      <c r="L164" s="398" t="s">
        <v>255</v>
      </c>
      <c r="M164" s="398" t="s">
        <v>255</v>
      </c>
      <c r="N164" s="398"/>
      <c r="O164" s="398" t="s">
        <v>962</v>
      </c>
      <c r="P164" s="398"/>
    </row>
    <row r="165" spans="1:16" s="133" customFormat="1" ht="18.75" hidden="1" customHeight="1">
      <c r="A165" s="398"/>
      <c r="B165" s="398"/>
      <c r="C165" s="619"/>
      <c r="D165" s="451"/>
      <c r="E165" s="451"/>
      <c r="F165" s="401"/>
      <c r="G165" s="743" t="str">
        <f>C164</f>
        <v>9/0</v>
      </c>
      <c r="H165" s="454">
        <v>418.37200000000001</v>
      </c>
      <c r="I165" s="407"/>
      <c r="J165" s="404"/>
      <c r="K165" s="398"/>
      <c r="L165" s="398"/>
      <c r="M165" s="398"/>
      <c r="N165" s="398"/>
      <c r="O165" s="398"/>
      <c r="P165" s="398"/>
    </row>
    <row r="166" spans="1:16" s="133" customFormat="1" ht="18.75" customHeight="1">
      <c r="A166" s="398">
        <f>SUBTOTAL(103,$C$6:C166)</f>
        <v>81</v>
      </c>
      <c r="B166" s="398"/>
      <c r="C166" s="404" t="s">
        <v>402</v>
      </c>
      <c r="D166" s="620" t="s">
        <v>2</v>
      </c>
      <c r="E166" s="620"/>
      <c r="F166" s="406"/>
      <c r="G166" s="398"/>
      <c r="H166" s="456"/>
      <c r="I166" s="407">
        <f>ROUND(H165/1000,4)+I164</f>
        <v>31.199800000000003</v>
      </c>
      <c r="J166" s="402" t="s">
        <v>50</v>
      </c>
      <c r="K166" s="398" t="s">
        <v>255</v>
      </c>
      <c r="L166" s="398" t="s">
        <v>255</v>
      </c>
      <c r="M166" s="398" t="s">
        <v>255</v>
      </c>
      <c r="N166" s="398" t="str">
        <f>VLOOKUP(C166,'Tack Welding'!$D$5:$J$94,7,0)</f>
        <v xml:space="preserve">Completed </v>
      </c>
      <c r="O166" s="398"/>
      <c r="P166" s="398"/>
    </row>
    <row r="167" spans="1:16" s="133" customFormat="1" ht="18.75" hidden="1" customHeight="1">
      <c r="A167" s="398"/>
      <c r="B167" s="398"/>
      <c r="C167" s="619"/>
      <c r="D167" s="451"/>
      <c r="E167" s="451"/>
      <c r="F167" s="401"/>
      <c r="G167" s="743" t="str">
        <f>C166</f>
        <v>9/1</v>
      </c>
      <c r="H167" s="454">
        <v>410</v>
      </c>
      <c r="I167" s="407"/>
      <c r="J167" s="404"/>
      <c r="K167" s="398"/>
      <c r="L167" s="398"/>
      <c r="M167" s="398"/>
      <c r="N167" s="398"/>
      <c r="O167" s="398"/>
      <c r="P167" s="398"/>
    </row>
    <row r="168" spans="1:16" s="133" customFormat="1" ht="18.75" customHeight="1">
      <c r="A168" s="398">
        <f>SUBTOTAL(103,$C$6:C168)</f>
        <v>82</v>
      </c>
      <c r="B168" s="398"/>
      <c r="C168" s="404" t="s">
        <v>404</v>
      </c>
      <c r="D168" s="620" t="s">
        <v>2</v>
      </c>
      <c r="E168" s="620"/>
      <c r="F168" s="406"/>
      <c r="G168" s="398"/>
      <c r="H168" s="456"/>
      <c r="I168" s="407">
        <f>ROUND(H167/1000,4)+I166</f>
        <v>31.609800000000003</v>
      </c>
      <c r="J168" s="402" t="s">
        <v>50</v>
      </c>
      <c r="K168" s="398" t="s">
        <v>255</v>
      </c>
      <c r="L168" s="398" t="s">
        <v>255</v>
      </c>
      <c r="M168" s="398" t="s">
        <v>255</v>
      </c>
      <c r="N168" s="398" t="str">
        <f>VLOOKUP(C168,'Tack Welding'!$D$5:$J$94,7,0)</f>
        <v xml:space="preserve">Completed </v>
      </c>
      <c r="O168" s="398"/>
      <c r="P168" s="398"/>
    </row>
    <row r="169" spans="1:16" s="133" customFormat="1" ht="18.75" hidden="1" customHeight="1">
      <c r="A169" s="398"/>
      <c r="B169" s="398"/>
      <c r="C169" s="619"/>
      <c r="D169" s="451"/>
      <c r="E169" s="451"/>
      <c r="F169" s="401"/>
      <c r="G169" s="743" t="str">
        <f>C168</f>
        <v>9/2</v>
      </c>
      <c r="H169" s="454">
        <v>395</v>
      </c>
      <c r="I169" s="407"/>
      <c r="J169" s="404"/>
      <c r="K169" s="398"/>
      <c r="L169" s="398"/>
      <c r="M169" s="398"/>
      <c r="N169" s="398"/>
      <c r="O169" s="398"/>
      <c r="P169" s="398"/>
    </row>
    <row r="170" spans="1:16" s="133" customFormat="1" ht="18.75" customHeight="1">
      <c r="A170" s="398">
        <f>SUBTOTAL(103,$C$6:C170)</f>
        <v>83</v>
      </c>
      <c r="B170" s="398"/>
      <c r="C170" s="404" t="s">
        <v>405</v>
      </c>
      <c r="D170" s="620" t="s">
        <v>3</v>
      </c>
      <c r="E170" s="620"/>
      <c r="F170" s="406"/>
      <c r="G170" s="398"/>
      <c r="H170" s="456"/>
      <c r="I170" s="407">
        <f>ROUND(H169/1000,4)+I168</f>
        <v>32.004800000000003</v>
      </c>
      <c r="J170" s="402" t="s">
        <v>50</v>
      </c>
      <c r="K170" s="398" t="s">
        <v>255</v>
      </c>
      <c r="L170" s="398" t="s">
        <v>255</v>
      </c>
      <c r="M170" s="398" t="s">
        <v>255</v>
      </c>
      <c r="N170" s="398" t="str">
        <f>VLOOKUP(C170,'Tack Welding'!$D$5:$J$94,7,0)</f>
        <v xml:space="preserve">Completed </v>
      </c>
      <c r="O170" s="398"/>
      <c r="P170" s="398"/>
    </row>
    <row r="171" spans="1:16" s="133" customFormat="1" ht="18.75" hidden="1" customHeight="1">
      <c r="A171" s="398"/>
      <c r="B171" s="398"/>
      <c r="C171" s="619"/>
      <c r="D171" s="451"/>
      <c r="E171" s="451"/>
      <c r="F171" s="401"/>
      <c r="G171" s="743" t="str">
        <f>C170</f>
        <v>9/3</v>
      </c>
      <c r="H171" s="454">
        <v>395</v>
      </c>
      <c r="I171" s="407"/>
      <c r="J171" s="404"/>
      <c r="K171" s="398"/>
      <c r="L171" s="398"/>
      <c r="M171" s="398"/>
      <c r="N171" s="398"/>
      <c r="O171" s="398"/>
      <c r="P171" s="398"/>
    </row>
    <row r="172" spans="1:16" s="133" customFormat="1" ht="18.75" customHeight="1">
      <c r="A172" s="398">
        <f>SUBTOTAL(103,$C$6:C172)</f>
        <v>84</v>
      </c>
      <c r="B172" s="398"/>
      <c r="C172" s="404" t="s">
        <v>368</v>
      </c>
      <c r="D172" s="620" t="s">
        <v>79</v>
      </c>
      <c r="E172" s="620"/>
      <c r="F172" s="406"/>
      <c r="G172" s="398"/>
      <c r="H172" s="456"/>
      <c r="I172" s="407">
        <f>ROUND(H171/1000,4)+I170</f>
        <v>32.399800000000006</v>
      </c>
      <c r="J172" s="402" t="s">
        <v>50</v>
      </c>
      <c r="K172" s="398" t="s">
        <v>255</v>
      </c>
      <c r="L172" s="398" t="s">
        <v>255</v>
      </c>
      <c r="M172" s="398" t="s">
        <v>255</v>
      </c>
      <c r="N172" s="398" t="str">
        <f>VLOOKUP(C172,'Tack Welding'!$D$5:$J$94,7,0)</f>
        <v xml:space="preserve">Completed </v>
      </c>
      <c r="O172" s="398"/>
      <c r="P172" s="398"/>
    </row>
    <row r="173" spans="1:16" s="133" customFormat="1" ht="18.75" hidden="1" customHeight="1">
      <c r="A173" s="398"/>
      <c r="B173" s="398"/>
      <c r="C173" s="619"/>
      <c r="D173" s="451"/>
      <c r="E173" s="451"/>
      <c r="F173" s="401"/>
      <c r="G173" s="743" t="str">
        <f>C172</f>
        <v>9/4</v>
      </c>
      <c r="H173" s="454">
        <v>425</v>
      </c>
      <c r="I173" s="407"/>
      <c r="J173" s="404"/>
      <c r="K173" s="398"/>
      <c r="L173" s="398"/>
      <c r="M173" s="398"/>
      <c r="N173" s="398"/>
      <c r="O173" s="398"/>
      <c r="P173" s="398"/>
    </row>
    <row r="174" spans="1:16" s="133" customFormat="1" ht="18.75" customHeight="1">
      <c r="A174" s="398">
        <f>SUBTOTAL(103,$C$6:C174)</f>
        <v>85</v>
      </c>
      <c r="B174" s="398"/>
      <c r="C174" s="404" t="s">
        <v>369</v>
      </c>
      <c r="D174" s="620" t="s">
        <v>2</v>
      </c>
      <c r="E174" s="620"/>
      <c r="F174" s="406"/>
      <c r="G174" s="398"/>
      <c r="H174" s="456"/>
      <c r="I174" s="407">
        <f>ROUND(H173/1000,4)+I172</f>
        <v>32.824800000000003</v>
      </c>
      <c r="J174" s="402" t="s">
        <v>50</v>
      </c>
      <c r="K174" s="398" t="s">
        <v>255</v>
      </c>
      <c r="L174" s="398" t="s">
        <v>255</v>
      </c>
      <c r="M174" s="398" t="s">
        <v>255</v>
      </c>
      <c r="N174" s="398"/>
      <c r="O174" s="398"/>
      <c r="P174" s="398"/>
    </row>
    <row r="175" spans="1:16" s="133" customFormat="1" ht="18.75" hidden="1" customHeight="1">
      <c r="A175" s="398"/>
      <c r="B175" s="398"/>
      <c r="C175" s="619"/>
      <c r="D175" s="451"/>
      <c r="E175" s="451"/>
      <c r="F175" s="401"/>
      <c r="G175" s="743" t="str">
        <f>C174</f>
        <v>9/5</v>
      </c>
      <c r="H175" s="454">
        <v>415</v>
      </c>
      <c r="I175" s="407"/>
      <c r="J175" s="404"/>
      <c r="K175" s="398"/>
      <c r="L175" s="398"/>
      <c r="M175" s="398"/>
      <c r="N175" s="398"/>
      <c r="O175" s="398"/>
      <c r="P175" s="398"/>
    </row>
    <row r="176" spans="1:16" s="133" customFormat="1" ht="18.75" customHeight="1">
      <c r="A176" s="398">
        <f>SUBTOTAL(103,$C$6:C176)</f>
        <v>86</v>
      </c>
      <c r="B176" s="398"/>
      <c r="C176" s="404" t="s">
        <v>370</v>
      </c>
      <c r="D176" s="620" t="s">
        <v>2</v>
      </c>
      <c r="E176" s="620"/>
      <c r="F176" s="406"/>
      <c r="G176" s="398"/>
      <c r="H176" s="456"/>
      <c r="I176" s="407">
        <f>ROUND(H175/1000,4)+I174</f>
        <v>33.239800000000002</v>
      </c>
      <c r="J176" s="402" t="s">
        <v>50</v>
      </c>
      <c r="K176" s="398" t="s">
        <v>255</v>
      </c>
      <c r="L176" s="398" t="s">
        <v>255</v>
      </c>
      <c r="M176" s="398" t="s">
        <v>255</v>
      </c>
      <c r="N176" s="398"/>
      <c r="O176" s="398"/>
      <c r="P176" s="398"/>
    </row>
    <row r="177" spans="1:16" s="133" customFormat="1" ht="18.75" hidden="1" customHeight="1">
      <c r="A177" s="398"/>
      <c r="B177" s="398"/>
      <c r="C177" s="619"/>
      <c r="D177" s="451"/>
      <c r="E177" s="451"/>
      <c r="F177" s="401"/>
      <c r="G177" s="743" t="str">
        <f>C176</f>
        <v>9/6</v>
      </c>
      <c r="H177" s="454">
        <v>405</v>
      </c>
      <c r="I177" s="407"/>
      <c r="J177" s="404"/>
      <c r="K177" s="398"/>
      <c r="L177" s="398"/>
      <c r="M177" s="398"/>
      <c r="N177" s="398"/>
      <c r="O177" s="398"/>
      <c r="P177" s="398"/>
    </row>
    <row r="178" spans="1:16" s="133" customFormat="1" ht="18.75" customHeight="1">
      <c r="A178" s="398">
        <f>SUBTOTAL(103,$C$6:C178)</f>
        <v>87</v>
      </c>
      <c r="B178" s="398"/>
      <c r="C178" s="404" t="s">
        <v>406</v>
      </c>
      <c r="D178" s="620" t="s">
        <v>49</v>
      </c>
      <c r="E178" s="620"/>
      <c r="F178" s="406"/>
      <c r="G178" s="398"/>
      <c r="H178" s="456"/>
      <c r="I178" s="407">
        <f>ROUND(H177/1000,4)+I176</f>
        <v>33.644800000000004</v>
      </c>
      <c r="J178" s="402" t="s">
        <v>50</v>
      </c>
      <c r="K178" s="398" t="s">
        <v>255</v>
      </c>
      <c r="L178" s="398" t="s">
        <v>255</v>
      </c>
      <c r="M178" s="398" t="s">
        <v>255</v>
      </c>
      <c r="N178" s="398"/>
      <c r="O178" s="398"/>
      <c r="P178" s="398"/>
    </row>
    <row r="179" spans="1:16" s="133" customFormat="1" ht="18.75" hidden="1" customHeight="1">
      <c r="A179" s="398"/>
      <c r="B179" s="398"/>
      <c r="C179" s="619"/>
      <c r="D179" s="451"/>
      <c r="E179" s="451"/>
      <c r="F179" s="401"/>
      <c r="G179" s="743" t="str">
        <f>C178</f>
        <v>9/7</v>
      </c>
      <c r="H179" s="454">
        <v>435</v>
      </c>
      <c r="I179" s="407"/>
      <c r="J179" s="404"/>
      <c r="K179" s="398"/>
      <c r="L179" s="398"/>
      <c r="M179" s="398"/>
      <c r="N179" s="398"/>
      <c r="O179" s="398"/>
      <c r="P179" s="398"/>
    </row>
    <row r="180" spans="1:16" s="133" customFormat="1" ht="18.75" customHeight="1">
      <c r="A180" s="398">
        <f>SUBTOTAL(103,$C$4:C182)</f>
        <v>90</v>
      </c>
      <c r="B180" s="398"/>
      <c r="C180" s="404" t="s">
        <v>407</v>
      </c>
      <c r="D180" s="620" t="s">
        <v>3</v>
      </c>
      <c r="E180" s="620"/>
      <c r="F180" s="406"/>
      <c r="G180" s="398"/>
      <c r="H180" s="456"/>
      <c r="I180" s="407">
        <f>ROUND(H179/1000,4)+I178</f>
        <v>34.079800000000006</v>
      </c>
      <c r="J180" s="402" t="s">
        <v>50</v>
      </c>
      <c r="K180" s="398" t="s">
        <v>255</v>
      </c>
      <c r="L180" s="398" t="s">
        <v>255</v>
      </c>
      <c r="M180" s="398" t="s">
        <v>255</v>
      </c>
      <c r="N180" s="398"/>
      <c r="O180" s="398"/>
      <c r="P180" s="398"/>
    </row>
    <row r="181" spans="1:16" s="133" customFormat="1" ht="18.75" hidden="1" customHeight="1">
      <c r="A181" s="398"/>
      <c r="B181" s="398"/>
      <c r="C181" s="619"/>
      <c r="D181" s="451"/>
      <c r="E181" s="451"/>
      <c r="F181" s="401"/>
      <c r="G181" s="743" t="str">
        <f>C180</f>
        <v>9/8</v>
      </c>
      <c r="H181" s="454">
        <v>405</v>
      </c>
      <c r="I181" s="407"/>
      <c r="J181" s="404"/>
      <c r="K181" s="398"/>
      <c r="L181" s="398"/>
      <c r="M181" s="398"/>
      <c r="N181" s="398"/>
      <c r="O181" s="398"/>
      <c r="P181" s="398"/>
    </row>
    <row r="182" spans="1:16" s="133" customFormat="1" ht="18.75" customHeight="1">
      <c r="A182" s="398">
        <f>SUBTOTAL(103,$C$6:C182)</f>
        <v>89</v>
      </c>
      <c r="B182" s="398"/>
      <c r="C182" s="404" t="s">
        <v>408</v>
      </c>
      <c r="D182" s="620" t="s">
        <v>3</v>
      </c>
      <c r="E182" s="620"/>
      <c r="F182" s="406"/>
      <c r="G182" s="398"/>
      <c r="H182" s="456"/>
      <c r="I182" s="407">
        <f>ROUND(H181/1000,4)+I180</f>
        <v>34.484800000000007</v>
      </c>
      <c r="J182" s="402" t="s">
        <v>50</v>
      </c>
      <c r="K182" s="398" t="s">
        <v>255</v>
      </c>
      <c r="L182" s="398" t="s">
        <v>255</v>
      </c>
      <c r="M182" s="398" t="s">
        <v>255</v>
      </c>
      <c r="N182" s="398"/>
      <c r="O182" s="398"/>
      <c r="P182" s="398"/>
    </row>
    <row r="183" spans="1:16" s="133" customFormat="1" ht="18.75" hidden="1" customHeight="1">
      <c r="A183" s="398"/>
      <c r="B183" s="398"/>
      <c r="C183" s="619"/>
      <c r="D183" s="451"/>
      <c r="E183" s="451"/>
      <c r="F183" s="401"/>
      <c r="G183" s="743" t="str">
        <f>C182</f>
        <v>9/9</v>
      </c>
      <c r="H183" s="454">
        <v>435</v>
      </c>
      <c r="I183" s="407"/>
      <c r="J183" s="404"/>
      <c r="K183" s="398"/>
      <c r="L183" s="398"/>
      <c r="M183" s="398"/>
      <c r="N183" s="398"/>
      <c r="O183" s="398"/>
      <c r="P183" s="398"/>
    </row>
    <row r="184" spans="1:16" s="133" customFormat="1" ht="18.75" customHeight="1">
      <c r="A184" s="398">
        <f>SUBTOTAL(103,$C$6:C184)</f>
        <v>90</v>
      </c>
      <c r="B184" s="398"/>
      <c r="C184" s="404" t="s">
        <v>409</v>
      </c>
      <c r="D184" s="620" t="s">
        <v>2</v>
      </c>
      <c r="E184" s="620"/>
      <c r="F184" s="406"/>
      <c r="G184" s="398"/>
      <c r="H184" s="456"/>
      <c r="I184" s="407">
        <f>ROUND(H183/1000,4)+I182</f>
        <v>34.919800000000009</v>
      </c>
      <c r="J184" s="402" t="s">
        <v>50</v>
      </c>
      <c r="K184" s="398" t="s">
        <v>255</v>
      </c>
      <c r="L184" s="398" t="s">
        <v>255</v>
      </c>
      <c r="M184" s="398" t="s">
        <v>255</v>
      </c>
      <c r="N184" s="398"/>
      <c r="O184" s="398"/>
      <c r="P184" s="398"/>
    </row>
    <row r="185" spans="1:16" s="133" customFormat="1" ht="18.75" hidden="1" customHeight="1">
      <c r="A185" s="398"/>
      <c r="B185" s="398"/>
      <c r="C185" s="619"/>
      <c r="D185" s="451"/>
      <c r="E185" s="451"/>
      <c r="F185" s="401"/>
      <c r="G185" s="743" t="str">
        <f>C184</f>
        <v>9/10</v>
      </c>
      <c r="H185" s="454">
        <v>395</v>
      </c>
      <c r="I185" s="407"/>
      <c r="J185" s="404"/>
      <c r="K185" s="398"/>
      <c r="L185" s="398"/>
      <c r="M185" s="398"/>
      <c r="N185" s="398"/>
      <c r="O185" s="398"/>
      <c r="P185" s="398"/>
    </row>
    <row r="186" spans="1:16" s="133" customFormat="1" ht="18.75" customHeight="1">
      <c r="A186" s="398">
        <f>SUBTOTAL(103,$C$6:C186)</f>
        <v>91</v>
      </c>
      <c r="B186" s="398"/>
      <c r="C186" s="404" t="s">
        <v>410</v>
      </c>
      <c r="D186" s="620" t="s">
        <v>2</v>
      </c>
      <c r="E186" s="620"/>
      <c r="F186" s="406"/>
      <c r="G186" s="398"/>
      <c r="H186" s="456"/>
      <c r="I186" s="407">
        <f>ROUND(H185/1000,4)+I184</f>
        <v>35.314800000000012</v>
      </c>
      <c r="J186" s="402" t="s">
        <v>50</v>
      </c>
      <c r="K186" s="398" t="s">
        <v>255</v>
      </c>
      <c r="L186" s="398" t="s">
        <v>255</v>
      </c>
      <c r="M186" s="398" t="s">
        <v>255</v>
      </c>
      <c r="N186" s="398"/>
      <c r="O186" s="398"/>
      <c r="P186" s="398"/>
    </row>
    <row r="187" spans="1:16" s="133" customFormat="1" ht="18.75" hidden="1" customHeight="1">
      <c r="A187" s="398"/>
      <c r="B187" s="398"/>
      <c r="C187" s="619"/>
      <c r="D187" s="451"/>
      <c r="E187" s="451"/>
      <c r="F187" s="401"/>
      <c r="G187" s="743" t="str">
        <f>C186</f>
        <v>9/11</v>
      </c>
      <c r="H187" s="454">
        <v>431.548</v>
      </c>
      <c r="I187" s="407"/>
      <c r="J187" s="404"/>
      <c r="K187" s="398"/>
      <c r="L187" s="398"/>
      <c r="M187" s="398"/>
      <c r="N187" s="398"/>
      <c r="O187" s="398"/>
      <c r="P187" s="398"/>
    </row>
    <row r="188" spans="1:16" s="133" customFormat="1" ht="18.75" customHeight="1">
      <c r="A188" s="398">
        <f>SUBTOTAL(103,$C$6:C188)</f>
        <v>92</v>
      </c>
      <c r="B188" s="399" t="s">
        <v>545</v>
      </c>
      <c r="C188" s="404" t="s">
        <v>264</v>
      </c>
      <c r="D188" s="620" t="s">
        <v>227</v>
      </c>
      <c r="E188" s="620"/>
      <c r="F188" s="401"/>
      <c r="G188" s="400"/>
      <c r="H188" s="456"/>
      <c r="I188" s="407">
        <f>ROUND(H187/1000,4)+I186</f>
        <v>35.746300000000012</v>
      </c>
      <c r="J188" s="402" t="s">
        <v>50</v>
      </c>
      <c r="K188" s="398" t="s">
        <v>255</v>
      </c>
      <c r="L188" s="398" t="s">
        <v>255</v>
      </c>
      <c r="M188" s="398" t="s">
        <v>255</v>
      </c>
      <c r="N188" s="398"/>
      <c r="O188" s="398"/>
      <c r="P188" s="398"/>
    </row>
    <row r="189" spans="1:16" s="133" customFormat="1" ht="18.75" hidden="1" customHeight="1">
      <c r="A189" s="398"/>
      <c r="B189" s="398"/>
      <c r="C189" s="619"/>
      <c r="D189" s="451"/>
      <c r="E189" s="451"/>
      <c r="F189" s="401"/>
      <c r="G189" s="743" t="str">
        <f>C188</f>
        <v>10/0</v>
      </c>
      <c r="H189" s="454">
        <v>363.452</v>
      </c>
      <c r="I189" s="407"/>
      <c r="J189" s="404"/>
      <c r="K189" s="398"/>
      <c r="L189" s="398"/>
      <c r="M189" s="398"/>
      <c r="N189" s="398"/>
      <c r="O189" s="398"/>
      <c r="P189" s="398"/>
    </row>
    <row r="190" spans="1:16" s="133" customFormat="1" ht="18.75" customHeight="1">
      <c r="A190" s="398">
        <f>SUBTOTAL(103,$C$6:C190)</f>
        <v>93</v>
      </c>
      <c r="B190" s="398"/>
      <c r="C190" s="404" t="s">
        <v>411</v>
      </c>
      <c r="D190" s="620" t="s">
        <v>2</v>
      </c>
      <c r="E190" s="620"/>
      <c r="F190" s="406"/>
      <c r="G190" s="398"/>
      <c r="H190" s="456"/>
      <c r="I190" s="407">
        <f>ROUND(H189/1000,4)+I188</f>
        <v>36.109800000000014</v>
      </c>
      <c r="J190" s="402" t="s">
        <v>50</v>
      </c>
      <c r="K190" s="398" t="s">
        <v>255</v>
      </c>
      <c r="L190" s="398" t="s">
        <v>255</v>
      </c>
      <c r="M190" s="398" t="s">
        <v>255</v>
      </c>
      <c r="N190" s="398"/>
      <c r="O190" s="398"/>
      <c r="P190" s="398"/>
    </row>
    <row r="191" spans="1:16" s="133" customFormat="1" ht="18.75" hidden="1" customHeight="1">
      <c r="A191" s="398"/>
      <c r="B191" s="398"/>
      <c r="C191" s="619"/>
      <c r="D191" s="451"/>
      <c r="E191" s="451"/>
      <c r="F191" s="401"/>
      <c r="G191" s="743" t="str">
        <f>C190</f>
        <v>10/1</v>
      </c>
      <c r="H191" s="454">
        <v>295</v>
      </c>
      <c r="I191" s="407"/>
      <c r="J191" s="404"/>
      <c r="K191" s="398"/>
      <c r="L191" s="398"/>
      <c r="M191" s="398"/>
      <c r="N191" s="398"/>
      <c r="O191" s="398"/>
      <c r="P191" s="398"/>
    </row>
    <row r="192" spans="1:16" s="133" customFormat="1" ht="18.75" customHeight="1">
      <c r="A192" s="398">
        <f>SUBTOTAL(103,$C$6:C192)</f>
        <v>94</v>
      </c>
      <c r="B192" s="398"/>
      <c r="C192" s="404" t="s">
        <v>412</v>
      </c>
      <c r="D192" s="620" t="s">
        <v>2</v>
      </c>
      <c r="E192" s="620"/>
      <c r="F192" s="406"/>
      <c r="G192" s="398"/>
      <c r="H192" s="456"/>
      <c r="I192" s="407">
        <f>ROUND(H191/1000,4)+I190</f>
        <v>36.404800000000016</v>
      </c>
      <c r="J192" s="402" t="s">
        <v>50</v>
      </c>
      <c r="K192" s="398" t="s">
        <v>255</v>
      </c>
      <c r="L192" s="398" t="s">
        <v>255</v>
      </c>
      <c r="M192" s="398" t="s">
        <v>255</v>
      </c>
      <c r="N192" s="398"/>
      <c r="O192" s="398"/>
      <c r="P192" s="398"/>
    </row>
    <row r="193" spans="1:16" s="133" customFormat="1" ht="18.75" hidden="1" customHeight="1">
      <c r="A193" s="398"/>
      <c r="B193" s="398"/>
      <c r="C193" s="619"/>
      <c r="D193" s="451"/>
      <c r="E193" s="451"/>
      <c r="F193" s="401"/>
      <c r="G193" s="743" t="str">
        <f>C192</f>
        <v>10/2</v>
      </c>
      <c r="H193" s="454">
        <v>345.73099999999999</v>
      </c>
      <c r="I193" s="407"/>
      <c r="J193" s="404"/>
      <c r="K193" s="398"/>
      <c r="L193" s="398"/>
      <c r="M193" s="398"/>
      <c r="N193" s="398"/>
      <c r="O193" s="398"/>
      <c r="P193" s="398"/>
    </row>
    <row r="194" spans="1:16" s="133" customFormat="1" ht="18.75" customHeight="1">
      <c r="A194" s="398">
        <f>SUBTOTAL(103,$C$6:C194)</f>
        <v>95</v>
      </c>
      <c r="B194" s="399" t="s">
        <v>546</v>
      </c>
      <c r="C194" s="404" t="s">
        <v>265</v>
      </c>
      <c r="D194" s="620" t="s">
        <v>178</v>
      </c>
      <c r="E194" s="620"/>
      <c r="F194" s="401"/>
      <c r="G194" s="400"/>
      <c r="H194" s="456"/>
      <c r="I194" s="407">
        <f>ROUND(H193/1000,4)+I192</f>
        <v>36.750500000000017</v>
      </c>
      <c r="J194" s="410" t="s">
        <v>50</v>
      </c>
      <c r="K194" s="398" t="s">
        <v>255</v>
      </c>
      <c r="L194" s="398" t="s">
        <v>255</v>
      </c>
      <c r="M194" s="398" t="s">
        <v>255</v>
      </c>
      <c r="N194" s="398"/>
      <c r="O194" s="398"/>
      <c r="P194" s="398"/>
    </row>
    <row r="195" spans="1:16" s="133" customFormat="1" ht="18.75" hidden="1" customHeight="1">
      <c r="A195" s="398"/>
      <c r="B195" s="398"/>
      <c r="C195" s="619"/>
      <c r="D195" s="451"/>
      <c r="E195" s="451"/>
      <c r="F195" s="401"/>
      <c r="G195" s="743" t="str">
        <f>C194</f>
        <v>11/0</v>
      </c>
      <c r="H195" s="454">
        <v>242.89</v>
      </c>
      <c r="I195" s="407"/>
      <c r="J195" s="404"/>
      <c r="K195" s="398"/>
      <c r="L195" s="398"/>
      <c r="M195" s="398"/>
      <c r="N195" s="398"/>
      <c r="O195" s="398"/>
      <c r="P195" s="398" t="s">
        <v>963</v>
      </c>
    </row>
    <row r="196" spans="1:16" s="133" customFormat="1" ht="18.75" customHeight="1">
      <c r="A196" s="398">
        <f>SUBTOTAL(103,$C$6:C196)</f>
        <v>96</v>
      </c>
      <c r="B196" s="399" t="s">
        <v>547</v>
      </c>
      <c r="C196" s="404" t="s">
        <v>266</v>
      </c>
      <c r="D196" s="620" t="s">
        <v>211</v>
      </c>
      <c r="E196" s="620"/>
      <c r="F196" s="401"/>
      <c r="G196" s="400"/>
      <c r="H196" s="456"/>
      <c r="I196" s="407">
        <f>ROUND(H195/1000,4)+I194</f>
        <v>36.993400000000015</v>
      </c>
      <c r="J196" s="410" t="s">
        <v>50</v>
      </c>
      <c r="K196" s="398" t="s">
        <v>255</v>
      </c>
      <c r="L196" s="398" t="s">
        <v>255</v>
      </c>
      <c r="M196" s="398" t="s">
        <v>255</v>
      </c>
      <c r="N196" s="398"/>
      <c r="O196" s="398" t="s">
        <v>962</v>
      </c>
      <c r="P196" s="398"/>
    </row>
    <row r="197" spans="1:16" s="133" customFormat="1" ht="18.75" hidden="1" customHeight="1">
      <c r="A197" s="398"/>
      <c r="B197" s="398"/>
      <c r="C197" s="619"/>
      <c r="D197" s="451"/>
      <c r="E197" s="451"/>
      <c r="F197" s="401"/>
      <c r="G197" s="743" t="str">
        <f>C196</f>
        <v>12/0</v>
      </c>
      <c r="H197" s="454">
        <v>329.73</v>
      </c>
      <c r="I197" s="407"/>
      <c r="J197" s="404"/>
      <c r="K197" s="398"/>
      <c r="L197" s="398"/>
      <c r="M197" s="398"/>
      <c r="N197" s="398"/>
      <c r="O197" s="398"/>
      <c r="P197" s="398" t="s">
        <v>964</v>
      </c>
    </row>
    <row r="198" spans="1:16" s="133" customFormat="1" ht="18.75" customHeight="1">
      <c r="A198" s="398">
        <f>SUBTOTAL(103,$C$6:C198)</f>
        <v>97</v>
      </c>
      <c r="B198" s="399" t="s">
        <v>548</v>
      </c>
      <c r="C198" s="404" t="s">
        <v>267</v>
      </c>
      <c r="D198" s="620" t="s">
        <v>209</v>
      </c>
      <c r="E198" s="620"/>
      <c r="F198" s="401"/>
      <c r="G198" s="400"/>
      <c r="H198" s="456"/>
      <c r="I198" s="407">
        <f>ROUND(H197/1000,4)+I196</f>
        <v>37.323100000000018</v>
      </c>
      <c r="J198" s="410" t="s">
        <v>50</v>
      </c>
      <c r="K198" s="398" t="s">
        <v>255</v>
      </c>
      <c r="L198" s="398" t="s">
        <v>255</v>
      </c>
      <c r="M198" s="398" t="s">
        <v>255</v>
      </c>
      <c r="N198" s="398"/>
      <c r="O198" s="398" t="s">
        <v>962</v>
      </c>
      <c r="P198" s="398"/>
    </row>
    <row r="199" spans="1:16" s="133" customFormat="1" ht="18.75" hidden="1" customHeight="1">
      <c r="A199" s="398"/>
      <c r="B199" s="398"/>
      <c r="C199" s="619"/>
      <c r="D199" s="451"/>
      <c r="E199" s="451"/>
      <c r="F199" s="401"/>
      <c r="G199" s="743" t="str">
        <f>C198</f>
        <v>13/0</v>
      </c>
      <c r="H199" s="454">
        <v>416.88</v>
      </c>
      <c r="I199" s="407"/>
      <c r="J199" s="404"/>
      <c r="K199" s="398"/>
      <c r="L199" s="398"/>
      <c r="M199" s="398"/>
      <c r="N199" s="398"/>
      <c r="O199" s="398"/>
      <c r="P199" s="398"/>
    </row>
    <row r="200" spans="1:16" s="133" customFormat="1" ht="18.75" customHeight="1">
      <c r="A200" s="398">
        <f>SUBTOTAL(103,$C$6:C200)</f>
        <v>98</v>
      </c>
      <c r="B200" s="399" t="s">
        <v>654</v>
      </c>
      <c r="C200" s="404" t="s">
        <v>483</v>
      </c>
      <c r="D200" s="620" t="s">
        <v>211</v>
      </c>
      <c r="E200" s="620"/>
      <c r="F200" s="406"/>
      <c r="G200" s="398"/>
      <c r="H200" s="456"/>
      <c r="I200" s="407">
        <f>ROUND(H199/1000,4)+I198</f>
        <v>37.740000000000016</v>
      </c>
      <c r="J200" s="402" t="s">
        <v>50</v>
      </c>
      <c r="K200" s="398" t="s">
        <v>255</v>
      </c>
      <c r="L200" s="398" t="s">
        <v>255</v>
      </c>
      <c r="M200" s="398" t="s">
        <v>255</v>
      </c>
      <c r="N200" s="398"/>
      <c r="O200" s="398"/>
      <c r="P200" s="398"/>
    </row>
    <row r="201" spans="1:16" s="133" customFormat="1" ht="18.75" hidden="1" customHeight="1">
      <c r="A201" s="398"/>
      <c r="B201" s="398"/>
      <c r="C201" s="619"/>
      <c r="D201" s="451"/>
      <c r="E201" s="451"/>
      <c r="F201" s="401"/>
      <c r="G201" s="743" t="str">
        <f>C200</f>
        <v>13A/0</v>
      </c>
      <c r="H201" s="454">
        <v>480.27</v>
      </c>
      <c r="I201" s="407"/>
      <c r="J201" s="404"/>
      <c r="K201" s="398"/>
      <c r="L201" s="398"/>
      <c r="M201" s="398"/>
      <c r="N201" s="398"/>
      <c r="O201" s="398"/>
      <c r="P201" s="398"/>
    </row>
    <row r="202" spans="1:16" s="133" customFormat="1" ht="18.75" customHeight="1">
      <c r="A202" s="398">
        <f>SUBTOTAL(103,$C$6:C202)</f>
        <v>99</v>
      </c>
      <c r="B202" s="399" t="s">
        <v>549</v>
      </c>
      <c r="C202" s="404" t="s">
        <v>11</v>
      </c>
      <c r="D202" s="620" t="s">
        <v>186</v>
      </c>
      <c r="E202" s="620"/>
      <c r="F202" s="401">
        <v>2</v>
      </c>
      <c r="G202" s="400"/>
      <c r="H202" s="456"/>
      <c r="I202" s="407">
        <f>ROUND(H201/1000,4)+I200</f>
        <v>38.220300000000016</v>
      </c>
      <c r="J202" s="410" t="s">
        <v>50</v>
      </c>
      <c r="K202" s="398" t="s">
        <v>255</v>
      </c>
      <c r="L202" s="398" t="s">
        <v>255</v>
      </c>
      <c r="M202" s="398" t="s">
        <v>255</v>
      </c>
      <c r="N202" s="398"/>
      <c r="O202" s="398"/>
      <c r="P202" s="398"/>
    </row>
    <row r="203" spans="1:16" s="133" customFormat="1" ht="18.75" hidden="1" customHeight="1">
      <c r="A203" s="398"/>
      <c r="B203" s="398"/>
      <c r="C203" s="619"/>
      <c r="D203" s="451"/>
      <c r="E203" s="451"/>
      <c r="F203" s="401"/>
      <c r="G203" s="743" t="str">
        <f>C202</f>
        <v>14/0</v>
      </c>
      <c r="H203" s="454">
        <v>223.82</v>
      </c>
      <c r="I203" s="407"/>
      <c r="J203" s="404"/>
      <c r="K203" s="398"/>
      <c r="L203" s="398"/>
      <c r="M203" s="398"/>
      <c r="N203" s="398"/>
      <c r="O203" s="398"/>
      <c r="P203" s="398" t="s">
        <v>965</v>
      </c>
    </row>
    <row r="204" spans="1:16" s="133" customFormat="1" ht="18.75" customHeight="1">
      <c r="A204" s="398">
        <f>SUBTOTAL(103,$C$5:C205)</f>
        <v>100</v>
      </c>
      <c r="B204" s="399" t="s">
        <v>550</v>
      </c>
      <c r="C204" s="404" t="s">
        <v>167</v>
      </c>
      <c r="D204" s="620" t="s">
        <v>218</v>
      </c>
      <c r="E204" s="620"/>
      <c r="F204" s="401"/>
      <c r="G204" s="400"/>
      <c r="H204" s="456"/>
      <c r="I204" s="407">
        <f>ROUND(H203/1000,4)+I202</f>
        <v>38.444100000000013</v>
      </c>
      <c r="J204" s="410" t="s">
        <v>50</v>
      </c>
      <c r="K204" s="398" t="s">
        <v>255</v>
      </c>
      <c r="L204" s="398" t="s">
        <v>255</v>
      </c>
      <c r="M204" s="398" t="s">
        <v>255</v>
      </c>
      <c r="N204" s="398"/>
      <c r="O204" s="398" t="s">
        <v>962</v>
      </c>
      <c r="P204" s="398"/>
    </row>
    <row r="205" spans="1:16" s="133" customFormat="1" ht="18.75" hidden="1" customHeight="1">
      <c r="A205" s="398"/>
      <c r="B205" s="398"/>
      <c r="C205" s="619"/>
      <c r="D205" s="451"/>
      <c r="E205" s="451"/>
      <c r="F205" s="401"/>
      <c r="G205" s="743" t="str">
        <f>C204</f>
        <v>15/0</v>
      </c>
      <c r="H205" s="453">
        <v>405.91500000000002</v>
      </c>
      <c r="I205" s="407"/>
      <c r="J205" s="404"/>
      <c r="K205" s="398"/>
      <c r="L205" s="398"/>
      <c r="M205" s="398"/>
      <c r="N205" s="398"/>
      <c r="O205" s="398"/>
      <c r="P205" s="398"/>
    </row>
    <row r="206" spans="1:16" s="133" customFormat="1" ht="18.75" customHeight="1">
      <c r="A206" s="398">
        <f>SUBTOTAL(103,$C$6:C206)</f>
        <v>101</v>
      </c>
      <c r="B206" s="398"/>
      <c r="C206" s="404" t="s">
        <v>308</v>
      </c>
      <c r="D206" s="620" t="s">
        <v>79</v>
      </c>
      <c r="E206" s="620"/>
      <c r="F206" s="406"/>
      <c r="G206" s="398"/>
      <c r="H206" s="455"/>
      <c r="I206" s="407">
        <f>ROUND(H205/1000,4)+I204</f>
        <v>38.850000000000016</v>
      </c>
      <c r="J206" s="402" t="s">
        <v>50</v>
      </c>
      <c r="K206" s="398" t="s">
        <v>255</v>
      </c>
      <c r="L206" s="398" t="s">
        <v>255</v>
      </c>
      <c r="M206" s="398" t="s">
        <v>255</v>
      </c>
      <c r="N206" s="398"/>
      <c r="O206" s="398"/>
      <c r="P206" s="398"/>
    </row>
    <row r="207" spans="1:16" s="133" customFormat="1" ht="18.75" hidden="1" customHeight="1">
      <c r="A207" s="398"/>
      <c r="B207" s="398"/>
      <c r="C207" s="619"/>
      <c r="D207" s="451"/>
      <c r="E207" s="451"/>
      <c r="F207" s="401"/>
      <c r="G207" s="743" t="str">
        <f>C206</f>
        <v>15/1</v>
      </c>
      <c r="H207" s="453">
        <v>405</v>
      </c>
      <c r="I207" s="407"/>
      <c r="J207" s="404"/>
      <c r="K207" s="398"/>
      <c r="L207" s="398"/>
      <c r="M207" s="398"/>
      <c r="N207" s="398"/>
      <c r="O207" s="398"/>
      <c r="P207" s="398"/>
    </row>
    <row r="208" spans="1:16" s="133" customFormat="1" ht="18.75" customHeight="1">
      <c r="A208" s="398">
        <f>SUBTOTAL(103,$C$6:C208)</f>
        <v>102</v>
      </c>
      <c r="B208" s="398"/>
      <c r="C208" s="404" t="s">
        <v>413</v>
      </c>
      <c r="D208" s="620" t="s">
        <v>2</v>
      </c>
      <c r="E208" s="620"/>
      <c r="F208" s="406"/>
      <c r="G208" s="398"/>
      <c r="H208" s="455"/>
      <c r="I208" s="407">
        <f>ROUND(H207/1000,4)+I206</f>
        <v>39.255000000000017</v>
      </c>
      <c r="J208" s="402" t="s">
        <v>50</v>
      </c>
      <c r="K208" s="398" t="s">
        <v>255</v>
      </c>
      <c r="L208" s="398" t="s">
        <v>255</v>
      </c>
      <c r="M208" s="398" t="s">
        <v>255</v>
      </c>
      <c r="N208" s="398" t="str">
        <f>VLOOKUP(C208,'Tack Welding'!$D$5:$J$94,7,0)</f>
        <v xml:space="preserve">Completed </v>
      </c>
      <c r="O208" s="398"/>
      <c r="P208" s="398"/>
    </row>
    <row r="209" spans="1:16" s="133" customFormat="1" ht="18.75" hidden="1" customHeight="1">
      <c r="A209" s="398"/>
      <c r="B209" s="398"/>
      <c r="C209" s="619"/>
      <c r="D209" s="451"/>
      <c r="E209" s="451"/>
      <c r="F209" s="401"/>
      <c r="G209" s="743" t="str">
        <f>C208</f>
        <v>15/2</v>
      </c>
      <c r="H209" s="453">
        <v>420</v>
      </c>
      <c r="I209" s="407"/>
      <c r="J209" s="404"/>
      <c r="K209" s="398"/>
      <c r="L209" s="398"/>
      <c r="M209" s="398"/>
      <c r="N209" s="398"/>
      <c r="O209" s="398"/>
      <c r="P209" s="398"/>
    </row>
    <row r="210" spans="1:16" s="133" customFormat="1" ht="18.75" customHeight="1">
      <c r="A210" s="398">
        <f>SUBTOTAL(103,$C$6:C210)</f>
        <v>103</v>
      </c>
      <c r="B210" s="398"/>
      <c r="C210" s="404" t="s">
        <v>414</v>
      </c>
      <c r="D210" s="620" t="s">
        <v>2</v>
      </c>
      <c r="E210" s="620"/>
      <c r="F210" s="406"/>
      <c r="G210" s="398"/>
      <c r="H210" s="455"/>
      <c r="I210" s="407">
        <f>ROUND(H209/1000,4)+I208</f>
        <v>39.675000000000018</v>
      </c>
      <c r="J210" s="402" t="s">
        <v>50</v>
      </c>
      <c r="K210" s="398" t="s">
        <v>255</v>
      </c>
      <c r="L210" s="398" t="s">
        <v>255</v>
      </c>
      <c r="M210" s="398" t="s">
        <v>255</v>
      </c>
      <c r="N210" s="398" t="str">
        <f>VLOOKUP(C210,'Tack Welding'!$D$5:$J$94,7,0)</f>
        <v xml:space="preserve">Completed </v>
      </c>
      <c r="O210" s="398"/>
      <c r="P210" s="398"/>
    </row>
    <row r="211" spans="1:16" s="133" customFormat="1" ht="18.75" hidden="1" customHeight="1">
      <c r="A211" s="398"/>
      <c r="B211" s="398"/>
      <c r="C211" s="619"/>
      <c r="D211" s="451"/>
      <c r="E211" s="451"/>
      <c r="F211" s="401"/>
      <c r="G211" s="743" t="str">
        <f>C210</f>
        <v>15/3</v>
      </c>
      <c r="H211" s="453">
        <v>415</v>
      </c>
      <c r="I211" s="407"/>
      <c r="J211" s="404"/>
      <c r="K211" s="398"/>
      <c r="L211" s="398"/>
      <c r="M211" s="398"/>
      <c r="N211" s="398"/>
      <c r="O211" s="398"/>
      <c r="P211" s="398"/>
    </row>
    <row r="212" spans="1:16" s="133" customFormat="1" ht="18.75" customHeight="1">
      <c r="A212" s="398">
        <f>SUBTOTAL(103,$C$6:C212)</f>
        <v>104</v>
      </c>
      <c r="B212" s="398"/>
      <c r="C212" s="404" t="s">
        <v>415</v>
      </c>
      <c r="D212" s="620" t="s">
        <v>79</v>
      </c>
      <c r="E212" s="620"/>
      <c r="F212" s="406"/>
      <c r="G212" s="398"/>
      <c r="H212" s="455"/>
      <c r="I212" s="407">
        <f>ROUND(H211/1000,4)+I210</f>
        <v>40.090000000000018</v>
      </c>
      <c r="J212" s="402" t="s">
        <v>50</v>
      </c>
      <c r="K212" s="398" t="s">
        <v>255</v>
      </c>
      <c r="L212" s="398" t="s">
        <v>255</v>
      </c>
      <c r="M212" s="398" t="s">
        <v>255</v>
      </c>
      <c r="N212" s="398"/>
      <c r="O212" s="398"/>
      <c r="P212" s="398"/>
    </row>
    <row r="213" spans="1:16" s="133" customFormat="1" ht="18.75" hidden="1" customHeight="1">
      <c r="A213" s="398"/>
      <c r="B213" s="398"/>
      <c r="C213" s="619"/>
      <c r="D213" s="451"/>
      <c r="E213" s="451"/>
      <c r="F213" s="401"/>
      <c r="G213" s="743" t="str">
        <f>C212</f>
        <v>15/4</v>
      </c>
      <c r="H213" s="453">
        <v>410</v>
      </c>
      <c r="I213" s="407"/>
      <c r="J213" s="404"/>
      <c r="K213" s="398"/>
      <c r="L213" s="398"/>
      <c r="M213" s="398"/>
      <c r="N213" s="398"/>
      <c r="O213" s="398"/>
      <c r="P213" s="398"/>
    </row>
    <row r="214" spans="1:16" s="133" customFormat="1" ht="18.75" customHeight="1">
      <c r="A214" s="398">
        <f>SUBTOTAL(103,$C$6:C214)</f>
        <v>105</v>
      </c>
      <c r="B214" s="398"/>
      <c r="C214" s="404" t="s">
        <v>416</v>
      </c>
      <c r="D214" s="620" t="s">
        <v>2</v>
      </c>
      <c r="E214" s="620"/>
      <c r="F214" s="406"/>
      <c r="G214" s="398"/>
      <c r="H214" s="455"/>
      <c r="I214" s="407">
        <f>ROUND(H213/1000,4)+I212</f>
        <v>40.500000000000014</v>
      </c>
      <c r="J214" s="402" t="s">
        <v>50</v>
      </c>
      <c r="K214" s="398" t="s">
        <v>255</v>
      </c>
      <c r="L214" s="398" t="s">
        <v>255</v>
      </c>
      <c r="M214" s="398" t="s">
        <v>255</v>
      </c>
      <c r="N214" s="398" t="str">
        <f>VLOOKUP(C214,'Tack Welding'!$D$5:$J$94,7,0)</f>
        <v xml:space="preserve">Completed </v>
      </c>
      <c r="O214" s="398"/>
      <c r="P214" s="398"/>
    </row>
    <row r="215" spans="1:16" s="133" customFormat="1" ht="18.75" hidden="1" customHeight="1">
      <c r="A215" s="398"/>
      <c r="B215" s="398"/>
      <c r="C215" s="619"/>
      <c r="D215" s="451"/>
      <c r="E215" s="451"/>
      <c r="F215" s="401"/>
      <c r="G215" s="743" t="str">
        <f>C214</f>
        <v>15/5</v>
      </c>
      <c r="H215" s="453">
        <v>285</v>
      </c>
      <c r="I215" s="407"/>
      <c r="J215" s="404"/>
      <c r="K215" s="398"/>
      <c r="L215" s="398"/>
      <c r="M215" s="398"/>
      <c r="N215" s="398"/>
      <c r="O215" s="398"/>
      <c r="P215" s="398"/>
    </row>
    <row r="216" spans="1:16" s="133" customFormat="1" ht="18.75" customHeight="1">
      <c r="A216" s="398">
        <f>SUBTOTAL(103,$C$6:C216)</f>
        <v>106</v>
      </c>
      <c r="B216" s="398"/>
      <c r="C216" s="404" t="s">
        <v>417</v>
      </c>
      <c r="D216" s="620" t="s">
        <v>49</v>
      </c>
      <c r="E216" s="620"/>
      <c r="F216" s="406"/>
      <c r="G216" s="398"/>
      <c r="H216" s="455"/>
      <c r="I216" s="407">
        <f>ROUND(H215/1000,4)+I214</f>
        <v>40.785000000000011</v>
      </c>
      <c r="J216" s="402" t="s">
        <v>50</v>
      </c>
      <c r="K216" s="398" t="s">
        <v>255</v>
      </c>
      <c r="L216" s="398" t="s">
        <v>255</v>
      </c>
      <c r="M216" s="398" t="s">
        <v>255</v>
      </c>
      <c r="N216" s="398" t="str">
        <f>VLOOKUP(C216,'Tack Welding'!$D$5:$J$94,7,0)</f>
        <v xml:space="preserve">Completed </v>
      </c>
      <c r="O216" s="398"/>
      <c r="P216" s="398"/>
    </row>
    <row r="217" spans="1:16" s="133" customFormat="1" ht="18.75" hidden="1" customHeight="1">
      <c r="A217" s="398"/>
      <c r="B217" s="398"/>
      <c r="C217" s="619"/>
      <c r="D217" s="451"/>
      <c r="E217" s="451"/>
      <c r="F217" s="401"/>
      <c r="G217" s="743" t="str">
        <f>C216</f>
        <v>15/6</v>
      </c>
      <c r="H217" s="453">
        <v>355</v>
      </c>
      <c r="I217" s="407"/>
      <c r="J217" s="404"/>
      <c r="K217" s="398"/>
      <c r="L217" s="398"/>
      <c r="M217" s="398"/>
      <c r="N217" s="398"/>
      <c r="O217" s="398"/>
      <c r="P217" s="398"/>
    </row>
    <row r="218" spans="1:16" s="133" customFormat="1" ht="18.75" customHeight="1">
      <c r="A218" s="398">
        <f>SUBTOTAL(103,$C$6:C218)</f>
        <v>107</v>
      </c>
      <c r="B218" s="398"/>
      <c r="C218" s="404" t="s">
        <v>418</v>
      </c>
      <c r="D218" s="620" t="s">
        <v>3</v>
      </c>
      <c r="E218" s="620"/>
      <c r="F218" s="406"/>
      <c r="G218" s="398"/>
      <c r="H218" s="455"/>
      <c r="I218" s="407">
        <f>ROUND(H217/1000,4)+I216</f>
        <v>41.140000000000008</v>
      </c>
      <c r="J218" s="402" t="s">
        <v>50</v>
      </c>
      <c r="K218" s="398" t="s">
        <v>255</v>
      </c>
      <c r="L218" s="398" t="s">
        <v>255</v>
      </c>
      <c r="M218" s="398" t="s">
        <v>255</v>
      </c>
      <c r="N218" s="398"/>
      <c r="O218" s="398"/>
      <c r="P218" s="398"/>
    </row>
    <row r="219" spans="1:16" s="133" customFormat="1" ht="18.75" hidden="1" customHeight="1">
      <c r="A219" s="398"/>
      <c r="B219" s="398"/>
      <c r="C219" s="619"/>
      <c r="D219" s="451"/>
      <c r="E219" s="451"/>
      <c r="F219" s="401"/>
      <c r="G219" s="743" t="str">
        <f>C218</f>
        <v>15/7</v>
      </c>
      <c r="H219" s="453">
        <v>355</v>
      </c>
      <c r="I219" s="407"/>
      <c r="J219" s="404"/>
      <c r="K219" s="398"/>
      <c r="L219" s="398"/>
      <c r="M219" s="398"/>
      <c r="N219" s="398"/>
      <c r="O219" s="398"/>
      <c r="P219" s="398"/>
    </row>
    <row r="220" spans="1:16" s="133" customFormat="1" ht="18.75" customHeight="1">
      <c r="A220" s="398">
        <f>SUBTOTAL(103,$C$6:C220)</f>
        <v>108</v>
      </c>
      <c r="B220" s="398"/>
      <c r="C220" s="404" t="s">
        <v>419</v>
      </c>
      <c r="D220" s="620" t="s">
        <v>170</v>
      </c>
      <c r="E220" s="620"/>
      <c r="F220" s="406"/>
      <c r="G220" s="398"/>
      <c r="H220" s="455"/>
      <c r="I220" s="407">
        <f>ROUND(H219/1000,4)+I218</f>
        <v>41.495000000000005</v>
      </c>
      <c r="J220" s="402" t="s">
        <v>50</v>
      </c>
      <c r="K220" s="398" t="s">
        <v>255</v>
      </c>
      <c r="L220" s="398" t="s">
        <v>255</v>
      </c>
      <c r="M220" s="398" t="s">
        <v>255</v>
      </c>
      <c r="N220" s="398"/>
      <c r="O220" s="398"/>
      <c r="P220" s="398"/>
    </row>
    <row r="221" spans="1:16" s="133" customFormat="1" ht="18.75" hidden="1" customHeight="1">
      <c r="A221" s="398"/>
      <c r="B221" s="398"/>
      <c r="C221" s="619"/>
      <c r="D221" s="451"/>
      <c r="E221" s="451"/>
      <c r="F221" s="401"/>
      <c r="G221" s="743" t="str">
        <f>C220</f>
        <v>15/8</v>
      </c>
      <c r="H221" s="453">
        <v>410</v>
      </c>
      <c r="I221" s="407"/>
      <c r="J221" s="404"/>
      <c r="K221" s="398"/>
      <c r="L221" s="398"/>
      <c r="M221" s="398"/>
      <c r="N221" s="398"/>
      <c r="O221" s="398"/>
      <c r="P221" s="398"/>
    </row>
    <row r="222" spans="1:16" s="133" customFormat="1" ht="18.75" customHeight="1">
      <c r="A222" s="398">
        <f>SUBTOTAL(103,$C$6:C222)</f>
        <v>109</v>
      </c>
      <c r="B222" s="398"/>
      <c r="C222" s="404" t="s">
        <v>420</v>
      </c>
      <c r="D222" s="620" t="s">
        <v>3</v>
      </c>
      <c r="E222" s="620"/>
      <c r="F222" s="406"/>
      <c r="G222" s="398"/>
      <c r="H222" s="455"/>
      <c r="I222" s="407">
        <f>ROUND(H221/1000,4)+I220</f>
        <v>41.905000000000001</v>
      </c>
      <c r="J222" s="402" t="s">
        <v>50</v>
      </c>
      <c r="K222" s="398" t="s">
        <v>255</v>
      </c>
      <c r="L222" s="398" t="s">
        <v>255</v>
      </c>
      <c r="M222" s="398" t="s">
        <v>255</v>
      </c>
      <c r="N222" s="398"/>
      <c r="O222" s="398"/>
      <c r="P222" s="398"/>
    </row>
    <row r="223" spans="1:16" s="133" customFormat="1" ht="18.75" hidden="1" customHeight="1">
      <c r="A223" s="398"/>
      <c r="B223" s="398"/>
      <c r="C223" s="619"/>
      <c r="D223" s="451"/>
      <c r="E223" s="451"/>
      <c r="F223" s="401"/>
      <c r="G223" s="743" t="str">
        <f>C222</f>
        <v>15/9</v>
      </c>
      <c r="H223" s="453">
        <v>430</v>
      </c>
      <c r="I223" s="407"/>
      <c r="J223" s="404"/>
      <c r="K223" s="398"/>
      <c r="L223" s="398"/>
      <c r="M223" s="398"/>
      <c r="N223" s="398"/>
      <c r="O223" s="398"/>
      <c r="P223" s="398"/>
    </row>
    <row r="224" spans="1:16" s="133" customFormat="1" ht="18.75" customHeight="1">
      <c r="A224" s="398">
        <f>SUBTOTAL(103,$C$6:C224)</f>
        <v>110</v>
      </c>
      <c r="B224" s="398"/>
      <c r="C224" s="404" t="s">
        <v>421</v>
      </c>
      <c r="D224" s="620" t="s">
        <v>154</v>
      </c>
      <c r="E224" s="620"/>
      <c r="F224" s="406"/>
      <c r="G224" s="398"/>
      <c r="H224" s="455"/>
      <c r="I224" s="407">
        <f>ROUND(H223/1000,4)+I222</f>
        <v>42.335000000000001</v>
      </c>
      <c r="J224" s="402" t="s">
        <v>50</v>
      </c>
      <c r="K224" s="398" t="s">
        <v>255</v>
      </c>
      <c r="L224" s="398" t="s">
        <v>255</v>
      </c>
      <c r="M224" s="398" t="s">
        <v>255</v>
      </c>
      <c r="N224" s="398"/>
      <c r="O224" s="398"/>
      <c r="P224" s="398"/>
    </row>
    <row r="225" spans="1:16" s="133" customFormat="1" ht="18.75" hidden="1" customHeight="1">
      <c r="A225" s="398"/>
      <c r="B225" s="398"/>
      <c r="C225" s="619"/>
      <c r="D225" s="451"/>
      <c r="E225" s="451"/>
      <c r="F225" s="401"/>
      <c r="G225" s="743" t="str">
        <f>C224</f>
        <v>15/10</v>
      </c>
      <c r="H225" s="453">
        <v>385</v>
      </c>
      <c r="I225" s="407"/>
      <c r="J225" s="404"/>
      <c r="K225" s="398"/>
      <c r="L225" s="398"/>
      <c r="M225" s="398"/>
      <c r="N225" s="398"/>
      <c r="O225" s="398"/>
      <c r="P225" s="398"/>
    </row>
    <row r="226" spans="1:16" s="133" customFormat="1" ht="18.75" customHeight="1">
      <c r="A226" s="398">
        <f>SUBTOTAL(103,$C$6:C226)</f>
        <v>111</v>
      </c>
      <c r="B226" s="398"/>
      <c r="C226" s="404" t="s">
        <v>422</v>
      </c>
      <c r="D226" s="620" t="s">
        <v>3</v>
      </c>
      <c r="E226" s="620"/>
      <c r="F226" s="406"/>
      <c r="G226" s="398"/>
      <c r="H226" s="455"/>
      <c r="I226" s="407">
        <f>ROUND(H225/1000,4)+I224</f>
        <v>42.72</v>
      </c>
      <c r="J226" s="402" t="s">
        <v>50</v>
      </c>
      <c r="K226" s="398" t="s">
        <v>255</v>
      </c>
      <c r="L226" s="398" t="s">
        <v>255</v>
      </c>
      <c r="M226" s="398" t="s">
        <v>255</v>
      </c>
      <c r="N226" s="398"/>
      <c r="O226" s="398"/>
      <c r="P226" s="398"/>
    </row>
    <row r="227" spans="1:16" s="133" customFormat="1" ht="18.75" hidden="1" customHeight="1">
      <c r="A227" s="398"/>
      <c r="B227" s="398"/>
      <c r="C227" s="619"/>
      <c r="D227" s="451"/>
      <c r="E227" s="451"/>
      <c r="F227" s="401"/>
      <c r="G227" s="743" t="str">
        <f>C226</f>
        <v>15/11</v>
      </c>
      <c r="H227" s="453">
        <v>455</v>
      </c>
      <c r="I227" s="407"/>
      <c r="J227" s="404"/>
      <c r="K227" s="398"/>
      <c r="L227" s="398"/>
      <c r="M227" s="398"/>
      <c r="N227" s="398"/>
      <c r="O227" s="398"/>
      <c r="P227" s="398"/>
    </row>
    <row r="228" spans="1:16" s="133" customFormat="1" ht="18.75" customHeight="1">
      <c r="A228" s="398">
        <f>SUBTOTAL(103,$C$6:C228)</f>
        <v>112</v>
      </c>
      <c r="B228" s="398"/>
      <c r="C228" s="404" t="s">
        <v>423</v>
      </c>
      <c r="D228" s="620" t="s">
        <v>79</v>
      </c>
      <c r="E228" s="620"/>
      <c r="F228" s="406"/>
      <c r="G228" s="398"/>
      <c r="H228" s="455"/>
      <c r="I228" s="407">
        <f>ROUND(H227/1000,4)+I226</f>
        <v>43.174999999999997</v>
      </c>
      <c r="J228" s="402" t="s">
        <v>50</v>
      </c>
      <c r="K228" s="398" t="s">
        <v>255</v>
      </c>
      <c r="L228" s="398" t="s">
        <v>255</v>
      </c>
      <c r="M228" s="398" t="s">
        <v>255</v>
      </c>
      <c r="N228" s="398"/>
      <c r="O228" s="398"/>
      <c r="P228" s="398"/>
    </row>
    <row r="229" spans="1:16" s="133" customFormat="1" ht="18.75" hidden="1" customHeight="1">
      <c r="A229" s="398"/>
      <c r="B229" s="398"/>
      <c r="C229" s="619"/>
      <c r="D229" s="451"/>
      <c r="E229" s="451"/>
      <c r="F229" s="401"/>
      <c r="G229" s="743" t="str">
        <f>C228</f>
        <v>15/12</v>
      </c>
      <c r="H229" s="453">
        <v>288.42500000000001</v>
      </c>
      <c r="I229" s="407"/>
      <c r="J229" s="404"/>
      <c r="K229" s="398"/>
      <c r="L229" s="398"/>
      <c r="M229" s="398"/>
      <c r="N229" s="398"/>
      <c r="O229" s="398"/>
      <c r="P229" s="398"/>
    </row>
    <row r="230" spans="1:16" s="133" customFormat="1" ht="18.75" customHeight="1">
      <c r="A230" s="398">
        <f>SUBTOTAL(103,$C$6:C230)</f>
        <v>113</v>
      </c>
      <c r="B230" s="399" t="s">
        <v>551</v>
      </c>
      <c r="C230" s="404" t="s">
        <v>12</v>
      </c>
      <c r="D230" s="620" t="s">
        <v>173</v>
      </c>
      <c r="E230" s="620"/>
      <c r="F230" s="401"/>
      <c r="G230" s="400"/>
      <c r="H230" s="456"/>
      <c r="I230" s="407">
        <f>ROUND(H229/1000,4)+I228</f>
        <v>43.4634</v>
      </c>
      <c r="J230" s="402" t="s">
        <v>50</v>
      </c>
      <c r="K230" s="398" t="s">
        <v>255</v>
      </c>
      <c r="L230" s="398" t="s">
        <v>255</v>
      </c>
      <c r="M230" s="398" t="s">
        <v>255</v>
      </c>
      <c r="N230" s="398"/>
      <c r="O230" s="398"/>
      <c r="P230" s="398"/>
    </row>
    <row r="231" spans="1:16" s="133" customFormat="1" ht="18.75" hidden="1" customHeight="1">
      <c r="A231" s="398"/>
      <c r="B231" s="398"/>
      <c r="C231" s="619"/>
      <c r="D231" s="451"/>
      <c r="E231" s="451"/>
      <c r="F231" s="401"/>
      <c r="G231" s="743" t="str">
        <f>C230</f>
        <v>16/0</v>
      </c>
      <c r="H231" s="454">
        <v>392.69</v>
      </c>
      <c r="I231" s="407"/>
      <c r="J231" s="404"/>
      <c r="K231" s="398"/>
      <c r="L231" s="398"/>
      <c r="M231" s="398"/>
      <c r="N231" s="398"/>
      <c r="O231" s="398"/>
      <c r="P231" s="398" t="s">
        <v>966</v>
      </c>
    </row>
    <row r="232" spans="1:16" s="133" customFormat="1" ht="18.75" customHeight="1">
      <c r="A232" s="398">
        <f>SUBTOTAL(103,$C$6:C232)</f>
        <v>114</v>
      </c>
      <c r="B232" s="399" t="s">
        <v>552</v>
      </c>
      <c r="C232" s="404" t="s">
        <v>13</v>
      </c>
      <c r="D232" s="620" t="s">
        <v>217</v>
      </c>
      <c r="E232" s="620"/>
      <c r="F232" s="401"/>
      <c r="G232" s="400"/>
      <c r="H232" s="456"/>
      <c r="I232" s="407">
        <f>ROUND(H231/1000,4)+I230</f>
        <v>43.856099999999998</v>
      </c>
      <c r="J232" s="402" t="s">
        <v>50</v>
      </c>
      <c r="K232" s="398" t="s">
        <v>255</v>
      </c>
      <c r="L232" s="398" t="s">
        <v>255</v>
      </c>
      <c r="M232" s="398" t="s">
        <v>255</v>
      </c>
      <c r="N232" s="398"/>
      <c r="O232" s="398"/>
      <c r="P232" s="398"/>
    </row>
    <row r="233" spans="1:16" s="133" customFormat="1" ht="18.75" hidden="1" customHeight="1">
      <c r="A233" s="398"/>
      <c r="B233" s="398"/>
      <c r="C233" s="619"/>
      <c r="D233" s="451"/>
      <c r="E233" s="451"/>
      <c r="F233" s="401"/>
      <c r="G233" s="743" t="str">
        <f>C232</f>
        <v>17/0</v>
      </c>
      <c r="H233" s="454">
        <v>398.4</v>
      </c>
      <c r="I233" s="407"/>
      <c r="J233" s="404"/>
      <c r="K233" s="398"/>
      <c r="L233" s="398"/>
      <c r="M233" s="398"/>
      <c r="N233" s="398"/>
      <c r="O233" s="398"/>
      <c r="P233" s="398" t="s">
        <v>966</v>
      </c>
    </row>
    <row r="234" spans="1:16" s="133" customFormat="1" ht="18.75" customHeight="1">
      <c r="A234" s="398">
        <f>SUBTOTAL(103,$C$6:C234)</f>
        <v>115</v>
      </c>
      <c r="B234" s="399" t="s">
        <v>553</v>
      </c>
      <c r="C234" s="404" t="s">
        <v>51</v>
      </c>
      <c r="D234" s="620" t="s">
        <v>229</v>
      </c>
      <c r="E234" s="620"/>
      <c r="F234" s="401"/>
      <c r="G234" s="400"/>
      <c r="H234" s="456"/>
      <c r="I234" s="407">
        <f>ROUND(H233/1000,4)+I232</f>
        <v>44.2545</v>
      </c>
      <c r="J234" s="402" t="s">
        <v>50</v>
      </c>
      <c r="K234" s="398" t="s">
        <v>255</v>
      </c>
      <c r="L234" s="398" t="s">
        <v>255</v>
      </c>
      <c r="M234" s="398" t="s">
        <v>255</v>
      </c>
      <c r="N234" s="398"/>
      <c r="O234" s="398" t="s">
        <v>962</v>
      </c>
      <c r="P234" s="398"/>
    </row>
    <row r="235" spans="1:16" s="133" customFormat="1" ht="18.75" hidden="1" customHeight="1">
      <c r="A235" s="398"/>
      <c r="B235" s="398"/>
      <c r="C235" s="619"/>
      <c r="D235" s="451"/>
      <c r="E235" s="451"/>
      <c r="F235" s="401"/>
      <c r="G235" s="743" t="str">
        <f>C234</f>
        <v>18/0</v>
      </c>
      <c r="H235" s="454">
        <v>307.59500000000003</v>
      </c>
      <c r="I235" s="407"/>
      <c r="J235" s="404"/>
      <c r="K235" s="398"/>
      <c r="L235" s="398"/>
      <c r="M235" s="398"/>
      <c r="N235" s="398"/>
      <c r="O235" s="398"/>
      <c r="P235" s="398"/>
    </row>
    <row r="236" spans="1:16" s="133" customFormat="1" ht="18.75" customHeight="1">
      <c r="A236" s="398">
        <f>SUBTOTAL(103,$C$6:C236)</f>
        <v>116</v>
      </c>
      <c r="B236" s="398"/>
      <c r="C236" s="404" t="s">
        <v>192</v>
      </c>
      <c r="D236" s="620" t="s">
        <v>2</v>
      </c>
      <c r="E236" s="620"/>
      <c r="F236" s="406"/>
      <c r="G236" s="398"/>
      <c r="H236" s="456"/>
      <c r="I236" s="407">
        <f>ROUND(H235/1000,4)+I234</f>
        <v>44.562100000000001</v>
      </c>
      <c r="J236" s="402" t="s">
        <v>50</v>
      </c>
      <c r="K236" s="398" t="s">
        <v>255</v>
      </c>
      <c r="L236" s="398" t="s">
        <v>255</v>
      </c>
      <c r="M236" s="398" t="s">
        <v>255</v>
      </c>
      <c r="N236" s="398"/>
      <c r="O236" s="398"/>
      <c r="P236" s="398"/>
    </row>
    <row r="237" spans="1:16" s="133" customFormat="1" ht="18.75" hidden="1" customHeight="1">
      <c r="A237" s="398"/>
      <c r="B237" s="398"/>
      <c r="C237" s="619"/>
      <c r="D237" s="451"/>
      <c r="E237" s="451"/>
      <c r="F237" s="401"/>
      <c r="G237" s="743" t="str">
        <f>C236</f>
        <v>18/1</v>
      </c>
      <c r="H237" s="454">
        <v>390</v>
      </c>
      <c r="I237" s="407"/>
      <c r="J237" s="404"/>
      <c r="K237" s="398"/>
      <c r="L237" s="398"/>
      <c r="M237" s="398"/>
      <c r="N237" s="398"/>
      <c r="O237" s="398"/>
      <c r="P237" s="398"/>
    </row>
    <row r="238" spans="1:16" s="133" customFormat="1" ht="18.75" customHeight="1">
      <c r="A238" s="398">
        <f>SUBTOTAL(103,$C$6:C238)</f>
        <v>117</v>
      </c>
      <c r="B238" s="398"/>
      <c r="C238" s="404" t="s">
        <v>193</v>
      </c>
      <c r="D238" s="620" t="s">
        <v>170</v>
      </c>
      <c r="E238" s="620"/>
      <c r="F238" s="406"/>
      <c r="G238" s="398"/>
      <c r="H238" s="456"/>
      <c r="I238" s="407">
        <f>ROUND(H237/1000,4)+I236</f>
        <v>44.952100000000002</v>
      </c>
      <c r="J238" s="402" t="s">
        <v>50</v>
      </c>
      <c r="K238" s="398" t="s">
        <v>255</v>
      </c>
      <c r="L238" s="398" t="s">
        <v>255</v>
      </c>
      <c r="M238" s="398" t="s">
        <v>255</v>
      </c>
      <c r="N238" s="398"/>
      <c r="O238" s="398"/>
      <c r="P238" s="398"/>
    </row>
    <row r="239" spans="1:16" s="133" customFormat="1" ht="18.75" hidden="1" customHeight="1">
      <c r="A239" s="398"/>
      <c r="B239" s="398"/>
      <c r="C239" s="619"/>
      <c r="D239" s="451"/>
      <c r="E239" s="451"/>
      <c r="F239" s="401"/>
      <c r="G239" s="743" t="str">
        <f>C238</f>
        <v>18/2</v>
      </c>
      <c r="H239" s="454">
        <v>380</v>
      </c>
      <c r="I239" s="407"/>
      <c r="J239" s="404"/>
      <c r="K239" s="398"/>
      <c r="L239" s="398"/>
      <c r="M239" s="398"/>
      <c r="N239" s="398"/>
      <c r="O239" s="398"/>
      <c r="P239" s="398"/>
    </row>
    <row r="240" spans="1:16" s="133" customFormat="1" ht="18.75" customHeight="1">
      <c r="A240" s="398">
        <f>SUBTOTAL(103,$C$6:C240)</f>
        <v>118</v>
      </c>
      <c r="B240" s="398"/>
      <c r="C240" s="404" t="s">
        <v>254</v>
      </c>
      <c r="D240" s="620" t="s">
        <v>79</v>
      </c>
      <c r="E240" s="620"/>
      <c r="F240" s="406"/>
      <c r="G240" s="398"/>
      <c r="H240" s="456"/>
      <c r="I240" s="407">
        <f>ROUND(H239/1000,4)+I238</f>
        <v>45.332100000000004</v>
      </c>
      <c r="J240" s="402" t="s">
        <v>50</v>
      </c>
      <c r="K240" s="398" t="s">
        <v>255</v>
      </c>
      <c r="L240" s="398" t="s">
        <v>255</v>
      </c>
      <c r="M240" s="398" t="s">
        <v>255</v>
      </c>
      <c r="N240" s="398"/>
      <c r="O240" s="398"/>
      <c r="P240" s="398"/>
    </row>
    <row r="241" spans="1:16" s="133" customFormat="1" ht="18.75" hidden="1" customHeight="1">
      <c r="A241" s="398"/>
      <c r="B241" s="398"/>
      <c r="C241" s="619"/>
      <c r="D241" s="451"/>
      <c r="E241" s="451"/>
      <c r="F241" s="401"/>
      <c r="G241" s="743" t="str">
        <f>C240</f>
        <v>18/3</v>
      </c>
      <c r="H241" s="454">
        <v>405</v>
      </c>
      <c r="I241" s="407"/>
      <c r="J241" s="404"/>
      <c r="K241" s="398"/>
      <c r="L241" s="398"/>
      <c r="M241" s="398"/>
      <c r="N241" s="398"/>
      <c r="O241" s="398"/>
      <c r="P241" s="398"/>
    </row>
    <row r="242" spans="1:16" s="133" customFormat="1" ht="18.75" customHeight="1">
      <c r="A242" s="398">
        <f>SUBTOTAL(103,$C$6:C242)</f>
        <v>119</v>
      </c>
      <c r="B242" s="398"/>
      <c r="C242" s="404" t="s">
        <v>253</v>
      </c>
      <c r="D242" s="620" t="s">
        <v>4</v>
      </c>
      <c r="E242" s="620"/>
      <c r="F242" s="406"/>
      <c r="G242" s="398"/>
      <c r="H242" s="456"/>
      <c r="I242" s="407">
        <f>ROUND(H241/1000,4)+I240</f>
        <v>45.737100000000005</v>
      </c>
      <c r="J242" s="402" t="s">
        <v>50</v>
      </c>
      <c r="K242" s="398" t="s">
        <v>255</v>
      </c>
      <c r="L242" s="398" t="s">
        <v>255</v>
      </c>
      <c r="M242" s="398" t="s">
        <v>255</v>
      </c>
      <c r="N242" s="398"/>
      <c r="O242" s="398"/>
      <c r="P242" s="398"/>
    </row>
    <row r="243" spans="1:16" s="133" customFormat="1" ht="18.75" hidden="1" customHeight="1">
      <c r="A243" s="398"/>
      <c r="B243" s="398"/>
      <c r="C243" s="619"/>
      <c r="D243" s="451"/>
      <c r="E243" s="451"/>
      <c r="F243" s="401"/>
      <c r="G243" s="743" t="str">
        <f>C242</f>
        <v>18/4</v>
      </c>
      <c r="H243" s="454">
        <v>335</v>
      </c>
      <c r="I243" s="407"/>
      <c r="J243" s="404"/>
      <c r="K243" s="398"/>
      <c r="L243" s="398"/>
      <c r="M243" s="398"/>
      <c r="N243" s="398"/>
      <c r="O243" s="398"/>
      <c r="P243" s="398"/>
    </row>
    <row r="244" spans="1:16" s="133" customFormat="1" ht="18.75" customHeight="1">
      <c r="A244" s="398">
        <f>SUBTOTAL(103,$C$6:C244)</f>
        <v>120</v>
      </c>
      <c r="B244" s="398"/>
      <c r="C244" s="404" t="s">
        <v>252</v>
      </c>
      <c r="D244" s="620" t="s">
        <v>3</v>
      </c>
      <c r="E244" s="620"/>
      <c r="F244" s="406"/>
      <c r="G244" s="398"/>
      <c r="H244" s="456"/>
      <c r="I244" s="407">
        <f>ROUND(H243/1000,4)+I242</f>
        <v>46.072100000000006</v>
      </c>
      <c r="J244" s="402" t="s">
        <v>50</v>
      </c>
      <c r="K244" s="398" t="s">
        <v>255</v>
      </c>
      <c r="L244" s="398" t="s">
        <v>255</v>
      </c>
      <c r="M244" s="398" t="s">
        <v>255</v>
      </c>
      <c r="N244" s="398"/>
      <c r="O244" s="398"/>
      <c r="P244" s="398"/>
    </row>
    <row r="245" spans="1:16" s="133" customFormat="1" ht="18.75" hidden="1" customHeight="1">
      <c r="A245" s="398"/>
      <c r="B245" s="398"/>
      <c r="C245" s="619"/>
      <c r="D245" s="451"/>
      <c r="E245" s="451"/>
      <c r="F245" s="401"/>
      <c r="G245" s="743" t="str">
        <f>C244</f>
        <v>18/5</v>
      </c>
      <c r="H245" s="454">
        <v>425</v>
      </c>
      <c r="I245" s="407"/>
      <c r="J245" s="404"/>
      <c r="K245" s="398"/>
      <c r="L245" s="398"/>
      <c r="M245" s="398"/>
      <c r="N245" s="398"/>
      <c r="O245" s="398"/>
      <c r="P245" s="398"/>
    </row>
    <row r="246" spans="1:16" s="133" customFormat="1" ht="18.75" customHeight="1">
      <c r="A246" s="398">
        <f>SUBTOTAL(103,$C$6:C246)</f>
        <v>121</v>
      </c>
      <c r="B246" s="398"/>
      <c r="C246" s="404" t="s">
        <v>251</v>
      </c>
      <c r="D246" s="620" t="s">
        <v>49</v>
      </c>
      <c r="E246" s="620"/>
      <c r="F246" s="406"/>
      <c r="G246" s="398"/>
      <c r="H246" s="456"/>
      <c r="I246" s="407">
        <f>ROUND(H245/1000,4)+I244</f>
        <v>46.497100000000003</v>
      </c>
      <c r="J246" s="402" t="s">
        <v>50</v>
      </c>
      <c r="K246" s="398" t="s">
        <v>255</v>
      </c>
      <c r="L246" s="398" t="s">
        <v>255</v>
      </c>
      <c r="M246" s="398" t="s">
        <v>255</v>
      </c>
      <c r="N246" s="398"/>
      <c r="O246" s="398"/>
      <c r="P246" s="398"/>
    </row>
    <row r="247" spans="1:16" s="133" customFormat="1" ht="18.75" hidden="1" customHeight="1">
      <c r="A247" s="398"/>
      <c r="B247" s="398"/>
      <c r="C247" s="619"/>
      <c r="D247" s="451"/>
      <c r="E247" s="451"/>
      <c r="F247" s="401"/>
      <c r="G247" s="743" t="str">
        <f>C246</f>
        <v>18/6</v>
      </c>
      <c r="H247" s="454">
        <v>402</v>
      </c>
      <c r="I247" s="407"/>
      <c r="J247" s="404"/>
      <c r="K247" s="398"/>
      <c r="L247" s="398"/>
      <c r="M247" s="398"/>
      <c r="N247" s="398"/>
      <c r="O247" s="398"/>
      <c r="P247" s="398"/>
    </row>
    <row r="248" spans="1:16" s="133" customFormat="1" ht="18.75" customHeight="1">
      <c r="A248" s="398">
        <f>SUBTOTAL(103,$C$6:C248)</f>
        <v>122</v>
      </c>
      <c r="B248" s="398"/>
      <c r="C248" s="404" t="s">
        <v>424</v>
      </c>
      <c r="D248" s="620" t="s">
        <v>170</v>
      </c>
      <c r="E248" s="620"/>
      <c r="F248" s="406"/>
      <c r="G248" s="398"/>
      <c r="H248" s="456"/>
      <c r="I248" s="407">
        <f>ROUND(H247/1000,4)+I246</f>
        <v>46.899100000000004</v>
      </c>
      <c r="J248" s="402" t="s">
        <v>50</v>
      </c>
      <c r="K248" s="398" t="s">
        <v>255</v>
      </c>
      <c r="L248" s="398" t="s">
        <v>255</v>
      </c>
      <c r="M248" s="398" t="s">
        <v>255</v>
      </c>
      <c r="N248" s="398"/>
      <c r="O248" s="398"/>
      <c r="P248" s="398"/>
    </row>
    <row r="249" spans="1:16" s="133" customFormat="1" ht="18.75" hidden="1" customHeight="1">
      <c r="A249" s="398"/>
      <c r="B249" s="398"/>
      <c r="C249" s="619"/>
      <c r="D249" s="451"/>
      <c r="E249" s="451"/>
      <c r="F249" s="401"/>
      <c r="G249" s="743" t="str">
        <f>C248</f>
        <v>18/7</v>
      </c>
      <c r="H249" s="454">
        <v>385.43400000000003</v>
      </c>
      <c r="I249" s="407"/>
      <c r="J249" s="404"/>
      <c r="K249" s="398"/>
      <c r="L249" s="398"/>
      <c r="M249" s="398"/>
      <c r="N249" s="398"/>
      <c r="O249" s="398"/>
      <c r="P249" s="398"/>
    </row>
    <row r="250" spans="1:16" s="133" customFormat="1" ht="18.75" customHeight="1">
      <c r="A250" s="398">
        <f>SUBTOTAL(103,$C$6:C250)</f>
        <v>123</v>
      </c>
      <c r="B250" s="399" t="s">
        <v>554</v>
      </c>
      <c r="C250" s="404" t="s">
        <v>52</v>
      </c>
      <c r="D250" s="620" t="s">
        <v>213</v>
      </c>
      <c r="E250" s="620"/>
      <c r="F250" s="411"/>
      <c r="G250" s="400"/>
      <c r="H250" s="456"/>
      <c r="I250" s="407">
        <f>ROUND(H249/1000,4)+I248</f>
        <v>47.284500000000001</v>
      </c>
      <c r="J250" s="402" t="s">
        <v>50</v>
      </c>
      <c r="K250" s="398" t="s">
        <v>255</v>
      </c>
      <c r="L250" s="398" t="s">
        <v>255</v>
      </c>
      <c r="M250" s="398" t="s">
        <v>255</v>
      </c>
      <c r="N250" s="398"/>
      <c r="O250" s="398" t="s">
        <v>962</v>
      </c>
      <c r="P250" s="398"/>
    </row>
    <row r="251" spans="1:16" s="133" customFormat="1" ht="18.75" hidden="1" customHeight="1">
      <c r="A251" s="398"/>
      <c r="B251" s="398"/>
      <c r="C251" s="619"/>
      <c r="D251" s="451"/>
      <c r="E251" s="451"/>
      <c r="F251" s="401"/>
      <c r="G251" s="743" t="str">
        <f>C250</f>
        <v>19/0</v>
      </c>
      <c r="H251" s="454">
        <v>279.36</v>
      </c>
      <c r="I251" s="407"/>
      <c r="J251" s="404"/>
      <c r="K251" s="398"/>
      <c r="L251" s="398"/>
      <c r="M251" s="398"/>
      <c r="N251" s="398"/>
      <c r="O251" s="398"/>
      <c r="P251" s="398" t="s">
        <v>967</v>
      </c>
    </row>
    <row r="252" spans="1:16" s="133" customFormat="1" ht="18.75" customHeight="1">
      <c r="A252" s="398">
        <f>SUBTOTAL(103,$C$6:C252)</f>
        <v>124</v>
      </c>
      <c r="B252" s="399" t="s">
        <v>555</v>
      </c>
      <c r="C252" s="404" t="s">
        <v>53</v>
      </c>
      <c r="D252" s="620" t="s">
        <v>213</v>
      </c>
      <c r="E252" s="620"/>
      <c r="F252" s="401"/>
      <c r="G252" s="400"/>
      <c r="H252" s="456"/>
      <c r="I252" s="407">
        <f>ROUND(H251/1000,4)+I250</f>
        <v>47.563900000000004</v>
      </c>
      <c r="J252" s="402" t="s">
        <v>50</v>
      </c>
      <c r="K252" s="398" t="s">
        <v>255</v>
      </c>
      <c r="L252" s="398" t="s">
        <v>255</v>
      </c>
      <c r="M252" s="398" t="s">
        <v>255</v>
      </c>
      <c r="N252" s="398"/>
      <c r="O252" s="398" t="s">
        <v>962</v>
      </c>
      <c r="P252" s="398"/>
    </row>
    <row r="253" spans="1:16" s="133" customFormat="1" ht="18.75" hidden="1" customHeight="1">
      <c r="A253" s="398"/>
      <c r="B253" s="398"/>
      <c r="C253" s="619"/>
      <c r="D253" s="451"/>
      <c r="E253" s="451"/>
      <c r="F253" s="401"/>
      <c r="G253" s="743" t="str">
        <f>C252</f>
        <v>20/0</v>
      </c>
      <c r="H253" s="454">
        <v>388.51499999999999</v>
      </c>
      <c r="I253" s="407"/>
      <c r="J253" s="404"/>
      <c r="K253" s="398"/>
      <c r="L253" s="398"/>
      <c r="M253" s="398"/>
      <c r="N253" s="398"/>
      <c r="O253" s="398"/>
      <c r="P253" s="398"/>
    </row>
    <row r="254" spans="1:16" s="133" customFormat="1" ht="18.75" customHeight="1">
      <c r="A254" s="398">
        <f>SUBTOTAL(103,$C$6:C254)</f>
        <v>125</v>
      </c>
      <c r="B254" s="398"/>
      <c r="C254" s="404" t="s">
        <v>174</v>
      </c>
      <c r="D254" s="620" t="s">
        <v>4</v>
      </c>
      <c r="E254" s="620"/>
      <c r="F254" s="406"/>
      <c r="G254" s="398"/>
      <c r="H254" s="456"/>
      <c r="I254" s="407">
        <f>ROUND(H253/1000,4)+I252</f>
        <v>47.952400000000004</v>
      </c>
      <c r="J254" s="402" t="s">
        <v>50</v>
      </c>
      <c r="K254" s="398" t="s">
        <v>255</v>
      </c>
      <c r="L254" s="398" t="s">
        <v>255</v>
      </c>
      <c r="M254" s="398" t="s">
        <v>255</v>
      </c>
      <c r="N254" s="398"/>
      <c r="O254" s="398"/>
      <c r="P254" s="398"/>
    </row>
    <row r="255" spans="1:16" s="133" customFormat="1" ht="18.75" hidden="1" customHeight="1">
      <c r="A255" s="398"/>
      <c r="B255" s="398"/>
      <c r="C255" s="619"/>
      <c r="D255" s="451"/>
      <c r="E255" s="451"/>
      <c r="F255" s="401"/>
      <c r="G255" s="743" t="str">
        <f>C254</f>
        <v>20/1</v>
      </c>
      <c r="H255" s="454">
        <v>330</v>
      </c>
      <c r="I255" s="407"/>
      <c r="J255" s="404"/>
      <c r="K255" s="398"/>
      <c r="L255" s="398"/>
      <c r="M255" s="398"/>
      <c r="N255" s="398"/>
      <c r="O255" s="398"/>
      <c r="P255" s="398"/>
    </row>
    <row r="256" spans="1:16" s="133" customFormat="1" ht="18.75" customHeight="1">
      <c r="A256" s="398">
        <f>SUBTOTAL(103,$C$6:C256)</f>
        <v>126</v>
      </c>
      <c r="B256" s="398"/>
      <c r="C256" s="404" t="s">
        <v>175</v>
      </c>
      <c r="D256" s="620" t="s">
        <v>4</v>
      </c>
      <c r="E256" s="620"/>
      <c r="F256" s="406"/>
      <c r="G256" s="398"/>
      <c r="H256" s="456"/>
      <c r="I256" s="407">
        <f>ROUND(H255/1000,4)+I254</f>
        <v>48.282400000000003</v>
      </c>
      <c r="J256" s="402" t="s">
        <v>50</v>
      </c>
      <c r="K256" s="398" t="s">
        <v>255</v>
      </c>
      <c r="L256" s="398" t="s">
        <v>255</v>
      </c>
      <c r="M256" s="398" t="s">
        <v>255</v>
      </c>
      <c r="N256" s="398"/>
      <c r="O256" s="398"/>
      <c r="P256" s="398"/>
    </row>
    <row r="257" spans="1:16" s="133" customFormat="1" ht="18.75" hidden="1" customHeight="1">
      <c r="A257" s="398"/>
      <c r="B257" s="398"/>
      <c r="C257" s="619"/>
      <c r="D257" s="451"/>
      <c r="E257" s="451"/>
      <c r="F257" s="401"/>
      <c r="G257" s="743" t="str">
        <f>C256</f>
        <v>20/2</v>
      </c>
      <c r="H257" s="454">
        <v>340</v>
      </c>
      <c r="I257" s="407"/>
      <c r="J257" s="404"/>
      <c r="K257" s="398"/>
      <c r="L257" s="398"/>
      <c r="M257" s="398"/>
      <c r="N257" s="398"/>
      <c r="O257" s="398"/>
      <c r="P257" s="398"/>
    </row>
    <row r="258" spans="1:16" s="133" customFormat="1" ht="18.75" customHeight="1">
      <c r="A258" s="398">
        <f>SUBTOTAL(103,$C$6:C258)</f>
        <v>127</v>
      </c>
      <c r="B258" s="398"/>
      <c r="C258" s="404" t="s">
        <v>176</v>
      </c>
      <c r="D258" s="620" t="s">
        <v>170</v>
      </c>
      <c r="E258" s="620"/>
      <c r="F258" s="406"/>
      <c r="G258" s="398"/>
      <c r="H258" s="456"/>
      <c r="I258" s="407">
        <f>ROUND(H257/1000,4)+I256</f>
        <v>48.622400000000006</v>
      </c>
      <c r="J258" s="402" t="s">
        <v>50</v>
      </c>
      <c r="K258" s="398" t="s">
        <v>255</v>
      </c>
      <c r="L258" s="398" t="s">
        <v>255</v>
      </c>
      <c r="M258" s="398" t="s">
        <v>255</v>
      </c>
      <c r="N258" s="398"/>
      <c r="O258" s="398"/>
      <c r="P258" s="398"/>
    </row>
    <row r="259" spans="1:16" s="133" customFormat="1" ht="18.75" hidden="1" customHeight="1">
      <c r="A259" s="398"/>
      <c r="B259" s="398"/>
      <c r="C259" s="619"/>
      <c r="D259" s="451"/>
      <c r="E259" s="451"/>
      <c r="F259" s="401"/>
      <c r="G259" s="743" t="str">
        <f>C258</f>
        <v>20/3</v>
      </c>
      <c r="H259" s="454">
        <v>420</v>
      </c>
      <c r="I259" s="407"/>
      <c r="J259" s="404"/>
      <c r="K259" s="398"/>
      <c r="L259" s="398"/>
      <c r="M259" s="398"/>
      <c r="N259" s="398"/>
      <c r="O259" s="398"/>
      <c r="P259" s="398"/>
    </row>
    <row r="260" spans="1:16" s="133" customFormat="1" ht="18.75" customHeight="1">
      <c r="A260" s="398">
        <f>SUBTOTAL(103,$C$6:C260)</f>
        <v>128</v>
      </c>
      <c r="B260" s="398"/>
      <c r="C260" s="404" t="s">
        <v>177</v>
      </c>
      <c r="D260" s="620" t="s">
        <v>2</v>
      </c>
      <c r="E260" s="620"/>
      <c r="F260" s="406"/>
      <c r="G260" s="398"/>
      <c r="H260" s="456"/>
      <c r="I260" s="407">
        <f>ROUND(H259/1000,4)+I258</f>
        <v>49.042400000000008</v>
      </c>
      <c r="J260" s="402" t="s">
        <v>50</v>
      </c>
      <c r="K260" s="398" t="s">
        <v>255</v>
      </c>
      <c r="L260" s="398" t="s">
        <v>255</v>
      </c>
      <c r="M260" s="398" t="s">
        <v>255</v>
      </c>
      <c r="N260" s="398"/>
      <c r="O260" s="398"/>
      <c r="P260" s="398"/>
    </row>
    <row r="261" spans="1:16" s="133" customFormat="1" ht="18.75" hidden="1" customHeight="1">
      <c r="A261" s="398"/>
      <c r="B261" s="398"/>
      <c r="C261" s="619"/>
      <c r="D261" s="451"/>
      <c r="E261" s="451"/>
      <c r="F261" s="401"/>
      <c r="G261" s="743" t="str">
        <f>C260</f>
        <v>20/4</v>
      </c>
      <c r="H261" s="454">
        <v>396</v>
      </c>
      <c r="I261" s="407"/>
      <c r="J261" s="404"/>
      <c r="K261" s="398"/>
      <c r="L261" s="398"/>
      <c r="M261" s="398"/>
      <c r="N261" s="398"/>
      <c r="O261" s="398"/>
      <c r="P261" s="398"/>
    </row>
    <row r="262" spans="1:16" s="133" customFormat="1" ht="18.75" customHeight="1">
      <c r="A262" s="398">
        <f>SUBTOTAL(103,$C$6:C262)</f>
        <v>129</v>
      </c>
      <c r="B262" s="398"/>
      <c r="C262" s="404" t="s">
        <v>425</v>
      </c>
      <c r="D262" s="620" t="s">
        <v>3</v>
      </c>
      <c r="E262" s="620"/>
      <c r="F262" s="406"/>
      <c r="G262" s="398"/>
      <c r="H262" s="456"/>
      <c r="I262" s="407">
        <f>ROUND(H261/1000,4)+I260</f>
        <v>49.438400000000009</v>
      </c>
      <c r="J262" s="402" t="s">
        <v>50</v>
      </c>
      <c r="K262" s="398" t="s">
        <v>255</v>
      </c>
      <c r="L262" s="398" t="s">
        <v>255</v>
      </c>
      <c r="M262" s="398" t="s">
        <v>255</v>
      </c>
      <c r="N262" s="398"/>
      <c r="O262" s="398"/>
      <c r="P262" s="398"/>
    </row>
    <row r="263" spans="1:16" s="133" customFormat="1" ht="18.75" hidden="1" customHeight="1">
      <c r="A263" s="398"/>
      <c r="B263" s="398"/>
      <c r="C263" s="619"/>
      <c r="D263" s="451"/>
      <c r="E263" s="451"/>
      <c r="F263" s="401"/>
      <c r="G263" s="743" t="str">
        <f>C262</f>
        <v>20/5</v>
      </c>
      <c r="H263" s="454">
        <v>355</v>
      </c>
      <c r="I263" s="407"/>
      <c r="J263" s="404"/>
      <c r="K263" s="398"/>
      <c r="L263" s="398"/>
      <c r="M263" s="398"/>
      <c r="N263" s="398"/>
      <c r="O263" s="398"/>
      <c r="P263" s="398"/>
    </row>
    <row r="264" spans="1:16" s="133" customFormat="1" ht="18.75" customHeight="1">
      <c r="A264" s="398">
        <f>SUBTOTAL(103,$C$6:C264)</f>
        <v>130</v>
      </c>
      <c r="B264" s="398"/>
      <c r="C264" s="404" t="s">
        <v>426</v>
      </c>
      <c r="D264" s="620" t="s">
        <v>4</v>
      </c>
      <c r="E264" s="620"/>
      <c r="F264" s="406"/>
      <c r="G264" s="398"/>
      <c r="H264" s="456"/>
      <c r="I264" s="407">
        <f>ROUND(H263/1000,4)+I262</f>
        <v>49.793400000000005</v>
      </c>
      <c r="J264" s="402" t="s">
        <v>50</v>
      </c>
      <c r="K264" s="398" t="s">
        <v>255</v>
      </c>
      <c r="L264" s="398" t="s">
        <v>255</v>
      </c>
      <c r="M264" s="398" t="s">
        <v>255</v>
      </c>
      <c r="N264" s="398"/>
      <c r="O264" s="398"/>
      <c r="P264" s="398"/>
    </row>
    <row r="265" spans="1:16" s="133" customFormat="1" ht="18.75" hidden="1" customHeight="1">
      <c r="A265" s="398"/>
      <c r="B265" s="398"/>
      <c r="C265" s="619"/>
      <c r="D265" s="451"/>
      <c r="E265" s="451"/>
      <c r="F265" s="401"/>
      <c r="G265" s="743" t="str">
        <f>C264</f>
        <v>20/6</v>
      </c>
      <c r="H265" s="454">
        <v>320.65199999999999</v>
      </c>
      <c r="I265" s="407"/>
      <c r="J265" s="404"/>
      <c r="K265" s="398"/>
      <c r="L265" s="398"/>
      <c r="M265" s="398"/>
      <c r="N265" s="398"/>
      <c r="O265" s="398"/>
      <c r="P265" s="398"/>
    </row>
    <row r="266" spans="1:16" s="133" customFormat="1" ht="18.75" customHeight="1">
      <c r="A266" s="398">
        <f>SUBTOTAL(103,$C$6:C266)</f>
        <v>131</v>
      </c>
      <c r="B266" s="399" t="s">
        <v>556</v>
      </c>
      <c r="C266" s="404" t="s">
        <v>54</v>
      </c>
      <c r="D266" s="620" t="s">
        <v>197</v>
      </c>
      <c r="E266" s="620"/>
      <c r="F266" s="401"/>
      <c r="G266" s="400"/>
      <c r="H266" s="456"/>
      <c r="I266" s="407">
        <f>ROUND(H265/1000,4)+I264</f>
        <v>50.114100000000008</v>
      </c>
      <c r="J266" s="402" t="s">
        <v>50</v>
      </c>
      <c r="K266" s="398" t="s">
        <v>255</v>
      </c>
      <c r="L266" s="398" t="s">
        <v>255</v>
      </c>
      <c r="M266" s="398" t="s">
        <v>255</v>
      </c>
      <c r="N266" s="398"/>
      <c r="O266" s="398"/>
      <c r="P266" s="398"/>
    </row>
    <row r="267" spans="1:16" s="133" customFormat="1" ht="18.75" hidden="1" customHeight="1">
      <c r="A267" s="398"/>
      <c r="B267" s="398"/>
      <c r="C267" s="619"/>
      <c r="D267" s="451"/>
      <c r="E267" s="451"/>
      <c r="F267" s="401"/>
      <c r="G267" s="743" t="str">
        <f>C266</f>
        <v>21/0</v>
      </c>
      <c r="H267" s="454">
        <v>326.34800000000001</v>
      </c>
      <c r="I267" s="407"/>
      <c r="J267" s="404"/>
      <c r="K267" s="398"/>
      <c r="L267" s="398"/>
      <c r="M267" s="398"/>
      <c r="N267" s="398"/>
      <c r="O267" s="398"/>
      <c r="P267" s="398"/>
    </row>
    <row r="268" spans="1:16" s="133" customFormat="1" ht="18.75" customHeight="1">
      <c r="A268" s="398">
        <f>SUBTOTAL(103,$C$6:C268)</f>
        <v>132</v>
      </c>
      <c r="B268" s="398"/>
      <c r="C268" s="404" t="s">
        <v>179</v>
      </c>
      <c r="D268" s="620" t="s">
        <v>3</v>
      </c>
      <c r="E268" s="620"/>
      <c r="F268" s="406"/>
      <c r="G268" s="398"/>
      <c r="H268" s="456"/>
      <c r="I268" s="407">
        <f>ROUND(H267/1000,4)+I266</f>
        <v>50.440400000000011</v>
      </c>
      <c r="J268" s="402" t="s">
        <v>50</v>
      </c>
      <c r="K268" s="398" t="s">
        <v>255</v>
      </c>
      <c r="L268" s="398" t="s">
        <v>255</v>
      </c>
      <c r="M268" s="398" t="s">
        <v>255</v>
      </c>
      <c r="N268" s="398"/>
      <c r="O268" s="398"/>
      <c r="P268" s="398"/>
    </row>
    <row r="269" spans="1:16" s="133" customFormat="1" ht="18.75" hidden="1" customHeight="1">
      <c r="A269" s="398"/>
      <c r="B269" s="398"/>
      <c r="C269" s="619"/>
      <c r="D269" s="451"/>
      <c r="E269" s="451"/>
      <c r="F269" s="401"/>
      <c r="G269" s="743" t="str">
        <f>C268</f>
        <v>21/1</v>
      </c>
      <c r="H269" s="454">
        <v>427</v>
      </c>
      <c r="I269" s="407"/>
      <c r="J269" s="404"/>
      <c r="K269" s="398"/>
      <c r="L269" s="398"/>
      <c r="M269" s="398"/>
      <c r="N269" s="398"/>
      <c r="O269" s="398"/>
      <c r="P269" s="398"/>
    </row>
    <row r="270" spans="1:16" s="133" customFormat="1" ht="18.75" customHeight="1">
      <c r="A270" s="398">
        <f>SUBTOTAL(103,$C$6:C270)</f>
        <v>133</v>
      </c>
      <c r="B270" s="398"/>
      <c r="C270" s="404" t="s">
        <v>180</v>
      </c>
      <c r="D270" s="620" t="s">
        <v>79</v>
      </c>
      <c r="E270" s="620"/>
      <c r="F270" s="406"/>
      <c r="G270" s="398"/>
      <c r="H270" s="456"/>
      <c r="I270" s="407">
        <f>ROUND(H269/1000,4)+I268</f>
        <v>50.867400000000011</v>
      </c>
      <c r="J270" s="402" t="s">
        <v>50</v>
      </c>
      <c r="K270" s="398" t="s">
        <v>255</v>
      </c>
      <c r="L270" s="398" t="s">
        <v>255</v>
      </c>
      <c r="M270" s="398" t="s">
        <v>255</v>
      </c>
      <c r="N270" s="398"/>
      <c r="O270" s="398"/>
      <c r="P270" s="398"/>
    </row>
    <row r="271" spans="1:16" s="133" customFormat="1" ht="18.75" hidden="1" customHeight="1">
      <c r="A271" s="398"/>
      <c r="B271" s="398"/>
      <c r="C271" s="619"/>
      <c r="D271" s="451"/>
      <c r="E271" s="451"/>
      <c r="F271" s="401"/>
      <c r="G271" s="743" t="str">
        <f>C270</f>
        <v>21/2</v>
      </c>
      <c r="H271" s="454">
        <v>410</v>
      </c>
      <c r="I271" s="407"/>
      <c r="J271" s="404"/>
      <c r="K271" s="398"/>
      <c r="L271" s="398"/>
      <c r="M271" s="398"/>
      <c r="N271" s="398"/>
      <c r="O271" s="398"/>
      <c r="P271" s="398"/>
    </row>
    <row r="272" spans="1:16" s="133" customFormat="1" ht="18.75" customHeight="1">
      <c r="A272" s="398">
        <f>SUBTOTAL(103,$C$6:C272)</f>
        <v>134</v>
      </c>
      <c r="B272" s="398"/>
      <c r="C272" s="404" t="s">
        <v>181</v>
      </c>
      <c r="D272" s="620" t="s">
        <v>79</v>
      </c>
      <c r="E272" s="620"/>
      <c r="F272" s="406"/>
      <c r="G272" s="398"/>
      <c r="H272" s="456"/>
      <c r="I272" s="407">
        <f>ROUND(H271/1000,4)+I270</f>
        <v>51.277400000000007</v>
      </c>
      <c r="J272" s="402" t="s">
        <v>50</v>
      </c>
      <c r="K272" s="398" t="s">
        <v>255</v>
      </c>
      <c r="L272" s="398" t="s">
        <v>255</v>
      </c>
      <c r="M272" s="398" t="s">
        <v>255</v>
      </c>
      <c r="N272" s="398"/>
      <c r="O272" s="398"/>
      <c r="P272" s="398"/>
    </row>
    <row r="273" spans="1:16" s="133" customFormat="1" ht="18.75" hidden="1" customHeight="1">
      <c r="A273" s="398"/>
      <c r="B273" s="398"/>
      <c r="C273" s="619"/>
      <c r="D273" s="451"/>
      <c r="E273" s="451"/>
      <c r="F273" s="401"/>
      <c r="G273" s="743" t="str">
        <f>C272</f>
        <v>21/3</v>
      </c>
      <c r="H273" s="454">
        <v>405</v>
      </c>
      <c r="I273" s="407"/>
      <c r="J273" s="404"/>
      <c r="K273" s="398"/>
      <c r="L273" s="398"/>
      <c r="M273" s="398"/>
      <c r="N273" s="398"/>
      <c r="O273" s="398"/>
      <c r="P273" s="398"/>
    </row>
    <row r="274" spans="1:16" s="133" customFormat="1" ht="18.75" customHeight="1">
      <c r="A274" s="398">
        <f>SUBTOTAL(103,$C$6:C274)</f>
        <v>135</v>
      </c>
      <c r="B274" s="398"/>
      <c r="C274" s="404" t="s">
        <v>182</v>
      </c>
      <c r="D274" s="620" t="s">
        <v>3</v>
      </c>
      <c r="E274" s="620"/>
      <c r="F274" s="406"/>
      <c r="G274" s="398"/>
      <c r="H274" s="456"/>
      <c r="I274" s="407">
        <f>ROUND(H273/1000,4)+I272</f>
        <v>51.682400000000008</v>
      </c>
      <c r="J274" s="402" t="s">
        <v>50</v>
      </c>
      <c r="K274" s="398" t="s">
        <v>255</v>
      </c>
      <c r="L274" s="398" t="s">
        <v>255</v>
      </c>
      <c r="M274" s="398" t="s">
        <v>255</v>
      </c>
      <c r="N274" s="398"/>
      <c r="O274" s="398"/>
      <c r="P274" s="398"/>
    </row>
    <row r="275" spans="1:16" s="133" customFormat="1" ht="18.75" hidden="1" customHeight="1">
      <c r="A275" s="398"/>
      <c r="B275" s="398"/>
      <c r="C275" s="619"/>
      <c r="D275" s="451"/>
      <c r="E275" s="451"/>
      <c r="F275" s="401"/>
      <c r="G275" s="743" t="str">
        <f>C274</f>
        <v>21/4</v>
      </c>
      <c r="H275" s="454">
        <v>300</v>
      </c>
      <c r="I275" s="407"/>
      <c r="J275" s="404"/>
      <c r="K275" s="398"/>
      <c r="L275" s="398"/>
      <c r="M275" s="398"/>
      <c r="N275" s="398"/>
      <c r="O275" s="398"/>
      <c r="P275" s="398"/>
    </row>
    <row r="276" spans="1:16" s="133" customFormat="1" ht="18.75" customHeight="1">
      <c r="A276" s="398">
        <f>SUBTOTAL(103,$C$6:C276)</f>
        <v>136</v>
      </c>
      <c r="B276" s="398"/>
      <c r="C276" s="404" t="s">
        <v>427</v>
      </c>
      <c r="D276" s="620" t="s">
        <v>3</v>
      </c>
      <c r="E276" s="620"/>
      <c r="F276" s="406"/>
      <c r="G276" s="398"/>
      <c r="H276" s="456"/>
      <c r="I276" s="407">
        <f>ROUND(H275/1000,4)+I274</f>
        <v>51.982400000000005</v>
      </c>
      <c r="J276" s="402" t="s">
        <v>50</v>
      </c>
      <c r="K276" s="398" t="s">
        <v>255</v>
      </c>
      <c r="L276" s="398" t="s">
        <v>255</v>
      </c>
      <c r="M276" s="398" t="s">
        <v>255</v>
      </c>
      <c r="N276" s="398"/>
      <c r="O276" s="398"/>
      <c r="P276" s="398"/>
    </row>
    <row r="277" spans="1:16" s="133" customFormat="1" ht="18.75" hidden="1" customHeight="1">
      <c r="A277" s="398"/>
      <c r="B277" s="398"/>
      <c r="C277" s="619"/>
      <c r="D277" s="451"/>
      <c r="E277" s="451"/>
      <c r="F277" s="401"/>
      <c r="G277" s="743" t="str">
        <f>C276</f>
        <v>21/5</v>
      </c>
      <c r="H277" s="454">
        <v>415.18700000000001</v>
      </c>
      <c r="I277" s="407"/>
      <c r="J277" s="404"/>
      <c r="K277" s="398"/>
      <c r="L277" s="398"/>
      <c r="M277" s="398"/>
      <c r="N277" s="398"/>
      <c r="O277" s="398"/>
      <c r="P277" s="398"/>
    </row>
    <row r="278" spans="1:16" s="133" customFormat="1" ht="18.75" customHeight="1">
      <c r="A278" s="398">
        <f>SUBTOTAL(103,$C$6:C278)</f>
        <v>137</v>
      </c>
      <c r="B278" s="399" t="s">
        <v>557</v>
      </c>
      <c r="C278" s="404" t="s">
        <v>55</v>
      </c>
      <c r="D278" s="620" t="s">
        <v>428</v>
      </c>
      <c r="E278" s="620"/>
      <c r="F278" s="401"/>
      <c r="G278" s="400"/>
      <c r="H278" s="456"/>
      <c r="I278" s="407">
        <f>ROUND(H277/1000,4)+I276</f>
        <v>52.397600000000004</v>
      </c>
      <c r="J278" s="1042" t="s">
        <v>50</v>
      </c>
      <c r="K278" s="398" t="s">
        <v>255</v>
      </c>
      <c r="L278" s="398" t="s">
        <v>255</v>
      </c>
      <c r="M278" s="398" t="s">
        <v>255</v>
      </c>
      <c r="N278" s="398"/>
      <c r="O278" s="398" t="s">
        <v>962</v>
      </c>
      <c r="P278" s="398"/>
    </row>
    <row r="279" spans="1:16" s="133" customFormat="1" ht="18.75" hidden="1" customHeight="1">
      <c r="A279" s="398"/>
      <c r="B279" s="398"/>
      <c r="C279" s="619"/>
      <c r="D279" s="451"/>
      <c r="E279" s="451"/>
      <c r="F279" s="401"/>
      <c r="G279" s="743" t="str">
        <f>C278</f>
        <v>22/0</v>
      </c>
      <c r="H279" s="454">
        <v>259.05</v>
      </c>
      <c r="I279" s="407"/>
      <c r="J279" s="404"/>
      <c r="K279" s="398"/>
      <c r="L279" s="398"/>
      <c r="M279" s="398"/>
      <c r="N279" s="398"/>
      <c r="O279" s="398"/>
      <c r="P279" s="398" t="s">
        <v>968</v>
      </c>
    </row>
    <row r="280" spans="1:16" s="133" customFormat="1" ht="18.75" customHeight="1">
      <c r="A280" s="398">
        <f>SUBTOTAL(103,$C$6:C280)</f>
        <v>138</v>
      </c>
      <c r="B280" s="399" t="s">
        <v>558</v>
      </c>
      <c r="C280" s="404" t="s">
        <v>56</v>
      </c>
      <c r="D280" s="620" t="s">
        <v>215</v>
      </c>
      <c r="E280" s="620"/>
      <c r="F280" s="401"/>
      <c r="G280" s="400"/>
      <c r="H280" s="456"/>
      <c r="I280" s="407">
        <f>ROUND(H279/1000,4)+I278</f>
        <v>52.656700000000001</v>
      </c>
      <c r="J280" s="1042" t="s">
        <v>50</v>
      </c>
      <c r="K280" s="398" t="s">
        <v>255</v>
      </c>
      <c r="L280" s="398" t="s">
        <v>255</v>
      </c>
      <c r="M280" s="398" t="s">
        <v>255</v>
      </c>
      <c r="N280" s="398"/>
      <c r="O280" s="398"/>
      <c r="P280" s="398"/>
    </row>
    <row r="281" spans="1:16" s="133" customFormat="1" ht="18.75" hidden="1" customHeight="1">
      <c r="A281" s="398"/>
      <c r="B281" s="398"/>
      <c r="C281" s="619"/>
      <c r="D281" s="451"/>
      <c r="E281" s="451"/>
      <c r="F281" s="401"/>
      <c r="G281" s="743" t="str">
        <f>C280</f>
        <v>23/0</v>
      </c>
      <c r="H281" s="454">
        <v>440.46</v>
      </c>
      <c r="I281" s="407"/>
      <c r="J281" s="404"/>
      <c r="K281" s="398"/>
      <c r="L281" s="398"/>
      <c r="M281" s="398"/>
      <c r="N281" s="398"/>
      <c r="O281" s="398"/>
      <c r="P281" s="398"/>
    </row>
    <row r="282" spans="1:16" s="133" customFormat="1" ht="18.75" customHeight="1">
      <c r="A282" s="398">
        <f>SUBTOTAL(103,$C$6:C282)</f>
        <v>139</v>
      </c>
      <c r="B282" s="399" t="s">
        <v>673</v>
      </c>
      <c r="C282" s="404" t="s">
        <v>674</v>
      </c>
      <c r="D282" s="620" t="s">
        <v>211</v>
      </c>
      <c r="E282" s="620"/>
      <c r="F282" s="406"/>
      <c r="G282" s="398"/>
      <c r="H282" s="456"/>
      <c r="I282" s="407">
        <f>ROUND(H281/1000,4)+I280</f>
        <v>53.097200000000001</v>
      </c>
      <c r="J282" s="402" t="s">
        <v>50</v>
      </c>
      <c r="K282" s="398" t="s">
        <v>255</v>
      </c>
      <c r="L282" s="398" t="s">
        <v>255</v>
      </c>
      <c r="M282" s="398" t="s">
        <v>255</v>
      </c>
      <c r="N282" s="398"/>
      <c r="O282" s="398"/>
      <c r="P282" s="398"/>
    </row>
    <row r="283" spans="1:16" s="133" customFormat="1" ht="18.75" hidden="1" customHeight="1">
      <c r="A283" s="398"/>
      <c r="B283" s="398"/>
      <c r="C283" s="619"/>
      <c r="D283" s="451"/>
      <c r="E283" s="451"/>
      <c r="F283" s="401"/>
      <c r="G283" s="743" t="str">
        <f>C282</f>
        <v>23A/0</v>
      </c>
      <c r="H283" s="454">
        <v>496.69</v>
      </c>
      <c r="I283" s="407"/>
      <c r="J283" s="404"/>
      <c r="K283" s="398"/>
      <c r="L283" s="398"/>
      <c r="M283" s="398"/>
      <c r="N283" s="398"/>
      <c r="O283" s="398"/>
      <c r="P283" s="398"/>
    </row>
    <row r="284" spans="1:16" s="133" customFormat="1" ht="18.75" customHeight="1">
      <c r="A284" s="398">
        <f>SUBTOTAL(103,$C$6:C284)</f>
        <v>140</v>
      </c>
      <c r="B284" s="399" t="s">
        <v>559</v>
      </c>
      <c r="C284" s="404" t="s">
        <v>57</v>
      </c>
      <c r="D284" s="620" t="s">
        <v>186</v>
      </c>
      <c r="E284" s="620"/>
      <c r="F284" s="401"/>
      <c r="G284" s="398"/>
      <c r="H284" s="456"/>
      <c r="I284" s="407">
        <f>ROUND(H283/1000,4)+I282</f>
        <v>53.593899999999998</v>
      </c>
      <c r="J284" s="1042" t="s">
        <v>50</v>
      </c>
      <c r="K284" s="398" t="s">
        <v>255</v>
      </c>
      <c r="L284" s="398" t="s">
        <v>255</v>
      </c>
      <c r="M284" s="398" t="s">
        <v>255</v>
      </c>
      <c r="N284" s="398"/>
      <c r="O284" s="398"/>
      <c r="P284" s="398"/>
    </row>
    <row r="285" spans="1:16" s="133" customFormat="1" ht="18.75" hidden="1" customHeight="1">
      <c r="A285" s="398"/>
      <c r="B285" s="398"/>
      <c r="C285" s="619"/>
      <c r="D285" s="451"/>
      <c r="E285" s="451"/>
      <c r="F285" s="401"/>
      <c r="G285" s="743" t="str">
        <f>C284</f>
        <v>24/0</v>
      </c>
      <c r="H285" s="454">
        <v>244.03</v>
      </c>
      <c r="I285" s="407"/>
      <c r="J285" s="404"/>
      <c r="K285" s="398"/>
      <c r="L285" s="398"/>
      <c r="M285" s="398"/>
      <c r="N285" s="398"/>
      <c r="O285" s="398"/>
      <c r="P285" s="398" t="s">
        <v>969</v>
      </c>
    </row>
    <row r="286" spans="1:16" s="133" customFormat="1" ht="18.75" customHeight="1">
      <c r="A286" s="398">
        <f>SUBTOTAL(103,$C$6:C286)</f>
        <v>141</v>
      </c>
      <c r="B286" s="399" t="s">
        <v>560</v>
      </c>
      <c r="C286" s="404" t="s">
        <v>58</v>
      </c>
      <c r="D286" s="620" t="s">
        <v>186</v>
      </c>
      <c r="E286" s="620"/>
      <c r="F286" s="401"/>
      <c r="G286" s="400"/>
      <c r="H286" s="456"/>
      <c r="I286" s="407">
        <f>ROUND(H285/1000,4)+I284</f>
        <v>53.837899999999998</v>
      </c>
      <c r="J286" s="1042" t="s">
        <v>50</v>
      </c>
      <c r="K286" s="398" t="s">
        <v>255</v>
      </c>
      <c r="L286" s="398" t="s">
        <v>255</v>
      </c>
      <c r="M286" s="398" t="s">
        <v>255</v>
      </c>
      <c r="N286" s="398"/>
      <c r="O286" s="398"/>
      <c r="P286" s="398"/>
    </row>
    <row r="287" spans="1:16" s="133" customFormat="1" ht="18.75" hidden="1" customHeight="1">
      <c r="A287" s="398"/>
      <c r="B287" s="398"/>
      <c r="C287" s="619"/>
      <c r="D287" s="451"/>
      <c r="E287" s="451"/>
      <c r="F287" s="401"/>
      <c r="G287" s="743" t="str">
        <f>C286</f>
        <v>25/0</v>
      </c>
      <c r="H287" s="454">
        <v>237.43</v>
      </c>
      <c r="I287" s="407"/>
      <c r="J287" s="404"/>
      <c r="K287" s="398"/>
      <c r="L287" s="398"/>
      <c r="M287" s="398"/>
      <c r="N287" s="398"/>
      <c r="O287" s="398"/>
      <c r="P287" s="398"/>
    </row>
    <row r="288" spans="1:16" s="133" customFormat="1" ht="18.75" customHeight="1">
      <c r="A288" s="398">
        <f>SUBTOTAL(103,$C$6:C288)</f>
        <v>142</v>
      </c>
      <c r="B288" s="399" t="s">
        <v>561</v>
      </c>
      <c r="C288" s="404" t="s">
        <v>59</v>
      </c>
      <c r="D288" s="620" t="s">
        <v>429</v>
      </c>
      <c r="E288" s="620"/>
      <c r="F288" s="401"/>
      <c r="G288" s="400"/>
      <c r="H288" s="456"/>
      <c r="I288" s="407">
        <f>ROUND(H287/1000,4)+I286</f>
        <v>54.075299999999999</v>
      </c>
      <c r="J288" s="1042" t="s">
        <v>50</v>
      </c>
      <c r="K288" s="398" t="s">
        <v>255</v>
      </c>
      <c r="L288" s="398" t="s">
        <v>255</v>
      </c>
      <c r="M288" s="398" t="s">
        <v>255</v>
      </c>
      <c r="N288" s="398"/>
      <c r="O288" s="398"/>
      <c r="P288" s="398"/>
    </row>
    <row r="289" spans="1:16" s="133" customFormat="1" ht="18.75" hidden="1" customHeight="1">
      <c r="A289" s="398"/>
      <c r="B289" s="398"/>
      <c r="C289" s="619"/>
      <c r="D289" s="451"/>
      <c r="E289" s="451"/>
      <c r="F289" s="401"/>
      <c r="G289" s="743" t="str">
        <f>C288</f>
        <v>26/0</v>
      </c>
      <c r="H289" s="454">
        <v>203.48</v>
      </c>
      <c r="I289" s="407"/>
      <c r="J289" s="404"/>
      <c r="K289" s="398"/>
      <c r="L289" s="398"/>
      <c r="M289" s="398"/>
      <c r="N289" s="398"/>
      <c r="O289" s="398"/>
      <c r="P289" s="398" t="s">
        <v>970</v>
      </c>
    </row>
    <row r="290" spans="1:16" s="133" customFormat="1" ht="18.75" customHeight="1">
      <c r="A290" s="398">
        <f>SUBTOTAL(103,$C$6:C290)</f>
        <v>143</v>
      </c>
      <c r="B290" s="399" t="s">
        <v>562</v>
      </c>
      <c r="C290" s="404" t="s">
        <v>60</v>
      </c>
      <c r="D290" s="620" t="s">
        <v>429</v>
      </c>
      <c r="E290" s="620"/>
      <c r="F290" s="401"/>
      <c r="G290" s="400"/>
      <c r="H290" s="456"/>
      <c r="I290" s="407">
        <f>ROUND(H289/1000,4)+I288</f>
        <v>54.278799999999997</v>
      </c>
      <c r="J290" s="1042" t="s">
        <v>50</v>
      </c>
      <c r="K290" s="398" t="s">
        <v>255</v>
      </c>
      <c r="L290" s="398" t="s">
        <v>255</v>
      </c>
      <c r="M290" s="398" t="s">
        <v>255</v>
      </c>
      <c r="N290" s="398"/>
      <c r="O290" s="398" t="s">
        <v>962</v>
      </c>
      <c r="P290" s="398"/>
    </row>
    <row r="291" spans="1:16" s="133" customFormat="1" ht="18.75" hidden="1" customHeight="1">
      <c r="A291" s="398"/>
      <c r="B291" s="398"/>
      <c r="C291" s="619"/>
      <c r="D291" s="451"/>
      <c r="E291" s="451"/>
      <c r="F291" s="401"/>
      <c r="G291" s="743" t="str">
        <f>C290</f>
        <v>27/0</v>
      </c>
      <c r="H291" s="454">
        <v>453.68799999999999</v>
      </c>
      <c r="I291" s="407"/>
      <c r="J291" s="404"/>
      <c r="K291" s="398"/>
      <c r="L291" s="398"/>
      <c r="M291" s="398"/>
      <c r="N291" s="398"/>
      <c r="O291" s="398"/>
      <c r="P291" s="398"/>
    </row>
    <row r="292" spans="1:16" s="133" customFormat="1" ht="18.75" customHeight="1">
      <c r="A292" s="398">
        <f>SUBTOTAL(103,$C$6:C292)</f>
        <v>144</v>
      </c>
      <c r="B292" s="398"/>
      <c r="C292" s="404" t="s">
        <v>61</v>
      </c>
      <c r="D292" s="620" t="s">
        <v>49</v>
      </c>
      <c r="E292" s="620"/>
      <c r="F292" s="406"/>
      <c r="G292" s="398"/>
      <c r="H292" s="456"/>
      <c r="I292" s="407">
        <f>ROUND(H291/1000,4)+I290</f>
        <v>54.732499999999995</v>
      </c>
      <c r="J292" s="402" t="s">
        <v>50</v>
      </c>
      <c r="K292" s="398" t="s">
        <v>255</v>
      </c>
      <c r="L292" s="398" t="s">
        <v>255</v>
      </c>
      <c r="M292" s="398" t="s">
        <v>255</v>
      </c>
      <c r="N292" s="398"/>
      <c r="O292" s="398"/>
      <c r="P292" s="398"/>
    </row>
    <row r="293" spans="1:16" s="133" customFormat="1" ht="18.75" hidden="1" customHeight="1">
      <c r="A293" s="398"/>
      <c r="B293" s="398"/>
      <c r="C293" s="619"/>
      <c r="D293" s="451"/>
      <c r="E293" s="451"/>
      <c r="F293" s="401"/>
      <c r="G293" s="743" t="str">
        <f>C292</f>
        <v>27/1</v>
      </c>
      <c r="H293" s="454">
        <v>345</v>
      </c>
      <c r="I293" s="407"/>
      <c r="J293" s="404"/>
      <c r="K293" s="398"/>
      <c r="L293" s="398"/>
      <c r="M293" s="398"/>
      <c r="N293" s="398"/>
      <c r="O293" s="398"/>
      <c r="P293" s="398"/>
    </row>
    <row r="294" spans="1:16" s="133" customFormat="1" ht="18.75" customHeight="1">
      <c r="A294" s="398">
        <f>SUBTOTAL(103,$C$6:C294)</f>
        <v>145</v>
      </c>
      <c r="B294" s="408"/>
      <c r="C294" s="404" t="s">
        <v>62</v>
      </c>
      <c r="D294" s="620" t="s">
        <v>154</v>
      </c>
      <c r="E294" s="620"/>
      <c r="F294" s="406"/>
      <c r="G294" s="398"/>
      <c r="H294" s="456"/>
      <c r="I294" s="407">
        <f>ROUND(H293/1000,4)+I292</f>
        <v>55.077499999999993</v>
      </c>
      <c r="J294" s="402" t="s">
        <v>50</v>
      </c>
      <c r="K294" s="398" t="s">
        <v>255</v>
      </c>
      <c r="L294" s="398" t="s">
        <v>255</v>
      </c>
      <c r="M294" s="398" t="s">
        <v>255</v>
      </c>
      <c r="N294" s="398"/>
      <c r="O294" s="398"/>
      <c r="P294" s="398"/>
    </row>
    <row r="295" spans="1:16" s="133" customFormat="1" ht="18.75" hidden="1" customHeight="1">
      <c r="A295" s="398"/>
      <c r="B295" s="398"/>
      <c r="C295" s="619"/>
      <c r="D295" s="451"/>
      <c r="E295" s="451"/>
      <c r="F295" s="401"/>
      <c r="G295" s="743" t="str">
        <f>C294</f>
        <v>27/2</v>
      </c>
      <c r="H295" s="454">
        <v>360</v>
      </c>
      <c r="I295" s="407"/>
      <c r="J295" s="404"/>
      <c r="K295" s="398"/>
      <c r="L295" s="398"/>
      <c r="M295" s="398"/>
      <c r="N295" s="398"/>
      <c r="O295" s="398"/>
      <c r="P295" s="398"/>
    </row>
    <row r="296" spans="1:16" s="133" customFormat="1" ht="18.75" customHeight="1">
      <c r="A296" s="398">
        <f>SUBTOTAL(103,$C$6:C296)</f>
        <v>146</v>
      </c>
      <c r="B296" s="398"/>
      <c r="C296" s="404" t="s">
        <v>153</v>
      </c>
      <c r="D296" s="620" t="s">
        <v>170</v>
      </c>
      <c r="E296" s="620"/>
      <c r="F296" s="406"/>
      <c r="G296" s="398"/>
      <c r="H296" s="456"/>
      <c r="I296" s="407">
        <f>ROUND(H295/1000,4)+I294</f>
        <v>55.437499999999993</v>
      </c>
      <c r="J296" s="402" t="s">
        <v>50</v>
      </c>
      <c r="K296" s="398" t="s">
        <v>255</v>
      </c>
      <c r="L296" s="398" t="s">
        <v>255</v>
      </c>
      <c r="M296" s="398" t="s">
        <v>255</v>
      </c>
      <c r="N296" s="398"/>
      <c r="O296" s="398"/>
      <c r="P296" s="398"/>
    </row>
    <row r="297" spans="1:16" s="133" customFormat="1" ht="18.75" hidden="1" customHeight="1">
      <c r="A297" s="398"/>
      <c r="B297" s="398"/>
      <c r="C297" s="619"/>
      <c r="D297" s="451"/>
      <c r="E297" s="451"/>
      <c r="F297" s="401"/>
      <c r="G297" s="743" t="str">
        <f>C296</f>
        <v>27/3</v>
      </c>
      <c r="H297" s="454">
        <v>410</v>
      </c>
      <c r="I297" s="407"/>
      <c r="J297" s="404"/>
      <c r="K297" s="398"/>
      <c r="L297" s="398"/>
      <c r="M297" s="398"/>
      <c r="N297" s="398"/>
      <c r="O297" s="398"/>
      <c r="P297" s="398"/>
    </row>
    <row r="298" spans="1:16" s="133" customFormat="1" ht="18.75" customHeight="1">
      <c r="A298" s="398">
        <f>SUBTOTAL(103,$C$6:C298)</f>
        <v>147</v>
      </c>
      <c r="B298" s="398"/>
      <c r="C298" s="404" t="s">
        <v>155</v>
      </c>
      <c r="D298" s="620" t="s">
        <v>170</v>
      </c>
      <c r="E298" s="620"/>
      <c r="F298" s="406"/>
      <c r="G298" s="398"/>
      <c r="H298" s="456"/>
      <c r="I298" s="407">
        <f>ROUND(H297/1000,4)+I296</f>
        <v>55.847499999999989</v>
      </c>
      <c r="J298" s="402" t="s">
        <v>50</v>
      </c>
      <c r="K298" s="398" t="s">
        <v>255</v>
      </c>
      <c r="L298" s="398" t="s">
        <v>255</v>
      </c>
      <c r="M298" s="398" t="s">
        <v>255</v>
      </c>
      <c r="N298" s="398"/>
      <c r="O298" s="398"/>
      <c r="P298" s="398"/>
    </row>
    <row r="299" spans="1:16" s="133" customFormat="1" ht="18.75" hidden="1" customHeight="1">
      <c r="A299" s="398"/>
      <c r="B299" s="398"/>
      <c r="C299" s="619"/>
      <c r="D299" s="451"/>
      <c r="E299" s="451"/>
      <c r="F299" s="401"/>
      <c r="G299" s="743" t="str">
        <f>C298</f>
        <v>27/4</v>
      </c>
      <c r="H299" s="454">
        <v>350</v>
      </c>
      <c r="I299" s="407"/>
      <c r="J299" s="404"/>
      <c r="K299" s="398"/>
      <c r="L299" s="398"/>
      <c r="M299" s="398"/>
      <c r="N299" s="398"/>
      <c r="O299" s="398"/>
      <c r="P299" s="398"/>
    </row>
    <row r="300" spans="1:16" s="133" customFormat="1" ht="18.75" customHeight="1">
      <c r="A300" s="398">
        <f>SUBTOTAL(103,$C$6:C300)</f>
        <v>148</v>
      </c>
      <c r="B300" s="398"/>
      <c r="C300" s="404" t="s">
        <v>156</v>
      </c>
      <c r="D300" s="620" t="s">
        <v>154</v>
      </c>
      <c r="E300" s="620"/>
      <c r="F300" s="406"/>
      <c r="G300" s="398"/>
      <c r="H300" s="456"/>
      <c r="I300" s="407">
        <f>ROUND(H299/1000,4)+I298</f>
        <v>56.197499999999991</v>
      </c>
      <c r="J300" s="402" t="s">
        <v>50</v>
      </c>
      <c r="K300" s="398" t="s">
        <v>255</v>
      </c>
      <c r="L300" s="398" t="s">
        <v>255</v>
      </c>
      <c r="M300" s="398" t="s">
        <v>255</v>
      </c>
      <c r="N300" s="398"/>
      <c r="O300" s="398"/>
      <c r="P300" s="398"/>
    </row>
    <row r="301" spans="1:16" s="133" customFormat="1" ht="18.75" hidden="1" customHeight="1">
      <c r="A301" s="398"/>
      <c r="B301" s="398"/>
      <c r="C301" s="619"/>
      <c r="D301" s="451"/>
      <c r="E301" s="451"/>
      <c r="F301" s="401"/>
      <c r="G301" s="743" t="str">
        <f>C300</f>
        <v>27/5</v>
      </c>
      <c r="H301" s="454">
        <v>355</v>
      </c>
      <c r="I301" s="407"/>
      <c r="J301" s="404"/>
      <c r="K301" s="398"/>
      <c r="L301" s="398"/>
      <c r="M301" s="398"/>
      <c r="N301" s="398"/>
      <c r="O301" s="398"/>
      <c r="P301" s="398"/>
    </row>
    <row r="302" spans="1:16" s="133" customFormat="1" ht="18.75" customHeight="1">
      <c r="A302" s="398">
        <f>SUBTOTAL(103,$C$6:C302)</f>
        <v>149</v>
      </c>
      <c r="B302" s="398"/>
      <c r="C302" s="404" t="s">
        <v>162</v>
      </c>
      <c r="D302" s="620" t="s">
        <v>4</v>
      </c>
      <c r="E302" s="620"/>
      <c r="F302" s="406"/>
      <c r="G302" s="398"/>
      <c r="H302" s="456"/>
      <c r="I302" s="407">
        <f>ROUND(H301/1000,4)+I300</f>
        <v>56.552499999999988</v>
      </c>
      <c r="J302" s="402" t="s">
        <v>50</v>
      </c>
      <c r="K302" s="398" t="s">
        <v>255</v>
      </c>
      <c r="L302" s="398" t="s">
        <v>255</v>
      </c>
      <c r="M302" s="398" t="s">
        <v>255</v>
      </c>
      <c r="N302" s="398"/>
      <c r="O302" s="398"/>
      <c r="P302" s="398"/>
    </row>
    <row r="303" spans="1:16" s="133" customFormat="1" ht="18.75" hidden="1" customHeight="1">
      <c r="A303" s="398"/>
      <c r="B303" s="398"/>
      <c r="C303" s="619"/>
      <c r="D303" s="451"/>
      <c r="E303" s="451"/>
      <c r="F303" s="401"/>
      <c r="G303" s="743" t="str">
        <f>C302</f>
        <v>27/6</v>
      </c>
      <c r="H303" s="454">
        <v>274.58699999999999</v>
      </c>
      <c r="I303" s="407"/>
      <c r="J303" s="404"/>
      <c r="K303" s="398"/>
      <c r="L303" s="398"/>
      <c r="M303" s="398"/>
      <c r="N303" s="398"/>
      <c r="O303" s="398"/>
      <c r="P303" s="398"/>
    </row>
    <row r="304" spans="1:16" s="133" customFormat="1" ht="18.75" customHeight="1">
      <c r="A304" s="398">
        <f>SUBTOTAL(103,$C$6:C304)</f>
        <v>150</v>
      </c>
      <c r="B304" s="399" t="s">
        <v>563</v>
      </c>
      <c r="C304" s="404" t="s">
        <v>63</v>
      </c>
      <c r="D304" s="620" t="s">
        <v>250</v>
      </c>
      <c r="E304" s="620"/>
      <c r="F304" s="406"/>
      <c r="G304" s="398"/>
      <c r="H304" s="455"/>
      <c r="I304" s="407">
        <f>ROUND(H303/1000,4)+I302</f>
        <v>56.827099999999987</v>
      </c>
      <c r="J304" s="402" t="s">
        <v>50</v>
      </c>
      <c r="K304" s="398" t="s">
        <v>255</v>
      </c>
      <c r="L304" s="398" t="s">
        <v>255</v>
      </c>
      <c r="M304" s="398" t="s">
        <v>255</v>
      </c>
      <c r="N304" s="398"/>
      <c r="O304" s="398"/>
      <c r="P304" s="398"/>
    </row>
    <row r="305" spans="1:16" s="133" customFormat="1" ht="18.75" hidden="1" customHeight="1">
      <c r="A305" s="398"/>
      <c r="B305" s="398"/>
      <c r="C305" s="619"/>
      <c r="D305" s="451"/>
      <c r="E305" s="451"/>
      <c r="F305" s="401"/>
      <c r="G305" s="743" t="str">
        <f>C304</f>
        <v>28/0</v>
      </c>
      <c r="H305" s="454">
        <v>211.21</v>
      </c>
      <c r="I305" s="407"/>
      <c r="J305" s="404"/>
      <c r="K305" s="398"/>
      <c r="L305" s="398"/>
      <c r="M305" s="398"/>
      <c r="N305" s="398"/>
      <c r="O305" s="398"/>
      <c r="P305" s="398" t="s">
        <v>963</v>
      </c>
    </row>
    <row r="306" spans="1:16" s="133" customFormat="1" ht="18.75" customHeight="1">
      <c r="A306" s="398">
        <f>SUBTOTAL(103,$C$6:C306)</f>
        <v>151</v>
      </c>
      <c r="B306" s="399" t="s">
        <v>564</v>
      </c>
      <c r="C306" s="404" t="s">
        <v>64</v>
      </c>
      <c r="D306" s="620" t="s">
        <v>185</v>
      </c>
      <c r="E306" s="620"/>
      <c r="F306" s="401"/>
      <c r="G306" s="400"/>
      <c r="H306" s="456"/>
      <c r="I306" s="407">
        <f>ROUND(H305/1000,4)+I304</f>
        <v>57.038299999999985</v>
      </c>
      <c r="J306" s="402" t="s">
        <v>50</v>
      </c>
      <c r="K306" s="398" t="s">
        <v>255</v>
      </c>
      <c r="L306" s="398" t="s">
        <v>255</v>
      </c>
      <c r="M306" s="398" t="s">
        <v>255</v>
      </c>
      <c r="N306" s="398"/>
      <c r="O306" s="398" t="s">
        <v>962</v>
      </c>
      <c r="P306" s="398"/>
    </row>
    <row r="307" spans="1:16" s="133" customFormat="1" ht="18.75" hidden="1" customHeight="1">
      <c r="A307" s="398"/>
      <c r="B307" s="398"/>
      <c r="C307" s="619"/>
      <c r="D307" s="451"/>
      <c r="E307" s="451"/>
      <c r="F307" s="401"/>
      <c r="G307" s="743" t="str">
        <f>C306</f>
        <v>29/0</v>
      </c>
      <c r="H307" s="454">
        <v>384.20400000000001</v>
      </c>
      <c r="I307" s="407"/>
      <c r="J307" s="404"/>
      <c r="K307" s="398"/>
      <c r="L307" s="398"/>
      <c r="M307" s="398"/>
      <c r="N307" s="398"/>
      <c r="O307" s="398"/>
      <c r="P307" s="398"/>
    </row>
    <row r="308" spans="1:16" s="133" customFormat="1" ht="18.75" customHeight="1">
      <c r="A308" s="398">
        <f>SUBTOTAL(103,$C$6:C308)</f>
        <v>152</v>
      </c>
      <c r="B308" s="398"/>
      <c r="C308" s="404" t="s">
        <v>430</v>
      </c>
      <c r="D308" s="620" t="s">
        <v>79</v>
      </c>
      <c r="E308" s="620"/>
      <c r="F308" s="406"/>
      <c r="G308" s="398"/>
      <c r="H308" s="456"/>
      <c r="I308" s="407">
        <f>ROUND(H307/1000,4)+I306</f>
        <v>57.422499999999985</v>
      </c>
      <c r="J308" s="402" t="s">
        <v>50</v>
      </c>
      <c r="K308" s="398" t="s">
        <v>255</v>
      </c>
      <c r="L308" s="398" t="s">
        <v>255</v>
      </c>
      <c r="M308" s="398" t="s">
        <v>255</v>
      </c>
      <c r="N308" s="398"/>
      <c r="O308" s="398"/>
      <c r="P308" s="398"/>
    </row>
    <row r="309" spans="1:16" s="133" customFormat="1" ht="18.75" hidden="1" customHeight="1">
      <c r="A309" s="398"/>
      <c r="B309" s="398"/>
      <c r="C309" s="619"/>
      <c r="D309" s="451"/>
      <c r="E309" s="451"/>
      <c r="F309" s="401"/>
      <c r="G309" s="743" t="str">
        <f>C308</f>
        <v>29/1</v>
      </c>
      <c r="H309" s="454">
        <v>430</v>
      </c>
      <c r="I309" s="407"/>
      <c r="J309" s="404"/>
      <c r="K309" s="398"/>
      <c r="L309" s="398"/>
      <c r="M309" s="398"/>
      <c r="N309" s="398"/>
      <c r="O309" s="398"/>
      <c r="P309" s="398"/>
    </row>
    <row r="310" spans="1:16" s="133" customFormat="1" ht="18.75" customHeight="1">
      <c r="A310" s="398">
        <f>SUBTOTAL(103,$C$6:C310)</f>
        <v>153</v>
      </c>
      <c r="B310" s="398"/>
      <c r="C310" s="404" t="s">
        <v>431</v>
      </c>
      <c r="D310" s="620" t="s">
        <v>3</v>
      </c>
      <c r="E310" s="620"/>
      <c r="F310" s="406"/>
      <c r="G310" s="398"/>
      <c r="H310" s="456"/>
      <c r="I310" s="407">
        <f>ROUND(H309/1000,4)+I308</f>
        <v>57.852499999999985</v>
      </c>
      <c r="J310" s="402" t="s">
        <v>50</v>
      </c>
      <c r="K310" s="398" t="s">
        <v>255</v>
      </c>
      <c r="L310" s="398" t="s">
        <v>255</v>
      </c>
      <c r="M310" s="398" t="s">
        <v>255</v>
      </c>
      <c r="N310" s="398"/>
      <c r="O310" s="398"/>
      <c r="P310" s="398"/>
    </row>
    <row r="311" spans="1:16" s="133" customFormat="1" ht="18.75" hidden="1" customHeight="1">
      <c r="A311" s="398"/>
      <c r="B311" s="398"/>
      <c r="C311" s="619"/>
      <c r="D311" s="451"/>
      <c r="E311" s="451"/>
      <c r="F311" s="401"/>
      <c r="G311" s="743" t="str">
        <f>C310</f>
        <v>29/2</v>
      </c>
      <c r="H311" s="454">
        <v>370</v>
      </c>
      <c r="I311" s="407"/>
      <c r="J311" s="404"/>
      <c r="K311" s="398"/>
      <c r="L311" s="398"/>
      <c r="M311" s="398"/>
      <c r="N311" s="398"/>
      <c r="O311" s="398"/>
      <c r="P311" s="398"/>
    </row>
    <row r="312" spans="1:16" s="133" customFormat="1" ht="18.75" customHeight="1">
      <c r="A312" s="398">
        <f>SUBTOTAL(103,$C$6:C312)</f>
        <v>154</v>
      </c>
      <c r="B312" s="398"/>
      <c r="C312" s="404" t="s">
        <v>432</v>
      </c>
      <c r="D312" s="620" t="s">
        <v>3</v>
      </c>
      <c r="E312" s="620"/>
      <c r="F312" s="406"/>
      <c r="G312" s="398"/>
      <c r="H312" s="456"/>
      <c r="I312" s="407">
        <f>ROUND(H311/1000,4)+I310</f>
        <v>58.222499999999982</v>
      </c>
      <c r="J312" s="402" t="s">
        <v>50</v>
      </c>
      <c r="K312" s="398" t="s">
        <v>255</v>
      </c>
      <c r="L312" s="398" t="s">
        <v>255</v>
      </c>
      <c r="M312" s="398" t="s">
        <v>255</v>
      </c>
      <c r="N312" s="398" t="str">
        <f>VLOOKUP(C312,'Tack Welding'!$D$5:$J$94,7,0)</f>
        <v xml:space="preserve">Completed </v>
      </c>
      <c r="O312" s="398"/>
      <c r="P312" s="398"/>
    </row>
    <row r="313" spans="1:16" s="133" customFormat="1" ht="18.75" hidden="1" customHeight="1">
      <c r="A313" s="398"/>
      <c r="B313" s="398"/>
      <c r="C313" s="619"/>
      <c r="D313" s="451"/>
      <c r="E313" s="451"/>
      <c r="F313" s="401"/>
      <c r="G313" s="743" t="str">
        <f>C312</f>
        <v>29/3</v>
      </c>
      <c r="H313" s="454">
        <v>390</v>
      </c>
      <c r="I313" s="407"/>
      <c r="J313" s="404"/>
      <c r="K313" s="398"/>
      <c r="L313" s="398"/>
      <c r="M313" s="398"/>
      <c r="N313" s="398"/>
      <c r="O313" s="398"/>
      <c r="P313" s="398"/>
    </row>
    <row r="314" spans="1:16" s="133" customFormat="1" ht="18.75" customHeight="1">
      <c r="A314" s="398">
        <f>SUBTOTAL(103,$C$6:C314)</f>
        <v>155</v>
      </c>
      <c r="B314" s="398"/>
      <c r="C314" s="404" t="s">
        <v>433</v>
      </c>
      <c r="D314" s="620" t="s">
        <v>2</v>
      </c>
      <c r="E314" s="620"/>
      <c r="F314" s="406"/>
      <c r="G314" s="398"/>
      <c r="H314" s="456"/>
      <c r="I314" s="407">
        <f>ROUND(H313/1000,4)+I312</f>
        <v>58.612499999999983</v>
      </c>
      <c r="J314" s="402" t="s">
        <v>50</v>
      </c>
      <c r="K314" s="398" t="s">
        <v>255</v>
      </c>
      <c r="L314" s="398" t="s">
        <v>255</v>
      </c>
      <c r="M314" s="398" t="s">
        <v>255</v>
      </c>
      <c r="N314" s="398" t="str">
        <f>VLOOKUP(C314,'Tack Welding'!$D$5:$J$94,7,0)</f>
        <v xml:space="preserve">Completed </v>
      </c>
      <c r="O314" s="398"/>
      <c r="P314" s="398"/>
    </row>
    <row r="315" spans="1:16" s="133" customFormat="1" ht="18.75" hidden="1" customHeight="1">
      <c r="A315" s="398"/>
      <c r="B315" s="398"/>
      <c r="C315" s="619"/>
      <c r="D315" s="451"/>
      <c r="E315" s="451"/>
      <c r="F315" s="401"/>
      <c r="G315" s="743" t="str">
        <f>C314</f>
        <v>29/4</v>
      </c>
      <c r="H315" s="454">
        <v>435</v>
      </c>
      <c r="I315" s="407"/>
      <c r="J315" s="404"/>
      <c r="K315" s="398"/>
      <c r="L315" s="398"/>
      <c r="M315" s="398"/>
      <c r="N315" s="398"/>
      <c r="O315" s="398"/>
      <c r="P315" s="398"/>
    </row>
    <row r="316" spans="1:16" s="133" customFormat="1" ht="18.75" customHeight="1">
      <c r="A316" s="398">
        <f>SUBTOTAL(103,$C$6:C316)</f>
        <v>156</v>
      </c>
      <c r="B316" s="398"/>
      <c r="C316" s="404" t="s">
        <v>434</v>
      </c>
      <c r="D316" s="620" t="s">
        <v>3</v>
      </c>
      <c r="E316" s="620"/>
      <c r="F316" s="406"/>
      <c r="G316" s="398"/>
      <c r="H316" s="456"/>
      <c r="I316" s="407">
        <f>ROUND(H315/1000,4)+I314</f>
        <v>59.047499999999985</v>
      </c>
      <c r="J316" s="402" t="s">
        <v>50</v>
      </c>
      <c r="K316" s="398" t="s">
        <v>255</v>
      </c>
      <c r="L316" s="398" t="s">
        <v>255</v>
      </c>
      <c r="M316" s="398" t="s">
        <v>255</v>
      </c>
      <c r="N316" s="398" t="str">
        <f>VLOOKUP(C316,'Tack Welding'!$D$5:$J$94,7,0)</f>
        <v xml:space="preserve">Completed </v>
      </c>
      <c r="O316" s="398"/>
      <c r="P316" s="398"/>
    </row>
    <row r="317" spans="1:16" s="133" customFormat="1" ht="18.75" hidden="1" customHeight="1">
      <c r="A317" s="398"/>
      <c r="B317" s="398"/>
      <c r="C317" s="619"/>
      <c r="D317" s="451"/>
      <c r="E317" s="451"/>
      <c r="F317" s="401"/>
      <c r="G317" s="743" t="str">
        <f>C316</f>
        <v>29/5</v>
      </c>
      <c r="H317" s="454">
        <v>370</v>
      </c>
      <c r="I317" s="407"/>
      <c r="J317" s="404"/>
      <c r="K317" s="398"/>
      <c r="L317" s="398"/>
      <c r="M317" s="398"/>
      <c r="N317" s="398"/>
      <c r="O317" s="398"/>
      <c r="P317" s="398"/>
    </row>
    <row r="318" spans="1:16" s="133" customFormat="1" ht="18.75" customHeight="1">
      <c r="A318" s="398">
        <f>SUBTOTAL(103,$C$6:C318)</f>
        <v>157</v>
      </c>
      <c r="B318" s="399" t="s">
        <v>897</v>
      </c>
      <c r="C318" s="404" t="s">
        <v>898</v>
      </c>
      <c r="D318" s="620" t="s">
        <v>197</v>
      </c>
      <c r="E318" s="620"/>
      <c r="F318" s="406"/>
      <c r="G318" s="398"/>
      <c r="H318" s="456"/>
      <c r="I318" s="407">
        <f>ROUND(H317/1000,4)+I316</f>
        <v>59.417499999999983</v>
      </c>
      <c r="J318" s="402" t="s">
        <v>50</v>
      </c>
      <c r="K318" s="398" t="s">
        <v>255</v>
      </c>
      <c r="L318" s="398" t="s">
        <v>255</v>
      </c>
      <c r="M318" s="398" t="s">
        <v>255</v>
      </c>
      <c r="N318" s="398"/>
      <c r="O318" s="398"/>
      <c r="P318" s="398"/>
    </row>
    <row r="319" spans="1:16" s="133" customFormat="1" ht="18.75" hidden="1" customHeight="1">
      <c r="A319" s="398"/>
      <c r="B319" s="398"/>
      <c r="C319" s="619"/>
      <c r="D319" s="451"/>
      <c r="E319" s="451"/>
      <c r="F319" s="401"/>
      <c r="G319" s="743" t="str">
        <f>C318</f>
        <v>29A/0</v>
      </c>
      <c r="H319" s="454">
        <v>455</v>
      </c>
      <c r="I319" s="407"/>
      <c r="J319" s="404"/>
      <c r="K319" s="398"/>
      <c r="L319" s="398"/>
      <c r="M319" s="398"/>
      <c r="N319" s="398"/>
      <c r="O319" s="398"/>
      <c r="P319" s="398"/>
    </row>
    <row r="320" spans="1:16" s="133" customFormat="1" ht="18.75" customHeight="1">
      <c r="A320" s="398">
        <f>SUBTOTAL(103,$C$6:C320)</f>
        <v>158</v>
      </c>
      <c r="B320" s="398"/>
      <c r="C320" s="404" t="s">
        <v>899</v>
      </c>
      <c r="D320" s="620" t="s">
        <v>79</v>
      </c>
      <c r="E320" s="620"/>
      <c r="F320" s="406"/>
      <c r="G320" s="398"/>
      <c r="H320" s="456"/>
      <c r="I320" s="407">
        <f>ROUND(H319/1000,4)+I318</f>
        <v>59.872499999999981</v>
      </c>
      <c r="J320" s="402" t="s">
        <v>50</v>
      </c>
      <c r="K320" s="398" t="s">
        <v>255</v>
      </c>
      <c r="L320" s="398" t="s">
        <v>255</v>
      </c>
      <c r="M320" s="398" t="s">
        <v>255</v>
      </c>
      <c r="N320" s="398" t="str">
        <f>VLOOKUP(C320,'Tack Welding'!$D$5:$J$94,7,0)</f>
        <v xml:space="preserve">Completed </v>
      </c>
      <c r="O320" s="398"/>
      <c r="P320" s="398"/>
    </row>
    <row r="321" spans="1:16" s="133" customFormat="1" ht="18.75" hidden="1" customHeight="1">
      <c r="A321" s="398"/>
      <c r="B321" s="398"/>
      <c r="C321" s="619"/>
      <c r="D321" s="451"/>
      <c r="E321" s="451"/>
      <c r="F321" s="401"/>
      <c r="G321" s="743" t="str">
        <f>C320</f>
        <v>29A/1</v>
      </c>
      <c r="H321" s="454">
        <v>325</v>
      </c>
      <c r="I321" s="407"/>
      <c r="J321" s="404"/>
      <c r="K321" s="398"/>
      <c r="L321" s="398"/>
      <c r="M321" s="398"/>
      <c r="N321" s="398"/>
      <c r="O321" s="398"/>
      <c r="P321" s="398"/>
    </row>
    <row r="322" spans="1:16" s="133" customFormat="1" ht="18.75" customHeight="1">
      <c r="A322" s="398">
        <f>SUBTOTAL(103,$C$6:C322)</f>
        <v>159</v>
      </c>
      <c r="B322" s="398"/>
      <c r="C322" s="404" t="s">
        <v>900</v>
      </c>
      <c r="D322" s="620" t="s">
        <v>79</v>
      </c>
      <c r="E322" s="620"/>
      <c r="F322" s="406"/>
      <c r="G322" s="398"/>
      <c r="H322" s="456"/>
      <c r="I322" s="407">
        <f>ROUND(H321/1000,4)+I320</f>
        <v>60.197499999999984</v>
      </c>
      <c r="J322" s="402" t="s">
        <v>50</v>
      </c>
      <c r="K322" s="398" t="s">
        <v>255</v>
      </c>
      <c r="L322" s="398" t="s">
        <v>255</v>
      </c>
      <c r="M322" s="398" t="s">
        <v>255</v>
      </c>
      <c r="N322" s="398" t="str">
        <f>VLOOKUP(C322,'Tack Welding'!$D$5:$J$94,7,0)</f>
        <v xml:space="preserve">Completed </v>
      </c>
      <c r="O322" s="398"/>
      <c r="P322" s="398"/>
    </row>
    <row r="323" spans="1:16" s="133" customFormat="1" ht="18.75" hidden="1" customHeight="1">
      <c r="A323" s="398"/>
      <c r="B323" s="398"/>
      <c r="C323" s="619"/>
      <c r="D323" s="451"/>
      <c r="E323" s="451"/>
      <c r="F323" s="401"/>
      <c r="G323" s="743" t="str">
        <f>C322</f>
        <v>29A/2</v>
      </c>
      <c r="H323" s="454">
        <v>395</v>
      </c>
      <c r="I323" s="407"/>
      <c r="J323" s="404"/>
      <c r="K323" s="398"/>
      <c r="L323" s="398"/>
      <c r="M323" s="398"/>
      <c r="N323" s="398"/>
      <c r="O323" s="398"/>
      <c r="P323" s="398"/>
    </row>
    <row r="324" spans="1:16" s="133" customFormat="1" ht="18.75" customHeight="1">
      <c r="A324" s="398">
        <f>SUBTOTAL(103,$C$6:C324)</f>
        <v>160</v>
      </c>
      <c r="B324" s="398"/>
      <c r="C324" s="404" t="s">
        <v>901</v>
      </c>
      <c r="D324" s="620" t="s">
        <v>79</v>
      </c>
      <c r="E324" s="620"/>
      <c r="F324" s="406"/>
      <c r="G324" s="398"/>
      <c r="H324" s="456"/>
      <c r="I324" s="407">
        <f>ROUND(H323/1000,4)+I322</f>
        <v>60.592499999999987</v>
      </c>
      <c r="J324" s="402" t="s">
        <v>50</v>
      </c>
      <c r="K324" s="398" t="s">
        <v>255</v>
      </c>
      <c r="L324" s="398" t="s">
        <v>255</v>
      </c>
      <c r="M324" s="398" t="s">
        <v>255</v>
      </c>
      <c r="N324" s="398"/>
      <c r="O324" s="398"/>
      <c r="P324" s="398"/>
    </row>
    <row r="325" spans="1:16" s="133" customFormat="1" ht="18.75" hidden="1" customHeight="1">
      <c r="A325" s="398"/>
      <c r="B325" s="398"/>
      <c r="C325" s="619"/>
      <c r="D325" s="451"/>
      <c r="E325" s="451"/>
      <c r="F325" s="401"/>
      <c r="G325" s="743" t="str">
        <f>C324</f>
        <v>29A/3</v>
      </c>
      <c r="H325" s="454">
        <v>345</v>
      </c>
      <c r="I325" s="407"/>
      <c r="J325" s="404"/>
      <c r="K325" s="398"/>
      <c r="L325" s="398"/>
      <c r="M325" s="398"/>
      <c r="N325" s="398"/>
      <c r="O325" s="398"/>
      <c r="P325" s="398"/>
    </row>
    <row r="326" spans="1:16" s="133" customFormat="1" ht="18.75" customHeight="1">
      <c r="A326" s="398">
        <f>SUBTOTAL(103,$C$6:C326)</f>
        <v>161</v>
      </c>
      <c r="B326" s="398"/>
      <c r="C326" s="404" t="s">
        <v>902</v>
      </c>
      <c r="D326" s="620" t="s">
        <v>2</v>
      </c>
      <c r="E326" s="620"/>
      <c r="F326" s="406"/>
      <c r="G326" s="398"/>
      <c r="H326" s="456"/>
      <c r="I326" s="407">
        <f>ROUND(H325/1000,4)+I324</f>
        <v>60.937499999999986</v>
      </c>
      <c r="J326" s="402" t="s">
        <v>50</v>
      </c>
      <c r="K326" s="398" t="s">
        <v>255</v>
      </c>
      <c r="L326" s="398" t="s">
        <v>255</v>
      </c>
      <c r="M326" s="398" t="s">
        <v>255</v>
      </c>
      <c r="N326" s="398"/>
      <c r="O326" s="398"/>
      <c r="P326" s="398"/>
    </row>
    <row r="327" spans="1:16" s="133" customFormat="1" ht="18.75" hidden="1" customHeight="1">
      <c r="A327" s="398"/>
      <c r="B327" s="398"/>
      <c r="C327" s="619"/>
      <c r="D327" s="451"/>
      <c r="E327" s="451"/>
      <c r="F327" s="401"/>
      <c r="G327" s="743" t="str">
        <f>C326</f>
        <v>29A/4</v>
      </c>
      <c r="H327" s="454">
        <v>345</v>
      </c>
      <c r="I327" s="407"/>
      <c r="J327" s="404"/>
      <c r="K327" s="398"/>
      <c r="L327" s="398"/>
      <c r="M327" s="398"/>
      <c r="N327" s="398"/>
      <c r="O327" s="398"/>
      <c r="P327" s="398"/>
    </row>
    <row r="328" spans="1:16" s="133" customFormat="1" ht="18.75" customHeight="1">
      <c r="A328" s="398">
        <f>SUBTOTAL(103,$C$6:C328)</f>
        <v>162</v>
      </c>
      <c r="B328" s="398"/>
      <c r="C328" s="404" t="s">
        <v>903</v>
      </c>
      <c r="D328" s="620" t="s">
        <v>79</v>
      </c>
      <c r="E328" s="620"/>
      <c r="F328" s="406"/>
      <c r="G328" s="398"/>
      <c r="H328" s="456"/>
      <c r="I328" s="407">
        <f>ROUND(H327/1000,4)+I326</f>
        <v>61.282499999999985</v>
      </c>
      <c r="J328" s="402" t="s">
        <v>50</v>
      </c>
      <c r="K328" s="398" t="s">
        <v>255</v>
      </c>
      <c r="L328" s="398" t="s">
        <v>255</v>
      </c>
      <c r="M328" s="398" t="s">
        <v>255</v>
      </c>
      <c r="N328" s="398"/>
      <c r="O328" s="398"/>
      <c r="P328" s="398"/>
    </row>
    <row r="329" spans="1:16" s="133" customFormat="1" ht="18.75" hidden="1" customHeight="1">
      <c r="A329" s="398"/>
      <c r="B329" s="398"/>
      <c r="C329" s="619"/>
      <c r="D329" s="451"/>
      <c r="E329" s="451"/>
      <c r="F329" s="401"/>
      <c r="G329" s="743" t="str">
        <f>C328</f>
        <v>29A/5</v>
      </c>
      <c r="H329" s="454">
        <v>440</v>
      </c>
      <c r="I329" s="407"/>
      <c r="J329" s="404"/>
      <c r="K329" s="398"/>
      <c r="L329" s="398"/>
      <c r="M329" s="398"/>
      <c r="N329" s="398"/>
      <c r="O329" s="398"/>
      <c r="P329" s="398"/>
    </row>
    <row r="330" spans="1:16" s="133" customFormat="1" ht="18.75" customHeight="1">
      <c r="A330" s="398">
        <f>SUBTOTAL(103,$C$6:C330)</f>
        <v>163</v>
      </c>
      <c r="B330" s="398"/>
      <c r="C330" s="404" t="s">
        <v>904</v>
      </c>
      <c r="D330" s="620" t="s">
        <v>49</v>
      </c>
      <c r="E330" s="620"/>
      <c r="F330" s="406"/>
      <c r="G330" s="398"/>
      <c r="H330" s="456"/>
      <c r="I330" s="407">
        <f>ROUND(H329/1000,4)+I328</f>
        <v>61.722499999999982</v>
      </c>
      <c r="J330" s="402" t="s">
        <v>50</v>
      </c>
      <c r="K330" s="398" t="s">
        <v>255</v>
      </c>
      <c r="L330" s="398" t="s">
        <v>255</v>
      </c>
      <c r="M330" s="398" t="s">
        <v>255</v>
      </c>
      <c r="N330" s="398" t="str">
        <f>VLOOKUP(C330,'Tack Welding'!$D$5:$J$94,7,0)</f>
        <v xml:space="preserve">Completed </v>
      </c>
      <c r="O330" s="398"/>
      <c r="P330" s="398"/>
    </row>
    <row r="331" spans="1:16" s="133" customFormat="1" ht="18.75" hidden="1" customHeight="1">
      <c r="A331" s="398"/>
      <c r="B331" s="398"/>
      <c r="C331" s="619"/>
      <c r="D331" s="451"/>
      <c r="E331" s="451"/>
      <c r="F331" s="401"/>
      <c r="G331" s="743" t="str">
        <f>C330</f>
        <v>29A/6</v>
      </c>
      <c r="H331" s="454">
        <v>364.00799999999998</v>
      </c>
      <c r="I331" s="407"/>
      <c r="J331" s="404"/>
      <c r="K331" s="398"/>
      <c r="L331" s="398"/>
      <c r="M331" s="398"/>
      <c r="N331" s="398"/>
      <c r="O331" s="398"/>
      <c r="P331" s="398"/>
    </row>
    <row r="332" spans="1:16" s="133" customFormat="1" ht="18.75" customHeight="1">
      <c r="A332" s="398">
        <f>SUBTOTAL(103,$C$6:C332)</f>
        <v>164</v>
      </c>
      <c r="B332" s="399" t="s">
        <v>565</v>
      </c>
      <c r="C332" s="404" t="s">
        <v>65</v>
      </c>
      <c r="D332" s="620" t="s">
        <v>197</v>
      </c>
      <c r="E332" s="620"/>
      <c r="F332" s="406"/>
      <c r="G332" s="398"/>
      <c r="H332" s="456"/>
      <c r="I332" s="407">
        <f>ROUND(H331/1000,4)+I330</f>
        <v>62.08649999999998</v>
      </c>
      <c r="J332" s="402" t="s">
        <v>50</v>
      </c>
      <c r="K332" s="398" t="s">
        <v>255</v>
      </c>
      <c r="L332" s="398" t="s">
        <v>255</v>
      </c>
      <c r="M332" s="398" t="s">
        <v>255</v>
      </c>
      <c r="N332" s="398"/>
      <c r="O332" s="398"/>
      <c r="P332" s="398"/>
    </row>
    <row r="333" spans="1:16" s="133" customFormat="1" ht="18.75" hidden="1" customHeight="1">
      <c r="A333" s="398"/>
      <c r="B333" s="398"/>
      <c r="C333" s="619"/>
      <c r="D333" s="451"/>
      <c r="E333" s="451"/>
      <c r="F333" s="401"/>
      <c r="G333" s="743" t="str">
        <f>C332</f>
        <v>30/0</v>
      </c>
      <c r="H333" s="454">
        <v>295.99299999999999</v>
      </c>
      <c r="I333" s="407"/>
      <c r="J333" s="404"/>
      <c r="K333" s="398"/>
      <c r="L333" s="398"/>
      <c r="M333" s="398"/>
      <c r="N333" s="398"/>
      <c r="O333" s="398"/>
      <c r="P333" s="398"/>
    </row>
    <row r="334" spans="1:16" s="133" customFormat="1" ht="18.75" customHeight="1">
      <c r="A334" s="398">
        <f>SUBTOTAL(103,$C$6:C334)</f>
        <v>165</v>
      </c>
      <c r="B334" s="398"/>
      <c r="C334" s="404" t="s">
        <v>26</v>
      </c>
      <c r="D334" s="620" t="s">
        <v>3</v>
      </c>
      <c r="E334" s="620"/>
      <c r="F334" s="406"/>
      <c r="G334" s="398"/>
      <c r="H334" s="456"/>
      <c r="I334" s="407">
        <f>ROUND(H333/1000,4)+I332</f>
        <v>62.382499999999979</v>
      </c>
      <c r="J334" s="402" t="s">
        <v>50</v>
      </c>
      <c r="K334" s="398" t="s">
        <v>255</v>
      </c>
      <c r="L334" s="398" t="s">
        <v>255</v>
      </c>
      <c r="M334" s="398" t="s">
        <v>255</v>
      </c>
      <c r="N334" s="398" t="str">
        <f>VLOOKUP(C334,'Tack Welding'!$D$5:$J$94,7,0)</f>
        <v xml:space="preserve">Completed </v>
      </c>
      <c r="O334" s="398" t="s">
        <v>962</v>
      </c>
      <c r="P334" s="398"/>
    </row>
    <row r="335" spans="1:16" s="133" customFormat="1" ht="18.75" hidden="1" customHeight="1">
      <c r="A335" s="398"/>
      <c r="B335" s="398"/>
      <c r="C335" s="619"/>
      <c r="D335" s="451"/>
      <c r="E335" s="451"/>
      <c r="F335" s="401"/>
      <c r="G335" s="743" t="str">
        <f>C334</f>
        <v>30/1</v>
      </c>
      <c r="H335" s="454">
        <v>425</v>
      </c>
      <c r="I335" s="407"/>
      <c r="J335" s="404"/>
      <c r="K335" s="398"/>
      <c r="L335" s="398"/>
      <c r="M335" s="398"/>
      <c r="N335" s="398"/>
      <c r="O335" s="398"/>
      <c r="P335" s="398"/>
    </row>
    <row r="336" spans="1:16" s="133" customFormat="1" ht="18.75" customHeight="1">
      <c r="A336" s="398">
        <f>SUBTOTAL(103,$C$6:C336)</f>
        <v>166</v>
      </c>
      <c r="B336" s="398"/>
      <c r="C336" s="404" t="s">
        <v>435</v>
      </c>
      <c r="D336" s="620" t="s">
        <v>49</v>
      </c>
      <c r="E336" s="620"/>
      <c r="F336" s="406"/>
      <c r="G336" s="398"/>
      <c r="H336" s="456"/>
      <c r="I336" s="407">
        <f>ROUND(H335/1000,4)+I334</f>
        <v>62.807499999999976</v>
      </c>
      <c r="J336" s="402" t="s">
        <v>50</v>
      </c>
      <c r="K336" s="398" t="s">
        <v>255</v>
      </c>
      <c r="L336" s="398" t="s">
        <v>255</v>
      </c>
      <c r="M336" s="398" t="s">
        <v>255</v>
      </c>
      <c r="N336" s="398"/>
      <c r="O336" s="398"/>
      <c r="P336" s="398"/>
    </row>
    <row r="337" spans="1:16" s="133" customFormat="1" ht="18.75" hidden="1" customHeight="1">
      <c r="A337" s="398"/>
      <c r="B337" s="398"/>
      <c r="C337" s="619"/>
      <c r="D337" s="451"/>
      <c r="E337" s="451"/>
      <c r="F337" s="401"/>
      <c r="G337" s="743" t="str">
        <f>C336</f>
        <v>30/2</v>
      </c>
      <c r="H337" s="454">
        <v>315</v>
      </c>
      <c r="I337" s="407"/>
      <c r="J337" s="404"/>
      <c r="K337" s="398"/>
      <c r="L337" s="398"/>
      <c r="M337" s="398"/>
      <c r="N337" s="398"/>
      <c r="O337" s="398"/>
      <c r="P337" s="398"/>
    </row>
    <row r="338" spans="1:16" s="133" customFormat="1" ht="18.75" customHeight="1">
      <c r="A338" s="398">
        <f>SUBTOTAL(103,$C$6:C338)</f>
        <v>167</v>
      </c>
      <c r="B338" s="398"/>
      <c r="C338" s="404" t="s">
        <v>436</v>
      </c>
      <c r="D338" s="620" t="s">
        <v>2</v>
      </c>
      <c r="E338" s="620"/>
      <c r="F338" s="406"/>
      <c r="G338" s="398"/>
      <c r="H338" s="456"/>
      <c r="I338" s="407">
        <f>ROUND(H337/1000,4)+I336</f>
        <v>63.122499999999974</v>
      </c>
      <c r="J338" s="402" t="s">
        <v>50</v>
      </c>
      <c r="K338" s="398" t="s">
        <v>255</v>
      </c>
      <c r="L338" s="398" t="s">
        <v>255</v>
      </c>
      <c r="M338" s="398" t="s">
        <v>255</v>
      </c>
      <c r="N338" s="398"/>
      <c r="O338" s="398"/>
      <c r="P338" s="398"/>
    </row>
    <row r="339" spans="1:16" s="133" customFormat="1" ht="18.75" hidden="1" customHeight="1">
      <c r="A339" s="398"/>
      <c r="B339" s="398"/>
      <c r="C339" s="619"/>
      <c r="D339" s="451"/>
      <c r="E339" s="451"/>
      <c r="F339" s="401"/>
      <c r="G339" s="743" t="str">
        <f>C338</f>
        <v>30/3</v>
      </c>
      <c r="H339" s="454">
        <v>380</v>
      </c>
      <c r="I339" s="407"/>
      <c r="J339" s="404"/>
      <c r="K339" s="398"/>
      <c r="L339" s="398"/>
      <c r="M339" s="398"/>
      <c r="N339" s="398"/>
      <c r="O339" s="398"/>
      <c r="P339" s="398"/>
    </row>
    <row r="340" spans="1:16" s="133" customFormat="1" ht="18.75" customHeight="1">
      <c r="A340" s="398">
        <f>SUBTOTAL(103,$C$6:C340)</f>
        <v>168</v>
      </c>
      <c r="B340" s="398"/>
      <c r="C340" s="404" t="s">
        <v>437</v>
      </c>
      <c r="D340" s="620" t="s">
        <v>49</v>
      </c>
      <c r="E340" s="620"/>
      <c r="F340" s="406"/>
      <c r="G340" s="398"/>
      <c r="H340" s="456"/>
      <c r="I340" s="407">
        <f>ROUND(H339/1000,4)+I338</f>
        <v>63.502499999999976</v>
      </c>
      <c r="J340" s="402" t="s">
        <v>50</v>
      </c>
      <c r="K340" s="398" t="s">
        <v>255</v>
      </c>
      <c r="L340" s="398" t="s">
        <v>255</v>
      </c>
      <c r="M340" s="398" t="s">
        <v>255</v>
      </c>
      <c r="N340" s="398"/>
      <c r="O340" s="398"/>
      <c r="P340" s="398"/>
    </row>
    <row r="341" spans="1:16" s="133" customFormat="1" ht="18.75" hidden="1" customHeight="1">
      <c r="A341" s="398"/>
      <c r="B341" s="398"/>
      <c r="C341" s="619"/>
      <c r="D341" s="451"/>
      <c r="E341" s="451"/>
      <c r="F341" s="401"/>
      <c r="G341" s="743" t="str">
        <f>C340</f>
        <v>30/4</v>
      </c>
      <c r="H341" s="454">
        <v>430</v>
      </c>
      <c r="I341" s="407"/>
      <c r="J341" s="404"/>
      <c r="K341" s="398"/>
      <c r="L341" s="398"/>
      <c r="M341" s="398"/>
      <c r="N341" s="398"/>
      <c r="O341" s="398"/>
      <c r="P341" s="398"/>
    </row>
    <row r="342" spans="1:16" s="133" customFormat="1" ht="18.75" customHeight="1">
      <c r="A342" s="398">
        <f>SUBTOTAL(103,$C$6:C342)</f>
        <v>169</v>
      </c>
      <c r="B342" s="398"/>
      <c r="C342" s="404" t="s">
        <v>438</v>
      </c>
      <c r="D342" s="620" t="s">
        <v>3</v>
      </c>
      <c r="E342" s="620"/>
      <c r="F342" s="406"/>
      <c r="G342" s="398"/>
      <c r="H342" s="456"/>
      <c r="I342" s="407">
        <f>ROUND(H341/1000,4)+I340</f>
        <v>63.932499999999976</v>
      </c>
      <c r="J342" s="402" t="s">
        <v>50</v>
      </c>
      <c r="K342" s="398" t="s">
        <v>255</v>
      </c>
      <c r="L342" s="398" t="s">
        <v>255</v>
      </c>
      <c r="M342" s="398" t="s">
        <v>255</v>
      </c>
      <c r="N342" s="398"/>
      <c r="O342" s="398"/>
      <c r="P342" s="398"/>
    </row>
    <row r="343" spans="1:16" s="133" customFormat="1" ht="18.75" hidden="1" customHeight="1">
      <c r="A343" s="398"/>
      <c r="B343" s="398"/>
      <c r="C343" s="619"/>
      <c r="D343" s="451"/>
      <c r="E343" s="451"/>
      <c r="F343" s="401"/>
      <c r="G343" s="743" t="str">
        <f>C342</f>
        <v>30/5</v>
      </c>
      <c r="H343" s="454">
        <v>380</v>
      </c>
      <c r="I343" s="407"/>
      <c r="J343" s="404"/>
      <c r="K343" s="398"/>
      <c r="L343" s="398"/>
      <c r="M343" s="398"/>
      <c r="N343" s="398"/>
      <c r="O343" s="398"/>
      <c r="P343" s="398"/>
    </row>
    <row r="344" spans="1:16" s="133" customFormat="1" ht="18.75" customHeight="1">
      <c r="A344" s="398">
        <f>SUBTOTAL(103,$C$6:C344)</f>
        <v>170</v>
      </c>
      <c r="B344" s="398"/>
      <c r="C344" s="404" t="s">
        <v>439</v>
      </c>
      <c r="D344" s="620" t="s">
        <v>79</v>
      </c>
      <c r="E344" s="620"/>
      <c r="F344" s="406"/>
      <c r="G344" s="398"/>
      <c r="H344" s="456"/>
      <c r="I344" s="407">
        <f>ROUND(H343/1000,4)+I342</f>
        <v>64.312499999999972</v>
      </c>
      <c r="J344" s="402" t="s">
        <v>50</v>
      </c>
      <c r="K344" s="398" t="s">
        <v>255</v>
      </c>
      <c r="L344" s="398" t="s">
        <v>255</v>
      </c>
      <c r="M344" s="398" t="s">
        <v>255</v>
      </c>
      <c r="N344" s="398"/>
      <c r="O344" s="398"/>
      <c r="P344" s="398"/>
    </row>
    <row r="345" spans="1:16" s="133" customFormat="1" ht="18.75" hidden="1" customHeight="1">
      <c r="A345" s="398"/>
      <c r="B345" s="398"/>
      <c r="C345" s="619"/>
      <c r="D345" s="451"/>
      <c r="E345" s="451"/>
      <c r="F345" s="401"/>
      <c r="G345" s="743" t="str">
        <f>C344</f>
        <v>30/6</v>
      </c>
      <c r="H345" s="454">
        <v>335</v>
      </c>
      <c r="I345" s="407"/>
      <c r="J345" s="404"/>
      <c r="K345" s="398"/>
      <c r="L345" s="398"/>
      <c r="M345" s="398"/>
      <c r="N345" s="398"/>
      <c r="O345" s="398"/>
      <c r="P345" s="398"/>
    </row>
    <row r="346" spans="1:16" s="133" customFormat="1" ht="18.75" customHeight="1">
      <c r="A346" s="398">
        <f>SUBTOTAL(103,$C$6:C346)</f>
        <v>171</v>
      </c>
      <c r="B346" s="398"/>
      <c r="C346" s="404" t="s">
        <v>440</v>
      </c>
      <c r="D346" s="620" t="s">
        <v>4</v>
      </c>
      <c r="E346" s="620"/>
      <c r="F346" s="406"/>
      <c r="G346" s="398"/>
      <c r="H346" s="456"/>
      <c r="I346" s="407">
        <f>ROUND(H345/1000,4)+I344</f>
        <v>64.647499999999965</v>
      </c>
      <c r="J346" s="402" t="s">
        <v>50</v>
      </c>
      <c r="K346" s="398" t="s">
        <v>255</v>
      </c>
      <c r="L346" s="398" t="s">
        <v>255</v>
      </c>
      <c r="M346" s="398" t="s">
        <v>255</v>
      </c>
      <c r="N346" s="398"/>
      <c r="O346" s="398"/>
      <c r="P346" s="398"/>
    </row>
    <row r="347" spans="1:16" s="133" customFormat="1" ht="18.75" hidden="1" customHeight="1">
      <c r="A347" s="398"/>
      <c r="B347" s="398"/>
      <c r="C347" s="619"/>
      <c r="D347" s="451"/>
      <c r="E347" s="451"/>
      <c r="F347" s="401"/>
      <c r="G347" s="743" t="str">
        <f>C346</f>
        <v>30/7</v>
      </c>
      <c r="H347" s="454">
        <v>395</v>
      </c>
      <c r="I347" s="407"/>
      <c r="J347" s="404"/>
      <c r="K347" s="398"/>
      <c r="L347" s="398"/>
      <c r="M347" s="398"/>
      <c r="N347" s="398"/>
      <c r="O347" s="398"/>
      <c r="P347" s="398"/>
    </row>
    <row r="348" spans="1:16" s="133" customFormat="1" ht="18.75" customHeight="1">
      <c r="A348" s="398">
        <f>SUBTOTAL(103,$C$6:C348)</f>
        <v>172</v>
      </c>
      <c r="B348" s="398"/>
      <c r="C348" s="404" t="s">
        <v>441</v>
      </c>
      <c r="D348" s="620" t="s">
        <v>2</v>
      </c>
      <c r="E348" s="620"/>
      <c r="F348" s="406"/>
      <c r="G348" s="398"/>
      <c r="H348" s="456"/>
      <c r="I348" s="407">
        <f>ROUND(H347/1000,4)+I346</f>
        <v>65.042499999999961</v>
      </c>
      <c r="J348" s="402" t="s">
        <v>50</v>
      </c>
      <c r="K348" s="398" t="s">
        <v>255</v>
      </c>
      <c r="L348" s="398" t="s">
        <v>255</v>
      </c>
      <c r="M348" s="398" t="s">
        <v>255</v>
      </c>
      <c r="N348" s="398"/>
      <c r="O348" s="398"/>
      <c r="P348" s="398"/>
    </row>
    <row r="349" spans="1:16" s="133" customFormat="1" ht="18.75" hidden="1" customHeight="1">
      <c r="A349" s="398"/>
      <c r="B349" s="398"/>
      <c r="C349" s="619"/>
      <c r="D349" s="451"/>
      <c r="E349" s="451"/>
      <c r="F349" s="401"/>
      <c r="G349" s="743" t="str">
        <f>C348</f>
        <v>30/8</v>
      </c>
      <c r="H349" s="454">
        <v>390</v>
      </c>
      <c r="I349" s="407"/>
      <c r="J349" s="404"/>
      <c r="K349" s="398"/>
      <c r="L349" s="398"/>
      <c r="M349" s="398"/>
      <c r="N349" s="398"/>
      <c r="O349" s="398"/>
      <c r="P349" s="398"/>
    </row>
    <row r="350" spans="1:16" s="133" customFormat="1" ht="18.75" customHeight="1">
      <c r="A350" s="398">
        <f>SUBTOTAL(103,$C$6:C350)</f>
        <v>173</v>
      </c>
      <c r="B350" s="398"/>
      <c r="C350" s="404" t="s">
        <v>442</v>
      </c>
      <c r="D350" s="620" t="s">
        <v>4</v>
      </c>
      <c r="E350" s="620"/>
      <c r="F350" s="406"/>
      <c r="G350" s="398"/>
      <c r="H350" s="456"/>
      <c r="I350" s="407">
        <f>ROUND(H349/1000,4)+I348</f>
        <v>65.432499999999962</v>
      </c>
      <c r="J350" s="402" t="s">
        <v>50</v>
      </c>
      <c r="K350" s="398" t="s">
        <v>255</v>
      </c>
      <c r="L350" s="398" t="s">
        <v>255</v>
      </c>
      <c r="M350" s="398" t="s">
        <v>255</v>
      </c>
      <c r="N350" s="398"/>
      <c r="O350" s="398"/>
      <c r="P350" s="398"/>
    </row>
    <row r="351" spans="1:16" s="133" customFormat="1" ht="18.75" hidden="1" customHeight="1">
      <c r="A351" s="398"/>
      <c r="B351" s="398"/>
      <c r="C351" s="619"/>
      <c r="D351" s="451"/>
      <c r="E351" s="451"/>
      <c r="F351" s="401"/>
      <c r="G351" s="743" t="str">
        <f>C350</f>
        <v>30/9</v>
      </c>
      <c r="H351" s="454">
        <v>350</v>
      </c>
      <c r="I351" s="407"/>
      <c r="J351" s="404"/>
      <c r="K351" s="398"/>
      <c r="L351" s="398"/>
      <c r="M351" s="398"/>
      <c r="N351" s="398"/>
      <c r="O351" s="398"/>
      <c r="P351" s="398"/>
    </row>
    <row r="352" spans="1:16" s="133" customFormat="1" ht="18.75" customHeight="1">
      <c r="A352" s="398">
        <f>SUBTOTAL(103,$C$6:C352)</f>
        <v>174</v>
      </c>
      <c r="B352" s="398"/>
      <c r="C352" s="404" t="s">
        <v>443</v>
      </c>
      <c r="D352" s="620" t="s">
        <v>2</v>
      </c>
      <c r="E352" s="620"/>
      <c r="F352" s="406"/>
      <c r="G352" s="398"/>
      <c r="H352" s="456"/>
      <c r="I352" s="407">
        <f>ROUND(H351/1000,4)+I350</f>
        <v>65.782499999999956</v>
      </c>
      <c r="J352" s="402" t="s">
        <v>50</v>
      </c>
      <c r="K352" s="398" t="s">
        <v>255</v>
      </c>
      <c r="L352" s="398" t="s">
        <v>255</v>
      </c>
      <c r="M352" s="398" t="s">
        <v>255</v>
      </c>
      <c r="N352" s="398"/>
      <c r="O352" s="398"/>
      <c r="P352" s="398"/>
    </row>
    <row r="353" spans="1:16" s="133" customFormat="1" ht="18.75" hidden="1" customHeight="1">
      <c r="A353" s="398"/>
      <c r="B353" s="398"/>
      <c r="C353" s="619"/>
      <c r="D353" s="451"/>
      <c r="E353" s="451"/>
      <c r="F353" s="401"/>
      <c r="G353" s="743" t="str">
        <f>C352</f>
        <v>30/10</v>
      </c>
      <c r="H353" s="454">
        <v>428.23899999999998</v>
      </c>
      <c r="I353" s="407"/>
      <c r="J353" s="404"/>
      <c r="K353" s="398"/>
      <c r="L353" s="398"/>
      <c r="M353" s="398"/>
      <c r="N353" s="398"/>
      <c r="O353" s="398"/>
      <c r="P353" s="398"/>
    </row>
    <row r="354" spans="1:16" s="133" customFormat="1" ht="18.75" customHeight="1">
      <c r="A354" s="398">
        <f>SUBTOTAL(103,$C$6:C354)</f>
        <v>175</v>
      </c>
      <c r="B354" s="399" t="s">
        <v>566</v>
      </c>
      <c r="C354" s="404" t="s">
        <v>9</v>
      </c>
      <c r="D354" s="620" t="s">
        <v>197</v>
      </c>
      <c r="E354" s="620"/>
      <c r="F354" s="406"/>
      <c r="G354" s="398"/>
      <c r="H354" s="456"/>
      <c r="I354" s="407">
        <f>ROUND(H353/1000,4)+I352</f>
        <v>66.21069999999996</v>
      </c>
      <c r="J354" s="402" t="s">
        <v>50</v>
      </c>
      <c r="K354" s="398" t="s">
        <v>255</v>
      </c>
      <c r="L354" s="398" t="s">
        <v>255</v>
      </c>
      <c r="M354" s="398" t="s">
        <v>255</v>
      </c>
      <c r="N354" s="398"/>
      <c r="O354" s="398"/>
      <c r="P354" s="398"/>
    </row>
    <row r="355" spans="1:16" s="133" customFormat="1" ht="18.75" hidden="1" customHeight="1">
      <c r="A355" s="398"/>
      <c r="B355" s="398"/>
      <c r="C355" s="619"/>
      <c r="D355" s="451"/>
      <c r="E355" s="451"/>
      <c r="F355" s="401"/>
      <c r="G355" s="743" t="str">
        <f>C354</f>
        <v>31/0</v>
      </c>
      <c r="H355" s="454">
        <v>376.76100000000002</v>
      </c>
      <c r="I355" s="407"/>
      <c r="J355" s="404"/>
      <c r="K355" s="398"/>
      <c r="L355" s="398"/>
      <c r="M355" s="398"/>
      <c r="N355" s="398"/>
      <c r="O355" s="398"/>
      <c r="P355" s="398"/>
    </row>
    <row r="356" spans="1:16" s="133" customFormat="1" ht="18.75" customHeight="1">
      <c r="A356" s="398">
        <f>SUBTOTAL(103,$C$6:C356)</f>
        <v>176</v>
      </c>
      <c r="B356" s="398"/>
      <c r="C356" s="404" t="s">
        <v>82</v>
      </c>
      <c r="D356" s="620" t="s">
        <v>2</v>
      </c>
      <c r="E356" s="620"/>
      <c r="F356" s="406"/>
      <c r="G356" s="398"/>
      <c r="H356" s="456"/>
      <c r="I356" s="407">
        <f>ROUND(H355/1000,4)+I354</f>
        <v>66.587499999999963</v>
      </c>
      <c r="J356" s="402" t="s">
        <v>50</v>
      </c>
      <c r="K356" s="398" t="s">
        <v>255</v>
      </c>
      <c r="L356" s="398" t="s">
        <v>255</v>
      </c>
      <c r="M356" s="398" t="s">
        <v>255</v>
      </c>
      <c r="N356" s="398"/>
      <c r="O356" s="398"/>
      <c r="P356" s="398"/>
    </row>
    <row r="357" spans="1:16" s="133" customFormat="1" ht="18.75" hidden="1" customHeight="1">
      <c r="A357" s="398"/>
      <c r="B357" s="398"/>
      <c r="C357" s="619"/>
      <c r="D357" s="451"/>
      <c r="E357" s="451"/>
      <c r="F357" s="401"/>
      <c r="G357" s="743" t="str">
        <f>C356</f>
        <v>31/1</v>
      </c>
      <c r="H357" s="454">
        <v>410</v>
      </c>
      <c r="I357" s="407"/>
      <c r="J357" s="404"/>
      <c r="K357" s="398"/>
      <c r="L357" s="398"/>
      <c r="M357" s="398"/>
      <c r="N357" s="398"/>
      <c r="O357" s="398"/>
      <c r="P357" s="398"/>
    </row>
    <row r="358" spans="1:16" s="133" customFormat="1" ht="18.75" customHeight="1">
      <c r="A358" s="398">
        <f>SUBTOTAL(103,$C$6:C358)</f>
        <v>177</v>
      </c>
      <c r="B358" s="398"/>
      <c r="C358" s="404" t="s">
        <v>163</v>
      </c>
      <c r="D358" s="620" t="s">
        <v>170</v>
      </c>
      <c r="E358" s="620"/>
      <c r="F358" s="406"/>
      <c r="G358" s="398"/>
      <c r="H358" s="456"/>
      <c r="I358" s="407">
        <f>ROUND(H357/1000,4)+I356</f>
        <v>66.99749999999996</v>
      </c>
      <c r="J358" s="402" t="s">
        <v>50</v>
      </c>
      <c r="K358" s="398" t="s">
        <v>255</v>
      </c>
      <c r="L358" s="398" t="s">
        <v>255</v>
      </c>
      <c r="M358" s="398" t="s">
        <v>255</v>
      </c>
      <c r="N358" s="398"/>
      <c r="O358" s="398"/>
      <c r="P358" s="398"/>
    </row>
    <row r="359" spans="1:16" s="133" customFormat="1" ht="18.75" hidden="1" customHeight="1">
      <c r="A359" s="398"/>
      <c r="B359" s="398"/>
      <c r="C359" s="619"/>
      <c r="D359" s="451"/>
      <c r="E359" s="451"/>
      <c r="F359" s="401"/>
      <c r="G359" s="743" t="str">
        <f>C358</f>
        <v>31/2</v>
      </c>
      <c r="H359" s="454">
        <v>430</v>
      </c>
      <c r="I359" s="407"/>
      <c r="J359" s="404"/>
      <c r="K359" s="398"/>
      <c r="L359" s="398"/>
      <c r="M359" s="398"/>
      <c r="N359" s="398"/>
      <c r="O359" s="398"/>
      <c r="P359" s="398"/>
    </row>
    <row r="360" spans="1:16" s="133" customFormat="1" ht="18.75" customHeight="1">
      <c r="A360" s="398">
        <f>SUBTOTAL(103,$C$6:C360)</f>
        <v>178</v>
      </c>
      <c r="B360" s="398"/>
      <c r="C360" s="404" t="s">
        <v>164</v>
      </c>
      <c r="D360" s="620" t="s">
        <v>2</v>
      </c>
      <c r="E360" s="620"/>
      <c r="F360" s="406"/>
      <c r="G360" s="398"/>
      <c r="H360" s="456"/>
      <c r="I360" s="407">
        <f>ROUND(H359/1000,4)+I358</f>
        <v>67.427499999999966</v>
      </c>
      <c r="J360" s="402" t="s">
        <v>50</v>
      </c>
      <c r="K360" s="398" t="s">
        <v>255</v>
      </c>
      <c r="L360" s="398" t="s">
        <v>255</v>
      </c>
      <c r="M360" s="398" t="s">
        <v>255</v>
      </c>
      <c r="N360" s="398"/>
      <c r="O360" s="398"/>
      <c r="P360" s="398"/>
    </row>
    <row r="361" spans="1:16" s="133" customFormat="1" ht="18.75" hidden="1" customHeight="1">
      <c r="A361" s="398"/>
      <c r="B361" s="398"/>
      <c r="C361" s="619"/>
      <c r="D361" s="451"/>
      <c r="E361" s="451"/>
      <c r="F361" s="401"/>
      <c r="G361" s="743" t="str">
        <f>C360</f>
        <v>31/3</v>
      </c>
      <c r="H361" s="454">
        <v>380</v>
      </c>
      <c r="I361" s="407"/>
      <c r="J361" s="404"/>
      <c r="K361" s="398"/>
      <c r="L361" s="398"/>
      <c r="M361" s="398"/>
      <c r="N361" s="398"/>
      <c r="O361" s="398"/>
      <c r="P361" s="398"/>
    </row>
    <row r="362" spans="1:16" s="133" customFormat="1" ht="18.75" customHeight="1">
      <c r="A362" s="398">
        <f>SUBTOTAL(103,$C$6:C362)</f>
        <v>179</v>
      </c>
      <c r="B362" s="398"/>
      <c r="C362" s="404" t="s">
        <v>444</v>
      </c>
      <c r="D362" s="620" t="s">
        <v>154</v>
      </c>
      <c r="E362" s="620"/>
      <c r="F362" s="406"/>
      <c r="G362" s="398"/>
      <c r="H362" s="456"/>
      <c r="I362" s="407">
        <f>ROUND(H361/1000,4)+I360</f>
        <v>67.807499999999962</v>
      </c>
      <c r="J362" s="402" t="s">
        <v>50</v>
      </c>
      <c r="K362" s="398" t="s">
        <v>255</v>
      </c>
      <c r="L362" s="398" t="s">
        <v>255</v>
      </c>
      <c r="M362" s="398" t="s">
        <v>255</v>
      </c>
      <c r="N362" s="398"/>
      <c r="O362" s="398"/>
      <c r="P362" s="398"/>
    </row>
    <row r="363" spans="1:16" s="133" customFormat="1" ht="18.75" hidden="1" customHeight="1">
      <c r="A363" s="398"/>
      <c r="B363" s="398"/>
      <c r="C363" s="619"/>
      <c r="D363" s="451"/>
      <c r="E363" s="451"/>
      <c r="F363" s="401"/>
      <c r="G363" s="743" t="str">
        <f>C362</f>
        <v>31/4</v>
      </c>
      <c r="H363" s="454">
        <v>445</v>
      </c>
      <c r="I363" s="407"/>
      <c r="J363" s="404"/>
      <c r="K363" s="398"/>
      <c r="L363" s="398"/>
      <c r="M363" s="398"/>
      <c r="N363" s="398"/>
      <c r="O363" s="398"/>
      <c r="P363" s="398"/>
    </row>
    <row r="364" spans="1:16" s="133" customFormat="1" ht="18.75" customHeight="1">
      <c r="A364" s="398">
        <f>SUBTOTAL(103,$C$6:C364)</f>
        <v>180</v>
      </c>
      <c r="B364" s="398"/>
      <c r="C364" s="404" t="s">
        <v>445</v>
      </c>
      <c r="D364" s="620" t="s">
        <v>79</v>
      </c>
      <c r="E364" s="620"/>
      <c r="F364" s="406"/>
      <c r="G364" s="398"/>
      <c r="H364" s="456"/>
      <c r="I364" s="407">
        <f>ROUND(H363/1000,4)+I362</f>
        <v>68.252499999999955</v>
      </c>
      <c r="J364" s="402" t="s">
        <v>50</v>
      </c>
      <c r="K364" s="398" t="s">
        <v>255</v>
      </c>
      <c r="L364" s="398" t="s">
        <v>255</v>
      </c>
      <c r="M364" s="398" t="s">
        <v>255</v>
      </c>
      <c r="N364" s="398"/>
      <c r="O364" s="398"/>
      <c r="P364" s="398"/>
    </row>
    <row r="365" spans="1:16" s="133" customFormat="1" ht="18.75" hidden="1" customHeight="1">
      <c r="A365" s="398"/>
      <c r="B365" s="398"/>
      <c r="C365" s="619"/>
      <c r="D365" s="451"/>
      <c r="E365" s="451"/>
      <c r="F365" s="401"/>
      <c r="G365" s="743" t="str">
        <f>C364</f>
        <v>31/5</v>
      </c>
      <c r="H365" s="454">
        <v>385</v>
      </c>
      <c r="I365" s="407"/>
      <c r="J365" s="404"/>
      <c r="K365" s="398"/>
      <c r="L365" s="398"/>
      <c r="M365" s="398"/>
      <c r="N365" s="398"/>
      <c r="O365" s="398"/>
      <c r="P365" s="398"/>
    </row>
    <row r="366" spans="1:16" s="133" customFormat="1" ht="18.75" customHeight="1">
      <c r="A366" s="398">
        <f>SUBTOTAL(103,$C$6:C366)</f>
        <v>181</v>
      </c>
      <c r="B366" s="398"/>
      <c r="C366" s="404" t="s">
        <v>446</v>
      </c>
      <c r="D366" s="620" t="s">
        <v>49</v>
      </c>
      <c r="E366" s="620"/>
      <c r="F366" s="406"/>
      <c r="G366" s="398"/>
      <c r="H366" s="456"/>
      <c r="I366" s="407">
        <f>ROUND(H365/1000,4)+I364</f>
        <v>68.63749999999996</v>
      </c>
      <c r="J366" s="402" t="s">
        <v>50</v>
      </c>
      <c r="K366" s="398" t="s">
        <v>255</v>
      </c>
      <c r="L366" s="398" t="s">
        <v>255</v>
      </c>
      <c r="M366" s="398" t="s">
        <v>255</v>
      </c>
      <c r="N366" s="398"/>
      <c r="O366" s="398"/>
      <c r="P366" s="398"/>
    </row>
    <row r="367" spans="1:16" s="133" customFormat="1" ht="18.75" hidden="1" customHeight="1">
      <c r="A367" s="398"/>
      <c r="B367" s="398"/>
      <c r="C367" s="619"/>
      <c r="D367" s="451"/>
      <c r="E367" s="451"/>
      <c r="F367" s="401"/>
      <c r="G367" s="743" t="str">
        <f>C366</f>
        <v>31/6</v>
      </c>
      <c r="H367" s="454">
        <v>420</v>
      </c>
      <c r="I367" s="407"/>
      <c r="J367" s="404"/>
      <c r="K367" s="398"/>
      <c r="L367" s="398"/>
      <c r="M367" s="398"/>
      <c r="N367" s="398"/>
      <c r="O367" s="398"/>
      <c r="P367" s="398"/>
    </row>
    <row r="368" spans="1:16" s="133" customFormat="1" ht="18.75" customHeight="1">
      <c r="A368" s="398">
        <f>SUBTOTAL(103,$C$6:C368)</f>
        <v>182</v>
      </c>
      <c r="B368" s="398"/>
      <c r="C368" s="404" t="s">
        <v>447</v>
      </c>
      <c r="D368" s="620" t="s">
        <v>3</v>
      </c>
      <c r="E368" s="620"/>
      <c r="F368" s="406"/>
      <c r="G368" s="398"/>
      <c r="H368" s="456"/>
      <c r="I368" s="407">
        <f>ROUND(H367/1000,4)+I366</f>
        <v>69.057499999999962</v>
      </c>
      <c r="J368" s="402" t="s">
        <v>50</v>
      </c>
      <c r="K368" s="398" t="s">
        <v>255</v>
      </c>
      <c r="L368" s="398" t="s">
        <v>255</v>
      </c>
      <c r="M368" s="398" t="s">
        <v>255</v>
      </c>
      <c r="N368" s="398"/>
      <c r="O368" s="398"/>
      <c r="P368" s="398"/>
    </row>
    <row r="369" spans="1:16" s="133" customFormat="1" ht="18.75" hidden="1" customHeight="1">
      <c r="A369" s="398"/>
      <c r="B369" s="398"/>
      <c r="C369" s="619"/>
      <c r="D369" s="451"/>
      <c r="E369" s="451"/>
      <c r="F369" s="401"/>
      <c r="G369" s="743" t="str">
        <f>C368</f>
        <v>31/7</v>
      </c>
      <c r="H369" s="454">
        <v>415</v>
      </c>
      <c r="I369" s="407"/>
      <c r="J369" s="404"/>
      <c r="K369" s="398"/>
      <c r="L369" s="398"/>
      <c r="M369" s="398"/>
      <c r="N369" s="398"/>
      <c r="O369" s="398"/>
      <c r="P369" s="398"/>
    </row>
    <row r="370" spans="1:16" s="133" customFormat="1" ht="18.75" customHeight="1">
      <c r="A370" s="398">
        <f>SUBTOTAL(103,$C$6:C370)</f>
        <v>183</v>
      </c>
      <c r="B370" s="398"/>
      <c r="C370" s="404" t="s">
        <v>448</v>
      </c>
      <c r="D370" s="620" t="s">
        <v>3</v>
      </c>
      <c r="E370" s="620"/>
      <c r="F370" s="406"/>
      <c r="G370" s="398"/>
      <c r="H370" s="456"/>
      <c r="I370" s="407">
        <f>ROUND(H369/1000,4)+I368</f>
        <v>69.472499999999968</v>
      </c>
      <c r="J370" s="402" t="s">
        <v>50</v>
      </c>
      <c r="K370" s="398" t="s">
        <v>255</v>
      </c>
      <c r="L370" s="398" t="s">
        <v>255</v>
      </c>
      <c r="M370" s="398" t="s">
        <v>255</v>
      </c>
      <c r="N370" s="398"/>
      <c r="O370" s="398"/>
      <c r="P370" s="398"/>
    </row>
    <row r="371" spans="1:16" s="133" customFormat="1" ht="18.75" hidden="1" customHeight="1">
      <c r="A371" s="398"/>
      <c r="B371" s="398"/>
      <c r="C371" s="619"/>
      <c r="D371" s="451"/>
      <c r="E371" s="451"/>
      <c r="F371" s="401"/>
      <c r="G371" s="743" t="str">
        <f>C370</f>
        <v>31/8</v>
      </c>
      <c r="H371" s="454">
        <v>310</v>
      </c>
      <c r="I371" s="407"/>
      <c r="J371" s="404"/>
      <c r="K371" s="398"/>
      <c r="L371" s="398"/>
      <c r="M371" s="398"/>
      <c r="N371" s="398"/>
      <c r="O371" s="398"/>
      <c r="P371" s="398"/>
    </row>
    <row r="372" spans="1:16" s="133" customFormat="1" ht="18.75" customHeight="1">
      <c r="A372" s="398">
        <f>SUBTOTAL(103,$C$6:C372)</f>
        <v>184</v>
      </c>
      <c r="B372" s="398"/>
      <c r="C372" s="404" t="s">
        <v>449</v>
      </c>
      <c r="D372" s="620" t="s">
        <v>170</v>
      </c>
      <c r="E372" s="620"/>
      <c r="F372" s="406"/>
      <c r="G372" s="398"/>
      <c r="H372" s="456"/>
      <c r="I372" s="407">
        <f>ROUND(H371/1000,4)+I370</f>
        <v>69.78249999999997</v>
      </c>
      <c r="J372" s="402" t="s">
        <v>50</v>
      </c>
      <c r="K372" s="398" t="s">
        <v>255</v>
      </c>
      <c r="L372" s="398" t="s">
        <v>255</v>
      </c>
      <c r="M372" s="398" t="s">
        <v>255</v>
      </c>
      <c r="N372" s="398"/>
      <c r="O372" s="398"/>
      <c r="P372" s="398"/>
    </row>
    <row r="373" spans="1:16" s="133" customFormat="1" ht="18.75" hidden="1" customHeight="1">
      <c r="A373" s="398"/>
      <c r="B373" s="398"/>
      <c r="C373" s="619"/>
      <c r="D373" s="451"/>
      <c r="E373" s="451"/>
      <c r="F373" s="401"/>
      <c r="G373" s="743" t="str">
        <f>C372</f>
        <v>31/9</v>
      </c>
      <c r="H373" s="454">
        <v>445</v>
      </c>
      <c r="I373" s="407"/>
      <c r="J373" s="404"/>
      <c r="K373" s="398"/>
      <c r="L373" s="398"/>
      <c r="M373" s="398"/>
      <c r="N373" s="398"/>
      <c r="O373" s="398"/>
      <c r="P373" s="398"/>
    </row>
    <row r="374" spans="1:16" s="133" customFormat="1" ht="18.75" customHeight="1">
      <c r="A374" s="398">
        <f>SUBTOTAL(103,$C$6:C374)</f>
        <v>185</v>
      </c>
      <c r="B374" s="398"/>
      <c r="C374" s="404" t="s">
        <v>450</v>
      </c>
      <c r="D374" s="620" t="s">
        <v>987</v>
      </c>
      <c r="E374" s="620"/>
      <c r="F374" s="406"/>
      <c r="G374" s="398"/>
      <c r="H374" s="456"/>
      <c r="I374" s="407">
        <f>ROUND(H373/1000,4)+I372</f>
        <v>70.227499999999964</v>
      </c>
      <c r="J374" s="402" t="s">
        <v>50</v>
      </c>
      <c r="K374" s="398" t="s">
        <v>255</v>
      </c>
      <c r="L374" s="398" t="s">
        <v>255</v>
      </c>
      <c r="M374" s="398" t="s">
        <v>255</v>
      </c>
      <c r="N374" s="398"/>
      <c r="O374" s="398" t="s">
        <v>962</v>
      </c>
      <c r="P374" s="398"/>
    </row>
    <row r="375" spans="1:16" s="133" customFormat="1" ht="18.75" hidden="1" customHeight="1">
      <c r="A375" s="398"/>
      <c r="B375" s="398"/>
      <c r="C375" s="619"/>
      <c r="D375" s="451"/>
      <c r="E375" s="451"/>
      <c r="F375" s="401"/>
      <c r="G375" s="743" t="str">
        <f>C374</f>
        <v>31/10</v>
      </c>
      <c r="H375" s="454">
        <v>316.608</v>
      </c>
      <c r="I375" s="407"/>
      <c r="J375" s="404"/>
      <c r="K375" s="398"/>
      <c r="L375" s="398"/>
      <c r="M375" s="398"/>
      <c r="N375" s="398"/>
      <c r="O375" s="398"/>
      <c r="P375" s="398"/>
    </row>
    <row r="376" spans="1:16" s="133" customFormat="1" ht="18.75" customHeight="1">
      <c r="A376" s="398">
        <f>SUBTOTAL(103,$C$6:C376)</f>
        <v>186</v>
      </c>
      <c r="B376" s="399" t="s">
        <v>567</v>
      </c>
      <c r="C376" s="404" t="s">
        <v>10</v>
      </c>
      <c r="D376" s="620" t="s">
        <v>184</v>
      </c>
      <c r="E376" s="620"/>
      <c r="F376" s="406"/>
      <c r="G376" s="398"/>
      <c r="H376" s="456"/>
      <c r="I376" s="407">
        <f>ROUND(H375/1000,4)+I374</f>
        <v>70.544099999999958</v>
      </c>
      <c r="J376" s="402" t="s">
        <v>50</v>
      </c>
      <c r="K376" s="398" t="s">
        <v>255</v>
      </c>
      <c r="L376" s="398" t="s">
        <v>255</v>
      </c>
      <c r="M376" s="398" t="s">
        <v>255</v>
      </c>
      <c r="N376" s="398" t="s">
        <v>962</v>
      </c>
      <c r="O376" s="398"/>
      <c r="P376" s="398"/>
    </row>
    <row r="377" spans="1:16" s="133" customFormat="1" ht="18.75" hidden="1" customHeight="1">
      <c r="A377" s="398"/>
      <c r="B377" s="398"/>
      <c r="C377" s="619"/>
      <c r="D377" s="451"/>
      <c r="E377" s="451"/>
      <c r="F377" s="401"/>
      <c r="G377" s="743" t="str">
        <f>C376</f>
        <v>32/0</v>
      </c>
      <c r="H377" s="454">
        <v>385.51</v>
      </c>
      <c r="I377" s="407"/>
      <c r="J377" s="404"/>
      <c r="K377" s="398"/>
      <c r="L377" s="398"/>
      <c r="M377" s="398"/>
      <c r="N377" s="398"/>
      <c r="O377" s="398"/>
      <c r="P377" s="398"/>
    </row>
    <row r="378" spans="1:16" s="133" customFormat="1" ht="18.75" customHeight="1">
      <c r="A378" s="398">
        <f>SUBTOTAL(103,$C$6:C378)</f>
        <v>187</v>
      </c>
      <c r="B378" s="398"/>
      <c r="C378" s="404" t="s">
        <v>66</v>
      </c>
      <c r="D378" s="620" t="s">
        <v>79</v>
      </c>
      <c r="E378" s="620"/>
      <c r="F378" s="406"/>
      <c r="G378" s="398"/>
      <c r="H378" s="454"/>
      <c r="I378" s="407">
        <f>ROUND(H377/1000,4)+I376</f>
        <v>70.929599999999951</v>
      </c>
      <c r="J378" s="402" t="s">
        <v>50</v>
      </c>
      <c r="K378" s="398" t="s">
        <v>255</v>
      </c>
      <c r="L378" s="398" t="s">
        <v>255</v>
      </c>
      <c r="M378" s="398" t="s">
        <v>255</v>
      </c>
      <c r="N378" s="398"/>
      <c r="O378" s="398"/>
      <c r="P378" s="398"/>
    </row>
    <row r="379" spans="1:16" s="133" customFormat="1" ht="18.75" hidden="1" customHeight="1">
      <c r="A379" s="398"/>
      <c r="B379" s="398"/>
      <c r="C379" s="619"/>
      <c r="D379" s="451"/>
      <c r="E379" s="451"/>
      <c r="F379" s="401"/>
      <c r="G379" s="743" t="str">
        <f>C378</f>
        <v>32/1</v>
      </c>
      <c r="H379" s="454">
        <v>410</v>
      </c>
      <c r="I379" s="407"/>
      <c r="J379" s="404"/>
      <c r="K379" s="398"/>
      <c r="L379" s="398"/>
      <c r="M379" s="398"/>
      <c r="N379" s="398"/>
      <c r="O379" s="398"/>
      <c r="P379" s="398"/>
    </row>
    <row r="380" spans="1:16" s="133" customFormat="1" ht="18.75" customHeight="1">
      <c r="A380" s="398">
        <f>SUBTOTAL(103,$C$6:C380)</f>
        <v>188</v>
      </c>
      <c r="B380" s="398"/>
      <c r="C380" s="404" t="s">
        <v>165</v>
      </c>
      <c r="D380" s="620" t="s">
        <v>49</v>
      </c>
      <c r="E380" s="620"/>
      <c r="F380" s="406"/>
      <c r="G380" s="398"/>
      <c r="H380" s="454"/>
      <c r="I380" s="407">
        <f>ROUND(H379/1000,4)+I378</f>
        <v>71.339599999999947</v>
      </c>
      <c r="J380" s="402" t="s">
        <v>50</v>
      </c>
      <c r="K380" s="398" t="s">
        <v>255</v>
      </c>
      <c r="L380" s="398" t="s">
        <v>255</v>
      </c>
      <c r="M380" s="398" t="s">
        <v>255</v>
      </c>
      <c r="N380" s="398"/>
      <c r="O380" s="398"/>
      <c r="P380" s="398"/>
    </row>
    <row r="381" spans="1:16" s="133" customFormat="1" ht="18.75" hidden="1" customHeight="1">
      <c r="A381" s="398"/>
      <c r="B381" s="398"/>
      <c r="C381" s="619"/>
      <c r="D381" s="451"/>
      <c r="E381" s="451"/>
      <c r="F381" s="401"/>
      <c r="G381" s="743" t="str">
        <f>C380</f>
        <v>32/2</v>
      </c>
      <c r="H381" s="454">
        <v>390</v>
      </c>
      <c r="I381" s="407"/>
      <c r="J381" s="404"/>
      <c r="K381" s="398"/>
      <c r="L381" s="398"/>
      <c r="M381" s="398"/>
      <c r="N381" s="398"/>
      <c r="O381" s="398"/>
      <c r="P381" s="398"/>
    </row>
    <row r="382" spans="1:16" s="133" customFormat="1" ht="18.75" customHeight="1">
      <c r="A382" s="398">
        <f>SUBTOTAL(103,$C$6:C382)</f>
        <v>189</v>
      </c>
      <c r="B382" s="398"/>
      <c r="C382" s="404" t="s">
        <v>873</v>
      </c>
      <c r="D382" s="620" t="s">
        <v>79</v>
      </c>
      <c r="E382" s="620"/>
      <c r="F382" s="406"/>
      <c r="G382" s="398"/>
      <c r="H382" s="454"/>
      <c r="I382" s="407">
        <f>ROUND(H381/1000,4)+I380</f>
        <v>71.729599999999948</v>
      </c>
      <c r="J382" s="402" t="s">
        <v>50</v>
      </c>
      <c r="K382" s="398" t="s">
        <v>255</v>
      </c>
      <c r="L382" s="398" t="s">
        <v>255</v>
      </c>
      <c r="M382" s="398" t="s">
        <v>255</v>
      </c>
      <c r="N382" s="398" t="s">
        <v>962</v>
      </c>
      <c r="O382" s="398"/>
      <c r="P382" s="398"/>
    </row>
    <row r="383" spans="1:16" s="133" customFormat="1" ht="18.75" hidden="1" customHeight="1">
      <c r="A383" s="398"/>
      <c r="B383" s="398"/>
      <c r="C383" s="619"/>
      <c r="D383" s="451"/>
      <c r="E383" s="451"/>
      <c r="F383" s="401"/>
      <c r="G383" s="743" t="str">
        <f>C382</f>
        <v>32/3</v>
      </c>
      <c r="H383" s="454">
        <v>450</v>
      </c>
      <c r="I383" s="407"/>
      <c r="J383" s="404"/>
      <c r="K383" s="398"/>
      <c r="L383" s="398"/>
      <c r="M383" s="398"/>
      <c r="N383" s="398"/>
      <c r="O383" s="398"/>
      <c r="P383" s="398"/>
    </row>
    <row r="384" spans="1:16" s="133" customFormat="1" ht="18.75" customHeight="1">
      <c r="A384" s="398">
        <f>SUBTOTAL(103,$C$6:C384)</f>
        <v>190</v>
      </c>
      <c r="B384" s="398"/>
      <c r="C384" s="404" t="s">
        <v>874</v>
      </c>
      <c r="D384" s="620" t="s">
        <v>49</v>
      </c>
      <c r="E384" s="620"/>
      <c r="F384" s="406"/>
      <c r="G384" s="398"/>
      <c r="H384" s="454"/>
      <c r="I384" s="407">
        <f>ROUND(H383/1000,4)+I382</f>
        <v>72.179599999999951</v>
      </c>
      <c r="J384" s="402" t="s">
        <v>50</v>
      </c>
      <c r="K384" s="398" t="s">
        <v>255</v>
      </c>
      <c r="L384" s="398" t="s">
        <v>255</v>
      </c>
      <c r="M384" s="398" t="s">
        <v>255</v>
      </c>
      <c r="N384" s="398" t="s">
        <v>962</v>
      </c>
      <c r="O384" s="398"/>
      <c r="P384" s="398"/>
    </row>
    <row r="385" spans="1:16" s="133" customFormat="1" ht="18.75" hidden="1" customHeight="1">
      <c r="A385" s="398"/>
      <c r="B385" s="398"/>
      <c r="C385" s="619"/>
      <c r="D385" s="451"/>
      <c r="E385" s="451"/>
      <c r="F385" s="401"/>
      <c r="G385" s="743" t="str">
        <f>C384</f>
        <v>32/4</v>
      </c>
      <c r="H385" s="454">
        <v>370</v>
      </c>
      <c r="I385" s="407"/>
      <c r="J385" s="404"/>
      <c r="K385" s="398"/>
      <c r="L385" s="398"/>
      <c r="M385" s="398"/>
      <c r="N385" s="398"/>
      <c r="O385" s="398"/>
      <c r="P385" s="398"/>
    </row>
    <row r="386" spans="1:16" s="133" customFormat="1" ht="18.75" customHeight="1">
      <c r="A386" s="398">
        <f>SUBTOTAL(103,$C$6:C386)</f>
        <v>191</v>
      </c>
      <c r="B386" s="398"/>
      <c r="C386" s="404" t="s">
        <v>875</v>
      </c>
      <c r="D386" s="620" t="s">
        <v>49</v>
      </c>
      <c r="E386" s="620"/>
      <c r="F386" s="406">
        <v>2</v>
      </c>
      <c r="G386" s="398"/>
      <c r="H386" s="454"/>
      <c r="I386" s="407">
        <f>ROUND(H385/1000,4)+I384</f>
        <v>72.549599999999955</v>
      </c>
      <c r="J386" s="402" t="s">
        <v>50</v>
      </c>
      <c r="K386" s="398" t="s">
        <v>255</v>
      </c>
      <c r="L386" s="398" t="s">
        <v>255</v>
      </c>
      <c r="M386" s="398" t="s">
        <v>255</v>
      </c>
      <c r="N386" s="398" t="s">
        <v>962</v>
      </c>
      <c r="O386" s="398"/>
      <c r="P386" s="398"/>
    </row>
    <row r="387" spans="1:16" s="133" customFormat="1" ht="18.75" hidden="1" customHeight="1">
      <c r="A387" s="398"/>
      <c r="B387" s="398"/>
      <c r="C387" s="619"/>
      <c r="D387" s="451"/>
      <c r="E387" s="451"/>
      <c r="F387" s="401"/>
      <c r="G387" s="743" t="str">
        <f>C386</f>
        <v>32/5</v>
      </c>
      <c r="H387" s="454">
        <v>439</v>
      </c>
      <c r="I387" s="407"/>
      <c r="J387" s="404"/>
      <c r="K387" s="398"/>
      <c r="L387" s="398"/>
      <c r="M387" s="398"/>
      <c r="N387" s="398"/>
      <c r="O387" s="398"/>
      <c r="P387" s="398"/>
    </row>
    <row r="388" spans="1:16" s="133" customFormat="1" ht="18.75" customHeight="1">
      <c r="A388" s="398">
        <f>SUBTOTAL(103,$C$6:C388)</f>
        <v>192</v>
      </c>
      <c r="B388" s="398"/>
      <c r="C388" s="404" t="s">
        <v>876</v>
      </c>
      <c r="D388" s="620" t="s">
        <v>49</v>
      </c>
      <c r="E388" s="620"/>
      <c r="F388" s="406">
        <v>2</v>
      </c>
      <c r="G388" s="398"/>
      <c r="H388" s="454"/>
      <c r="I388" s="407">
        <f>ROUND(H387/1000,4)+I386</f>
        <v>72.988599999999948</v>
      </c>
      <c r="J388" s="402" t="s">
        <v>50</v>
      </c>
      <c r="K388" s="398" t="s">
        <v>255</v>
      </c>
      <c r="L388" s="398" t="s">
        <v>255</v>
      </c>
      <c r="M388" s="398" t="s">
        <v>255</v>
      </c>
      <c r="N388" s="398" t="s">
        <v>962</v>
      </c>
      <c r="O388" s="398"/>
      <c r="P388" s="398"/>
    </row>
    <row r="389" spans="1:16" s="133" customFormat="1" ht="18.75" hidden="1" customHeight="1">
      <c r="A389" s="398"/>
      <c r="B389" s="398"/>
      <c r="C389" s="619"/>
      <c r="D389" s="451"/>
      <c r="E389" s="451"/>
      <c r="F389" s="401"/>
      <c r="G389" s="743" t="str">
        <f>C388</f>
        <v>32/6</v>
      </c>
      <c r="H389" s="454">
        <v>360</v>
      </c>
      <c r="I389" s="407"/>
      <c r="J389" s="404"/>
      <c r="K389" s="398"/>
      <c r="L389" s="398"/>
      <c r="M389" s="398"/>
      <c r="N389" s="398"/>
      <c r="O389" s="398"/>
      <c r="P389" s="398"/>
    </row>
    <row r="390" spans="1:16" s="133" customFormat="1" ht="18.75" customHeight="1">
      <c r="A390" s="398">
        <f>SUBTOTAL(103,$C$6:C390)</f>
        <v>193</v>
      </c>
      <c r="B390" s="398"/>
      <c r="C390" s="404" t="s">
        <v>877</v>
      </c>
      <c r="D390" s="620" t="s">
        <v>2</v>
      </c>
      <c r="E390" s="620"/>
      <c r="F390" s="406"/>
      <c r="G390" s="398"/>
      <c r="H390" s="454"/>
      <c r="I390" s="407">
        <f>ROUND(H389/1000,4)+I388</f>
        <v>73.348599999999948</v>
      </c>
      <c r="J390" s="402" t="s">
        <v>50</v>
      </c>
      <c r="K390" s="398" t="s">
        <v>255</v>
      </c>
      <c r="L390" s="398" t="s">
        <v>255</v>
      </c>
      <c r="M390" s="398" t="s">
        <v>255</v>
      </c>
      <c r="N390" s="398" t="s">
        <v>962</v>
      </c>
      <c r="O390" s="398"/>
      <c r="P390" s="398"/>
    </row>
    <row r="391" spans="1:16" s="133" customFormat="1" ht="18.75" hidden="1" customHeight="1">
      <c r="A391" s="398"/>
      <c r="B391" s="398"/>
      <c r="C391" s="619"/>
      <c r="D391" s="451"/>
      <c r="E391" s="451"/>
      <c r="F391" s="401"/>
      <c r="G391" s="743" t="str">
        <f>C390</f>
        <v>32/7</v>
      </c>
      <c r="H391" s="454">
        <v>479</v>
      </c>
      <c r="I391" s="407"/>
      <c r="J391" s="404"/>
      <c r="K391" s="398"/>
      <c r="L391" s="398"/>
      <c r="M391" s="398"/>
      <c r="N391" s="398"/>
      <c r="O391" s="398"/>
      <c r="P391" s="398"/>
    </row>
    <row r="392" spans="1:16" s="133" customFormat="1" ht="18.75" customHeight="1">
      <c r="A392" s="398">
        <f>SUBTOTAL(103,$C$6:C392)</f>
        <v>194</v>
      </c>
      <c r="B392" s="399" t="s">
        <v>905</v>
      </c>
      <c r="C392" s="404" t="s">
        <v>773</v>
      </c>
      <c r="D392" s="620" t="s">
        <v>211</v>
      </c>
      <c r="E392" s="620"/>
      <c r="F392" s="401"/>
      <c r="G392" s="398"/>
      <c r="H392" s="454"/>
      <c r="I392" s="407">
        <f>ROUND(H391/1000,4)+I390</f>
        <v>73.827599999999947</v>
      </c>
      <c r="J392" s="402" t="s">
        <v>50</v>
      </c>
      <c r="K392" s="398" t="s">
        <v>255</v>
      </c>
      <c r="L392" s="398" t="s">
        <v>255</v>
      </c>
      <c r="M392" s="398" t="s">
        <v>255</v>
      </c>
      <c r="N392" s="398" t="s">
        <v>962</v>
      </c>
      <c r="O392" s="398"/>
      <c r="P392" s="398"/>
    </row>
    <row r="393" spans="1:16" s="133" customFormat="1" ht="18.75" hidden="1" customHeight="1">
      <c r="A393" s="398"/>
      <c r="B393" s="398"/>
      <c r="C393" s="619"/>
      <c r="D393" s="451"/>
      <c r="E393" s="451"/>
      <c r="F393" s="401"/>
      <c r="G393" s="743" t="str">
        <f>C392</f>
        <v>32A/0</v>
      </c>
      <c r="H393" s="454">
        <v>402</v>
      </c>
      <c r="I393" s="407"/>
      <c r="J393" s="404"/>
      <c r="K393" s="398"/>
      <c r="L393" s="398"/>
      <c r="M393" s="398"/>
      <c r="N393" s="398"/>
      <c r="O393" s="398"/>
      <c r="P393" s="398"/>
    </row>
    <row r="394" spans="1:16" s="133" customFormat="1" ht="18.75" customHeight="1">
      <c r="A394" s="398">
        <f>SUBTOTAL(103,$C$6:C394)</f>
        <v>195</v>
      </c>
      <c r="B394" s="398"/>
      <c r="C394" s="404" t="s">
        <v>774</v>
      </c>
      <c r="D394" s="620" t="s">
        <v>79</v>
      </c>
      <c r="E394" s="620"/>
      <c r="F394" s="406"/>
      <c r="G394" s="398"/>
      <c r="H394" s="454"/>
      <c r="I394" s="407">
        <f>ROUND(H393/1000,4)+I392</f>
        <v>74.229599999999948</v>
      </c>
      <c r="J394" s="402" t="s">
        <v>50</v>
      </c>
      <c r="K394" s="398" t="s">
        <v>255</v>
      </c>
      <c r="L394" s="398" t="s">
        <v>255</v>
      </c>
      <c r="M394" s="398" t="s">
        <v>255</v>
      </c>
      <c r="N394" s="398"/>
      <c r="O394" s="398"/>
      <c r="P394" s="398"/>
    </row>
    <row r="395" spans="1:16" s="133" customFormat="1" ht="18.75" hidden="1" customHeight="1">
      <c r="A395" s="398"/>
      <c r="B395" s="398"/>
      <c r="C395" s="619"/>
      <c r="D395" s="451"/>
      <c r="E395" s="451"/>
      <c r="F395" s="401"/>
      <c r="G395" s="743" t="str">
        <f>C394</f>
        <v>32A/1</v>
      </c>
      <c r="H395" s="454">
        <v>438.43900000000002</v>
      </c>
      <c r="I395" s="407"/>
      <c r="J395" s="404"/>
      <c r="K395" s="398"/>
      <c r="L395" s="398"/>
      <c r="M395" s="398"/>
      <c r="N395" s="398"/>
      <c r="O395" s="398"/>
      <c r="P395" s="398"/>
    </row>
    <row r="396" spans="1:16" s="133" customFormat="1" ht="18.75" customHeight="1">
      <c r="A396" s="398">
        <f>SUBTOTAL(103,$C$6:C396)</f>
        <v>196</v>
      </c>
      <c r="B396" s="399" t="s">
        <v>568</v>
      </c>
      <c r="C396" s="404" t="s">
        <v>67</v>
      </c>
      <c r="D396" s="620" t="s">
        <v>211</v>
      </c>
      <c r="E396" s="620"/>
      <c r="F396" s="406">
        <v>2</v>
      </c>
      <c r="G396" s="400"/>
      <c r="H396" s="454"/>
      <c r="I396" s="407">
        <f>ROUND(H395/1000,4)+I394</f>
        <v>74.66799999999995</v>
      </c>
      <c r="J396" s="402" t="s">
        <v>50</v>
      </c>
      <c r="K396" s="398" t="s">
        <v>255</v>
      </c>
      <c r="L396" s="398" t="s">
        <v>255</v>
      </c>
      <c r="M396" s="398" t="s">
        <v>255</v>
      </c>
      <c r="N396" s="398"/>
      <c r="O396" s="398" t="s">
        <v>962</v>
      </c>
      <c r="P396" s="398"/>
    </row>
    <row r="397" spans="1:16" s="133" customFormat="1" ht="18.75" hidden="1" customHeight="1">
      <c r="A397" s="398"/>
      <c r="B397" s="398"/>
      <c r="C397" s="619"/>
      <c r="D397" s="451"/>
      <c r="E397" s="451"/>
      <c r="F397" s="401"/>
      <c r="G397" s="743" t="str">
        <f>C396</f>
        <v>33/0</v>
      </c>
      <c r="H397" s="457">
        <v>430.56</v>
      </c>
      <c r="I397" s="407"/>
      <c r="J397" s="404"/>
      <c r="K397" s="398"/>
      <c r="L397" s="398"/>
      <c r="M397" s="398"/>
      <c r="N397" s="398"/>
      <c r="O397" s="398"/>
      <c r="P397" s="398"/>
    </row>
    <row r="398" spans="1:16" s="133" customFormat="1" ht="18.75" customHeight="1">
      <c r="A398" s="398">
        <f>SUBTOTAL(103,$C$6:C398)</f>
        <v>197</v>
      </c>
      <c r="B398" s="398"/>
      <c r="C398" s="404" t="s">
        <v>68</v>
      </c>
      <c r="D398" s="620" t="s">
        <v>49</v>
      </c>
      <c r="E398" s="620"/>
      <c r="F398" s="406">
        <v>2</v>
      </c>
      <c r="G398" s="398"/>
      <c r="H398" s="454"/>
      <c r="I398" s="407">
        <f>ROUND(H397/1000,4)+I396</f>
        <v>75.098599999999948</v>
      </c>
      <c r="J398" s="402" t="s">
        <v>50</v>
      </c>
      <c r="K398" s="398" t="s">
        <v>255</v>
      </c>
      <c r="L398" s="398" t="s">
        <v>255</v>
      </c>
      <c r="M398" s="398" t="s">
        <v>255</v>
      </c>
      <c r="N398" s="398"/>
      <c r="O398" s="398"/>
      <c r="P398" s="398"/>
    </row>
    <row r="399" spans="1:16" s="133" customFormat="1" ht="18.75" hidden="1" customHeight="1">
      <c r="A399" s="398"/>
      <c r="B399" s="398"/>
      <c r="C399" s="619"/>
      <c r="D399" s="451"/>
      <c r="E399" s="451"/>
      <c r="F399" s="401"/>
      <c r="G399" s="743" t="str">
        <f>C398</f>
        <v>33/1</v>
      </c>
      <c r="H399" s="454">
        <v>406</v>
      </c>
      <c r="I399" s="407"/>
      <c r="J399" s="404"/>
      <c r="K399" s="398"/>
      <c r="L399" s="398"/>
      <c r="M399" s="398"/>
      <c r="N399" s="398"/>
      <c r="O399" s="398"/>
      <c r="P399" s="398"/>
    </row>
    <row r="400" spans="1:16" s="133" customFormat="1" ht="18.75" customHeight="1">
      <c r="A400" s="398">
        <f>SUBTOTAL(103,$C$6:C400)</f>
        <v>198</v>
      </c>
      <c r="B400" s="398"/>
      <c r="C400" s="404" t="s">
        <v>69</v>
      </c>
      <c r="D400" s="620" t="s">
        <v>49</v>
      </c>
      <c r="E400" s="620"/>
      <c r="F400" s="406"/>
      <c r="G400" s="398"/>
      <c r="H400" s="454"/>
      <c r="I400" s="407">
        <f>ROUND(H399/1000,4)+I398</f>
        <v>75.504599999999954</v>
      </c>
      <c r="J400" s="402" t="s">
        <v>50</v>
      </c>
      <c r="K400" s="398" t="s">
        <v>255</v>
      </c>
      <c r="L400" s="398" t="s">
        <v>255</v>
      </c>
      <c r="M400" s="398" t="s">
        <v>255</v>
      </c>
      <c r="N400" s="398"/>
      <c r="O400" s="398"/>
      <c r="P400" s="398"/>
    </row>
    <row r="401" spans="1:16" s="133" customFormat="1" ht="18.75" hidden="1" customHeight="1">
      <c r="A401" s="398"/>
      <c r="B401" s="398"/>
      <c r="C401" s="619"/>
      <c r="D401" s="451"/>
      <c r="E401" s="451"/>
      <c r="F401" s="401"/>
      <c r="G401" s="743" t="str">
        <f>C400</f>
        <v>33/2</v>
      </c>
      <c r="H401" s="454">
        <v>435</v>
      </c>
      <c r="I401" s="407"/>
      <c r="J401" s="404"/>
      <c r="K401" s="398"/>
      <c r="L401" s="398"/>
      <c r="M401" s="398"/>
      <c r="N401" s="398"/>
      <c r="O401" s="398"/>
      <c r="P401" s="398"/>
    </row>
    <row r="402" spans="1:16" s="133" customFormat="1" ht="18.75" customHeight="1">
      <c r="A402" s="398">
        <f>SUBTOTAL(103,$C$6:C402)</f>
        <v>199</v>
      </c>
      <c r="B402" s="398"/>
      <c r="C402" s="404" t="s">
        <v>70</v>
      </c>
      <c r="D402" s="620" t="s">
        <v>2</v>
      </c>
      <c r="E402" s="620"/>
      <c r="F402" s="406"/>
      <c r="G402" s="398"/>
      <c r="H402" s="454"/>
      <c r="I402" s="407">
        <f>ROUND(H401/1000,4)+I400</f>
        <v>75.939599999999956</v>
      </c>
      <c r="J402" s="402" t="s">
        <v>50</v>
      </c>
      <c r="K402" s="398" t="s">
        <v>255</v>
      </c>
      <c r="L402" s="398" t="s">
        <v>255</v>
      </c>
      <c r="M402" s="398" t="s">
        <v>255</v>
      </c>
      <c r="N402" s="398"/>
      <c r="O402" s="398"/>
      <c r="P402" s="398"/>
    </row>
    <row r="403" spans="1:16" s="133" customFormat="1" ht="18.75" hidden="1" customHeight="1">
      <c r="A403" s="398"/>
      <c r="B403" s="398"/>
      <c r="C403" s="619"/>
      <c r="D403" s="451"/>
      <c r="E403" s="451"/>
      <c r="F403" s="401"/>
      <c r="G403" s="743" t="str">
        <f>C402</f>
        <v>33/3</v>
      </c>
      <c r="H403" s="454">
        <v>405</v>
      </c>
      <c r="I403" s="407"/>
      <c r="J403" s="404"/>
      <c r="K403" s="398"/>
      <c r="L403" s="398"/>
      <c r="M403" s="398"/>
      <c r="N403" s="398"/>
      <c r="O403" s="398"/>
      <c r="P403" s="398"/>
    </row>
    <row r="404" spans="1:16" s="133" customFormat="1" ht="18.75" customHeight="1">
      <c r="A404" s="398">
        <f>SUBTOTAL(103,$C$6:C404)</f>
        <v>200</v>
      </c>
      <c r="B404" s="398"/>
      <c r="C404" s="404" t="s">
        <v>187</v>
      </c>
      <c r="D404" s="620" t="s">
        <v>2</v>
      </c>
      <c r="E404" s="620"/>
      <c r="F404" s="406"/>
      <c r="G404" s="398"/>
      <c r="H404" s="454"/>
      <c r="I404" s="407">
        <f>ROUND(H403/1000,4)+I402</f>
        <v>76.344599999999957</v>
      </c>
      <c r="J404" s="402" t="s">
        <v>50</v>
      </c>
      <c r="K404" s="398" t="s">
        <v>255</v>
      </c>
      <c r="L404" s="398" t="s">
        <v>255</v>
      </c>
      <c r="M404" s="398" t="s">
        <v>255</v>
      </c>
      <c r="N404" s="398"/>
      <c r="O404" s="398"/>
      <c r="P404" s="398"/>
    </row>
    <row r="405" spans="1:16" s="133" customFormat="1" ht="18.75" hidden="1" customHeight="1">
      <c r="A405" s="398"/>
      <c r="B405" s="398"/>
      <c r="C405" s="619"/>
      <c r="D405" s="451"/>
      <c r="E405" s="451"/>
      <c r="F405" s="401"/>
      <c r="G405" s="743" t="str">
        <f>C404</f>
        <v>33/4</v>
      </c>
      <c r="H405" s="454">
        <v>420</v>
      </c>
      <c r="I405" s="407"/>
      <c r="J405" s="404"/>
      <c r="K405" s="398"/>
      <c r="L405" s="398"/>
      <c r="M405" s="398"/>
      <c r="N405" s="398"/>
      <c r="O405" s="398"/>
      <c r="P405" s="398"/>
    </row>
    <row r="406" spans="1:16" s="133" customFormat="1" ht="18.75" customHeight="1">
      <c r="A406" s="398">
        <f>SUBTOTAL(103,$C$6:C406)</f>
        <v>201</v>
      </c>
      <c r="B406" s="398"/>
      <c r="C406" s="404" t="s">
        <v>569</v>
      </c>
      <c r="D406" s="620" t="s">
        <v>3</v>
      </c>
      <c r="E406" s="620"/>
      <c r="F406" s="406"/>
      <c r="G406" s="398"/>
      <c r="H406" s="454"/>
      <c r="I406" s="407">
        <f>ROUND(H405/1000,4)+I404</f>
        <v>76.764599999999959</v>
      </c>
      <c r="J406" s="402" t="s">
        <v>50</v>
      </c>
      <c r="K406" s="398" t="s">
        <v>255</v>
      </c>
      <c r="L406" s="398" t="s">
        <v>255</v>
      </c>
      <c r="M406" s="398" t="s">
        <v>255</v>
      </c>
      <c r="N406" s="398" t="str">
        <f>VLOOKUP(C406,'Tack Welding'!$D$5:$J$94,7,0)</f>
        <v xml:space="preserve">Completed </v>
      </c>
      <c r="O406" s="398"/>
      <c r="P406" s="398"/>
    </row>
    <row r="407" spans="1:16" s="133" customFormat="1" ht="18.75" hidden="1" customHeight="1">
      <c r="A407" s="398"/>
      <c r="B407" s="398"/>
      <c r="C407" s="619"/>
      <c r="D407" s="451"/>
      <c r="E407" s="451"/>
      <c r="F407" s="401"/>
      <c r="G407" s="743" t="str">
        <f>C406</f>
        <v>33/5</v>
      </c>
      <c r="H407" s="454">
        <v>405</v>
      </c>
      <c r="I407" s="407"/>
      <c r="J407" s="404"/>
      <c r="K407" s="398"/>
      <c r="L407" s="398"/>
      <c r="M407" s="398"/>
      <c r="N407" s="398"/>
      <c r="O407" s="398"/>
      <c r="P407" s="398"/>
    </row>
    <row r="408" spans="1:16" s="133" customFormat="1" ht="18.75" customHeight="1">
      <c r="A408" s="398">
        <f>SUBTOTAL(103,$C$6:C408)</f>
        <v>202</v>
      </c>
      <c r="B408" s="398"/>
      <c r="C408" s="404" t="s">
        <v>570</v>
      </c>
      <c r="D408" s="620" t="s">
        <v>79</v>
      </c>
      <c r="E408" s="620"/>
      <c r="F408" s="406"/>
      <c r="G408" s="398"/>
      <c r="H408" s="454"/>
      <c r="I408" s="407">
        <f>ROUND(H407/1000,4)+I406</f>
        <v>77.16959999999996</v>
      </c>
      <c r="J408" s="402" t="s">
        <v>50</v>
      </c>
      <c r="K408" s="398" t="s">
        <v>255</v>
      </c>
      <c r="L408" s="398" t="s">
        <v>255</v>
      </c>
      <c r="M408" s="398" t="s">
        <v>255</v>
      </c>
      <c r="N408" s="398" t="str">
        <f>VLOOKUP(C408,'Tack Welding'!$D$5:$J$94,7,0)</f>
        <v xml:space="preserve">Completed </v>
      </c>
      <c r="O408" s="398"/>
      <c r="P408" s="398"/>
    </row>
    <row r="409" spans="1:16" s="133" customFormat="1" ht="18.75" hidden="1" customHeight="1">
      <c r="A409" s="398"/>
      <c r="B409" s="398"/>
      <c r="C409" s="619"/>
      <c r="D409" s="451"/>
      <c r="E409" s="451"/>
      <c r="F409" s="401"/>
      <c r="G409" s="743" t="str">
        <f>C408</f>
        <v>33/6</v>
      </c>
      <c r="H409" s="454">
        <v>415</v>
      </c>
      <c r="I409" s="407"/>
      <c r="J409" s="404"/>
      <c r="K409" s="398"/>
      <c r="L409" s="398"/>
      <c r="M409" s="398"/>
      <c r="N409" s="398"/>
      <c r="O409" s="398"/>
      <c r="P409" s="398"/>
    </row>
    <row r="410" spans="1:16" s="133" customFormat="1" ht="18.75" customHeight="1">
      <c r="A410" s="398">
        <f>SUBTOTAL(103,$C$6:C410)</f>
        <v>203</v>
      </c>
      <c r="B410" s="398"/>
      <c r="C410" s="404" t="s">
        <v>571</v>
      </c>
      <c r="D410" s="620" t="s">
        <v>79</v>
      </c>
      <c r="E410" s="620"/>
      <c r="F410" s="406"/>
      <c r="G410" s="398"/>
      <c r="H410" s="454"/>
      <c r="I410" s="407">
        <f>ROUND(H409/1000,4)+I408</f>
        <v>77.584599999999966</v>
      </c>
      <c r="J410" s="402" t="s">
        <v>50</v>
      </c>
      <c r="K410" s="398" t="s">
        <v>255</v>
      </c>
      <c r="L410" s="398" t="s">
        <v>255</v>
      </c>
      <c r="M410" s="398" t="s">
        <v>255</v>
      </c>
      <c r="N410" s="398"/>
      <c r="O410" s="398"/>
      <c r="P410" s="398"/>
    </row>
    <row r="411" spans="1:16" s="133" customFormat="1" ht="18.75" hidden="1" customHeight="1">
      <c r="A411" s="398"/>
      <c r="B411" s="398"/>
      <c r="C411" s="619"/>
      <c r="D411" s="451"/>
      <c r="E411" s="451"/>
      <c r="F411" s="401"/>
      <c r="G411" s="743" t="str">
        <f>C410</f>
        <v>33/7</v>
      </c>
      <c r="H411" s="454">
        <v>355</v>
      </c>
      <c r="I411" s="407"/>
      <c r="J411" s="404"/>
      <c r="K411" s="398"/>
      <c r="L411" s="398"/>
      <c r="M411" s="398"/>
      <c r="N411" s="398"/>
      <c r="O411" s="398"/>
      <c r="P411" s="398"/>
    </row>
    <row r="412" spans="1:16" s="133" customFormat="1" ht="18.75" customHeight="1">
      <c r="A412" s="398">
        <f>SUBTOTAL(103,$C$6:C412)</f>
        <v>204</v>
      </c>
      <c r="B412" s="398"/>
      <c r="C412" s="404" t="s">
        <v>572</v>
      </c>
      <c r="D412" s="620" t="s">
        <v>2</v>
      </c>
      <c r="E412" s="620"/>
      <c r="F412" s="406"/>
      <c r="G412" s="398"/>
      <c r="H412" s="454"/>
      <c r="I412" s="407">
        <f>ROUND(H411/1000,4)+I410</f>
        <v>77.93959999999997</v>
      </c>
      <c r="J412" s="402" t="s">
        <v>50</v>
      </c>
      <c r="K412" s="398" t="s">
        <v>255</v>
      </c>
      <c r="L412" s="398" t="s">
        <v>255</v>
      </c>
      <c r="M412" s="398" t="s">
        <v>255</v>
      </c>
      <c r="N412" s="398" t="str">
        <f>VLOOKUP(C412,'Tack Welding'!$D$5:$J$94,7,0)</f>
        <v xml:space="preserve">Completed </v>
      </c>
      <c r="O412" s="398"/>
      <c r="P412" s="398"/>
    </row>
    <row r="413" spans="1:16" s="133" customFormat="1" ht="18.75" hidden="1" customHeight="1">
      <c r="A413" s="398"/>
      <c r="B413" s="398"/>
      <c r="C413" s="619"/>
      <c r="D413" s="451"/>
      <c r="E413" s="451"/>
      <c r="F413" s="401"/>
      <c r="G413" s="743" t="str">
        <f>C412</f>
        <v>33/8</v>
      </c>
      <c r="H413" s="454">
        <v>380</v>
      </c>
      <c r="I413" s="407"/>
      <c r="J413" s="404"/>
      <c r="K413" s="398"/>
      <c r="L413" s="398"/>
      <c r="M413" s="398"/>
      <c r="N413" s="398"/>
      <c r="O413" s="398"/>
      <c r="P413" s="398"/>
    </row>
    <row r="414" spans="1:16" s="133" customFormat="1" ht="18.75" customHeight="1">
      <c r="A414" s="398">
        <f>SUBTOTAL(103,$C$6:C414)</f>
        <v>205</v>
      </c>
      <c r="B414" s="398"/>
      <c r="C414" s="404" t="s">
        <v>573</v>
      </c>
      <c r="D414" s="620" t="s">
        <v>170</v>
      </c>
      <c r="E414" s="620"/>
      <c r="F414" s="406"/>
      <c r="G414" s="398"/>
      <c r="H414" s="454"/>
      <c r="I414" s="407">
        <f>ROUND(H413/1000,4)+I412</f>
        <v>78.319599999999966</v>
      </c>
      <c r="J414" s="402" t="s">
        <v>50</v>
      </c>
      <c r="K414" s="398" t="s">
        <v>255</v>
      </c>
      <c r="L414" s="398" t="s">
        <v>255</v>
      </c>
      <c r="M414" s="398" t="s">
        <v>255</v>
      </c>
      <c r="N414" s="398"/>
      <c r="O414" s="398"/>
      <c r="P414" s="398"/>
    </row>
    <row r="415" spans="1:16" s="133" customFormat="1" ht="18.75" hidden="1" customHeight="1">
      <c r="A415" s="398"/>
      <c r="B415" s="398"/>
      <c r="C415" s="619"/>
      <c r="D415" s="451"/>
      <c r="E415" s="451"/>
      <c r="F415" s="401"/>
      <c r="G415" s="743" t="str">
        <f>C414</f>
        <v>33/9</v>
      </c>
      <c r="H415" s="454">
        <v>398.20299999999997</v>
      </c>
      <c r="I415" s="407"/>
      <c r="J415" s="404"/>
      <c r="K415" s="398"/>
      <c r="L415" s="398"/>
      <c r="M415" s="398"/>
      <c r="N415" s="398"/>
      <c r="O415" s="398"/>
      <c r="P415" s="398"/>
    </row>
    <row r="416" spans="1:16" s="133" customFormat="1" ht="18.75" customHeight="1">
      <c r="A416" s="398">
        <f>SUBTOTAL(103,$C$6:C416)</f>
        <v>206</v>
      </c>
      <c r="B416" s="399" t="s">
        <v>574</v>
      </c>
      <c r="C416" s="404" t="s">
        <v>166</v>
      </c>
      <c r="D416" s="620" t="s">
        <v>227</v>
      </c>
      <c r="E416" s="620"/>
      <c r="F416" s="401"/>
      <c r="G416" s="400"/>
      <c r="H416" s="454"/>
      <c r="I416" s="407">
        <f>ROUND(H415/1000,4)+I414</f>
        <v>78.717799999999968</v>
      </c>
      <c r="J416" s="402" t="s">
        <v>50</v>
      </c>
      <c r="K416" s="398" t="s">
        <v>255</v>
      </c>
      <c r="L416" s="398" t="s">
        <v>255</v>
      </c>
      <c r="M416" s="398" t="s">
        <v>255</v>
      </c>
      <c r="N416" s="398" t="str">
        <f>VLOOKUP(C416,'Tack Welding'!$D$5:$J$94,7,0)</f>
        <v xml:space="preserve">Completed </v>
      </c>
      <c r="O416" s="398" t="s">
        <v>962</v>
      </c>
      <c r="P416" s="398"/>
    </row>
    <row r="417" spans="1:16" s="133" customFormat="1" ht="18.75" hidden="1" customHeight="1">
      <c r="A417" s="398"/>
      <c r="B417" s="398"/>
      <c r="C417" s="619"/>
      <c r="D417" s="451"/>
      <c r="E417" s="451"/>
      <c r="F417" s="401"/>
      <c r="G417" s="743" t="str">
        <f>C416</f>
        <v>34/0</v>
      </c>
      <c r="H417" s="453">
        <v>441.798</v>
      </c>
      <c r="I417" s="407"/>
      <c r="J417" s="404"/>
      <c r="K417" s="398"/>
      <c r="L417" s="398"/>
      <c r="M417" s="398"/>
      <c r="N417" s="398"/>
      <c r="O417" s="398"/>
      <c r="P417" s="398"/>
    </row>
    <row r="418" spans="1:16" s="133" customFormat="1" ht="18.75" customHeight="1">
      <c r="A418" s="398">
        <f>SUBTOTAL(103,$C$6:C418)</f>
        <v>207</v>
      </c>
      <c r="B418" s="398"/>
      <c r="C418" s="404" t="s">
        <v>575</v>
      </c>
      <c r="D418" s="620" t="s">
        <v>49</v>
      </c>
      <c r="E418" s="620"/>
      <c r="F418" s="406"/>
      <c r="G418" s="398"/>
      <c r="H418" s="453"/>
      <c r="I418" s="407">
        <f>ROUND(H417/1000,4)+I416</f>
        <v>79.159599999999969</v>
      </c>
      <c r="J418" s="402" t="s">
        <v>50</v>
      </c>
      <c r="K418" s="398" t="s">
        <v>255</v>
      </c>
      <c r="L418" s="398" t="s">
        <v>255</v>
      </c>
      <c r="M418" s="398" t="s">
        <v>255</v>
      </c>
      <c r="N418" s="398" t="str">
        <f>VLOOKUP(C418,'Tack Welding'!$D$5:$J$94,7,0)</f>
        <v xml:space="preserve">Completed </v>
      </c>
      <c r="O418" s="398"/>
      <c r="P418" s="398"/>
    </row>
    <row r="419" spans="1:16" s="133" customFormat="1" ht="18.75" hidden="1" customHeight="1">
      <c r="A419" s="398"/>
      <c r="B419" s="398"/>
      <c r="C419" s="619"/>
      <c r="D419" s="451"/>
      <c r="E419" s="451"/>
      <c r="F419" s="401"/>
      <c r="G419" s="743" t="str">
        <f>C418</f>
        <v>34/1</v>
      </c>
      <c r="H419" s="453">
        <v>395</v>
      </c>
      <c r="I419" s="407"/>
      <c r="J419" s="404"/>
      <c r="K419" s="398"/>
      <c r="L419" s="398"/>
      <c r="M419" s="398"/>
      <c r="N419" s="398"/>
      <c r="O419" s="398"/>
      <c r="P419" s="398"/>
    </row>
    <row r="420" spans="1:16" s="133" customFormat="1" ht="18.75" customHeight="1">
      <c r="A420" s="398">
        <f>SUBTOTAL(103,$C$6:C420)</f>
        <v>208</v>
      </c>
      <c r="B420" s="398"/>
      <c r="C420" s="404" t="s">
        <v>576</v>
      </c>
      <c r="D420" s="620" t="s">
        <v>49</v>
      </c>
      <c r="E420" s="620"/>
      <c r="F420" s="406"/>
      <c r="G420" s="398"/>
      <c r="H420" s="453"/>
      <c r="I420" s="407">
        <f>ROUND(H419/1000,4)+I418</f>
        <v>79.554599999999965</v>
      </c>
      <c r="J420" s="402" t="s">
        <v>50</v>
      </c>
      <c r="K420" s="398" t="s">
        <v>255</v>
      </c>
      <c r="L420" s="398" t="s">
        <v>255</v>
      </c>
      <c r="M420" s="398" t="s">
        <v>255</v>
      </c>
      <c r="N420" s="398" t="str">
        <f>VLOOKUP(C420,'Tack Welding'!$D$5:$J$94,7,0)</f>
        <v xml:space="preserve">Completed </v>
      </c>
      <c r="O420" s="398"/>
      <c r="P420" s="398"/>
    </row>
    <row r="421" spans="1:16" s="133" customFormat="1" ht="18.75" hidden="1" customHeight="1">
      <c r="A421" s="398"/>
      <c r="B421" s="398"/>
      <c r="C421" s="619"/>
      <c r="D421" s="451"/>
      <c r="E421" s="451"/>
      <c r="F421" s="401"/>
      <c r="G421" s="743" t="str">
        <f>C420</f>
        <v>34/2</v>
      </c>
      <c r="H421" s="453">
        <v>375</v>
      </c>
      <c r="I421" s="407"/>
      <c r="J421" s="404"/>
      <c r="K421" s="398"/>
      <c r="L421" s="398"/>
      <c r="M421" s="398"/>
      <c r="N421" s="398"/>
      <c r="O421" s="398"/>
      <c r="P421" s="398"/>
    </row>
    <row r="422" spans="1:16" s="133" customFormat="1" ht="18.75" customHeight="1">
      <c r="A422" s="398">
        <f>SUBTOTAL(103,$C$6:C422)</f>
        <v>209</v>
      </c>
      <c r="B422" s="398"/>
      <c r="C422" s="404" t="s">
        <v>577</v>
      </c>
      <c r="D422" s="620" t="s">
        <v>170</v>
      </c>
      <c r="E422" s="620"/>
      <c r="F422" s="406"/>
      <c r="G422" s="398"/>
      <c r="H422" s="453"/>
      <c r="I422" s="407">
        <f>ROUND(H421/1000,4)+I420</f>
        <v>79.929599999999965</v>
      </c>
      <c r="J422" s="402" t="s">
        <v>50</v>
      </c>
      <c r="K422" s="398" t="s">
        <v>255</v>
      </c>
      <c r="L422" s="398" t="s">
        <v>255</v>
      </c>
      <c r="M422" s="398" t="s">
        <v>255</v>
      </c>
      <c r="N422" s="398" t="str">
        <f>VLOOKUP(C422,'Tack Welding'!$D$5:$J$94,7,0)</f>
        <v xml:space="preserve">Completed </v>
      </c>
      <c r="O422" s="398"/>
      <c r="P422" s="398"/>
    </row>
    <row r="423" spans="1:16" s="133" customFormat="1" ht="18.75" hidden="1" customHeight="1">
      <c r="A423" s="398"/>
      <c r="B423" s="398"/>
      <c r="C423" s="619"/>
      <c r="D423" s="451"/>
      <c r="E423" s="451"/>
      <c r="F423" s="401"/>
      <c r="G423" s="743" t="str">
        <f>C422</f>
        <v>34/3</v>
      </c>
      <c r="H423" s="453">
        <v>445</v>
      </c>
      <c r="I423" s="407"/>
      <c r="J423" s="404"/>
      <c r="K423" s="398"/>
      <c r="L423" s="398"/>
      <c r="M423" s="398"/>
      <c r="N423" s="398"/>
      <c r="O423" s="398"/>
      <c r="P423" s="398"/>
    </row>
    <row r="424" spans="1:16" s="133" customFormat="1" ht="18.75" customHeight="1">
      <c r="A424" s="398">
        <f>SUBTOTAL(103,$C$6:C424)</f>
        <v>210</v>
      </c>
      <c r="B424" s="398"/>
      <c r="C424" s="404" t="s">
        <v>578</v>
      </c>
      <c r="D424" s="620" t="s">
        <v>79</v>
      </c>
      <c r="E424" s="620"/>
      <c r="F424" s="406"/>
      <c r="G424" s="398"/>
      <c r="H424" s="453"/>
      <c r="I424" s="407">
        <f>ROUND(H423/1000,4)+I422</f>
        <v>80.374599999999958</v>
      </c>
      <c r="J424" s="402" t="s">
        <v>50</v>
      </c>
      <c r="K424" s="398" t="s">
        <v>255</v>
      </c>
      <c r="L424" s="398" t="s">
        <v>255</v>
      </c>
      <c r="M424" s="398" t="s">
        <v>255</v>
      </c>
      <c r="N424" s="398" t="str">
        <f>VLOOKUP(C424,'Tack Welding'!$D$5:$J$94,7,0)</f>
        <v xml:space="preserve">Completed </v>
      </c>
      <c r="O424" s="398"/>
      <c r="P424" s="398"/>
    </row>
    <row r="425" spans="1:16" s="133" customFormat="1" ht="18.75" hidden="1" customHeight="1">
      <c r="A425" s="398"/>
      <c r="B425" s="398"/>
      <c r="C425" s="619"/>
      <c r="D425" s="451"/>
      <c r="E425" s="451"/>
      <c r="F425" s="401"/>
      <c r="G425" s="743" t="str">
        <f>C424</f>
        <v>34/4</v>
      </c>
      <c r="H425" s="453">
        <v>395</v>
      </c>
      <c r="I425" s="407"/>
      <c r="J425" s="404"/>
      <c r="K425" s="398"/>
      <c r="L425" s="398"/>
      <c r="M425" s="398"/>
      <c r="N425" s="398"/>
      <c r="O425" s="398"/>
      <c r="P425" s="398"/>
    </row>
    <row r="426" spans="1:16" s="133" customFormat="1" ht="18.75" customHeight="1">
      <c r="A426" s="398">
        <f>SUBTOTAL(103,$C$6:C426)</f>
        <v>211</v>
      </c>
      <c r="B426" s="398"/>
      <c r="C426" s="404" t="s">
        <v>579</v>
      </c>
      <c r="D426" s="620" t="s">
        <v>49</v>
      </c>
      <c r="E426" s="620"/>
      <c r="F426" s="406"/>
      <c r="G426" s="398"/>
      <c r="H426" s="453"/>
      <c r="I426" s="407">
        <f>ROUND(H425/1000,4)+I424</f>
        <v>80.769599999999954</v>
      </c>
      <c r="J426" s="402" t="s">
        <v>50</v>
      </c>
      <c r="K426" s="398" t="s">
        <v>255</v>
      </c>
      <c r="L426" s="398" t="s">
        <v>255</v>
      </c>
      <c r="M426" s="398" t="s">
        <v>255</v>
      </c>
      <c r="N426" s="398" t="str">
        <f>VLOOKUP(C426,'Tack Welding'!$D$5:$J$94,7,0)</f>
        <v xml:space="preserve">Completed </v>
      </c>
      <c r="O426" s="398"/>
      <c r="P426" s="398"/>
    </row>
    <row r="427" spans="1:16" s="133" customFormat="1" ht="18.75" hidden="1" customHeight="1">
      <c r="A427" s="398"/>
      <c r="B427" s="398"/>
      <c r="C427" s="619"/>
      <c r="D427" s="451"/>
      <c r="E427" s="451"/>
      <c r="F427" s="401"/>
      <c r="G427" s="743" t="str">
        <f>C426</f>
        <v>34/5</v>
      </c>
      <c r="H427" s="453">
        <v>435</v>
      </c>
      <c r="I427" s="407"/>
      <c r="J427" s="404"/>
      <c r="K427" s="398"/>
      <c r="L427" s="398"/>
      <c r="M427" s="398"/>
      <c r="N427" s="398"/>
      <c r="O427" s="398"/>
      <c r="P427" s="398"/>
    </row>
    <row r="428" spans="1:16" s="133" customFormat="1" ht="18.75" customHeight="1">
      <c r="A428" s="398">
        <f>SUBTOTAL(103,$C$6:C428)</f>
        <v>212</v>
      </c>
      <c r="B428" s="398"/>
      <c r="C428" s="404" t="s">
        <v>580</v>
      </c>
      <c r="D428" s="620" t="s">
        <v>2</v>
      </c>
      <c r="E428" s="620"/>
      <c r="F428" s="406"/>
      <c r="G428" s="398"/>
      <c r="H428" s="453"/>
      <c r="I428" s="407">
        <f>ROUND(H427/1000,4)+I426</f>
        <v>81.204599999999957</v>
      </c>
      <c r="J428" s="402" t="s">
        <v>50</v>
      </c>
      <c r="K428" s="398" t="s">
        <v>255</v>
      </c>
      <c r="L428" s="398" t="s">
        <v>255</v>
      </c>
      <c r="M428" s="398" t="s">
        <v>255</v>
      </c>
      <c r="N428" s="398" t="str">
        <f>VLOOKUP(C428,'Tack Welding'!$D$5:$J$94,7,0)</f>
        <v xml:space="preserve">Completed </v>
      </c>
      <c r="O428" s="398"/>
      <c r="P428" s="398"/>
    </row>
    <row r="429" spans="1:16" s="133" customFormat="1" ht="18.75" hidden="1" customHeight="1">
      <c r="A429" s="398"/>
      <c r="B429" s="398"/>
      <c r="C429" s="619"/>
      <c r="D429" s="451"/>
      <c r="E429" s="451"/>
      <c r="F429" s="401"/>
      <c r="G429" s="743" t="str">
        <f>C428</f>
        <v>34/6</v>
      </c>
      <c r="H429" s="453">
        <v>330</v>
      </c>
      <c r="I429" s="407"/>
      <c r="J429" s="404"/>
      <c r="K429" s="398"/>
      <c r="L429" s="398"/>
      <c r="M429" s="398"/>
      <c r="N429" s="398"/>
      <c r="O429" s="398"/>
      <c r="P429" s="398"/>
    </row>
    <row r="430" spans="1:16" s="133" customFormat="1" ht="18.75" customHeight="1">
      <c r="A430" s="398">
        <f>SUBTOTAL(103,$C$6:C430)</f>
        <v>213</v>
      </c>
      <c r="B430" s="398"/>
      <c r="C430" s="404" t="s">
        <v>581</v>
      </c>
      <c r="D430" s="620" t="s">
        <v>3</v>
      </c>
      <c r="E430" s="620"/>
      <c r="F430" s="406"/>
      <c r="G430" s="398"/>
      <c r="H430" s="453"/>
      <c r="I430" s="407">
        <f>ROUND(H429/1000,4)+I428</f>
        <v>81.534599999999955</v>
      </c>
      <c r="J430" s="402" t="s">
        <v>50</v>
      </c>
      <c r="K430" s="398" t="s">
        <v>255</v>
      </c>
      <c r="L430" s="398" t="s">
        <v>255</v>
      </c>
      <c r="M430" s="398" t="s">
        <v>255</v>
      </c>
      <c r="N430" s="398" t="str">
        <f>VLOOKUP(C430,'Tack Welding'!$D$5:$J$94,7,0)</f>
        <v xml:space="preserve">Completed </v>
      </c>
      <c r="O430" s="398"/>
      <c r="P430" s="398"/>
    </row>
    <row r="431" spans="1:16" s="133" customFormat="1" ht="18.75" hidden="1" customHeight="1">
      <c r="A431" s="398"/>
      <c r="B431" s="398"/>
      <c r="C431" s="619"/>
      <c r="D431" s="451"/>
      <c r="E431" s="451"/>
      <c r="F431" s="401"/>
      <c r="G431" s="743" t="str">
        <f>C430</f>
        <v>34/7</v>
      </c>
      <c r="H431" s="453">
        <v>330</v>
      </c>
      <c r="I431" s="407"/>
      <c r="J431" s="404"/>
      <c r="K431" s="398"/>
      <c r="L431" s="398"/>
      <c r="M431" s="398"/>
      <c r="N431" s="398"/>
      <c r="O431" s="398"/>
      <c r="P431" s="398"/>
    </row>
    <row r="432" spans="1:16" s="133" customFormat="1" ht="18.75" customHeight="1">
      <c r="A432" s="398">
        <f>SUBTOTAL(103,$C$6:C432)</f>
        <v>214</v>
      </c>
      <c r="B432" s="398"/>
      <c r="C432" s="404" t="s">
        <v>582</v>
      </c>
      <c r="D432" s="620" t="s">
        <v>3</v>
      </c>
      <c r="E432" s="620"/>
      <c r="F432" s="406"/>
      <c r="G432" s="398"/>
      <c r="H432" s="453"/>
      <c r="I432" s="407">
        <f>ROUND(H431/1000,4)+I430</f>
        <v>81.864599999999953</v>
      </c>
      <c r="J432" s="402" t="s">
        <v>50</v>
      </c>
      <c r="K432" s="398" t="s">
        <v>255</v>
      </c>
      <c r="L432" s="398" t="s">
        <v>255</v>
      </c>
      <c r="M432" s="398" t="s">
        <v>255</v>
      </c>
      <c r="N432" s="398" t="str">
        <f>VLOOKUP(C432,'Tack Welding'!$D$5:$J$94,7,0)</f>
        <v xml:space="preserve">Completed </v>
      </c>
      <c r="O432" s="398"/>
      <c r="P432" s="398"/>
    </row>
    <row r="433" spans="1:16" s="133" customFormat="1" ht="18.75" hidden="1" customHeight="1">
      <c r="A433" s="398"/>
      <c r="B433" s="398"/>
      <c r="C433" s="619"/>
      <c r="D433" s="451"/>
      <c r="E433" s="451"/>
      <c r="F433" s="401"/>
      <c r="G433" s="743" t="str">
        <f>C432</f>
        <v>34/8</v>
      </c>
      <c r="H433" s="453">
        <v>400</v>
      </c>
      <c r="I433" s="407"/>
      <c r="J433" s="404"/>
      <c r="K433" s="398"/>
      <c r="L433" s="398"/>
      <c r="M433" s="398"/>
      <c r="N433" s="398"/>
      <c r="O433" s="398"/>
      <c r="P433" s="398"/>
    </row>
    <row r="434" spans="1:16" s="133" customFormat="1" ht="18.75" customHeight="1">
      <c r="A434" s="398">
        <f>SUBTOTAL(103,$C$6:C434)</f>
        <v>215</v>
      </c>
      <c r="B434" s="398"/>
      <c r="C434" s="404" t="s">
        <v>583</v>
      </c>
      <c r="D434" s="620" t="s">
        <v>170</v>
      </c>
      <c r="E434" s="620"/>
      <c r="F434" s="406"/>
      <c r="G434" s="398"/>
      <c r="H434" s="453"/>
      <c r="I434" s="407">
        <f>ROUND(H433/1000,4)+I432</f>
        <v>82.264599999999959</v>
      </c>
      <c r="J434" s="402" t="s">
        <v>50</v>
      </c>
      <c r="K434" s="398" t="s">
        <v>255</v>
      </c>
      <c r="L434" s="398" t="s">
        <v>255</v>
      </c>
      <c r="M434" s="398" t="s">
        <v>255</v>
      </c>
      <c r="N434" s="398" t="str">
        <f>VLOOKUP(C434,'Tack Welding'!$D$5:$J$94,7,0)</f>
        <v xml:space="preserve">Completed </v>
      </c>
      <c r="O434" s="398"/>
      <c r="P434" s="398"/>
    </row>
    <row r="435" spans="1:16" s="133" customFormat="1" ht="18.75" hidden="1" customHeight="1">
      <c r="A435" s="398"/>
      <c r="B435" s="398"/>
      <c r="C435" s="619"/>
      <c r="D435" s="451"/>
      <c r="E435" s="451"/>
      <c r="F435" s="401"/>
      <c r="G435" s="743" t="str">
        <f>C434</f>
        <v>34/9</v>
      </c>
      <c r="H435" s="453">
        <v>310</v>
      </c>
      <c r="I435" s="407"/>
      <c r="J435" s="404"/>
      <c r="K435" s="398"/>
      <c r="L435" s="398"/>
      <c r="M435" s="398"/>
      <c r="N435" s="398"/>
      <c r="O435" s="398"/>
      <c r="P435" s="398"/>
    </row>
    <row r="436" spans="1:16" s="133" customFormat="1" ht="18.75" customHeight="1">
      <c r="A436" s="398">
        <f>SUBTOTAL(103,$C$6:C436)</f>
        <v>216</v>
      </c>
      <c r="B436" s="398"/>
      <c r="C436" s="404" t="s">
        <v>584</v>
      </c>
      <c r="D436" s="620" t="s">
        <v>4</v>
      </c>
      <c r="E436" s="620"/>
      <c r="F436" s="406"/>
      <c r="G436" s="398"/>
      <c r="H436" s="453"/>
      <c r="I436" s="407">
        <f>ROUND(H435/1000,4)+I434</f>
        <v>82.574599999999961</v>
      </c>
      <c r="J436" s="402" t="s">
        <v>50</v>
      </c>
      <c r="K436" s="398" t="s">
        <v>255</v>
      </c>
      <c r="L436" s="398" t="s">
        <v>255</v>
      </c>
      <c r="M436" s="398" t="s">
        <v>255</v>
      </c>
      <c r="N436" s="398" t="str">
        <f>VLOOKUP(C436,'Tack Welding'!$D$5:$J$94,7,0)</f>
        <v xml:space="preserve">Completed </v>
      </c>
      <c r="O436" s="398"/>
      <c r="P436" s="398"/>
    </row>
    <row r="437" spans="1:16" s="133" customFormat="1" ht="18.75" hidden="1" customHeight="1">
      <c r="A437" s="398"/>
      <c r="B437" s="398"/>
      <c r="C437" s="619"/>
      <c r="D437" s="451"/>
      <c r="E437" s="451"/>
      <c r="F437" s="401"/>
      <c r="G437" s="743" t="str">
        <f>C436</f>
        <v>34/10</v>
      </c>
      <c r="H437" s="453">
        <v>325</v>
      </c>
      <c r="I437" s="407"/>
      <c r="J437" s="404"/>
      <c r="K437" s="398"/>
      <c r="L437" s="398"/>
      <c r="M437" s="398"/>
      <c r="N437" s="398"/>
      <c r="O437" s="398"/>
      <c r="P437" s="398"/>
    </row>
    <row r="438" spans="1:16" s="133" customFormat="1" ht="18.75" customHeight="1">
      <c r="A438" s="398">
        <f>SUBTOTAL(103,$C$6:C438)</f>
        <v>217</v>
      </c>
      <c r="B438" s="398"/>
      <c r="C438" s="404" t="s">
        <v>585</v>
      </c>
      <c r="D438" s="620" t="s">
        <v>170</v>
      </c>
      <c r="E438" s="620"/>
      <c r="F438" s="406"/>
      <c r="G438" s="398"/>
      <c r="H438" s="453"/>
      <c r="I438" s="407">
        <f>ROUND(H437/1000,4)+I436</f>
        <v>82.899599999999964</v>
      </c>
      <c r="J438" s="402" t="s">
        <v>50</v>
      </c>
      <c r="K438" s="398" t="s">
        <v>255</v>
      </c>
      <c r="L438" s="398" t="s">
        <v>255</v>
      </c>
      <c r="M438" s="398" t="s">
        <v>255</v>
      </c>
      <c r="N438" s="398" t="str">
        <f>VLOOKUP(C438,'Tack Welding'!$D$5:$J$94,7,0)</f>
        <v xml:space="preserve">Completed </v>
      </c>
      <c r="O438" s="398"/>
      <c r="P438" s="398"/>
    </row>
    <row r="439" spans="1:16" s="133" customFormat="1" ht="18.75" hidden="1" customHeight="1">
      <c r="A439" s="398"/>
      <c r="B439" s="398"/>
      <c r="C439" s="619"/>
      <c r="D439" s="451"/>
      <c r="E439" s="451"/>
      <c r="F439" s="401"/>
      <c r="G439" s="743" t="str">
        <f>C438</f>
        <v>34/11</v>
      </c>
      <c r="H439" s="453">
        <v>365</v>
      </c>
      <c r="I439" s="407"/>
      <c r="J439" s="404"/>
      <c r="K439" s="398"/>
      <c r="L439" s="398"/>
      <c r="M439" s="398"/>
      <c r="N439" s="398"/>
      <c r="O439" s="398"/>
      <c r="P439" s="398"/>
    </row>
    <row r="440" spans="1:16" s="133" customFormat="1" ht="18.75" customHeight="1">
      <c r="A440" s="398">
        <f>SUBTOTAL(103,$C$6:C440)</f>
        <v>218</v>
      </c>
      <c r="B440" s="398"/>
      <c r="C440" s="404" t="s">
        <v>586</v>
      </c>
      <c r="D440" s="620" t="s">
        <v>2</v>
      </c>
      <c r="E440" s="620"/>
      <c r="F440" s="406"/>
      <c r="G440" s="398"/>
      <c r="H440" s="453"/>
      <c r="I440" s="407">
        <f>ROUND(H439/1000,4)+I438</f>
        <v>83.264599999999959</v>
      </c>
      <c r="J440" s="402" t="s">
        <v>50</v>
      </c>
      <c r="K440" s="398" t="s">
        <v>255</v>
      </c>
      <c r="L440" s="398" t="s">
        <v>255</v>
      </c>
      <c r="M440" s="398" t="s">
        <v>255</v>
      </c>
      <c r="N440" s="398" t="str">
        <f>VLOOKUP(C440,'Tack Welding'!$D$5:$J$94,7,0)</f>
        <v xml:space="preserve">Completed </v>
      </c>
      <c r="O440" s="398"/>
      <c r="P440" s="398"/>
    </row>
    <row r="441" spans="1:16" s="133" customFormat="1" ht="18.75" hidden="1" customHeight="1">
      <c r="A441" s="398"/>
      <c r="B441" s="398"/>
      <c r="C441" s="619"/>
      <c r="D441" s="451"/>
      <c r="E441" s="451"/>
      <c r="F441" s="401"/>
      <c r="G441" s="743" t="str">
        <f>C440</f>
        <v>34/12</v>
      </c>
      <c r="H441" s="453">
        <v>351.79</v>
      </c>
      <c r="I441" s="407"/>
      <c r="J441" s="404"/>
      <c r="K441" s="398"/>
      <c r="L441" s="398"/>
      <c r="M441" s="398"/>
      <c r="N441" s="398"/>
      <c r="O441" s="398"/>
      <c r="P441" s="398"/>
    </row>
    <row r="442" spans="1:16" s="133" customFormat="1" ht="18.75" customHeight="1">
      <c r="A442" s="398">
        <f>SUBTOTAL(103,$C$6:C442)</f>
        <v>219</v>
      </c>
      <c r="B442" s="399" t="s">
        <v>587</v>
      </c>
      <c r="C442" s="404" t="s">
        <v>71</v>
      </c>
      <c r="D442" s="620" t="s">
        <v>184</v>
      </c>
      <c r="E442" s="620"/>
      <c r="F442" s="401"/>
      <c r="G442" s="400"/>
      <c r="H442" s="453"/>
      <c r="I442" s="407">
        <f>ROUND(H441/1000,4)+I440</f>
        <v>83.616399999999956</v>
      </c>
      <c r="J442" s="402" t="s">
        <v>50</v>
      </c>
      <c r="K442" s="398" t="s">
        <v>255</v>
      </c>
      <c r="L442" s="398" t="s">
        <v>255</v>
      </c>
      <c r="M442" s="398" t="s">
        <v>255</v>
      </c>
      <c r="N442" s="398" t="str">
        <f>VLOOKUP(C442,'Tack Welding'!$D$5:$J$94,7,0)</f>
        <v xml:space="preserve">Completed </v>
      </c>
      <c r="O442" s="398" t="s">
        <v>962</v>
      </c>
      <c r="P442" s="398"/>
    </row>
    <row r="443" spans="1:16" s="133" customFormat="1" ht="18.75" hidden="1" customHeight="1">
      <c r="A443" s="398"/>
      <c r="B443" s="398"/>
      <c r="C443" s="619"/>
      <c r="D443" s="451"/>
      <c r="E443" s="451"/>
      <c r="F443" s="401"/>
      <c r="G443" s="743" t="str">
        <f>C442</f>
        <v>35/0</v>
      </c>
      <c r="H443" s="453">
        <v>393.209</v>
      </c>
      <c r="I443" s="407"/>
      <c r="J443" s="404"/>
      <c r="K443" s="398"/>
      <c r="L443" s="398"/>
      <c r="M443" s="398"/>
      <c r="N443" s="398"/>
      <c r="O443" s="398"/>
      <c r="P443" s="398"/>
    </row>
    <row r="444" spans="1:16" s="133" customFormat="1" ht="18.75" customHeight="1">
      <c r="A444" s="398">
        <f>SUBTOTAL(103,$C$6:C444)</f>
        <v>220</v>
      </c>
      <c r="B444" s="398"/>
      <c r="C444" s="404" t="s">
        <v>588</v>
      </c>
      <c r="D444" s="620" t="s">
        <v>79</v>
      </c>
      <c r="E444" s="620"/>
      <c r="F444" s="406"/>
      <c r="G444" s="398"/>
      <c r="H444" s="453"/>
      <c r="I444" s="407">
        <f>ROUND(H443/1000,4)+I442</f>
        <v>84.009599999999949</v>
      </c>
      <c r="J444" s="402" t="s">
        <v>50</v>
      </c>
      <c r="K444" s="398" t="s">
        <v>255</v>
      </c>
      <c r="L444" s="398" t="s">
        <v>255</v>
      </c>
      <c r="M444" s="398" t="s">
        <v>255</v>
      </c>
      <c r="N444" s="398" t="str">
        <f>VLOOKUP(C444,'Tack Welding'!$D$5:$J$94,7,0)</f>
        <v xml:space="preserve">Completed </v>
      </c>
      <c r="O444" s="398"/>
      <c r="P444" s="398"/>
    </row>
    <row r="445" spans="1:16" s="133" customFormat="1" ht="18.75" hidden="1" customHeight="1">
      <c r="A445" s="398"/>
      <c r="B445" s="398"/>
      <c r="C445" s="619"/>
      <c r="D445" s="451"/>
      <c r="E445" s="451"/>
      <c r="F445" s="401"/>
      <c r="G445" s="743" t="str">
        <f>C444</f>
        <v>35/1</v>
      </c>
      <c r="H445" s="453">
        <v>435</v>
      </c>
      <c r="I445" s="407"/>
      <c r="J445" s="404"/>
      <c r="K445" s="398"/>
      <c r="L445" s="398"/>
      <c r="M445" s="398"/>
      <c r="N445" s="398"/>
      <c r="O445" s="398"/>
      <c r="P445" s="398"/>
    </row>
    <row r="446" spans="1:16" s="133" customFormat="1" ht="18.75" customHeight="1">
      <c r="A446" s="398">
        <f>SUBTOTAL(103,$C$6:C446)</f>
        <v>221</v>
      </c>
      <c r="B446" s="398"/>
      <c r="C446" s="404" t="s">
        <v>589</v>
      </c>
      <c r="D446" s="620" t="s">
        <v>79</v>
      </c>
      <c r="E446" s="620"/>
      <c r="F446" s="406"/>
      <c r="G446" s="398"/>
      <c r="H446" s="453"/>
      <c r="I446" s="407">
        <f>ROUND(H445/1000,4)+I444</f>
        <v>84.444599999999951</v>
      </c>
      <c r="J446" s="402" t="s">
        <v>50</v>
      </c>
      <c r="K446" s="398" t="s">
        <v>255</v>
      </c>
      <c r="L446" s="398"/>
      <c r="M446" s="398" t="s">
        <v>255</v>
      </c>
      <c r="N446" s="398"/>
      <c r="O446" s="398"/>
      <c r="P446" s="398"/>
    </row>
    <row r="447" spans="1:16" s="133" customFormat="1" ht="18.75" hidden="1" customHeight="1">
      <c r="A447" s="398"/>
      <c r="B447" s="398"/>
      <c r="C447" s="619"/>
      <c r="D447" s="451"/>
      <c r="E447" s="451"/>
      <c r="F447" s="401"/>
      <c r="G447" s="743" t="str">
        <f>C446</f>
        <v>35/2</v>
      </c>
      <c r="H447" s="453">
        <v>405</v>
      </c>
      <c r="I447" s="407"/>
      <c r="J447" s="404"/>
      <c r="K447" s="398"/>
      <c r="L447" s="398"/>
      <c r="M447" s="398"/>
      <c r="N447" s="398"/>
      <c r="O447" s="398"/>
      <c r="P447" s="398"/>
    </row>
    <row r="448" spans="1:16" s="133" customFormat="1" ht="18.75" customHeight="1">
      <c r="A448" s="398">
        <f>SUBTOTAL(103,$C$6:C448)</f>
        <v>222</v>
      </c>
      <c r="B448" s="398"/>
      <c r="C448" s="404" t="s">
        <v>590</v>
      </c>
      <c r="D448" s="620" t="s">
        <v>4</v>
      </c>
      <c r="E448" s="620"/>
      <c r="F448" s="406"/>
      <c r="G448" s="398"/>
      <c r="H448" s="453"/>
      <c r="I448" s="407">
        <f>ROUND(H447/1000,4)+I446</f>
        <v>84.849599999999953</v>
      </c>
      <c r="J448" s="402" t="s">
        <v>50</v>
      </c>
      <c r="K448" s="398" t="s">
        <v>255</v>
      </c>
      <c r="L448" s="398" t="s">
        <v>255</v>
      </c>
      <c r="M448" s="398" t="s">
        <v>255</v>
      </c>
      <c r="N448" s="398"/>
      <c r="O448" s="398"/>
      <c r="P448" s="398"/>
    </row>
    <row r="449" spans="1:16" s="133" customFormat="1" ht="18.75" hidden="1" customHeight="1">
      <c r="A449" s="398"/>
      <c r="B449" s="398"/>
      <c r="C449" s="619"/>
      <c r="D449" s="451"/>
      <c r="E449" s="451"/>
      <c r="F449" s="401"/>
      <c r="G449" s="743" t="str">
        <f>C448</f>
        <v>35/3</v>
      </c>
      <c r="H449" s="453">
        <v>405</v>
      </c>
      <c r="I449" s="407"/>
      <c r="J449" s="404"/>
      <c r="K449" s="398"/>
      <c r="L449" s="398"/>
      <c r="M449" s="398"/>
      <c r="N449" s="398"/>
      <c r="O449" s="398"/>
      <c r="P449" s="398"/>
    </row>
    <row r="450" spans="1:16" s="133" customFormat="1" ht="18.75" customHeight="1">
      <c r="A450" s="398">
        <f>SUBTOTAL(103,$C$6:C450)</f>
        <v>223</v>
      </c>
      <c r="B450" s="398"/>
      <c r="C450" s="404" t="s">
        <v>591</v>
      </c>
      <c r="D450" s="620" t="s">
        <v>49</v>
      </c>
      <c r="E450" s="620"/>
      <c r="F450" s="406"/>
      <c r="G450" s="398"/>
      <c r="H450" s="453"/>
      <c r="I450" s="407">
        <f>ROUND(H449/1000,4)+I448</f>
        <v>85.254599999999954</v>
      </c>
      <c r="J450" s="402" t="s">
        <v>50</v>
      </c>
      <c r="K450" s="398" t="s">
        <v>255</v>
      </c>
      <c r="L450" s="398" t="s">
        <v>255</v>
      </c>
      <c r="M450" s="398" t="s">
        <v>255</v>
      </c>
      <c r="N450" s="398"/>
      <c r="O450" s="398"/>
      <c r="P450" s="398"/>
    </row>
    <row r="451" spans="1:16" s="133" customFormat="1" ht="18.75" hidden="1" customHeight="1">
      <c r="A451" s="398"/>
      <c r="B451" s="398"/>
      <c r="C451" s="619"/>
      <c r="D451" s="451"/>
      <c r="E451" s="451"/>
      <c r="F451" s="401"/>
      <c r="G451" s="743" t="str">
        <f>C450</f>
        <v>35/4</v>
      </c>
      <c r="H451" s="453">
        <v>435</v>
      </c>
      <c r="I451" s="407"/>
      <c r="J451" s="404"/>
      <c r="K451" s="398"/>
      <c r="L451" s="398"/>
      <c r="M451" s="398"/>
      <c r="N451" s="398"/>
      <c r="O451" s="398"/>
      <c r="P451" s="398"/>
    </row>
    <row r="452" spans="1:16" s="133" customFormat="1" ht="18.75" customHeight="1">
      <c r="A452" s="398">
        <f>SUBTOTAL(103,$C$6:C452)</f>
        <v>224</v>
      </c>
      <c r="B452" s="398"/>
      <c r="C452" s="404" t="s">
        <v>592</v>
      </c>
      <c r="D452" s="620" t="s">
        <v>49</v>
      </c>
      <c r="E452" s="620"/>
      <c r="F452" s="406"/>
      <c r="G452" s="398"/>
      <c r="H452" s="453"/>
      <c r="I452" s="407">
        <f>ROUND(H451/1000,4)+I450</f>
        <v>85.689599999999956</v>
      </c>
      <c r="J452" s="402" t="s">
        <v>50</v>
      </c>
      <c r="K452" s="398" t="s">
        <v>255</v>
      </c>
      <c r="L452" s="398" t="s">
        <v>255</v>
      </c>
      <c r="M452" s="398" t="s">
        <v>255</v>
      </c>
      <c r="N452" s="398" t="str">
        <f>VLOOKUP(C452,'Tack Welding'!$D$5:$J$94,7,0)</f>
        <v xml:space="preserve">Completed </v>
      </c>
      <c r="O452" s="398"/>
      <c r="P452" s="398"/>
    </row>
    <row r="453" spans="1:16" s="133" customFormat="1" ht="18.75" hidden="1" customHeight="1">
      <c r="A453" s="398"/>
      <c r="B453" s="398"/>
      <c r="C453" s="619"/>
      <c r="D453" s="451"/>
      <c r="E453" s="451"/>
      <c r="F453" s="401"/>
      <c r="G453" s="743" t="str">
        <f>C452</f>
        <v>35/5</v>
      </c>
      <c r="H453" s="453">
        <v>345</v>
      </c>
      <c r="I453" s="407"/>
      <c r="J453" s="404"/>
      <c r="K453" s="398"/>
      <c r="L453" s="398"/>
      <c r="M453" s="398"/>
      <c r="N453" s="398"/>
      <c r="O453" s="398"/>
      <c r="P453" s="398"/>
    </row>
    <row r="454" spans="1:16" s="133" customFormat="1" ht="18.75" customHeight="1">
      <c r="A454" s="398">
        <f>SUBTOTAL(103,$C$6:C454)</f>
        <v>225</v>
      </c>
      <c r="B454" s="398"/>
      <c r="C454" s="404" t="s">
        <v>593</v>
      </c>
      <c r="D454" s="620" t="s">
        <v>79</v>
      </c>
      <c r="E454" s="620"/>
      <c r="F454" s="406"/>
      <c r="G454" s="398"/>
      <c r="H454" s="453"/>
      <c r="I454" s="407">
        <f>ROUND(H453/1000,4)+I452</f>
        <v>86.034599999999955</v>
      </c>
      <c r="J454" s="402" t="s">
        <v>50</v>
      </c>
      <c r="K454" s="398" t="s">
        <v>255</v>
      </c>
      <c r="L454" s="398" t="s">
        <v>255</v>
      </c>
      <c r="M454" s="398" t="s">
        <v>255</v>
      </c>
      <c r="N454" s="398"/>
      <c r="O454" s="398"/>
      <c r="P454" s="398"/>
    </row>
    <row r="455" spans="1:16" s="133" customFormat="1" ht="18.75" hidden="1" customHeight="1">
      <c r="A455" s="398"/>
      <c r="B455" s="398"/>
      <c r="C455" s="619"/>
      <c r="D455" s="451"/>
      <c r="E455" s="451"/>
      <c r="F455" s="401"/>
      <c r="G455" s="743" t="str">
        <f>C454</f>
        <v>35/6</v>
      </c>
      <c r="H455" s="453">
        <v>395</v>
      </c>
      <c r="I455" s="407"/>
      <c r="J455" s="404"/>
      <c r="K455" s="398"/>
      <c r="L455" s="398"/>
      <c r="M455" s="398"/>
      <c r="N455" s="398"/>
      <c r="O455" s="398"/>
      <c r="P455" s="398"/>
    </row>
    <row r="456" spans="1:16" s="133" customFormat="1" ht="18.75" customHeight="1">
      <c r="A456" s="398">
        <f>SUBTOTAL(103,$C$6:C456)</f>
        <v>226</v>
      </c>
      <c r="B456" s="398"/>
      <c r="C456" s="404" t="s">
        <v>594</v>
      </c>
      <c r="D456" s="620" t="s">
        <v>2</v>
      </c>
      <c r="E456" s="620"/>
      <c r="F456" s="406"/>
      <c r="G456" s="398"/>
      <c r="H456" s="453"/>
      <c r="I456" s="407">
        <f>ROUND(H455/1000,4)+I454</f>
        <v>86.429599999999951</v>
      </c>
      <c r="J456" s="402" t="s">
        <v>50</v>
      </c>
      <c r="K456" s="398" t="s">
        <v>255</v>
      </c>
      <c r="L456" s="398" t="s">
        <v>255</v>
      </c>
      <c r="M456" s="398" t="s">
        <v>255</v>
      </c>
      <c r="N456" s="398" t="str">
        <f>VLOOKUP(C456,'Tack Welding'!$D$5:$J$94,7,0)</f>
        <v xml:space="preserve">Completed </v>
      </c>
      <c r="O456" s="398"/>
      <c r="P456" s="398"/>
    </row>
    <row r="457" spans="1:16" s="133" customFormat="1" ht="18.75" hidden="1" customHeight="1">
      <c r="A457" s="398"/>
      <c r="B457" s="398"/>
      <c r="C457" s="619"/>
      <c r="D457" s="451"/>
      <c r="E457" s="451"/>
      <c r="F457" s="401"/>
      <c r="G457" s="743" t="str">
        <f>C456</f>
        <v>35/7</v>
      </c>
      <c r="H457" s="453">
        <v>440</v>
      </c>
      <c r="I457" s="407"/>
      <c r="J457" s="404"/>
      <c r="K457" s="398"/>
      <c r="L457" s="398"/>
      <c r="M457" s="398"/>
      <c r="N457" s="398"/>
      <c r="O457" s="398"/>
      <c r="P457" s="398"/>
    </row>
    <row r="458" spans="1:16" s="133" customFormat="1" ht="18.75" customHeight="1">
      <c r="A458" s="398">
        <f>SUBTOTAL(103,$C$6:C458)</f>
        <v>227</v>
      </c>
      <c r="B458" s="398"/>
      <c r="C458" s="404" t="s">
        <v>595</v>
      </c>
      <c r="D458" s="620" t="s">
        <v>79</v>
      </c>
      <c r="E458" s="620"/>
      <c r="F458" s="406"/>
      <c r="G458" s="398"/>
      <c r="H458" s="453"/>
      <c r="I458" s="407">
        <f>ROUND(H457/1000,4)+I456</f>
        <v>86.869599999999949</v>
      </c>
      <c r="J458" s="402" t="s">
        <v>50</v>
      </c>
      <c r="K458" s="398" t="s">
        <v>255</v>
      </c>
      <c r="L458" s="398" t="s">
        <v>255</v>
      </c>
      <c r="M458" s="398" t="s">
        <v>255</v>
      </c>
      <c r="N458" s="398" t="str">
        <f>VLOOKUP(C458,'Tack Welding'!$D$5:$J$94,7,0)</f>
        <v xml:space="preserve">Completed </v>
      </c>
      <c r="O458" s="398"/>
      <c r="P458" s="398"/>
    </row>
    <row r="459" spans="1:16" s="133" customFormat="1" ht="18.75" hidden="1" customHeight="1">
      <c r="A459" s="398"/>
      <c r="B459" s="398"/>
      <c r="C459" s="619"/>
      <c r="D459" s="451"/>
      <c r="E459" s="451"/>
      <c r="F459" s="401"/>
      <c r="G459" s="743" t="str">
        <f>C458</f>
        <v>35/8</v>
      </c>
      <c r="H459" s="453">
        <v>400</v>
      </c>
      <c r="I459" s="407"/>
      <c r="J459" s="404"/>
      <c r="K459" s="398"/>
      <c r="L459" s="398"/>
      <c r="M459" s="398"/>
      <c r="N459" s="398"/>
      <c r="O459" s="398"/>
      <c r="P459" s="398"/>
    </row>
    <row r="460" spans="1:16" s="133" customFormat="1" ht="18.75" customHeight="1">
      <c r="A460" s="398">
        <f>SUBTOTAL(103,$C$6:C460)</f>
        <v>228</v>
      </c>
      <c r="B460" s="398"/>
      <c r="C460" s="404" t="s">
        <v>596</v>
      </c>
      <c r="D460" s="620" t="s">
        <v>170</v>
      </c>
      <c r="E460" s="620"/>
      <c r="F460" s="406"/>
      <c r="G460" s="398"/>
      <c r="H460" s="453"/>
      <c r="I460" s="407">
        <f>ROUND(H459/1000,4)+I458</f>
        <v>87.269599999999954</v>
      </c>
      <c r="J460" s="402" t="s">
        <v>50</v>
      </c>
      <c r="K460" s="398" t="s">
        <v>255</v>
      </c>
      <c r="L460" s="398" t="s">
        <v>255</v>
      </c>
      <c r="M460" s="398" t="s">
        <v>255</v>
      </c>
      <c r="N460" s="398"/>
      <c r="O460" s="398"/>
      <c r="P460" s="398"/>
    </row>
    <row r="461" spans="1:16" s="133" customFormat="1" ht="18.75" hidden="1" customHeight="1">
      <c r="A461" s="398"/>
      <c r="B461" s="398"/>
      <c r="C461" s="619"/>
      <c r="D461" s="451"/>
      <c r="E461" s="451"/>
      <c r="F461" s="401"/>
      <c r="G461" s="743" t="str">
        <f>C460</f>
        <v>35/9</v>
      </c>
      <c r="H461" s="453">
        <v>440</v>
      </c>
      <c r="I461" s="407"/>
      <c r="J461" s="404"/>
      <c r="K461" s="398"/>
      <c r="L461" s="398"/>
      <c r="M461" s="398"/>
      <c r="N461" s="398"/>
      <c r="O461" s="398"/>
      <c r="P461" s="398"/>
    </row>
    <row r="462" spans="1:16" s="133" customFormat="1" ht="18.75" customHeight="1">
      <c r="A462" s="398">
        <f>SUBTOTAL(103,$C$6:C462)</f>
        <v>229</v>
      </c>
      <c r="B462" s="398"/>
      <c r="C462" s="404" t="s">
        <v>597</v>
      </c>
      <c r="D462" s="620" t="s">
        <v>2</v>
      </c>
      <c r="E462" s="620"/>
      <c r="F462" s="406"/>
      <c r="G462" s="398"/>
      <c r="H462" s="453"/>
      <c r="I462" s="407">
        <f>ROUND(H461/1000,4)+I460</f>
        <v>87.709599999999952</v>
      </c>
      <c r="J462" s="402" t="s">
        <v>50</v>
      </c>
      <c r="K462" s="398" t="s">
        <v>255</v>
      </c>
      <c r="L462" s="398" t="s">
        <v>255</v>
      </c>
      <c r="M462" s="398" t="s">
        <v>255</v>
      </c>
      <c r="N462" s="398"/>
      <c r="O462" s="398"/>
      <c r="P462" s="398"/>
    </row>
    <row r="463" spans="1:16" s="133" customFormat="1" ht="18.75" hidden="1" customHeight="1">
      <c r="A463" s="398"/>
      <c r="B463" s="398"/>
      <c r="C463" s="619"/>
      <c r="D463" s="451"/>
      <c r="E463" s="451"/>
      <c r="F463" s="401"/>
      <c r="G463" s="743" t="str">
        <f>C462</f>
        <v>35/10</v>
      </c>
      <c r="H463" s="453">
        <v>330</v>
      </c>
      <c r="I463" s="407"/>
      <c r="J463" s="404"/>
      <c r="K463" s="398"/>
      <c r="L463" s="398"/>
      <c r="M463" s="398"/>
      <c r="N463" s="398"/>
      <c r="O463" s="398"/>
      <c r="P463" s="398"/>
    </row>
    <row r="464" spans="1:16" s="133" customFormat="1" ht="18.75" customHeight="1">
      <c r="A464" s="398">
        <f>SUBTOTAL(103,$C$6:C464)</f>
        <v>230</v>
      </c>
      <c r="B464" s="398"/>
      <c r="C464" s="404" t="s">
        <v>598</v>
      </c>
      <c r="D464" s="620" t="s">
        <v>2</v>
      </c>
      <c r="E464" s="620"/>
      <c r="F464" s="406"/>
      <c r="G464" s="398"/>
      <c r="H464" s="453"/>
      <c r="I464" s="407">
        <f>ROUND(H463/1000,4)+I462</f>
        <v>88.03959999999995</v>
      </c>
      <c r="J464" s="402" t="s">
        <v>50</v>
      </c>
      <c r="K464" s="398" t="s">
        <v>255</v>
      </c>
      <c r="L464" s="398" t="s">
        <v>255</v>
      </c>
      <c r="M464" s="398" t="s">
        <v>255</v>
      </c>
      <c r="N464" s="398"/>
      <c r="O464" s="398"/>
      <c r="P464" s="398"/>
    </row>
    <row r="465" spans="1:16" s="133" customFormat="1" ht="18.75" hidden="1" customHeight="1">
      <c r="A465" s="398"/>
      <c r="B465" s="398"/>
      <c r="C465" s="619"/>
      <c r="D465" s="451"/>
      <c r="E465" s="451"/>
      <c r="F465" s="401"/>
      <c r="G465" s="743" t="str">
        <f>C464</f>
        <v>35/11</v>
      </c>
      <c r="H465" s="453">
        <v>493.084</v>
      </c>
      <c r="I465" s="407"/>
      <c r="J465" s="404"/>
      <c r="K465" s="398"/>
      <c r="L465" s="398"/>
      <c r="M465" s="398"/>
      <c r="N465" s="398"/>
      <c r="O465" s="398"/>
      <c r="P465" s="398"/>
    </row>
    <row r="466" spans="1:16" s="133" customFormat="1" ht="18.75" customHeight="1">
      <c r="A466" s="398">
        <f>SUBTOTAL(103,$C$6:C466)</f>
        <v>231</v>
      </c>
      <c r="B466" s="399" t="s">
        <v>599</v>
      </c>
      <c r="C466" s="404" t="s">
        <v>8</v>
      </c>
      <c r="D466" s="620" t="s">
        <v>228</v>
      </c>
      <c r="E466" s="620"/>
      <c r="F466" s="401"/>
      <c r="G466" s="400"/>
      <c r="H466" s="454"/>
      <c r="I466" s="407">
        <f>ROUND(H465/1000,4)+I464</f>
        <v>88.532699999999949</v>
      </c>
      <c r="J466" s="402" t="s">
        <v>50</v>
      </c>
      <c r="K466" s="398" t="s">
        <v>255</v>
      </c>
      <c r="L466" s="398" t="s">
        <v>255</v>
      </c>
      <c r="M466" s="398" t="s">
        <v>255</v>
      </c>
      <c r="N466" s="398"/>
      <c r="O466" s="398" t="s">
        <v>962</v>
      </c>
      <c r="P466" s="398"/>
    </row>
    <row r="467" spans="1:16" s="133" customFormat="1" ht="18.75" hidden="1" customHeight="1">
      <c r="A467" s="398"/>
      <c r="B467" s="398"/>
      <c r="C467" s="619"/>
      <c r="D467" s="451"/>
      <c r="E467" s="451"/>
      <c r="F467" s="401"/>
      <c r="G467" s="743" t="str">
        <f>C466</f>
        <v>36/0</v>
      </c>
      <c r="H467" s="454">
        <v>454</v>
      </c>
      <c r="I467" s="407"/>
      <c r="J467" s="404"/>
      <c r="K467" s="398"/>
      <c r="L467" s="398"/>
      <c r="M467" s="398"/>
      <c r="N467" s="398"/>
      <c r="O467" s="398"/>
      <c r="P467" s="398"/>
    </row>
    <row r="468" spans="1:16" s="133" customFormat="1" ht="18.75" customHeight="1">
      <c r="A468" s="398">
        <f>SUBTOTAL(103,$C$6:C468)</f>
        <v>232</v>
      </c>
      <c r="B468" s="398"/>
      <c r="C468" s="404" t="s">
        <v>1069</v>
      </c>
      <c r="D468" s="620" t="s">
        <v>211</v>
      </c>
      <c r="E468" s="620"/>
      <c r="F468" s="401"/>
      <c r="G468" s="398"/>
      <c r="H468" s="454"/>
      <c r="I468" s="407">
        <f>ROUND(H467/1000,4)+I466</f>
        <v>88.986699999999942</v>
      </c>
      <c r="J468" s="402" t="s">
        <v>50</v>
      </c>
      <c r="K468" s="398" t="s">
        <v>255</v>
      </c>
      <c r="L468" s="398"/>
      <c r="M468" s="398" t="s">
        <v>255</v>
      </c>
      <c r="N468" s="398"/>
      <c r="O468" s="398"/>
      <c r="P468" s="398"/>
    </row>
    <row r="469" spans="1:16" s="133" customFormat="1" ht="18.75" hidden="1" customHeight="1">
      <c r="A469" s="398"/>
      <c r="B469" s="398"/>
      <c r="C469" s="619"/>
      <c r="D469" s="451"/>
      <c r="E469" s="451"/>
      <c r="F469" s="401"/>
      <c r="G469" s="743" t="str">
        <f>C468</f>
        <v>36A/0</v>
      </c>
      <c r="H469" s="454">
        <v>451</v>
      </c>
      <c r="I469" s="407"/>
      <c r="J469" s="404"/>
      <c r="K469" s="398"/>
      <c r="L469" s="398"/>
      <c r="M469" s="398"/>
      <c r="N469" s="398"/>
      <c r="O469" s="398"/>
      <c r="P469" s="398"/>
    </row>
    <row r="470" spans="1:16" s="133" customFormat="1" ht="18.75" customHeight="1">
      <c r="A470" s="398">
        <f>SUBTOTAL(103,$C$6:C470)</f>
        <v>233</v>
      </c>
      <c r="B470" s="398"/>
      <c r="C470" s="404" t="s">
        <v>1070</v>
      </c>
      <c r="D470" s="620" t="s">
        <v>2</v>
      </c>
      <c r="E470" s="620"/>
      <c r="F470" s="406"/>
      <c r="G470" s="398"/>
      <c r="H470" s="454"/>
      <c r="I470" s="407">
        <f>ROUND(H469/1000,4)+I468</f>
        <v>89.437699999999936</v>
      </c>
      <c r="J470" s="402" t="s">
        <v>50</v>
      </c>
      <c r="K470" s="398" t="s">
        <v>255</v>
      </c>
      <c r="L470" s="398" t="s">
        <v>255</v>
      </c>
      <c r="M470" s="398" t="s">
        <v>255</v>
      </c>
      <c r="N470" s="398"/>
      <c r="O470" s="398"/>
      <c r="P470" s="398"/>
    </row>
    <row r="471" spans="1:16" s="133" customFormat="1" ht="18.75" hidden="1" customHeight="1">
      <c r="A471" s="398"/>
      <c r="B471" s="398"/>
      <c r="C471" s="619"/>
      <c r="D471" s="451"/>
      <c r="E471" s="451"/>
      <c r="F471" s="401"/>
      <c r="G471" s="743" t="str">
        <f>C470</f>
        <v>36A/1</v>
      </c>
      <c r="H471" s="454">
        <v>375.7</v>
      </c>
      <c r="I471" s="407"/>
      <c r="J471" s="404"/>
      <c r="K471" s="398"/>
      <c r="L471" s="398"/>
      <c r="M471" s="398"/>
      <c r="N471" s="398"/>
      <c r="O471" s="398"/>
      <c r="P471" s="398"/>
    </row>
    <row r="472" spans="1:16" s="133" customFormat="1" ht="18.75" customHeight="1">
      <c r="A472" s="398">
        <f>SUBTOTAL(103,$C$6:C472)</f>
        <v>234</v>
      </c>
      <c r="B472" s="398"/>
      <c r="C472" s="410" t="s">
        <v>1781</v>
      </c>
      <c r="D472" s="1161" t="s">
        <v>215</v>
      </c>
      <c r="E472" s="1161"/>
      <c r="F472" s="1161"/>
      <c r="G472" s="410"/>
      <c r="H472" s="1162"/>
      <c r="I472" s="407">
        <f>ROUND(H471/1000,4)+I470</f>
        <v>89.81339999999993</v>
      </c>
      <c r="J472" s="402" t="s">
        <v>50</v>
      </c>
      <c r="K472" s="398" t="s">
        <v>255</v>
      </c>
      <c r="L472" s="398" t="s">
        <v>255</v>
      </c>
      <c r="M472" s="398" t="s">
        <v>255</v>
      </c>
      <c r="N472" s="398"/>
      <c r="O472" s="398"/>
      <c r="P472" s="398"/>
    </row>
    <row r="473" spans="1:16" s="133" customFormat="1" ht="18.75" hidden="1" customHeight="1">
      <c r="A473" s="398"/>
      <c r="B473" s="398"/>
      <c r="C473" s="746"/>
      <c r="D473" s="411"/>
      <c r="E473" s="411"/>
      <c r="F473" s="411"/>
      <c r="G473" s="1163" t="str">
        <f>C472</f>
        <v>36B/0 N</v>
      </c>
      <c r="H473" s="1162">
        <v>420.81</v>
      </c>
      <c r="I473" s="407"/>
      <c r="J473" s="404"/>
      <c r="K473" s="398"/>
      <c r="L473" s="398"/>
      <c r="M473" s="398"/>
      <c r="N473" s="398"/>
      <c r="O473" s="398"/>
      <c r="P473" s="398"/>
    </row>
    <row r="474" spans="1:16" s="133" customFormat="1" ht="18.75" customHeight="1">
      <c r="A474" s="398">
        <f>SUBTOTAL(103,$C$6:C474)</f>
        <v>235</v>
      </c>
      <c r="B474" s="399" t="s">
        <v>600</v>
      </c>
      <c r="C474" s="410" t="s">
        <v>1782</v>
      </c>
      <c r="D474" s="1161" t="s">
        <v>428</v>
      </c>
      <c r="E474" s="1161"/>
      <c r="F474" s="411"/>
      <c r="G474" s="746"/>
      <c r="H474" s="1162"/>
      <c r="I474" s="407">
        <f>ROUND(H473/1000,4)+I472</f>
        <v>90.23419999999993</v>
      </c>
      <c r="J474" s="402" t="s">
        <v>50</v>
      </c>
      <c r="K474" s="398" t="s">
        <v>255</v>
      </c>
      <c r="L474" s="398" t="s">
        <v>255</v>
      </c>
      <c r="M474" s="398"/>
      <c r="N474" s="398"/>
      <c r="O474" s="398"/>
      <c r="P474" s="398"/>
    </row>
    <row r="475" spans="1:16" s="133" customFormat="1" ht="18.75" hidden="1" customHeight="1">
      <c r="A475" s="398"/>
      <c r="B475" s="398"/>
      <c r="C475" s="746"/>
      <c r="D475" s="411"/>
      <c r="E475" s="411"/>
      <c r="F475" s="411"/>
      <c r="G475" s="1163" t="str">
        <f>C474</f>
        <v>36C/0 N</v>
      </c>
      <c r="H475" s="1162">
        <v>469.33</v>
      </c>
      <c r="I475" s="407"/>
      <c r="J475" s="404"/>
      <c r="K475" s="398"/>
      <c r="L475" s="398"/>
      <c r="M475" s="398"/>
      <c r="N475" s="398"/>
      <c r="O475" s="398"/>
      <c r="P475" s="398"/>
    </row>
    <row r="476" spans="1:16" s="133" customFormat="1" ht="18.75" customHeight="1">
      <c r="A476" s="398">
        <f>SUBTOTAL(103,$C$6:C476)</f>
        <v>236</v>
      </c>
      <c r="B476" s="398"/>
      <c r="C476" s="410" t="s">
        <v>1783</v>
      </c>
      <c r="D476" s="1161" t="s">
        <v>215</v>
      </c>
      <c r="E476" s="1161"/>
      <c r="F476" s="1161"/>
      <c r="G476" s="410"/>
      <c r="H476" s="1162"/>
      <c r="I476" s="407">
        <f>ROUND(H475/1000,4)+I474</f>
        <v>90.703499999999934</v>
      </c>
      <c r="J476" s="402" t="s">
        <v>50</v>
      </c>
      <c r="K476" s="398" t="s">
        <v>255</v>
      </c>
      <c r="L476" s="398" t="s">
        <v>255</v>
      </c>
      <c r="M476" s="398"/>
      <c r="N476" s="398"/>
      <c r="O476" s="398"/>
      <c r="P476" s="398"/>
    </row>
    <row r="477" spans="1:16" s="133" customFormat="1" ht="18.75" hidden="1" customHeight="1">
      <c r="A477" s="398"/>
      <c r="B477" s="398"/>
      <c r="C477" s="619"/>
      <c r="D477" s="451"/>
      <c r="E477" s="451"/>
      <c r="F477" s="401"/>
      <c r="G477" s="743" t="str">
        <f>C476</f>
        <v>37/0 N</v>
      </c>
      <c r="H477" s="454">
        <v>411.28</v>
      </c>
      <c r="I477" s="407"/>
      <c r="J477" s="404"/>
      <c r="K477" s="398"/>
      <c r="L477" s="398"/>
      <c r="M477" s="398"/>
      <c r="N477" s="398"/>
      <c r="O477" s="398"/>
      <c r="P477" s="398"/>
    </row>
    <row r="478" spans="1:16" s="133" customFormat="1" ht="18.75" customHeight="1">
      <c r="A478" s="398">
        <f>SUBTOTAL(103,$C$6:C478)</f>
        <v>237</v>
      </c>
      <c r="B478" s="398"/>
      <c r="C478" s="404" t="s">
        <v>602</v>
      </c>
      <c r="D478" s="620" t="s">
        <v>2</v>
      </c>
      <c r="E478" s="620"/>
      <c r="F478" s="406"/>
      <c r="G478" s="398"/>
      <c r="H478" s="454"/>
      <c r="I478" s="407">
        <f>ROUND(H477/1000,4)+I476</f>
        <v>91.114799999999931</v>
      </c>
      <c r="J478" s="402" t="s">
        <v>50</v>
      </c>
      <c r="K478" s="398" t="s">
        <v>255</v>
      </c>
      <c r="L478" s="398" t="s">
        <v>255</v>
      </c>
      <c r="M478" s="398" t="s">
        <v>255</v>
      </c>
      <c r="N478" s="398"/>
      <c r="O478" s="398"/>
      <c r="P478" s="398"/>
    </row>
    <row r="479" spans="1:16" s="133" customFormat="1" ht="18.75" hidden="1" customHeight="1">
      <c r="A479" s="398"/>
      <c r="B479" s="398"/>
      <c r="C479" s="619"/>
      <c r="D479" s="451"/>
      <c r="E479" s="451"/>
      <c r="F479" s="401"/>
      <c r="G479" s="743" t="str">
        <f>C478</f>
        <v>37/2</v>
      </c>
      <c r="H479" s="454">
        <v>405</v>
      </c>
      <c r="I479" s="407"/>
      <c r="J479" s="404"/>
      <c r="K479" s="398"/>
      <c r="L479" s="398"/>
      <c r="M479" s="398"/>
      <c r="N479" s="398"/>
      <c r="O479" s="398"/>
      <c r="P479" s="398"/>
    </row>
    <row r="480" spans="1:16" s="133" customFormat="1" ht="18.75" customHeight="1">
      <c r="A480" s="398">
        <f>SUBTOTAL(103,$C$6:C480)</f>
        <v>238</v>
      </c>
      <c r="B480" s="398"/>
      <c r="C480" s="404" t="s">
        <v>603</v>
      </c>
      <c r="D480" s="620" t="s">
        <v>154</v>
      </c>
      <c r="E480" s="620"/>
      <c r="F480" s="406"/>
      <c r="G480" s="398"/>
      <c r="H480" s="454"/>
      <c r="I480" s="407">
        <f>ROUND(H479/1000,4)+I478</f>
        <v>91.519799999999933</v>
      </c>
      <c r="J480" s="402" t="s">
        <v>50</v>
      </c>
      <c r="K480" s="398" t="s">
        <v>255</v>
      </c>
      <c r="L480" s="398" t="s">
        <v>255</v>
      </c>
      <c r="M480" s="398" t="s">
        <v>255</v>
      </c>
      <c r="N480" s="398"/>
      <c r="O480" s="398"/>
      <c r="P480" s="398"/>
    </row>
    <row r="481" spans="1:16" s="133" customFormat="1" ht="18.75" hidden="1" customHeight="1">
      <c r="A481" s="398"/>
      <c r="B481" s="398"/>
      <c r="C481" s="619"/>
      <c r="D481" s="451"/>
      <c r="E481" s="451"/>
      <c r="F481" s="401"/>
      <c r="G481" s="743" t="str">
        <f>C480</f>
        <v>37/3</v>
      </c>
      <c r="H481" s="454">
        <v>430</v>
      </c>
      <c r="I481" s="407"/>
      <c r="J481" s="404"/>
      <c r="K481" s="398"/>
      <c r="L481" s="398"/>
      <c r="M481" s="398"/>
      <c r="N481" s="398"/>
      <c r="O481" s="398"/>
      <c r="P481" s="398"/>
    </row>
    <row r="482" spans="1:16" s="133" customFormat="1" ht="18.75" customHeight="1">
      <c r="A482" s="398">
        <f>SUBTOTAL(103,$C$6:C482)</f>
        <v>239</v>
      </c>
      <c r="B482" s="398"/>
      <c r="C482" s="404" t="s">
        <v>604</v>
      </c>
      <c r="D482" s="620" t="s">
        <v>49</v>
      </c>
      <c r="E482" s="620"/>
      <c r="F482" s="406"/>
      <c r="G482" s="398"/>
      <c r="H482" s="454"/>
      <c r="I482" s="407">
        <f>ROUND(H481/1000,4)+I480</f>
        <v>91.949799999999939</v>
      </c>
      <c r="J482" s="402" t="s">
        <v>50</v>
      </c>
      <c r="K482" s="398" t="s">
        <v>255</v>
      </c>
      <c r="L482" s="398" t="s">
        <v>255</v>
      </c>
      <c r="M482" s="398" t="s">
        <v>255</v>
      </c>
      <c r="N482" s="398"/>
      <c r="O482" s="398"/>
      <c r="P482" s="398"/>
    </row>
    <row r="483" spans="1:16" s="133" customFormat="1" ht="18.75" hidden="1" customHeight="1">
      <c r="A483" s="398"/>
      <c r="B483" s="398"/>
      <c r="C483" s="619"/>
      <c r="D483" s="451"/>
      <c r="E483" s="451"/>
      <c r="F483" s="401"/>
      <c r="G483" s="743" t="str">
        <f>C482</f>
        <v>37/4</v>
      </c>
      <c r="H483" s="454">
        <v>410</v>
      </c>
      <c r="I483" s="407"/>
      <c r="J483" s="404"/>
      <c r="K483" s="398"/>
      <c r="L483" s="398"/>
      <c r="M483" s="398"/>
      <c r="N483" s="398"/>
      <c r="O483" s="398"/>
      <c r="P483" s="398"/>
    </row>
    <row r="484" spans="1:16" s="133" customFormat="1" ht="18.75" customHeight="1">
      <c r="A484" s="398">
        <f>SUBTOTAL(103,$C$6:C484)</f>
        <v>240</v>
      </c>
      <c r="B484" s="398"/>
      <c r="C484" s="404" t="s">
        <v>605</v>
      </c>
      <c r="D484" s="620" t="s">
        <v>2</v>
      </c>
      <c r="E484" s="620"/>
      <c r="F484" s="406"/>
      <c r="G484" s="398"/>
      <c r="H484" s="454"/>
      <c r="I484" s="407">
        <f>ROUND(H483/1000,4)+I482</f>
        <v>92.359799999999936</v>
      </c>
      <c r="J484" s="402" t="s">
        <v>50</v>
      </c>
      <c r="K484" s="398" t="s">
        <v>255</v>
      </c>
      <c r="L484" s="398" t="s">
        <v>255</v>
      </c>
      <c r="M484" s="398" t="s">
        <v>255</v>
      </c>
      <c r="N484" s="398"/>
      <c r="O484" s="398"/>
      <c r="P484" s="398"/>
    </row>
    <row r="485" spans="1:16" s="133" customFormat="1" ht="18.75" hidden="1" customHeight="1">
      <c r="A485" s="398"/>
      <c r="B485" s="398"/>
      <c r="C485" s="619"/>
      <c r="D485" s="451"/>
      <c r="E485" s="451"/>
      <c r="F485" s="401"/>
      <c r="G485" s="743" t="str">
        <f>C484</f>
        <v>37/5</v>
      </c>
      <c r="H485" s="454">
        <v>420</v>
      </c>
      <c r="I485" s="407"/>
      <c r="J485" s="404"/>
      <c r="K485" s="398"/>
      <c r="L485" s="398"/>
      <c r="M485" s="398"/>
      <c r="N485" s="398"/>
      <c r="O485" s="398"/>
      <c r="P485" s="398"/>
    </row>
    <row r="486" spans="1:16" s="133" customFormat="1" ht="18.75" customHeight="1">
      <c r="A486" s="398">
        <f>SUBTOTAL(103,$C$6:C486)</f>
        <v>241</v>
      </c>
      <c r="B486" s="399" t="s">
        <v>790</v>
      </c>
      <c r="C486" s="404" t="s">
        <v>775</v>
      </c>
      <c r="D486" s="620" t="s">
        <v>197</v>
      </c>
      <c r="E486" s="620"/>
      <c r="F486" s="406"/>
      <c r="G486" s="398"/>
      <c r="H486" s="454"/>
      <c r="I486" s="407">
        <f>ROUND(H485/1000,4)+I484</f>
        <v>92.779799999999938</v>
      </c>
      <c r="J486" s="402" t="s">
        <v>50</v>
      </c>
      <c r="K486" s="398" t="s">
        <v>255</v>
      </c>
      <c r="L486" s="398" t="s">
        <v>255</v>
      </c>
      <c r="M486" s="398" t="s">
        <v>255</v>
      </c>
      <c r="N486" s="398" t="str">
        <f>VLOOKUP(C486,'Tack Welding'!$D$5:$J$94,7,0)</f>
        <v xml:space="preserve">Completed </v>
      </c>
      <c r="O486" s="398"/>
      <c r="P486" s="398"/>
    </row>
    <row r="487" spans="1:16" s="133" customFormat="1" ht="18.75" hidden="1" customHeight="1">
      <c r="A487" s="398"/>
      <c r="B487" s="398"/>
      <c r="C487" s="619"/>
      <c r="D487" s="451"/>
      <c r="E487" s="451"/>
      <c r="F487" s="401"/>
      <c r="G487" s="743" t="str">
        <f>C486</f>
        <v>37A/0</v>
      </c>
      <c r="H487" s="454">
        <v>280</v>
      </c>
      <c r="I487" s="407"/>
      <c r="J487" s="404"/>
      <c r="K487" s="398"/>
      <c r="L487" s="398"/>
      <c r="M487" s="398"/>
      <c r="N487" s="398"/>
      <c r="O487" s="398"/>
      <c r="P487" s="398"/>
    </row>
    <row r="488" spans="1:16" s="133" customFormat="1" ht="18.75" customHeight="1">
      <c r="A488" s="398">
        <f>SUBTOTAL(103,$C$6:C488)</f>
        <v>242</v>
      </c>
      <c r="B488" s="398"/>
      <c r="C488" s="404" t="s">
        <v>776</v>
      </c>
      <c r="D488" s="620" t="s">
        <v>2</v>
      </c>
      <c r="E488" s="620"/>
      <c r="F488" s="406"/>
      <c r="G488" s="398"/>
      <c r="H488" s="454"/>
      <c r="I488" s="407">
        <f>ROUND(H487/1000,4)+I486</f>
        <v>93.059799999999939</v>
      </c>
      <c r="J488" s="402" t="s">
        <v>50</v>
      </c>
      <c r="K488" s="398" t="s">
        <v>255</v>
      </c>
      <c r="L488" s="398" t="s">
        <v>255</v>
      </c>
      <c r="M488" s="398" t="s">
        <v>255</v>
      </c>
      <c r="N488" s="398" t="str">
        <f>VLOOKUP(C488,'Tack Welding'!$D$5:$J$94,7,0)</f>
        <v xml:space="preserve">Completed </v>
      </c>
      <c r="O488" s="398"/>
      <c r="P488" s="398"/>
    </row>
    <row r="489" spans="1:16" s="133" customFormat="1" ht="18.75" hidden="1" customHeight="1">
      <c r="A489" s="398"/>
      <c r="B489" s="398"/>
      <c r="C489" s="619"/>
      <c r="D489" s="451"/>
      <c r="E489" s="451"/>
      <c r="F489" s="401"/>
      <c r="G489" s="743" t="str">
        <f>C488</f>
        <v>37A/1</v>
      </c>
      <c r="H489" s="454">
        <v>345</v>
      </c>
      <c r="I489" s="407"/>
      <c r="J489" s="404"/>
      <c r="K489" s="398"/>
      <c r="L489" s="398"/>
      <c r="M489" s="398"/>
      <c r="N489" s="398"/>
      <c r="O489" s="398"/>
      <c r="P489" s="398"/>
    </row>
    <row r="490" spans="1:16" s="133" customFormat="1" ht="18.75" customHeight="1">
      <c r="A490" s="398">
        <f>SUBTOTAL(103,$C$6:C490)</f>
        <v>243</v>
      </c>
      <c r="B490" s="398"/>
      <c r="C490" s="404" t="s">
        <v>777</v>
      </c>
      <c r="D490" s="620" t="s">
        <v>170</v>
      </c>
      <c r="E490" s="620"/>
      <c r="F490" s="406"/>
      <c r="G490" s="398"/>
      <c r="H490" s="454"/>
      <c r="I490" s="407">
        <f>ROUND(H489/1000,4)+I488</f>
        <v>93.404799999999938</v>
      </c>
      <c r="J490" s="402" t="s">
        <v>50</v>
      </c>
      <c r="K490" s="398" t="s">
        <v>255</v>
      </c>
      <c r="L490" s="398" t="s">
        <v>255</v>
      </c>
      <c r="M490" s="398" t="s">
        <v>255</v>
      </c>
      <c r="N490" s="398" t="str">
        <f>VLOOKUP(C490,'Tack Welding'!$D$5:$J$94,7,0)</f>
        <v xml:space="preserve">Completed </v>
      </c>
      <c r="O490" s="398"/>
      <c r="P490" s="398"/>
    </row>
    <row r="491" spans="1:16" s="133" customFormat="1" ht="18.75" hidden="1" customHeight="1">
      <c r="A491" s="398"/>
      <c r="B491" s="398"/>
      <c r="C491" s="619"/>
      <c r="D491" s="451"/>
      <c r="E491" s="451"/>
      <c r="F491" s="401"/>
      <c r="G491" s="743" t="str">
        <f>C490</f>
        <v>37A/2</v>
      </c>
      <c r="H491" s="454">
        <v>330</v>
      </c>
      <c r="I491" s="407"/>
      <c r="J491" s="404"/>
      <c r="K491" s="398"/>
      <c r="L491" s="398"/>
      <c r="M491" s="398"/>
      <c r="N491" s="398"/>
      <c r="O491" s="398"/>
      <c r="P491" s="398"/>
    </row>
    <row r="492" spans="1:16" s="133" customFormat="1" ht="18.75" customHeight="1">
      <c r="A492" s="398">
        <f>SUBTOTAL(103,$C$6:C492)</f>
        <v>244</v>
      </c>
      <c r="B492" s="398"/>
      <c r="C492" s="404" t="s">
        <v>778</v>
      </c>
      <c r="D492" s="620" t="s">
        <v>2</v>
      </c>
      <c r="E492" s="620"/>
      <c r="F492" s="406"/>
      <c r="G492" s="398"/>
      <c r="H492" s="454"/>
      <c r="I492" s="407">
        <f>ROUND(H491/1000,4)+I490</f>
        <v>93.734799999999936</v>
      </c>
      <c r="J492" s="402" t="s">
        <v>50</v>
      </c>
      <c r="K492" s="398" t="s">
        <v>255</v>
      </c>
      <c r="L492" s="398" t="s">
        <v>255</v>
      </c>
      <c r="M492" s="398" t="s">
        <v>255</v>
      </c>
      <c r="N492" s="398" t="str">
        <f>VLOOKUP(C492,'Tack Welding'!$D$5:$J$94,7,0)</f>
        <v xml:space="preserve">Completed </v>
      </c>
      <c r="O492" s="398"/>
      <c r="P492" s="398"/>
    </row>
    <row r="493" spans="1:16" s="133" customFormat="1" ht="18.75" hidden="1" customHeight="1">
      <c r="A493" s="398"/>
      <c r="B493" s="398"/>
      <c r="C493" s="619"/>
      <c r="D493" s="451"/>
      <c r="E493" s="451"/>
      <c r="F493" s="401"/>
      <c r="G493" s="743" t="str">
        <f>C492</f>
        <v>37A/3</v>
      </c>
      <c r="H493" s="454">
        <v>455</v>
      </c>
      <c r="I493" s="407"/>
      <c r="J493" s="404"/>
      <c r="K493" s="398"/>
      <c r="L493" s="398"/>
      <c r="M493" s="398"/>
      <c r="N493" s="398"/>
      <c r="O493" s="398"/>
      <c r="P493" s="398"/>
    </row>
    <row r="494" spans="1:16" s="133" customFormat="1" ht="18.75" customHeight="1">
      <c r="A494" s="398">
        <f>SUBTOTAL(103,$C$6:C494)</f>
        <v>245</v>
      </c>
      <c r="B494" s="398"/>
      <c r="C494" s="404" t="s">
        <v>779</v>
      </c>
      <c r="D494" s="620" t="s">
        <v>49</v>
      </c>
      <c r="E494" s="620"/>
      <c r="F494" s="406"/>
      <c r="G494" s="398"/>
      <c r="H494" s="454"/>
      <c r="I494" s="407">
        <f>ROUND(H493/1000,4)+I492</f>
        <v>94.189799999999934</v>
      </c>
      <c r="J494" s="402" t="s">
        <v>50</v>
      </c>
      <c r="K494" s="398" t="s">
        <v>255</v>
      </c>
      <c r="L494" s="398" t="s">
        <v>255</v>
      </c>
      <c r="M494" s="398" t="s">
        <v>255</v>
      </c>
      <c r="N494" s="398" t="str">
        <f>VLOOKUP(C494,'Tack Welding'!$D$5:$J$94,7,0)</f>
        <v xml:space="preserve">Completed </v>
      </c>
      <c r="O494" s="398" t="s">
        <v>962</v>
      </c>
      <c r="P494" s="398"/>
    </row>
    <row r="495" spans="1:16" s="133" customFormat="1" ht="18.75" hidden="1" customHeight="1">
      <c r="A495" s="398"/>
      <c r="B495" s="398"/>
      <c r="C495" s="619"/>
      <c r="D495" s="451"/>
      <c r="E495" s="451"/>
      <c r="F495" s="401"/>
      <c r="G495" s="743" t="str">
        <f>C494</f>
        <v>37A/4</v>
      </c>
      <c r="H495" s="454">
        <v>340</v>
      </c>
      <c r="I495" s="407"/>
      <c r="J495" s="404"/>
      <c r="K495" s="398"/>
      <c r="L495" s="398"/>
      <c r="M495" s="398"/>
      <c r="N495" s="398"/>
      <c r="O495" s="398"/>
      <c r="P495" s="398"/>
    </row>
    <row r="496" spans="1:16" s="133" customFormat="1" ht="18.75" customHeight="1">
      <c r="A496" s="398">
        <f>SUBTOTAL(103,$C$6:C496)</f>
        <v>246</v>
      </c>
      <c r="B496" s="398"/>
      <c r="C496" s="404" t="s">
        <v>780</v>
      </c>
      <c r="D496" s="620" t="s">
        <v>2</v>
      </c>
      <c r="E496" s="620"/>
      <c r="F496" s="406"/>
      <c r="G496" s="398"/>
      <c r="H496" s="454"/>
      <c r="I496" s="407">
        <f>ROUND(H495/1000,4)+I494</f>
        <v>94.529799999999938</v>
      </c>
      <c r="J496" s="402" t="s">
        <v>50</v>
      </c>
      <c r="K496" s="398" t="s">
        <v>255</v>
      </c>
      <c r="L496" s="398" t="s">
        <v>255</v>
      </c>
      <c r="M496" s="398" t="s">
        <v>255</v>
      </c>
      <c r="N496" s="398" t="str">
        <f>VLOOKUP(C496,'Tack Welding'!$D$5:$J$94,7,0)</f>
        <v xml:space="preserve">Completed </v>
      </c>
      <c r="O496" s="398"/>
      <c r="P496" s="398"/>
    </row>
    <row r="497" spans="1:16" s="133" customFormat="1" ht="18.75" hidden="1" customHeight="1">
      <c r="A497" s="398"/>
      <c r="B497" s="398"/>
      <c r="C497" s="619"/>
      <c r="D497" s="451"/>
      <c r="E497" s="451"/>
      <c r="F497" s="401"/>
      <c r="G497" s="743" t="str">
        <f>C496</f>
        <v>37A/5</v>
      </c>
      <c r="H497" s="454">
        <v>435</v>
      </c>
      <c r="I497" s="407"/>
      <c r="J497" s="404"/>
      <c r="K497" s="398"/>
      <c r="L497" s="398"/>
      <c r="M497" s="398"/>
      <c r="N497" s="398"/>
      <c r="O497" s="398"/>
      <c r="P497" s="398"/>
    </row>
    <row r="498" spans="1:16" s="133" customFormat="1" ht="18.75" customHeight="1">
      <c r="A498" s="398">
        <f>SUBTOTAL(103,$C$6:C498)</f>
        <v>247</v>
      </c>
      <c r="B498" s="398"/>
      <c r="C498" s="404" t="s">
        <v>781</v>
      </c>
      <c r="D498" s="620" t="s">
        <v>2</v>
      </c>
      <c r="E498" s="620"/>
      <c r="F498" s="406"/>
      <c r="G498" s="398"/>
      <c r="H498" s="454"/>
      <c r="I498" s="407">
        <f>ROUND(H497/1000,4)+I496</f>
        <v>94.96479999999994</v>
      </c>
      <c r="J498" s="402" t="s">
        <v>50</v>
      </c>
      <c r="K498" s="398" t="s">
        <v>255</v>
      </c>
      <c r="L498" s="398" t="s">
        <v>255</v>
      </c>
      <c r="M498" s="398" t="s">
        <v>255</v>
      </c>
      <c r="N498" s="398" t="str">
        <f>VLOOKUP(C498,'Tack Welding'!$D$5:$J$94,7,0)</f>
        <v xml:space="preserve">Completed </v>
      </c>
      <c r="O498" s="398"/>
      <c r="P498" s="398"/>
    </row>
    <row r="499" spans="1:16" s="133" customFormat="1" ht="18.75" hidden="1" customHeight="1">
      <c r="A499" s="398"/>
      <c r="B499" s="398"/>
      <c r="C499" s="619"/>
      <c r="D499" s="451"/>
      <c r="E499" s="451"/>
      <c r="F499" s="401"/>
      <c r="G499" s="743" t="str">
        <f>C498</f>
        <v>37A/6</v>
      </c>
      <c r="H499" s="454">
        <v>398.589</v>
      </c>
      <c r="I499" s="407"/>
      <c r="J499" s="404"/>
      <c r="K499" s="398"/>
      <c r="L499" s="398"/>
      <c r="M499" s="398"/>
      <c r="N499" s="398"/>
      <c r="O499" s="398"/>
      <c r="P499" s="398"/>
    </row>
    <row r="500" spans="1:16" s="133" customFormat="1" ht="18.75" customHeight="1">
      <c r="A500" s="398">
        <f>SUBTOTAL(103,$C$6:C500)</f>
        <v>248</v>
      </c>
      <c r="B500" s="399" t="s">
        <v>606</v>
      </c>
      <c r="C500" s="404" t="s">
        <v>72</v>
      </c>
      <c r="D500" s="620" t="s">
        <v>226</v>
      </c>
      <c r="E500" s="620"/>
      <c r="F500" s="401"/>
      <c r="G500" s="400"/>
      <c r="H500" s="454"/>
      <c r="I500" s="407">
        <f>ROUND(H499/1000,4)+I498</f>
        <v>95.363399999999942</v>
      </c>
      <c r="J500" s="402" t="s">
        <v>50</v>
      </c>
      <c r="K500" s="398" t="s">
        <v>255</v>
      </c>
      <c r="L500" s="398" t="s">
        <v>255</v>
      </c>
      <c r="M500" s="398" t="s">
        <v>255</v>
      </c>
      <c r="N500" s="398" t="str">
        <f>VLOOKUP(C500,'Tack Welding'!$D$5:$J$94,7,0)</f>
        <v xml:space="preserve">Completed </v>
      </c>
      <c r="O500" s="398"/>
      <c r="P500" s="398"/>
    </row>
    <row r="501" spans="1:16" s="133" customFormat="1" ht="18.75" hidden="1" customHeight="1">
      <c r="A501" s="398"/>
      <c r="B501" s="398"/>
      <c r="C501" s="619"/>
      <c r="D501" s="451"/>
      <c r="E501" s="451"/>
      <c r="F501" s="401"/>
      <c r="G501" s="743" t="str">
        <f>C500</f>
        <v>38/0</v>
      </c>
      <c r="H501" s="454">
        <v>426.411</v>
      </c>
      <c r="I501" s="407"/>
      <c r="J501" s="404"/>
      <c r="K501" s="398"/>
      <c r="L501" s="398"/>
      <c r="M501" s="398"/>
      <c r="N501" s="398"/>
      <c r="O501" s="398"/>
      <c r="P501" s="398"/>
    </row>
    <row r="502" spans="1:16" s="133" customFormat="1" ht="18.75" customHeight="1">
      <c r="A502" s="398">
        <f>SUBTOTAL(103,$C$6:C502)</f>
        <v>249</v>
      </c>
      <c r="B502" s="398"/>
      <c r="C502" s="404" t="s">
        <v>607</v>
      </c>
      <c r="D502" s="620" t="s">
        <v>3</v>
      </c>
      <c r="E502" s="620"/>
      <c r="F502" s="406"/>
      <c r="G502" s="398"/>
      <c r="H502" s="454"/>
      <c r="I502" s="407">
        <f>ROUND(H501/1000,4)+I500</f>
        <v>95.789799999999943</v>
      </c>
      <c r="J502" s="402" t="s">
        <v>50</v>
      </c>
      <c r="K502" s="398" t="s">
        <v>255</v>
      </c>
      <c r="L502" s="398" t="s">
        <v>255</v>
      </c>
      <c r="M502" s="398" t="s">
        <v>255</v>
      </c>
      <c r="N502" s="398" t="str">
        <f>VLOOKUP(C502,'Tack Welding'!$D$5:$J$94,7,0)</f>
        <v xml:space="preserve">Completed </v>
      </c>
      <c r="O502" s="398"/>
      <c r="P502" s="398"/>
    </row>
    <row r="503" spans="1:16" s="133" customFormat="1" ht="18.75" hidden="1" customHeight="1">
      <c r="A503" s="398"/>
      <c r="B503" s="398"/>
      <c r="C503" s="619"/>
      <c r="D503" s="451"/>
      <c r="E503" s="451"/>
      <c r="F503" s="401"/>
      <c r="G503" s="743" t="str">
        <f>C502</f>
        <v>38/1</v>
      </c>
      <c r="H503" s="454">
        <v>390</v>
      </c>
      <c r="I503" s="407"/>
      <c r="J503" s="404"/>
      <c r="K503" s="398"/>
      <c r="L503" s="398"/>
      <c r="M503" s="398"/>
      <c r="N503" s="398"/>
      <c r="O503" s="398"/>
      <c r="P503" s="398"/>
    </row>
    <row r="504" spans="1:16" s="133" customFormat="1" ht="18.75" customHeight="1">
      <c r="A504" s="398">
        <f>SUBTOTAL(103,$C$6:C504)</f>
        <v>250</v>
      </c>
      <c r="B504" s="398"/>
      <c r="C504" s="404" t="s">
        <v>608</v>
      </c>
      <c r="D504" s="620" t="s">
        <v>3</v>
      </c>
      <c r="E504" s="620"/>
      <c r="F504" s="406"/>
      <c r="G504" s="398"/>
      <c r="H504" s="454"/>
      <c r="I504" s="407">
        <f>ROUND(H503/1000,4)+I502</f>
        <v>96.179799999999943</v>
      </c>
      <c r="J504" s="402" t="s">
        <v>50</v>
      </c>
      <c r="K504" s="398" t="s">
        <v>255</v>
      </c>
      <c r="L504" s="398" t="s">
        <v>255</v>
      </c>
      <c r="M504" s="398" t="s">
        <v>255</v>
      </c>
      <c r="N504" s="398" t="str">
        <f>VLOOKUP(C504,'Tack Welding'!$D$5:$J$94,7,0)</f>
        <v xml:space="preserve">Completed </v>
      </c>
      <c r="O504" s="398"/>
      <c r="P504" s="398"/>
    </row>
    <row r="505" spans="1:16" s="133" customFormat="1" ht="18.75" hidden="1" customHeight="1">
      <c r="A505" s="398"/>
      <c r="B505" s="398"/>
      <c r="C505" s="619"/>
      <c r="D505" s="451"/>
      <c r="E505" s="451"/>
      <c r="F505" s="401"/>
      <c r="G505" s="743" t="str">
        <f>C504</f>
        <v>38/2</v>
      </c>
      <c r="H505" s="454">
        <v>335</v>
      </c>
      <c r="I505" s="407"/>
      <c r="J505" s="404"/>
      <c r="K505" s="398"/>
      <c r="L505" s="398"/>
      <c r="M505" s="398"/>
      <c r="N505" s="398"/>
      <c r="O505" s="398"/>
      <c r="P505" s="398"/>
    </row>
    <row r="506" spans="1:16" s="133" customFormat="1" ht="18.75" customHeight="1">
      <c r="A506" s="398">
        <f>SUBTOTAL(103,$C$6:C506)</f>
        <v>251</v>
      </c>
      <c r="B506" s="398"/>
      <c r="C506" s="404" t="s">
        <v>609</v>
      </c>
      <c r="D506" s="620" t="s">
        <v>2</v>
      </c>
      <c r="E506" s="620"/>
      <c r="F506" s="406"/>
      <c r="G506" s="398"/>
      <c r="H506" s="454"/>
      <c r="I506" s="407">
        <f>ROUND(H505/1000,4)+I504</f>
        <v>96.514799999999937</v>
      </c>
      <c r="J506" s="402" t="s">
        <v>50</v>
      </c>
      <c r="K506" s="398" t="s">
        <v>255</v>
      </c>
      <c r="L506" s="398" t="s">
        <v>255</v>
      </c>
      <c r="M506" s="398" t="s">
        <v>255</v>
      </c>
      <c r="N506" s="398" t="str">
        <f>VLOOKUP(C506,'Tack Welding'!$D$5:$J$94,7,0)</f>
        <v xml:space="preserve">Completed </v>
      </c>
      <c r="O506" s="398"/>
      <c r="P506" s="398"/>
    </row>
    <row r="507" spans="1:16" s="133" customFormat="1" ht="18.75" hidden="1" customHeight="1">
      <c r="A507" s="398"/>
      <c r="B507" s="398"/>
      <c r="C507" s="619"/>
      <c r="D507" s="451"/>
      <c r="E507" s="451"/>
      <c r="F507" s="401"/>
      <c r="G507" s="743" t="str">
        <f>C506</f>
        <v>38/3</v>
      </c>
      <c r="H507" s="454">
        <v>440</v>
      </c>
      <c r="I507" s="407"/>
      <c r="J507" s="404"/>
      <c r="K507" s="398"/>
      <c r="L507" s="398"/>
      <c r="M507" s="398"/>
      <c r="N507" s="398"/>
      <c r="O507" s="398"/>
      <c r="P507" s="398"/>
    </row>
    <row r="508" spans="1:16" s="133" customFormat="1" ht="18.75" customHeight="1">
      <c r="A508" s="398">
        <f>SUBTOTAL(103,$C$6:C508)</f>
        <v>252</v>
      </c>
      <c r="B508" s="398"/>
      <c r="C508" s="404" t="s">
        <v>610</v>
      </c>
      <c r="D508" s="620" t="s">
        <v>170</v>
      </c>
      <c r="E508" s="620"/>
      <c r="F508" s="406"/>
      <c r="G508" s="398"/>
      <c r="H508" s="454"/>
      <c r="I508" s="407">
        <f>ROUND(H507/1000,4)+I506</f>
        <v>96.954799999999935</v>
      </c>
      <c r="J508" s="402" t="s">
        <v>50</v>
      </c>
      <c r="K508" s="398" t="s">
        <v>255</v>
      </c>
      <c r="L508" s="398" t="s">
        <v>255</v>
      </c>
      <c r="M508" s="398" t="s">
        <v>255</v>
      </c>
      <c r="N508" s="398" t="str">
        <f>VLOOKUP(C508,'Tack Welding'!$D$5:$J$94,7,0)</f>
        <v xml:space="preserve">Completed </v>
      </c>
      <c r="O508" s="398"/>
      <c r="P508" s="398"/>
    </row>
    <row r="509" spans="1:16" s="133" customFormat="1" ht="18.75" hidden="1" customHeight="1">
      <c r="A509" s="398"/>
      <c r="B509" s="398"/>
      <c r="C509" s="619"/>
      <c r="D509" s="451"/>
      <c r="E509" s="451"/>
      <c r="F509" s="401"/>
      <c r="G509" s="743" t="str">
        <f>C508</f>
        <v>38/4</v>
      </c>
      <c r="H509" s="454">
        <v>280</v>
      </c>
      <c r="I509" s="407"/>
      <c r="J509" s="404"/>
      <c r="K509" s="398"/>
      <c r="L509" s="398"/>
      <c r="M509" s="398"/>
      <c r="N509" s="398"/>
      <c r="O509" s="398"/>
      <c r="P509" s="398"/>
    </row>
    <row r="510" spans="1:16" s="133" customFormat="1" ht="18.75" customHeight="1">
      <c r="A510" s="398">
        <f>SUBTOTAL(103,$C$6:C510)</f>
        <v>253</v>
      </c>
      <c r="B510" s="398"/>
      <c r="C510" s="404" t="s">
        <v>611</v>
      </c>
      <c r="D510" s="620" t="s">
        <v>2</v>
      </c>
      <c r="E510" s="620"/>
      <c r="F510" s="406"/>
      <c r="G510" s="398"/>
      <c r="H510" s="454"/>
      <c r="I510" s="407">
        <f>ROUND(H509/1000,4)+I508</f>
        <v>97.234799999999936</v>
      </c>
      <c r="J510" s="402" t="s">
        <v>50</v>
      </c>
      <c r="K510" s="398" t="s">
        <v>255</v>
      </c>
      <c r="L510" s="398" t="s">
        <v>255</v>
      </c>
      <c r="M510" s="398" t="s">
        <v>255</v>
      </c>
      <c r="N510" s="398" t="str">
        <f>VLOOKUP(C510,'Tack Welding'!$D$5:$J$94,7,0)</f>
        <v xml:space="preserve">Completed </v>
      </c>
      <c r="O510" s="398"/>
      <c r="P510" s="398"/>
    </row>
    <row r="511" spans="1:16" s="133" customFormat="1" ht="18.75" hidden="1" customHeight="1">
      <c r="A511" s="398"/>
      <c r="B511" s="398"/>
      <c r="C511" s="619"/>
      <c r="D511" s="451"/>
      <c r="E511" s="451"/>
      <c r="F511" s="401"/>
      <c r="G511" s="743" t="str">
        <f>C510</f>
        <v>38/5</v>
      </c>
      <c r="H511" s="454">
        <v>450</v>
      </c>
      <c r="I511" s="407"/>
      <c r="J511" s="404"/>
      <c r="K511" s="398"/>
      <c r="L511" s="398"/>
      <c r="M511" s="398"/>
      <c r="N511" s="398"/>
      <c r="O511" s="398"/>
      <c r="P511" s="398"/>
    </row>
    <row r="512" spans="1:16" s="133" customFormat="1" ht="18.75" customHeight="1">
      <c r="A512" s="398">
        <f>SUBTOTAL(103,$C$6:C512)</f>
        <v>254</v>
      </c>
      <c r="B512" s="398"/>
      <c r="C512" s="404" t="s">
        <v>612</v>
      </c>
      <c r="D512" s="620" t="s">
        <v>79</v>
      </c>
      <c r="E512" s="620"/>
      <c r="F512" s="406"/>
      <c r="G512" s="398"/>
      <c r="H512" s="454"/>
      <c r="I512" s="407">
        <f>ROUND(H511/1000,4)+I510</f>
        <v>97.684799999999939</v>
      </c>
      <c r="J512" s="402" t="s">
        <v>50</v>
      </c>
      <c r="K512" s="398" t="s">
        <v>255</v>
      </c>
      <c r="L512" s="398" t="s">
        <v>255</v>
      </c>
      <c r="M512" s="398" t="s">
        <v>255</v>
      </c>
      <c r="N512" s="398" t="str">
        <f>VLOOKUP(C512,'Tack Welding'!$D$5:$J$94,7,0)</f>
        <v xml:space="preserve">Completed </v>
      </c>
      <c r="O512" s="398"/>
      <c r="P512" s="398"/>
    </row>
    <row r="513" spans="1:16" s="133" customFormat="1" ht="18.75" hidden="1" customHeight="1">
      <c r="A513" s="398"/>
      <c r="B513" s="398"/>
      <c r="C513" s="619"/>
      <c r="D513" s="451"/>
      <c r="E513" s="451"/>
      <c r="F513" s="401"/>
      <c r="G513" s="743" t="str">
        <f>C512</f>
        <v>38/6</v>
      </c>
      <c r="H513" s="454">
        <v>285</v>
      </c>
      <c r="I513" s="407"/>
      <c r="J513" s="404"/>
      <c r="K513" s="398"/>
      <c r="L513" s="398"/>
      <c r="M513" s="398"/>
      <c r="N513" s="398"/>
      <c r="O513" s="398"/>
      <c r="P513" s="398"/>
    </row>
    <row r="514" spans="1:16" s="133" customFormat="1" ht="18.75" customHeight="1">
      <c r="A514" s="398">
        <f>SUBTOTAL(103,$C$6:C514)</f>
        <v>255</v>
      </c>
      <c r="B514" s="398"/>
      <c r="C514" s="404" t="s">
        <v>613</v>
      </c>
      <c r="D514" s="620" t="s">
        <v>49</v>
      </c>
      <c r="E514" s="620"/>
      <c r="F514" s="406"/>
      <c r="G514" s="398"/>
      <c r="H514" s="454"/>
      <c r="I514" s="407">
        <f>ROUND(H513/1000,4)+I512</f>
        <v>97.969799999999935</v>
      </c>
      <c r="J514" s="402" t="s">
        <v>50</v>
      </c>
      <c r="K514" s="398" t="s">
        <v>255</v>
      </c>
      <c r="L514" s="398" t="s">
        <v>255</v>
      </c>
      <c r="M514" s="398" t="s">
        <v>255</v>
      </c>
      <c r="N514" s="398"/>
      <c r="O514" s="398"/>
      <c r="P514" s="398"/>
    </row>
    <row r="515" spans="1:16" s="133" customFormat="1" ht="18.75" hidden="1" customHeight="1">
      <c r="A515" s="398"/>
      <c r="B515" s="398"/>
      <c r="C515" s="619"/>
      <c r="D515" s="451"/>
      <c r="E515" s="451"/>
      <c r="F515" s="401"/>
      <c r="G515" s="743" t="str">
        <f>C514</f>
        <v>38/7</v>
      </c>
      <c r="H515" s="454">
        <v>445</v>
      </c>
      <c r="I515" s="407"/>
      <c r="J515" s="404"/>
      <c r="K515" s="398"/>
      <c r="L515" s="398"/>
      <c r="M515" s="398"/>
      <c r="N515" s="398"/>
      <c r="O515" s="398"/>
      <c r="P515" s="398"/>
    </row>
    <row r="516" spans="1:16" s="133" customFormat="1" ht="18.75" customHeight="1">
      <c r="A516" s="398">
        <f>SUBTOTAL(103,$C$6:C516)</f>
        <v>256</v>
      </c>
      <c r="B516" s="398"/>
      <c r="C516" s="404" t="s">
        <v>614</v>
      </c>
      <c r="D516" s="620" t="s">
        <v>170</v>
      </c>
      <c r="E516" s="620"/>
      <c r="F516" s="406"/>
      <c r="G516" s="398"/>
      <c r="H516" s="454"/>
      <c r="I516" s="407">
        <f>ROUND(H515/1000,4)+I514</f>
        <v>98.414799999999929</v>
      </c>
      <c r="J516" s="402" t="s">
        <v>50</v>
      </c>
      <c r="K516" s="398" t="s">
        <v>255</v>
      </c>
      <c r="L516" s="398" t="s">
        <v>255</v>
      </c>
      <c r="M516" s="398" t="s">
        <v>255</v>
      </c>
      <c r="N516" s="398" t="str">
        <f>VLOOKUP(C516,'Tack Welding'!$D$5:$J$94,7,0)</f>
        <v xml:space="preserve">Completed </v>
      </c>
      <c r="O516" s="398"/>
      <c r="P516" s="398"/>
    </row>
    <row r="517" spans="1:16" s="133" customFormat="1" ht="18.75" hidden="1" customHeight="1">
      <c r="A517" s="398"/>
      <c r="B517" s="398"/>
      <c r="C517" s="619"/>
      <c r="D517" s="451"/>
      <c r="E517" s="451"/>
      <c r="F517" s="401"/>
      <c r="G517" s="743" t="str">
        <f>C516</f>
        <v>38/8</v>
      </c>
      <c r="H517" s="454">
        <v>360</v>
      </c>
      <c r="I517" s="407"/>
      <c r="J517" s="404"/>
      <c r="K517" s="398"/>
      <c r="L517" s="398"/>
      <c r="M517" s="398"/>
      <c r="N517" s="398"/>
      <c r="O517" s="398"/>
      <c r="P517" s="398"/>
    </row>
    <row r="518" spans="1:16" s="133" customFormat="1" ht="18.75" customHeight="1">
      <c r="A518" s="398">
        <f>SUBTOTAL(103,$C$6:C518)</f>
        <v>257</v>
      </c>
      <c r="B518" s="398"/>
      <c r="C518" s="404" t="s">
        <v>615</v>
      </c>
      <c r="D518" s="620" t="s">
        <v>3</v>
      </c>
      <c r="E518" s="620"/>
      <c r="F518" s="406"/>
      <c r="G518" s="398"/>
      <c r="H518" s="454"/>
      <c r="I518" s="407">
        <f>ROUND(H517/1000,4)+I516</f>
        <v>98.774799999999928</v>
      </c>
      <c r="J518" s="402" t="s">
        <v>50</v>
      </c>
      <c r="K518" s="398" t="s">
        <v>255</v>
      </c>
      <c r="L518" s="398" t="s">
        <v>255</v>
      </c>
      <c r="M518" s="398" t="s">
        <v>255</v>
      </c>
      <c r="N518" s="398" t="str">
        <f>VLOOKUP(C518,'Tack Welding'!$D$5:$J$94,7,0)</f>
        <v xml:space="preserve">Completed </v>
      </c>
      <c r="O518" s="398"/>
      <c r="P518" s="398"/>
    </row>
    <row r="519" spans="1:16" s="133" customFormat="1" ht="18.75" hidden="1" customHeight="1">
      <c r="A519" s="398"/>
      <c r="B519" s="398"/>
      <c r="C519" s="619"/>
      <c r="D519" s="451"/>
      <c r="E519" s="451"/>
      <c r="F519" s="401"/>
      <c r="G519" s="743" t="str">
        <f>C518</f>
        <v>38/9</v>
      </c>
      <c r="H519" s="454">
        <v>430</v>
      </c>
      <c r="I519" s="407"/>
      <c r="J519" s="404"/>
      <c r="K519" s="398"/>
      <c r="L519" s="398"/>
      <c r="M519" s="398"/>
      <c r="N519" s="398"/>
      <c r="O519" s="398"/>
      <c r="P519" s="398"/>
    </row>
    <row r="520" spans="1:16" s="133" customFormat="1" ht="18.75" customHeight="1">
      <c r="A520" s="398">
        <f>SUBTOTAL(103,$C$6:C520)</f>
        <v>258</v>
      </c>
      <c r="B520" s="398"/>
      <c r="C520" s="404" t="s">
        <v>616</v>
      </c>
      <c r="D520" s="620" t="s">
        <v>2</v>
      </c>
      <c r="E520" s="620"/>
      <c r="F520" s="406"/>
      <c r="G520" s="398"/>
      <c r="H520" s="454"/>
      <c r="I520" s="407">
        <f>ROUND(H519/1000,4)+I518</f>
        <v>99.204799999999935</v>
      </c>
      <c r="J520" s="402" t="s">
        <v>50</v>
      </c>
      <c r="K520" s="398" t="s">
        <v>255</v>
      </c>
      <c r="L520" s="398" t="s">
        <v>255</v>
      </c>
      <c r="M520" s="398" t="s">
        <v>255</v>
      </c>
      <c r="N520" s="398" t="str">
        <f>VLOOKUP(C520,'Tack Welding'!$D$5:$J$94,7,0)</f>
        <v xml:space="preserve">Completed </v>
      </c>
      <c r="O520" s="398"/>
      <c r="P520" s="398"/>
    </row>
    <row r="521" spans="1:16" s="133" customFormat="1" ht="18.75" hidden="1" customHeight="1">
      <c r="A521" s="398"/>
      <c r="B521" s="398"/>
      <c r="C521" s="619"/>
      <c r="D521" s="451"/>
      <c r="E521" s="451"/>
      <c r="F521" s="401"/>
      <c r="G521" s="743" t="str">
        <f>C520</f>
        <v>38/10</v>
      </c>
      <c r="H521" s="454">
        <v>322.26600000000002</v>
      </c>
      <c r="I521" s="407"/>
      <c r="J521" s="404"/>
      <c r="K521" s="398"/>
      <c r="L521" s="398"/>
      <c r="M521" s="398"/>
      <c r="N521" s="398"/>
      <c r="O521" s="398"/>
      <c r="P521" s="398"/>
    </row>
    <row r="522" spans="1:16" s="133" customFormat="1" ht="18.75" customHeight="1">
      <c r="A522" s="398">
        <f>SUBTOTAL(103,$C$6:C522)</f>
        <v>259</v>
      </c>
      <c r="B522" s="399" t="s">
        <v>617</v>
      </c>
      <c r="C522" s="404" t="s">
        <v>73</v>
      </c>
      <c r="D522" s="620" t="s">
        <v>184</v>
      </c>
      <c r="E522" s="620"/>
      <c r="F522" s="401"/>
      <c r="G522" s="400"/>
      <c r="H522" s="454"/>
      <c r="I522" s="407">
        <f>ROUND(H521/1000,4)+I520</f>
        <v>99.527099999999933</v>
      </c>
      <c r="J522" s="402" t="s">
        <v>50</v>
      </c>
      <c r="K522" s="398" t="s">
        <v>255</v>
      </c>
      <c r="L522" s="398" t="s">
        <v>255</v>
      </c>
      <c r="M522" s="398" t="s">
        <v>255</v>
      </c>
      <c r="N522" s="398" t="str">
        <f>VLOOKUP(C522,'Tack Welding'!$D$5:$J$94,7,0)</f>
        <v xml:space="preserve">Completed </v>
      </c>
      <c r="O522" s="398" t="s">
        <v>962</v>
      </c>
      <c r="P522" s="398"/>
    </row>
    <row r="523" spans="1:16" s="133" customFormat="1" ht="18.75" hidden="1" customHeight="1">
      <c r="A523" s="398"/>
      <c r="B523" s="398"/>
      <c r="C523" s="619"/>
      <c r="D523" s="451"/>
      <c r="E523" s="451"/>
      <c r="F523" s="401"/>
      <c r="G523" s="743" t="str">
        <f>C522</f>
        <v>39/0</v>
      </c>
      <c r="H523" s="454">
        <v>392.73</v>
      </c>
      <c r="I523" s="407"/>
      <c r="J523" s="404"/>
      <c r="K523" s="398"/>
      <c r="L523" s="398"/>
      <c r="M523" s="398"/>
      <c r="N523" s="398"/>
      <c r="O523" s="398"/>
      <c r="P523" s="398"/>
    </row>
    <row r="524" spans="1:16" s="133" customFormat="1" ht="18.75" customHeight="1">
      <c r="A524" s="398">
        <f>SUBTOTAL(103,$C$6:C524)</f>
        <v>260</v>
      </c>
      <c r="B524" s="398"/>
      <c r="C524" s="404" t="s">
        <v>618</v>
      </c>
      <c r="D524" s="620" t="s">
        <v>154</v>
      </c>
      <c r="E524" s="620"/>
      <c r="F524" s="406"/>
      <c r="G524" s="398"/>
      <c r="H524" s="454"/>
      <c r="I524" s="407">
        <f>ROUND(H523/1000,4)+I522</f>
        <v>99.919799999999938</v>
      </c>
      <c r="J524" s="402" t="s">
        <v>50</v>
      </c>
      <c r="K524" s="398" t="s">
        <v>255</v>
      </c>
      <c r="L524" s="398" t="s">
        <v>255</v>
      </c>
      <c r="M524" s="398" t="s">
        <v>255</v>
      </c>
      <c r="N524" s="398" t="str">
        <f>VLOOKUP(C524,'Tack Welding'!$D$5:$J$94,7,0)</f>
        <v xml:space="preserve">Completed </v>
      </c>
      <c r="O524" s="398"/>
      <c r="P524" s="398"/>
    </row>
    <row r="525" spans="1:16" s="133" customFormat="1" ht="18.75" hidden="1" customHeight="1">
      <c r="A525" s="398"/>
      <c r="B525" s="398"/>
      <c r="C525" s="619"/>
      <c r="D525" s="451"/>
      <c r="E525" s="451"/>
      <c r="F525" s="401"/>
      <c r="G525" s="743" t="str">
        <f>C524</f>
        <v>39/1</v>
      </c>
      <c r="H525" s="454">
        <v>395</v>
      </c>
      <c r="I525" s="407"/>
      <c r="J525" s="404"/>
      <c r="K525" s="398"/>
      <c r="L525" s="398"/>
      <c r="M525" s="398"/>
      <c r="N525" s="398"/>
      <c r="O525" s="398"/>
      <c r="P525" s="398"/>
    </row>
    <row r="526" spans="1:16" s="133" customFormat="1" ht="18.75" customHeight="1">
      <c r="A526" s="398">
        <f>SUBTOTAL(103,$C$6:C526)</f>
        <v>261</v>
      </c>
      <c r="B526" s="398"/>
      <c r="C526" s="404" t="s">
        <v>619</v>
      </c>
      <c r="D526" s="620" t="s">
        <v>2</v>
      </c>
      <c r="E526" s="620"/>
      <c r="F526" s="406"/>
      <c r="G526" s="398"/>
      <c r="H526" s="454"/>
      <c r="I526" s="407">
        <f>ROUND(H525/1000,4)+I524</f>
        <v>100.31479999999993</v>
      </c>
      <c r="J526" s="402" t="s">
        <v>50</v>
      </c>
      <c r="K526" s="398" t="s">
        <v>255</v>
      </c>
      <c r="L526" s="398" t="s">
        <v>255</v>
      </c>
      <c r="M526" s="398" t="s">
        <v>255</v>
      </c>
      <c r="N526" s="398" t="str">
        <f>VLOOKUP(C526,'Tack Welding'!$D$5:$J$94,7,0)</f>
        <v xml:space="preserve">Completed </v>
      </c>
      <c r="O526" s="398"/>
      <c r="P526" s="398"/>
    </row>
    <row r="527" spans="1:16" s="133" customFormat="1" ht="18.75" hidden="1" customHeight="1">
      <c r="A527" s="398"/>
      <c r="B527" s="398"/>
      <c r="C527" s="619"/>
      <c r="D527" s="451"/>
      <c r="E527" s="451"/>
      <c r="F527" s="401"/>
      <c r="G527" s="743" t="str">
        <f>C526</f>
        <v>39/2</v>
      </c>
      <c r="H527" s="454">
        <v>385</v>
      </c>
      <c r="I527" s="407"/>
      <c r="J527" s="404"/>
      <c r="K527" s="398"/>
      <c r="L527" s="398"/>
      <c r="M527" s="398"/>
      <c r="N527" s="398"/>
      <c r="O527" s="398"/>
      <c r="P527" s="398"/>
    </row>
    <row r="528" spans="1:16" s="133" customFormat="1" ht="18.75" customHeight="1">
      <c r="A528" s="398">
        <f>SUBTOTAL(103,$C$6:C528)</f>
        <v>262</v>
      </c>
      <c r="B528" s="398"/>
      <c r="C528" s="404" t="s">
        <v>620</v>
      </c>
      <c r="D528" s="620" t="s">
        <v>170</v>
      </c>
      <c r="E528" s="620"/>
      <c r="F528" s="406"/>
      <c r="G528" s="398"/>
      <c r="H528" s="454"/>
      <c r="I528" s="407">
        <f>ROUND(H527/1000,4)+I526</f>
        <v>100.69979999999994</v>
      </c>
      <c r="J528" s="402" t="s">
        <v>50</v>
      </c>
      <c r="K528" s="398" t="s">
        <v>255</v>
      </c>
      <c r="L528" s="398" t="s">
        <v>255</v>
      </c>
      <c r="M528" s="398" t="s">
        <v>255</v>
      </c>
      <c r="N528" s="398" t="str">
        <f>VLOOKUP(C528,'Tack Welding'!$D$5:$J$94,7,0)</f>
        <v xml:space="preserve">Completed </v>
      </c>
      <c r="O528" s="398"/>
      <c r="P528" s="398"/>
    </row>
    <row r="529" spans="1:16" s="133" customFormat="1" ht="18.75" hidden="1" customHeight="1">
      <c r="A529" s="398"/>
      <c r="B529" s="398"/>
      <c r="C529" s="619"/>
      <c r="D529" s="451"/>
      <c r="E529" s="451"/>
      <c r="F529" s="401"/>
      <c r="G529" s="743" t="str">
        <f>C528</f>
        <v>39/3</v>
      </c>
      <c r="H529" s="454">
        <v>340</v>
      </c>
      <c r="I529" s="407"/>
      <c r="J529" s="404"/>
      <c r="K529" s="398"/>
      <c r="L529" s="398"/>
      <c r="M529" s="398"/>
      <c r="N529" s="398"/>
      <c r="O529" s="398"/>
      <c r="P529" s="398"/>
    </row>
    <row r="530" spans="1:16" s="133" customFormat="1" ht="18.75" customHeight="1">
      <c r="A530" s="398">
        <f>SUBTOTAL(103,$C$6:C530)</f>
        <v>263</v>
      </c>
      <c r="B530" s="398"/>
      <c r="C530" s="404" t="s">
        <v>621</v>
      </c>
      <c r="D530" s="620" t="s">
        <v>2</v>
      </c>
      <c r="E530" s="620"/>
      <c r="F530" s="406"/>
      <c r="G530" s="398"/>
      <c r="H530" s="454"/>
      <c r="I530" s="407">
        <f>ROUND(H529/1000,4)+I528</f>
        <v>101.03979999999994</v>
      </c>
      <c r="J530" s="402" t="s">
        <v>50</v>
      </c>
      <c r="K530" s="398" t="s">
        <v>255</v>
      </c>
      <c r="L530" s="398" t="s">
        <v>255</v>
      </c>
      <c r="M530" s="398" t="s">
        <v>255</v>
      </c>
      <c r="N530" s="398" t="str">
        <f>VLOOKUP(C530,'Tack Welding'!$D$5:$J$94,7,0)</f>
        <v xml:space="preserve">Completed </v>
      </c>
      <c r="O530" s="398"/>
      <c r="P530" s="398"/>
    </row>
    <row r="531" spans="1:16" s="133" customFormat="1" ht="18.75" hidden="1" customHeight="1">
      <c r="A531" s="398"/>
      <c r="B531" s="398"/>
      <c r="C531" s="619"/>
      <c r="D531" s="451"/>
      <c r="E531" s="451"/>
      <c r="F531" s="401"/>
      <c r="G531" s="743" t="str">
        <f>C530</f>
        <v>39/4</v>
      </c>
      <c r="H531" s="454">
        <v>395</v>
      </c>
      <c r="I531" s="407"/>
      <c r="J531" s="404"/>
      <c r="K531" s="398"/>
      <c r="L531" s="398"/>
      <c r="M531" s="398"/>
      <c r="N531" s="398"/>
      <c r="O531" s="398"/>
      <c r="P531" s="398"/>
    </row>
    <row r="532" spans="1:16" s="133" customFormat="1" ht="18.75" customHeight="1">
      <c r="A532" s="398">
        <f>SUBTOTAL(103,$C$6:C532)</f>
        <v>264</v>
      </c>
      <c r="B532" s="398"/>
      <c r="C532" s="404" t="s">
        <v>622</v>
      </c>
      <c r="D532" s="620" t="s">
        <v>170</v>
      </c>
      <c r="E532" s="620"/>
      <c r="F532" s="406"/>
      <c r="G532" s="398"/>
      <c r="H532" s="454"/>
      <c r="I532" s="407">
        <f>ROUND(H531/1000,4)+I530</f>
        <v>101.43479999999994</v>
      </c>
      <c r="J532" s="402" t="s">
        <v>50</v>
      </c>
      <c r="K532" s="398" t="s">
        <v>255</v>
      </c>
      <c r="L532" s="398" t="s">
        <v>255</v>
      </c>
      <c r="M532" s="398" t="s">
        <v>255</v>
      </c>
      <c r="N532" s="398" t="str">
        <f>VLOOKUP(C532,'Tack Welding'!$D$5:$J$94,7,0)</f>
        <v xml:space="preserve">Completed </v>
      </c>
      <c r="O532" s="398"/>
      <c r="P532" s="398"/>
    </row>
    <row r="533" spans="1:16" s="133" customFormat="1" ht="18.75" hidden="1" customHeight="1">
      <c r="A533" s="398"/>
      <c r="B533" s="398"/>
      <c r="C533" s="619"/>
      <c r="D533" s="451"/>
      <c r="E533" s="451"/>
      <c r="F533" s="401"/>
      <c r="G533" s="743" t="str">
        <f>C532</f>
        <v>39/5</v>
      </c>
      <c r="H533" s="454">
        <v>410</v>
      </c>
      <c r="I533" s="407"/>
      <c r="J533" s="404"/>
      <c r="K533" s="398"/>
      <c r="L533" s="398"/>
      <c r="M533" s="398"/>
      <c r="N533" s="398"/>
      <c r="O533" s="398"/>
      <c r="P533" s="398"/>
    </row>
    <row r="534" spans="1:16" s="133" customFormat="1" ht="18.75" customHeight="1">
      <c r="A534" s="398">
        <f>SUBTOTAL(103,$C$6:C534)</f>
        <v>265</v>
      </c>
      <c r="B534" s="398"/>
      <c r="C534" s="404" t="s">
        <v>623</v>
      </c>
      <c r="D534" s="620" t="s">
        <v>170</v>
      </c>
      <c r="E534" s="620"/>
      <c r="F534" s="406"/>
      <c r="G534" s="398"/>
      <c r="H534" s="458"/>
      <c r="I534" s="407">
        <f>ROUND(H533/1000,4)+I532</f>
        <v>101.84479999999994</v>
      </c>
      <c r="J534" s="402" t="s">
        <v>50</v>
      </c>
      <c r="K534" s="398" t="s">
        <v>255</v>
      </c>
      <c r="L534" s="398" t="s">
        <v>255</v>
      </c>
      <c r="M534" s="398" t="s">
        <v>255</v>
      </c>
      <c r="N534" s="398" t="str">
        <f>VLOOKUP(C534,'Tack Welding'!$D$5:$J$94,7,0)</f>
        <v xml:space="preserve">Completed </v>
      </c>
      <c r="O534" s="398"/>
      <c r="P534" s="398"/>
    </row>
    <row r="535" spans="1:16" s="133" customFormat="1" ht="18.75" hidden="1" customHeight="1">
      <c r="A535" s="398"/>
      <c r="B535" s="398"/>
      <c r="C535" s="619"/>
      <c r="D535" s="451"/>
      <c r="E535" s="451"/>
      <c r="F535" s="401"/>
      <c r="G535" s="743" t="str">
        <f>C534</f>
        <v>39/6</v>
      </c>
      <c r="H535" s="454">
        <v>415</v>
      </c>
      <c r="I535" s="407"/>
      <c r="J535" s="404"/>
      <c r="K535" s="398"/>
      <c r="L535" s="398"/>
      <c r="M535" s="398"/>
      <c r="N535" s="398"/>
      <c r="O535" s="398"/>
      <c r="P535" s="398"/>
    </row>
    <row r="536" spans="1:16" s="133" customFormat="1" ht="18.75" customHeight="1">
      <c r="A536" s="398">
        <f>SUBTOTAL(103,$C$6:C536)</f>
        <v>266</v>
      </c>
      <c r="B536" s="398"/>
      <c r="C536" s="404" t="s">
        <v>624</v>
      </c>
      <c r="D536" s="620" t="s">
        <v>2</v>
      </c>
      <c r="E536" s="620"/>
      <c r="F536" s="406"/>
      <c r="G536" s="398"/>
      <c r="H536" s="454"/>
      <c r="I536" s="407">
        <f>ROUND(H535/1000,4)+I534</f>
        <v>102.25979999999994</v>
      </c>
      <c r="J536" s="402" t="s">
        <v>50</v>
      </c>
      <c r="K536" s="398" t="s">
        <v>255</v>
      </c>
      <c r="L536" s="398" t="s">
        <v>255</v>
      </c>
      <c r="M536" s="398" t="s">
        <v>255</v>
      </c>
      <c r="N536" s="398" t="str">
        <f>VLOOKUP(C536,'Tack Welding'!$D$5:$J$94,7,0)</f>
        <v xml:space="preserve">Completed </v>
      </c>
      <c r="O536" s="398"/>
      <c r="P536" s="398"/>
    </row>
    <row r="537" spans="1:16" s="133" customFormat="1" ht="18.75" hidden="1" customHeight="1">
      <c r="A537" s="398"/>
      <c r="B537" s="398"/>
      <c r="C537" s="619"/>
      <c r="D537" s="451"/>
      <c r="E537" s="451"/>
      <c r="F537" s="401"/>
      <c r="G537" s="743" t="str">
        <f>C536</f>
        <v>39/7</v>
      </c>
      <c r="H537" s="454">
        <v>415</v>
      </c>
      <c r="I537" s="407"/>
      <c r="J537" s="404"/>
      <c r="K537" s="398"/>
      <c r="L537" s="398"/>
      <c r="M537" s="398"/>
      <c r="N537" s="398"/>
      <c r="O537" s="398"/>
      <c r="P537" s="398"/>
    </row>
    <row r="538" spans="1:16" s="133" customFormat="1" ht="18.75" customHeight="1">
      <c r="A538" s="398">
        <f>SUBTOTAL(103,$C$6:C538)</f>
        <v>267</v>
      </c>
      <c r="B538" s="398"/>
      <c r="C538" s="404" t="s">
        <v>625</v>
      </c>
      <c r="D538" s="620" t="s">
        <v>170</v>
      </c>
      <c r="E538" s="620"/>
      <c r="F538" s="406"/>
      <c r="G538" s="398"/>
      <c r="H538" s="454"/>
      <c r="I538" s="407">
        <f>ROUND(H537/1000,4)+I536</f>
        <v>102.67479999999995</v>
      </c>
      <c r="J538" s="402" t="s">
        <v>50</v>
      </c>
      <c r="K538" s="398" t="s">
        <v>255</v>
      </c>
      <c r="L538" s="398" t="s">
        <v>255</v>
      </c>
      <c r="M538" s="398" t="s">
        <v>255</v>
      </c>
      <c r="N538" s="398" t="str">
        <f>VLOOKUP(C538,'Tack Welding'!$D$5:$J$94,7,0)</f>
        <v xml:space="preserve">Completed </v>
      </c>
      <c r="O538" s="398"/>
      <c r="P538" s="398"/>
    </row>
    <row r="539" spans="1:16" s="133" customFormat="1" ht="18.75" hidden="1" customHeight="1">
      <c r="A539" s="398"/>
      <c r="B539" s="398"/>
      <c r="C539" s="619"/>
      <c r="D539" s="451"/>
      <c r="E539" s="451"/>
      <c r="F539" s="401"/>
      <c r="G539" s="743" t="str">
        <f>C538</f>
        <v>39/8</v>
      </c>
      <c r="H539" s="454">
        <v>350</v>
      </c>
      <c r="I539" s="407"/>
      <c r="J539" s="404"/>
      <c r="K539" s="398"/>
      <c r="L539" s="398"/>
      <c r="M539" s="398"/>
      <c r="N539" s="398"/>
      <c r="O539" s="398"/>
      <c r="P539" s="398"/>
    </row>
    <row r="540" spans="1:16" s="133" customFormat="1" ht="18.75" customHeight="1">
      <c r="A540" s="398">
        <f>SUBTOTAL(103,$C$6:C540)</f>
        <v>268</v>
      </c>
      <c r="B540" s="398"/>
      <c r="C540" s="404" t="s">
        <v>626</v>
      </c>
      <c r="D540" s="620" t="s">
        <v>79</v>
      </c>
      <c r="E540" s="620"/>
      <c r="F540" s="406"/>
      <c r="G540" s="398"/>
      <c r="H540" s="454"/>
      <c r="I540" s="407">
        <f>ROUND(H539/1000,4)+I538</f>
        <v>103.02479999999994</v>
      </c>
      <c r="J540" s="402" t="s">
        <v>50</v>
      </c>
      <c r="K540" s="398" t="s">
        <v>255</v>
      </c>
      <c r="L540" s="398" t="s">
        <v>255</v>
      </c>
      <c r="M540" s="398" t="s">
        <v>255</v>
      </c>
      <c r="N540" s="398" t="str">
        <f>VLOOKUP(C540,'Tack Welding'!$D$5:$J$94,7,0)</f>
        <v xml:space="preserve">Completed </v>
      </c>
      <c r="O540" s="398"/>
      <c r="P540" s="398"/>
    </row>
    <row r="541" spans="1:16" s="133" customFormat="1" ht="18.75" hidden="1" customHeight="1">
      <c r="A541" s="398"/>
      <c r="B541" s="398"/>
      <c r="C541" s="619"/>
      <c r="D541" s="451"/>
      <c r="E541" s="451"/>
      <c r="F541" s="401"/>
      <c r="G541" s="743" t="str">
        <f>C540</f>
        <v>39/9</v>
      </c>
      <c r="H541" s="454">
        <v>425</v>
      </c>
      <c r="I541" s="407"/>
      <c r="J541" s="404"/>
      <c r="K541" s="398"/>
      <c r="L541" s="398"/>
      <c r="M541" s="398"/>
      <c r="N541" s="398"/>
      <c r="O541" s="398"/>
      <c r="P541" s="398"/>
    </row>
    <row r="542" spans="1:16" s="133" customFormat="1" ht="18.75" customHeight="1">
      <c r="A542" s="398">
        <f>SUBTOTAL(103,$C$6:C542)</f>
        <v>269</v>
      </c>
      <c r="B542" s="398"/>
      <c r="C542" s="404" t="s">
        <v>627</v>
      </c>
      <c r="D542" s="620" t="s">
        <v>2</v>
      </c>
      <c r="E542" s="620"/>
      <c r="F542" s="406"/>
      <c r="G542" s="398"/>
      <c r="H542" s="454"/>
      <c r="I542" s="407">
        <f>ROUND(H541/1000,4)+I540</f>
        <v>103.44979999999994</v>
      </c>
      <c r="J542" s="402" t="s">
        <v>50</v>
      </c>
      <c r="K542" s="398" t="s">
        <v>255</v>
      </c>
      <c r="L542" s="398" t="s">
        <v>255</v>
      </c>
      <c r="M542" s="398" t="s">
        <v>255</v>
      </c>
      <c r="N542" s="398" t="str">
        <f>VLOOKUP(C542,'Tack Welding'!$D$5:$J$94,7,0)</f>
        <v xml:space="preserve">Completed </v>
      </c>
      <c r="O542" s="398"/>
      <c r="P542" s="398"/>
    </row>
    <row r="543" spans="1:16" s="133" customFormat="1" ht="18.75" hidden="1" customHeight="1">
      <c r="A543" s="398"/>
      <c r="B543" s="398"/>
      <c r="C543" s="619"/>
      <c r="D543" s="451"/>
      <c r="E543" s="451"/>
      <c r="F543" s="401"/>
      <c r="G543" s="743" t="str">
        <f>C542</f>
        <v>39/10</v>
      </c>
      <c r="H543" s="454">
        <v>350</v>
      </c>
      <c r="I543" s="407"/>
      <c r="J543" s="404"/>
      <c r="K543" s="398"/>
      <c r="L543" s="398"/>
      <c r="M543" s="398"/>
      <c r="N543" s="398"/>
      <c r="O543" s="398"/>
      <c r="P543" s="398"/>
    </row>
    <row r="544" spans="1:16" s="133" customFormat="1" ht="18.75" customHeight="1">
      <c r="A544" s="398">
        <f>SUBTOTAL(103,$C$6:C544)</f>
        <v>270</v>
      </c>
      <c r="B544" s="398"/>
      <c r="C544" s="404" t="s">
        <v>628</v>
      </c>
      <c r="D544" s="620" t="s">
        <v>79</v>
      </c>
      <c r="E544" s="620"/>
      <c r="F544" s="406"/>
      <c r="G544" s="398"/>
      <c r="H544" s="454"/>
      <c r="I544" s="407">
        <f>ROUND(H543/1000,4)+I542</f>
        <v>103.79979999999993</v>
      </c>
      <c r="J544" s="402" t="s">
        <v>50</v>
      </c>
      <c r="K544" s="398" t="s">
        <v>255</v>
      </c>
      <c r="L544" s="398" t="s">
        <v>255</v>
      </c>
      <c r="M544" s="398" t="s">
        <v>255</v>
      </c>
      <c r="N544" s="398" t="str">
        <f>VLOOKUP(C544,'Tack Welding'!$D$5:$J$94,7,0)</f>
        <v xml:space="preserve">Completed </v>
      </c>
      <c r="O544" s="398"/>
      <c r="P544" s="398"/>
    </row>
    <row r="545" spans="1:16" s="133" customFormat="1" ht="18.75" hidden="1" customHeight="1">
      <c r="A545" s="398"/>
      <c r="B545" s="398"/>
      <c r="C545" s="619"/>
      <c r="D545" s="451"/>
      <c r="E545" s="451"/>
      <c r="F545" s="401"/>
      <c r="G545" s="743" t="str">
        <f>C544</f>
        <v>39/11</v>
      </c>
      <c r="H545" s="454">
        <v>444.08100000000002</v>
      </c>
      <c r="I545" s="407"/>
      <c r="J545" s="404"/>
      <c r="K545" s="398"/>
      <c r="L545" s="398"/>
      <c r="M545" s="398"/>
      <c r="N545" s="398"/>
      <c r="O545" s="398"/>
      <c r="P545" s="398"/>
    </row>
    <row r="546" spans="1:16" s="133" customFormat="1" ht="18.75" customHeight="1">
      <c r="A546" s="398">
        <f>SUBTOTAL(103,$C$6:C546)</f>
        <v>271</v>
      </c>
      <c r="B546" s="399" t="s">
        <v>629</v>
      </c>
      <c r="C546" s="404" t="s">
        <v>74</v>
      </c>
      <c r="D546" s="620" t="s">
        <v>227</v>
      </c>
      <c r="E546" s="620"/>
      <c r="F546" s="401"/>
      <c r="G546" s="400"/>
      <c r="H546" s="459"/>
      <c r="I546" s="407">
        <f>ROUND(H545/1000,4)+I544</f>
        <v>104.24389999999994</v>
      </c>
      <c r="J546" s="402" t="s">
        <v>50</v>
      </c>
      <c r="K546" s="398" t="s">
        <v>255</v>
      </c>
      <c r="L546" s="398" t="s">
        <v>255</v>
      </c>
      <c r="M546" s="398" t="s">
        <v>255</v>
      </c>
      <c r="N546" s="398"/>
      <c r="O546" s="398" t="s">
        <v>962</v>
      </c>
      <c r="P546" s="398"/>
    </row>
    <row r="547" spans="1:16" s="133" customFormat="1" ht="18.75" hidden="1" customHeight="1">
      <c r="A547" s="398"/>
      <c r="B547" s="398"/>
      <c r="C547" s="619"/>
      <c r="D547" s="451"/>
      <c r="E547" s="451"/>
      <c r="F547" s="401"/>
      <c r="G547" s="743" t="str">
        <f>C546</f>
        <v>40/0</v>
      </c>
      <c r="H547" s="454">
        <v>260.91800000000001</v>
      </c>
      <c r="I547" s="407"/>
      <c r="J547" s="404"/>
      <c r="K547" s="398"/>
      <c r="L547" s="398"/>
      <c r="M547" s="398"/>
      <c r="N547" s="398"/>
      <c r="O547" s="398"/>
      <c r="P547" s="398"/>
    </row>
    <row r="548" spans="1:16" s="133" customFormat="1" ht="18.75" customHeight="1">
      <c r="A548" s="398">
        <f>SUBTOTAL(103,$C$6:C548)</f>
        <v>272</v>
      </c>
      <c r="B548" s="398"/>
      <c r="C548" s="404" t="s">
        <v>206</v>
      </c>
      <c r="D548" s="620" t="s">
        <v>49</v>
      </c>
      <c r="E548" s="620"/>
      <c r="F548" s="406">
        <v>2</v>
      </c>
      <c r="G548" s="398"/>
      <c r="H548" s="454"/>
      <c r="I548" s="407">
        <f>ROUND(H547/1000,4)+I546</f>
        <v>104.50479999999995</v>
      </c>
      <c r="J548" s="402" t="s">
        <v>50</v>
      </c>
      <c r="K548" s="398" t="s">
        <v>255</v>
      </c>
      <c r="L548" s="398" t="s">
        <v>255</v>
      </c>
      <c r="M548" s="398" t="s">
        <v>255</v>
      </c>
      <c r="N548" s="398"/>
      <c r="O548" s="398"/>
      <c r="P548" s="398"/>
    </row>
    <row r="549" spans="1:16" s="133" customFormat="1" ht="18.75" hidden="1" customHeight="1">
      <c r="A549" s="398"/>
      <c r="B549" s="398"/>
      <c r="C549" s="619"/>
      <c r="D549" s="451"/>
      <c r="E549" s="451"/>
      <c r="F549" s="401"/>
      <c r="G549" s="743" t="str">
        <f>C548</f>
        <v>40/1</v>
      </c>
      <c r="H549" s="454">
        <v>385</v>
      </c>
      <c r="I549" s="407"/>
      <c r="J549" s="404"/>
      <c r="K549" s="398"/>
      <c r="L549" s="398"/>
      <c r="M549" s="398"/>
      <c r="N549" s="398"/>
      <c r="O549" s="398"/>
      <c r="P549" s="398"/>
    </row>
    <row r="550" spans="1:16" s="133" customFormat="1" ht="18.75" customHeight="1">
      <c r="A550" s="398">
        <f>SUBTOTAL(103,$C$6:C550)</f>
        <v>273</v>
      </c>
      <c r="B550" s="398"/>
      <c r="C550" s="404" t="s">
        <v>207</v>
      </c>
      <c r="D550" s="620" t="s">
        <v>79</v>
      </c>
      <c r="E550" s="620"/>
      <c r="F550" s="406"/>
      <c r="G550" s="398"/>
      <c r="H550" s="454"/>
      <c r="I550" s="407">
        <f>ROUND(H549/1000,4)+I548</f>
        <v>104.88979999999995</v>
      </c>
      <c r="J550" s="402" t="s">
        <v>50</v>
      </c>
      <c r="K550" s="398" t="s">
        <v>255</v>
      </c>
      <c r="L550" s="398" t="s">
        <v>255</v>
      </c>
      <c r="M550" s="398" t="s">
        <v>255</v>
      </c>
      <c r="N550" s="398" t="str">
        <f>VLOOKUP(C550,'Tack Welding'!$D$5:$J$94,7,0)</f>
        <v xml:space="preserve">Completed </v>
      </c>
      <c r="O550" s="398"/>
      <c r="P550" s="398"/>
    </row>
    <row r="551" spans="1:16" s="133" customFormat="1" ht="18.75" hidden="1" customHeight="1">
      <c r="A551" s="398"/>
      <c r="B551" s="398"/>
      <c r="C551" s="619"/>
      <c r="D551" s="451"/>
      <c r="E551" s="451"/>
      <c r="F551" s="401"/>
      <c r="G551" s="743" t="str">
        <f>C550</f>
        <v>40/2</v>
      </c>
      <c r="H551" s="454">
        <v>435</v>
      </c>
      <c r="I551" s="407"/>
      <c r="J551" s="404"/>
      <c r="K551" s="398"/>
      <c r="L551" s="398"/>
      <c r="M551" s="398"/>
      <c r="N551" s="398"/>
      <c r="O551" s="398"/>
      <c r="P551" s="398"/>
    </row>
    <row r="552" spans="1:16" s="133" customFormat="1" ht="18.75" customHeight="1">
      <c r="A552" s="398">
        <f>SUBTOTAL(103,$C$6:C552)</f>
        <v>274</v>
      </c>
      <c r="B552" s="398"/>
      <c r="C552" s="404" t="s">
        <v>5</v>
      </c>
      <c r="D552" s="620" t="s">
        <v>2</v>
      </c>
      <c r="E552" s="620"/>
      <c r="F552" s="406"/>
      <c r="G552" s="398"/>
      <c r="H552" s="454"/>
      <c r="I552" s="407">
        <f>ROUND(H551/1000,4)+I550</f>
        <v>105.32479999999995</v>
      </c>
      <c r="J552" s="402" t="s">
        <v>50</v>
      </c>
      <c r="K552" s="398" t="s">
        <v>255</v>
      </c>
      <c r="L552" s="398" t="s">
        <v>255</v>
      </c>
      <c r="M552" s="398" t="s">
        <v>255</v>
      </c>
      <c r="N552" s="398" t="str">
        <f>VLOOKUP(C552,'Tack Welding'!$D$5:$J$94,7,0)</f>
        <v xml:space="preserve">Completed </v>
      </c>
      <c r="O552" s="398"/>
      <c r="P552" s="398"/>
    </row>
    <row r="553" spans="1:16" s="133" customFormat="1" ht="18.75" hidden="1" customHeight="1">
      <c r="A553" s="398"/>
      <c r="B553" s="398"/>
      <c r="C553" s="619"/>
      <c r="D553" s="451"/>
      <c r="E553" s="451"/>
      <c r="F553" s="401"/>
      <c r="G553" s="743" t="str">
        <f>C552</f>
        <v>40/3</v>
      </c>
      <c r="H553" s="454">
        <v>385</v>
      </c>
      <c r="I553" s="407"/>
      <c r="J553" s="404"/>
      <c r="K553" s="398"/>
      <c r="L553" s="398"/>
      <c r="M553" s="398"/>
      <c r="N553" s="398"/>
      <c r="O553" s="398"/>
      <c r="P553" s="398"/>
    </row>
    <row r="554" spans="1:16" s="133" customFormat="1" ht="18.75" customHeight="1">
      <c r="A554" s="398">
        <f>SUBTOTAL(103,$C$6:C554)</f>
        <v>275</v>
      </c>
      <c r="B554" s="398"/>
      <c r="C554" s="404" t="s">
        <v>6</v>
      </c>
      <c r="D554" s="620" t="s">
        <v>79</v>
      </c>
      <c r="E554" s="620"/>
      <c r="F554" s="406"/>
      <c r="G554" s="398"/>
      <c r="H554" s="454"/>
      <c r="I554" s="407">
        <f>ROUND(H553/1000,4)+I552</f>
        <v>105.70979999999996</v>
      </c>
      <c r="J554" s="402" t="s">
        <v>50</v>
      </c>
      <c r="K554" s="398" t="s">
        <v>255</v>
      </c>
      <c r="L554" s="398" t="s">
        <v>255</v>
      </c>
      <c r="M554" s="398" t="s">
        <v>255</v>
      </c>
      <c r="N554" s="398" t="str">
        <f>VLOOKUP(C554,'Tack Welding'!$D$5:$J$94,7,0)</f>
        <v xml:space="preserve">Completed </v>
      </c>
      <c r="O554" s="398"/>
      <c r="P554" s="398"/>
    </row>
    <row r="555" spans="1:16" s="133" customFormat="1" ht="18.75" hidden="1" customHeight="1">
      <c r="A555" s="398"/>
      <c r="B555" s="398"/>
      <c r="C555" s="619"/>
      <c r="D555" s="451"/>
      <c r="E555" s="451"/>
      <c r="F555" s="401"/>
      <c r="G555" s="743" t="str">
        <f>C554</f>
        <v>40/4</v>
      </c>
      <c r="H555" s="454">
        <v>455</v>
      </c>
      <c r="I555" s="407"/>
      <c r="J555" s="404"/>
      <c r="K555" s="398"/>
      <c r="L555" s="398"/>
      <c r="M555" s="398"/>
      <c r="N555" s="398"/>
      <c r="O555" s="398"/>
      <c r="P555" s="398"/>
    </row>
    <row r="556" spans="1:16" s="133" customFormat="1" ht="18.75" customHeight="1">
      <c r="A556" s="398">
        <f>SUBTOTAL(103,$C$6:C556)</f>
        <v>276</v>
      </c>
      <c r="B556" s="398"/>
      <c r="C556" s="404" t="s">
        <v>630</v>
      </c>
      <c r="D556" s="620" t="s">
        <v>49</v>
      </c>
      <c r="E556" s="620"/>
      <c r="F556" s="406"/>
      <c r="G556" s="398"/>
      <c r="H556" s="454"/>
      <c r="I556" s="407">
        <f>ROUND(H555/1000,4)+I554</f>
        <v>106.16479999999996</v>
      </c>
      <c r="J556" s="402" t="s">
        <v>50</v>
      </c>
      <c r="K556" s="398" t="s">
        <v>255</v>
      </c>
      <c r="L556" s="398" t="s">
        <v>255</v>
      </c>
      <c r="M556" s="398" t="s">
        <v>255</v>
      </c>
      <c r="N556" s="398" t="str">
        <f>VLOOKUP(C556,'Tack Welding'!$D$5:$J$94,7,0)</f>
        <v xml:space="preserve">Completed </v>
      </c>
      <c r="O556" s="398"/>
      <c r="P556" s="398"/>
    </row>
    <row r="557" spans="1:16" s="133" customFormat="1" ht="18.75" hidden="1" customHeight="1">
      <c r="A557" s="398"/>
      <c r="B557" s="398"/>
      <c r="C557" s="619"/>
      <c r="D557" s="451"/>
      <c r="E557" s="451"/>
      <c r="F557" s="401"/>
      <c r="G557" s="743" t="str">
        <f>C556</f>
        <v>40/5</v>
      </c>
      <c r="H557" s="454">
        <v>370</v>
      </c>
      <c r="I557" s="407"/>
      <c r="J557" s="404"/>
      <c r="K557" s="398"/>
      <c r="L557" s="398"/>
      <c r="M557" s="398"/>
      <c r="N557" s="398"/>
      <c r="O557" s="398"/>
      <c r="P557" s="398"/>
    </row>
    <row r="558" spans="1:16" s="133" customFormat="1" ht="18.75" customHeight="1">
      <c r="A558" s="398">
        <f>SUBTOTAL(103,$C$6:C558)</f>
        <v>277</v>
      </c>
      <c r="B558" s="398"/>
      <c r="C558" s="404" t="s">
        <v>631</v>
      </c>
      <c r="D558" s="620" t="s">
        <v>49</v>
      </c>
      <c r="E558" s="620"/>
      <c r="F558" s="406"/>
      <c r="G558" s="398"/>
      <c r="H558" s="454"/>
      <c r="I558" s="407">
        <f>ROUND(H557/1000,4)+I556</f>
        <v>106.53479999999996</v>
      </c>
      <c r="J558" s="402" t="s">
        <v>50</v>
      </c>
      <c r="K558" s="398" t="s">
        <v>255</v>
      </c>
      <c r="L558" s="398" t="s">
        <v>255</v>
      </c>
      <c r="M558" s="398" t="s">
        <v>255</v>
      </c>
      <c r="N558" s="398" t="str">
        <f>VLOOKUP(C558,'Tack Welding'!$D$5:$J$94,7,0)</f>
        <v xml:space="preserve">Completed </v>
      </c>
      <c r="O558" s="398"/>
      <c r="P558" s="398"/>
    </row>
    <row r="559" spans="1:16" s="133" customFormat="1" ht="18.75" hidden="1" customHeight="1">
      <c r="A559" s="398"/>
      <c r="B559" s="398"/>
      <c r="C559" s="619"/>
      <c r="D559" s="451"/>
      <c r="E559" s="451"/>
      <c r="F559" s="401"/>
      <c r="G559" s="743" t="str">
        <f>C558</f>
        <v>40/6</v>
      </c>
      <c r="H559" s="454">
        <v>400</v>
      </c>
      <c r="I559" s="407"/>
      <c r="J559" s="404"/>
      <c r="K559" s="398"/>
      <c r="L559" s="398"/>
      <c r="M559" s="398"/>
      <c r="N559" s="398"/>
      <c r="O559" s="398"/>
      <c r="P559" s="398"/>
    </row>
    <row r="560" spans="1:16" s="133" customFormat="1" ht="18.75" customHeight="1">
      <c r="A560" s="398">
        <f>SUBTOTAL(103,$C$6:C560)</f>
        <v>278</v>
      </c>
      <c r="B560" s="398"/>
      <c r="C560" s="404" t="s">
        <v>632</v>
      </c>
      <c r="D560" s="620" t="s">
        <v>2</v>
      </c>
      <c r="E560" s="620"/>
      <c r="F560" s="406"/>
      <c r="G560" s="398"/>
      <c r="H560" s="454"/>
      <c r="I560" s="407">
        <f>ROUND(H559/1000,4)+I558</f>
        <v>106.93479999999997</v>
      </c>
      <c r="J560" s="402" t="s">
        <v>50</v>
      </c>
      <c r="K560" s="398" t="s">
        <v>255</v>
      </c>
      <c r="L560" s="398" t="s">
        <v>255</v>
      </c>
      <c r="M560" s="398" t="s">
        <v>255</v>
      </c>
      <c r="N560" s="398"/>
      <c r="O560" s="398"/>
      <c r="P560" s="398"/>
    </row>
    <row r="561" spans="1:16" s="133" customFormat="1" ht="18.75" hidden="1" customHeight="1">
      <c r="A561" s="398"/>
      <c r="B561" s="398"/>
      <c r="C561" s="619"/>
      <c r="D561" s="451"/>
      <c r="E561" s="451"/>
      <c r="F561" s="401"/>
      <c r="G561" s="743" t="str">
        <f>C560</f>
        <v>40/7</v>
      </c>
      <c r="H561" s="454">
        <v>350</v>
      </c>
      <c r="I561" s="407"/>
      <c r="J561" s="404"/>
      <c r="K561" s="398"/>
      <c r="L561" s="398"/>
      <c r="M561" s="398"/>
      <c r="N561" s="398"/>
      <c r="O561" s="398"/>
      <c r="P561" s="398"/>
    </row>
    <row r="562" spans="1:16" s="133" customFormat="1" ht="18.75" customHeight="1">
      <c r="A562" s="398">
        <f>SUBTOTAL(103,$C$6:C562)</f>
        <v>279</v>
      </c>
      <c r="B562" s="398"/>
      <c r="C562" s="404" t="s">
        <v>633</v>
      </c>
      <c r="D562" s="620" t="s">
        <v>154</v>
      </c>
      <c r="E562" s="620"/>
      <c r="F562" s="406"/>
      <c r="G562" s="398"/>
      <c r="H562" s="407"/>
      <c r="I562" s="407">
        <f>ROUND(H561/1000,4)+I560</f>
        <v>107.28479999999996</v>
      </c>
      <c r="J562" s="402" t="s">
        <v>50</v>
      </c>
      <c r="K562" s="398" t="s">
        <v>255</v>
      </c>
      <c r="L562" s="398" t="s">
        <v>255</v>
      </c>
      <c r="M562" s="398" t="s">
        <v>255</v>
      </c>
      <c r="N562" s="398"/>
      <c r="O562" s="398"/>
      <c r="P562" s="398"/>
    </row>
    <row r="563" spans="1:16" s="133" customFormat="1" ht="18.75" hidden="1" customHeight="1">
      <c r="A563" s="398"/>
      <c r="B563" s="398"/>
      <c r="C563" s="619"/>
      <c r="D563" s="451"/>
      <c r="E563" s="451"/>
      <c r="F563" s="401"/>
      <c r="G563" s="743" t="str">
        <f>C562</f>
        <v>40/8</v>
      </c>
      <c r="H563" s="407">
        <v>470</v>
      </c>
      <c r="I563" s="407"/>
      <c r="J563" s="404"/>
      <c r="K563" s="398"/>
      <c r="L563" s="398"/>
      <c r="M563" s="398"/>
      <c r="N563" s="398"/>
      <c r="O563" s="398"/>
      <c r="P563" s="398"/>
    </row>
    <row r="564" spans="1:16" s="133" customFormat="1" ht="18.75" customHeight="1">
      <c r="A564" s="398">
        <f>SUBTOTAL(103,$C$6:C564)</f>
        <v>280</v>
      </c>
      <c r="B564" s="398"/>
      <c r="C564" s="404" t="s">
        <v>634</v>
      </c>
      <c r="D564" s="620" t="s">
        <v>49</v>
      </c>
      <c r="E564" s="620"/>
      <c r="F564" s="406"/>
      <c r="G564" s="398"/>
      <c r="H564" s="407"/>
      <c r="I564" s="407">
        <f>ROUND(H563/1000,4)+I562</f>
        <v>107.75479999999996</v>
      </c>
      <c r="J564" s="402" t="s">
        <v>50</v>
      </c>
      <c r="K564" s="398" t="s">
        <v>255</v>
      </c>
      <c r="L564" s="398" t="s">
        <v>255</v>
      </c>
      <c r="M564" s="398" t="s">
        <v>255</v>
      </c>
      <c r="N564" s="398"/>
      <c r="O564" s="398"/>
      <c r="P564" s="398"/>
    </row>
    <row r="565" spans="1:16" s="133" customFormat="1" ht="18.75" hidden="1" customHeight="1">
      <c r="A565" s="398"/>
      <c r="B565" s="398"/>
      <c r="C565" s="619"/>
      <c r="D565" s="451"/>
      <c r="E565" s="451"/>
      <c r="F565" s="401"/>
      <c r="G565" s="743" t="str">
        <f>C564</f>
        <v>40/9</v>
      </c>
      <c r="H565" s="407">
        <v>355</v>
      </c>
      <c r="I565" s="407"/>
      <c r="J565" s="404"/>
      <c r="K565" s="398"/>
      <c r="L565" s="398"/>
      <c r="M565" s="398"/>
      <c r="N565" s="398"/>
      <c r="O565" s="398"/>
      <c r="P565" s="398"/>
    </row>
    <row r="566" spans="1:16" s="133" customFormat="1" ht="18.75" customHeight="1">
      <c r="A566" s="398">
        <f>SUBTOTAL(103,$C$6:C566)</f>
        <v>281</v>
      </c>
      <c r="B566" s="398"/>
      <c r="C566" s="404" t="s">
        <v>635</v>
      </c>
      <c r="D566" s="620" t="s">
        <v>2</v>
      </c>
      <c r="E566" s="620"/>
      <c r="F566" s="406"/>
      <c r="G566" s="398"/>
      <c r="H566" s="407"/>
      <c r="I566" s="407">
        <f>ROUND(H565/1000,4)+I564</f>
        <v>108.10979999999996</v>
      </c>
      <c r="J566" s="402" t="s">
        <v>50</v>
      </c>
      <c r="K566" s="398" t="s">
        <v>255</v>
      </c>
      <c r="L566" s="398" t="s">
        <v>255</v>
      </c>
      <c r="M566" s="398" t="s">
        <v>255</v>
      </c>
      <c r="N566" s="398"/>
      <c r="O566" s="398"/>
      <c r="P566" s="398"/>
    </row>
    <row r="567" spans="1:16" s="133" customFormat="1" ht="18.75" hidden="1" customHeight="1">
      <c r="A567" s="398"/>
      <c r="B567" s="398"/>
      <c r="C567" s="619"/>
      <c r="D567" s="451"/>
      <c r="E567" s="451"/>
      <c r="F567" s="401"/>
      <c r="G567" s="743" t="str">
        <f>C566</f>
        <v>40/10</v>
      </c>
      <c r="H567" s="407">
        <v>485</v>
      </c>
      <c r="I567" s="407"/>
      <c r="J567" s="404"/>
      <c r="K567" s="398"/>
      <c r="L567" s="398"/>
      <c r="M567" s="398"/>
      <c r="N567" s="398"/>
      <c r="O567" s="398"/>
      <c r="P567" s="398"/>
    </row>
    <row r="568" spans="1:16" s="133" customFormat="1" ht="18.75" customHeight="1">
      <c r="A568" s="398">
        <f>SUBTOTAL(103,$C$6:C568)</f>
        <v>282</v>
      </c>
      <c r="B568" s="398"/>
      <c r="C568" s="404" t="s">
        <v>636</v>
      </c>
      <c r="D568" s="620" t="s">
        <v>49</v>
      </c>
      <c r="E568" s="620"/>
      <c r="F568" s="406"/>
      <c r="G568" s="398"/>
      <c r="H568" s="407"/>
      <c r="I568" s="407">
        <f>ROUND(H567/1000,4)+I566</f>
        <v>108.59479999999996</v>
      </c>
      <c r="J568" s="402" t="s">
        <v>50</v>
      </c>
      <c r="K568" s="398" t="s">
        <v>255</v>
      </c>
      <c r="L568" s="398" t="s">
        <v>255</v>
      </c>
      <c r="M568" s="398" t="s">
        <v>255</v>
      </c>
      <c r="N568" s="398"/>
      <c r="O568" s="398"/>
      <c r="P568" s="398"/>
    </row>
    <row r="569" spans="1:16" s="133" customFormat="1" ht="18.75" hidden="1" customHeight="1">
      <c r="A569" s="398"/>
      <c r="B569" s="398"/>
      <c r="C569" s="619"/>
      <c r="D569" s="451"/>
      <c r="E569" s="451"/>
      <c r="F569" s="401"/>
      <c r="G569" s="743" t="str">
        <f>C568</f>
        <v>40/11</v>
      </c>
      <c r="H569" s="407">
        <v>315</v>
      </c>
      <c r="I569" s="407"/>
      <c r="J569" s="404"/>
      <c r="K569" s="398"/>
      <c r="L569" s="398"/>
      <c r="M569" s="398"/>
      <c r="N569" s="398"/>
      <c r="O569" s="398"/>
      <c r="P569" s="398"/>
    </row>
    <row r="570" spans="1:16" s="647" customFormat="1" ht="18.75" customHeight="1">
      <c r="A570" s="398">
        <f>SUBTOTAL(103,$C$6:C570)</f>
        <v>283</v>
      </c>
      <c r="B570" s="404" t="s">
        <v>637</v>
      </c>
      <c r="C570" s="404" t="s">
        <v>638</v>
      </c>
      <c r="D570" s="620" t="s">
        <v>211</v>
      </c>
      <c r="E570" s="620"/>
      <c r="F570" s="451"/>
      <c r="G570" s="746"/>
      <c r="H570" s="454"/>
      <c r="I570" s="454">
        <f>ROUND(H569/1000,4)+I568</f>
        <v>108.90979999999996</v>
      </c>
      <c r="J570" s="404" t="s">
        <v>50</v>
      </c>
      <c r="K570" s="404" t="s">
        <v>255</v>
      </c>
      <c r="L570" s="398" t="s">
        <v>255</v>
      </c>
      <c r="M570" s="404" t="s">
        <v>255</v>
      </c>
      <c r="N570" s="398"/>
      <c r="O570" s="404"/>
      <c r="P570" s="404"/>
    </row>
    <row r="571" spans="1:16" s="133" customFormat="1" ht="18.75" hidden="1" customHeight="1">
      <c r="A571" s="398"/>
      <c r="B571" s="398"/>
      <c r="C571" s="619"/>
      <c r="D571" s="451"/>
      <c r="E571" s="451"/>
      <c r="F571" s="401"/>
      <c r="G571" s="743" t="str">
        <f>C570</f>
        <v>40A/0</v>
      </c>
      <c r="H571" s="407">
        <v>410.61</v>
      </c>
      <c r="I571" s="407"/>
      <c r="J571" s="404"/>
      <c r="K571" s="398"/>
      <c r="L571" s="398"/>
      <c r="M571" s="398"/>
      <c r="N571" s="398"/>
      <c r="O571" s="398"/>
      <c r="P571" s="398"/>
    </row>
    <row r="572" spans="1:16" s="133" customFormat="1" ht="18.75" customHeight="1">
      <c r="A572" s="398">
        <f>SUBTOTAL(103,$C$6:C572)</f>
        <v>284</v>
      </c>
      <c r="B572" s="399" t="s">
        <v>639</v>
      </c>
      <c r="C572" s="404" t="s">
        <v>75</v>
      </c>
      <c r="D572" s="620" t="s">
        <v>211</v>
      </c>
      <c r="E572" s="620"/>
      <c r="F572" s="401"/>
      <c r="G572" s="400"/>
      <c r="H572" s="407"/>
      <c r="I572" s="407">
        <f>ROUND(H571/1000,4)+I570</f>
        <v>109.32039999999996</v>
      </c>
      <c r="J572" s="402" t="s">
        <v>50</v>
      </c>
      <c r="K572" s="398" t="s">
        <v>255</v>
      </c>
      <c r="L572" s="398" t="s">
        <v>255</v>
      </c>
      <c r="M572" s="398" t="s">
        <v>255</v>
      </c>
      <c r="N572" s="398"/>
      <c r="O572" s="398" t="s">
        <v>962</v>
      </c>
      <c r="P572" s="398"/>
    </row>
    <row r="573" spans="1:16" s="133" customFormat="1" ht="18.75" hidden="1" customHeight="1">
      <c r="A573" s="398"/>
      <c r="B573" s="398"/>
      <c r="C573" s="619"/>
      <c r="D573" s="451"/>
      <c r="E573" s="451"/>
      <c r="F573" s="401"/>
      <c r="G573" s="743" t="str">
        <f>C572</f>
        <v>41/0</v>
      </c>
      <c r="H573" s="407">
        <v>358</v>
      </c>
      <c r="I573" s="407"/>
      <c r="J573" s="404"/>
      <c r="K573" s="398"/>
      <c r="L573" s="398"/>
      <c r="M573" s="398"/>
      <c r="N573" s="398"/>
      <c r="O573" s="398"/>
      <c r="P573" s="398"/>
    </row>
    <row r="574" spans="1:16" s="133" customFormat="1" ht="18.75" customHeight="1">
      <c r="A574" s="398">
        <f>SUBTOTAL(103,$C$6:C574)</f>
        <v>285</v>
      </c>
      <c r="B574" s="398"/>
      <c r="C574" s="404" t="s">
        <v>76</v>
      </c>
      <c r="D574" s="620" t="s">
        <v>49</v>
      </c>
      <c r="E574" s="620"/>
      <c r="F574" s="406"/>
      <c r="G574" s="398"/>
      <c r="H574" s="407"/>
      <c r="I574" s="407">
        <f>ROUND(H573/1000,4)+I572</f>
        <v>109.67839999999997</v>
      </c>
      <c r="J574" s="402" t="s">
        <v>50</v>
      </c>
      <c r="K574" s="398" t="s">
        <v>255</v>
      </c>
      <c r="L574" s="398" t="s">
        <v>255</v>
      </c>
      <c r="M574" s="398" t="s">
        <v>255</v>
      </c>
      <c r="N574" s="398"/>
      <c r="O574" s="398"/>
      <c r="P574" s="398"/>
    </row>
    <row r="575" spans="1:16" s="133" customFormat="1" ht="18.75" hidden="1" customHeight="1">
      <c r="A575" s="398"/>
      <c r="B575" s="398"/>
      <c r="C575" s="619"/>
      <c r="D575" s="451"/>
      <c r="E575" s="451"/>
      <c r="F575" s="401"/>
      <c r="G575" s="743" t="str">
        <f>C574</f>
        <v>41/1</v>
      </c>
      <c r="H575" s="407">
        <v>465.78199999999998</v>
      </c>
      <c r="I575" s="407"/>
      <c r="J575" s="404"/>
      <c r="K575" s="398"/>
      <c r="L575" s="398"/>
      <c r="M575" s="398"/>
      <c r="N575" s="398"/>
      <c r="O575" s="398"/>
      <c r="P575" s="398"/>
    </row>
    <row r="576" spans="1:16" s="133" customFormat="1" ht="18.75" customHeight="1">
      <c r="A576" s="398">
        <f>SUBTOTAL(103,$C$6:C576)</f>
        <v>286</v>
      </c>
      <c r="B576" s="399" t="s">
        <v>640</v>
      </c>
      <c r="C576" s="404" t="s">
        <v>77</v>
      </c>
      <c r="D576" s="620" t="s">
        <v>184</v>
      </c>
      <c r="E576" s="620"/>
      <c r="F576" s="401"/>
      <c r="G576" s="400"/>
      <c r="H576" s="407"/>
      <c r="I576" s="407">
        <f>ROUND(H575/1000,4)+I574</f>
        <v>110.14419999999997</v>
      </c>
      <c r="J576" s="402" t="s">
        <v>50</v>
      </c>
      <c r="K576" s="398" t="s">
        <v>255</v>
      </c>
      <c r="L576" s="398" t="s">
        <v>255</v>
      </c>
      <c r="M576" s="398" t="s">
        <v>255</v>
      </c>
      <c r="N576" s="398"/>
      <c r="O576" s="398" t="s">
        <v>962</v>
      </c>
      <c r="P576" s="398"/>
    </row>
    <row r="577" spans="1:16" s="133" customFormat="1" ht="18.75" hidden="1" customHeight="1">
      <c r="A577" s="398"/>
      <c r="B577" s="398"/>
      <c r="C577" s="619"/>
      <c r="D577" s="451"/>
      <c r="E577" s="451"/>
      <c r="F577" s="401"/>
      <c r="G577" s="743" t="str">
        <f>C576</f>
        <v>42/0</v>
      </c>
      <c r="H577" s="407">
        <v>419.99799999999999</v>
      </c>
      <c r="I577" s="407"/>
      <c r="J577" s="404"/>
      <c r="K577" s="398"/>
      <c r="L577" s="398"/>
      <c r="M577" s="398"/>
      <c r="N577" s="398"/>
      <c r="O577" s="398"/>
      <c r="P577" s="398"/>
    </row>
    <row r="578" spans="1:16" s="133" customFormat="1" ht="18.75" customHeight="1">
      <c r="A578" s="398">
        <f>SUBTOTAL(103,$C$6:C578)</f>
        <v>287</v>
      </c>
      <c r="B578" s="398"/>
      <c r="C578" s="404" t="s">
        <v>171</v>
      </c>
      <c r="D578" s="620" t="s">
        <v>2</v>
      </c>
      <c r="E578" s="620"/>
      <c r="F578" s="406"/>
      <c r="G578" s="398"/>
      <c r="H578" s="407"/>
      <c r="I578" s="407">
        <f>ROUND(H577/1000,4)+I576</f>
        <v>110.56419999999997</v>
      </c>
      <c r="J578" s="402" t="s">
        <v>50</v>
      </c>
      <c r="K578" s="398" t="s">
        <v>255</v>
      </c>
      <c r="L578" s="398" t="s">
        <v>255</v>
      </c>
      <c r="M578" s="398" t="s">
        <v>255</v>
      </c>
      <c r="N578" s="398"/>
      <c r="O578" s="398"/>
      <c r="P578" s="398"/>
    </row>
    <row r="579" spans="1:16" s="133" customFormat="1" ht="18.75" hidden="1" customHeight="1">
      <c r="A579" s="398"/>
      <c r="B579" s="398"/>
      <c r="C579" s="619"/>
      <c r="D579" s="451"/>
      <c r="E579" s="451"/>
      <c r="F579" s="401"/>
      <c r="G579" s="743" t="str">
        <f>C578</f>
        <v>42/1</v>
      </c>
      <c r="H579" s="407">
        <v>375</v>
      </c>
      <c r="I579" s="407"/>
      <c r="J579" s="404"/>
      <c r="K579" s="398"/>
      <c r="L579" s="398"/>
      <c r="M579" s="398"/>
      <c r="N579" s="398"/>
      <c r="O579" s="398"/>
      <c r="P579" s="398"/>
    </row>
    <row r="580" spans="1:16" s="133" customFormat="1" ht="18.75" customHeight="1">
      <c r="A580" s="398">
        <f>SUBTOTAL(103,$C$6:C580)</f>
        <v>288</v>
      </c>
      <c r="B580" s="398"/>
      <c r="C580" s="404" t="s">
        <v>172</v>
      </c>
      <c r="D580" s="620" t="s">
        <v>49</v>
      </c>
      <c r="E580" s="620"/>
      <c r="F580" s="406"/>
      <c r="G580" s="398"/>
      <c r="H580" s="407"/>
      <c r="I580" s="407">
        <f>ROUND(H579/1000,4)+I578</f>
        <v>110.93919999999997</v>
      </c>
      <c r="J580" s="402" t="s">
        <v>50</v>
      </c>
      <c r="K580" s="398" t="s">
        <v>255</v>
      </c>
      <c r="L580" s="398" t="s">
        <v>255</v>
      </c>
      <c r="M580" s="398" t="s">
        <v>255</v>
      </c>
      <c r="N580" s="398"/>
      <c r="O580" s="398"/>
      <c r="P580" s="398"/>
    </row>
    <row r="581" spans="1:16" s="133" customFormat="1" ht="18.75" hidden="1" customHeight="1">
      <c r="A581" s="398"/>
      <c r="B581" s="398"/>
      <c r="C581" s="619"/>
      <c r="D581" s="451"/>
      <c r="E581" s="451"/>
      <c r="F581" s="401"/>
      <c r="G581" s="743" t="str">
        <f>C580</f>
        <v>42/2</v>
      </c>
      <c r="H581" s="407">
        <v>464</v>
      </c>
      <c r="I581" s="407"/>
      <c r="J581" s="404"/>
      <c r="K581" s="398"/>
      <c r="L581" s="398"/>
      <c r="M581" s="398"/>
      <c r="N581" s="398"/>
      <c r="O581" s="398"/>
      <c r="P581" s="398"/>
    </row>
    <row r="582" spans="1:16" s="133" customFormat="1" ht="18.75" customHeight="1">
      <c r="A582" s="398">
        <f>SUBTOTAL(103,$C$6:C582)</f>
        <v>289</v>
      </c>
      <c r="B582" s="398"/>
      <c r="C582" s="404" t="s">
        <v>1784</v>
      </c>
      <c r="D582" s="620" t="s">
        <v>211</v>
      </c>
      <c r="E582" s="620"/>
      <c r="F582" s="406"/>
      <c r="G582" s="398"/>
      <c r="H582" s="407"/>
      <c r="I582" s="407">
        <f>ROUND(H581/1000,4)+I580</f>
        <v>111.40319999999997</v>
      </c>
      <c r="J582" s="402" t="s">
        <v>50</v>
      </c>
      <c r="K582" s="398" t="s">
        <v>255</v>
      </c>
      <c r="L582" s="398" t="s">
        <v>255</v>
      </c>
      <c r="M582" s="398" t="s">
        <v>255</v>
      </c>
      <c r="N582" s="398"/>
      <c r="O582" s="398"/>
      <c r="P582" s="398"/>
    </row>
    <row r="583" spans="1:16" s="133" customFormat="1" ht="18.75" hidden="1" customHeight="1">
      <c r="A583" s="398"/>
      <c r="B583" s="398"/>
      <c r="C583" s="619"/>
      <c r="D583" s="451"/>
      <c r="E583" s="451"/>
      <c r="F583" s="401"/>
      <c r="G583" s="743" t="str">
        <f>C582</f>
        <v>42A/0</v>
      </c>
      <c r="H583" s="407">
        <v>424.89100000000002</v>
      </c>
      <c r="I583" s="407"/>
      <c r="J583" s="404"/>
      <c r="K583" s="398"/>
      <c r="L583" s="398"/>
      <c r="M583" s="398"/>
      <c r="N583" s="398"/>
      <c r="O583" s="398"/>
      <c r="P583" s="398"/>
    </row>
    <row r="584" spans="1:16" s="133" customFormat="1" ht="18.75" customHeight="1">
      <c r="A584" s="398">
        <f>SUBTOTAL(103,$C$6:C584)</f>
        <v>290</v>
      </c>
      <c r="B584" s="399" t="s">
        <v>641</v>
      </c>
      <c r="C584" s="404" t="s">
        <v>78</v>
      </c>
      <c r="D584" s="620" t="s">
        <v>197</v>
      </c>
      <c r="E584" s="620"/>
      <c r="F584" s="401"/>
      <c r="G584" s="400"/>
      <c r="H584" s="407"/>
      <c r="I584" s="407">
        <f>ROUND(H583/1000,4)+I582</f>
        <v>111.82809999999996</v>
      </c>
      <c r="J584" s="402" t="s">
        <v>50</v>
      </c>
      <c r="K584" s="398" t="s">
        <v>255</v>
      </c>
      <c r="L584" s="398" t="s">
        <v>255</v>
      </c>
      <c r="M584" s="398" t="s">
        <v>255</v>
      </c>
      <c r="N584" s="398"/>
      <c r="O584" s="398"/>
      <c r="P584" s="398"/>
    </row>
    <row r="585" spans="1:16" s="133" customFormat="1" ht="18.75" hidden="1" customHeight="1">
      <c r="A585" s="398"/>
      <c r="B585" s="398"/>
      <c r="C585" s="619"/>
      <c r="D585" s="451"/>
      <c r="E585" s="451"/>
      <c r="F585" s="401"/>
      <c r="G585" s="743" t="str">
        <f>C584</f>
        <v>43/0</v>
      </c>
      <c r="H585" s="407">
        <v>341.86599999999999</v>
      </c>
      <c r="I585" s="407"/>
      <c r="J585" s="404"/>
      <c r="K585" s="398"/>
      <c r="L585" s="398"/>
      <c r="M585" s="398"/>
      <c r="N585" s="398"/>
      <c r="O585" s="398"/>
      <c r="P585" s="398"/>
    </row>
    <row r="586" spans="1:16" s="133" customFormat="1" ht="18.75" customHeight="1">
      <c r="A586" s="398">
        <f>SUBTOTAL(103,$C$6:C586)</f>
        <v>291</v>
      </c>
      <c r="B586" s="398"/>
      <c r="C586" s="404" t="s">
        <v>642</v>
      </c>
      <c r="D586" s="620" t="s">
        <v>154</v>
      </c>
      <c r="E586" s="620"/>
      <c r="F586" s="406"/>
      <c r="G586" s="398"/>
      <c r="H586" s="407"/>
      <c r="I586" s="407">
        <f>ROUND(H585/1000,4)+I584</f>
        <v>112.16999999999996</v>
      </c>
      <c r="J586" s="402" t="s">
        <v>50</v>
      </c>
      <c r="K586" s="398" t="s">
        <v>255</v>
      </c>
      <c r="L586" s="398" t="s">
        <v>255</v>
      </c>
      <c r="M586" s="398" t="s">
        <v>255</v>
      </c>
      <c r="N586" s="398"/>
      <c r="O586" s="398"/>
      <c r="P586" s="398"/>
    </row>
    <row r="587" spans="1:16" s="133" customFormat="1" ht="18.75" hidden="1" customHeight="1">
      <c r="A587" s="398"/>
      <c r="B587" s="398"/>
      <c r="C587" s="619"/>
      <c r="D587" s="451"/>
      <c r="E587" s="451"/>
      <c r="F587" s="401"/>
      <c r="G587" s="743" t="str">
        <f>C586</f>
        <v>43/1</v>
      </c>
      <c r="H587" s="407">
        <v>375</v>
      </c>
      <c r="I587" s="407"/>
      <c r="J587" s="404"/>
      <c r="K587" s="398"/>
      <c r="L587" s="398"/>
      <c r="M587" s="398"/>
      <c r="N587" s="398"/>
      <c r="O587" s="398"/>
      <c r="P587" s="398"/>
    </row>
    <row r="588" spans="1:16" s="133" customFormat="1" ht="18.75" customHeight="1">
      <c r="A588" s="398">
        <f>SUBTOTAL(103,$C$6:C588)</f>
        <v>292</v>
      </c>
      <c r="B588" s="398"/>
      <c r="C588" s="404" t="s">
        <v>643</v>
      </c>
      <c r="D588" s="620" t="s">
        <v>79</v>
      </c>
      <c r="E588" s="620"/>
      <c r="F588" s="406"/>
      <c r="G588" s="398"/>
      <c r="H588" s="407"/>
      <c r="I588" s="407">
        <f>ROUND(H587/1000,4)+I586</f>
        <v>112.54499999999996</v>
      </c>
      <c r="J588" s="402" t="s">
        <v>50</v>
      </c>
      <c r="K588" s="398" t="s">
        <v>255</v>
      </c>
      <c r="L588" s="398" t="s">
        <v>255</v>
      </c>
      <c r="M588" s="398" t="s">
        <v>255</v>
      </c>
      <c r="N588" s="398"/>
      <c r="O588" s="398" t="s">
        <v>962</v>
      </c>
      <c r="P588" s="398"/>
    </row>
    <row r="589" spans="1:16" s="133" customFormat="1" ht="18.75" hidden="1" customHeight="1">
      <c r="A589" s="398"/>
      <c r="B589" s="398"/>
      <c r="C589" s="619"/>
      <c r="D589" s="451"/>
      <c r="E589" s="451"/>
      <c r="F589" s="401"/>
      <c r="G589" s="743" t="str">
        <f>C588</f>
        <v>43/2</v>
      </c>
      <c r="H589" s="407">
        <v>375</v>
      </c>
      <c r="I589" s="407"/>
      <c r="J589" s="404"/>
      <c r="K589" s="398"/>
      <c r="L589" s="398"/>
      <c r="M589" s="398"/>
      <c r="N589" s="398"/>
      <c r="O589" s="398"/>
      <c r="P589" s="398"/>
    </row>
    <row r="590" spans="1:16" s="647" customFormat="1" ht="18.75" customHeight="1">
      <c r="A590" s="398">
        <f>SUBTOTAL(103,$C$6:C590)</f>
        <v>293</v>
      </c>
      <c r="B590" s="404"/>
      <c r="C590" s="404" t="s">
        <v>644</v>
      </c>
      <c r="D590" s="620" t="s">
        <v>154</v>
      </c>
      <c r="E590" s="620"/>
      <c r="F590" s="620"/>
      <c r="G590" s="410"/>
      <c r="H590" s="454"/>
      <c r="I590" s="454">
        <f>ROUND(H589/1000,4)+I588</f>
        <v>112.91999999999996</v>
      </c>
      <c r="J590" s="402" t="s">
        <v>50</v>
      </c>
      <c r="K590" s="404" t="s">
        <v>255</v>
      </c>
      <c r="L590" s="398" t="s">
        <v>255</v>
      </c>
      <c r="M590" s="404" t="s">
        <v>255</v>
      </c>
      <c r="N590" s="398"/>
      <c r="O590" s="404"/>
      <c r="P590" s="404"/>
    </row>
    <row r="591" spans="1:16" s="133" customFormat="1" ht="18.75" hidden="1" customHeight="1">
      <c r="A591" s="398"/>
      <c r="B591" s="398"/>
      <c r="C591" s="619"/>
      <c r="D591" s="451"/>
      <c r="E591" s="451"/>
      <c r="F591" s="401"/>
      <c r="G591" s="743" t="str">
        <f>C590</f>
        <v>43/3</v>
      </c>
      <c r="H591" s="407">
        <v>355</v>
      </c>
      <c r="I591" s="407"/>
      <c r="J591" s="404"/>
      <c r="K591" s="398"/>
      <c r="L591" s="398"/>
      <c r="M591" s="398"/>
      <c r="N591" s="398"/>
      <c r="O591" s="398"/>
      <c r="P591" s="398"/>
    </row>
    <row r="592" spans="1:16" s="133" customFormat="1" ht="18.75" customHeight="1">
      <c r="A592" s="398">
        <f>SUBTOTAL(103,$C$6:C592)</f>
        <v>294</v>
      </c>
      <c r="B592" s="398"/>
      <c r="C592" s="404" t="s">
        <v>645</v>
      </c>
      <c r="D592" s="620" t="s">
        <v>3</v>
      </c>
      <c r="E592" s="620"/>
      <c r="F592" s="406"/>
      <c r="G592" s="398"/>
      <c r="H592" s="407"/>
      <c r="I592" s="407">
        <f>ROUND(H591/1000,4)+I590</f>
        <v>113.27499999999996</v>
      </c>
      <c r="J592" s="402" t="s">
        <v>50</v>
      </c>
      <c r="K592" s="398" t="s">
        <v>255</v>
      </c>
      <c r="L592" s="398" t="s">
        <v>255</v>
      </c>
      <c r="M592" s="398" t="s">
        <v>255</v>
      </c>
      <c r="N592" s="398"/>
      <c r="O592" s="398"/>
      <c r="P592" s="398"/>
    </row>
    <row r="593" spans="1:16" s="133" customFormat="1" ht="18.75" hidden="1" customHeight="1">
      <c r="A593" s="398"/>
      <c r="B593" s="398"/>
      <c r="C593" s="619"/>
      <c r="D593" s="451"/>
      <c r="E593" s="451"/>
      <c r="F593" s="401"/>
      <c r="G593" s="743" t="str">
        <f>C592</f>
        <v>43/4</v>
      </c>
      <c r="H593" s="407">
        <v>405</v>
      </c>
      <c r="I593" s="407"/>
      <c r="J593" s="404"/>
      <c r="K593" s="398"/>
      <c r="L593" s="398"/>
      <c r="M593" s="398"/>
      <c r="N593" s="398"/>
      <c r="O593" s="398"/>
      <c r="P593" s="398"/>
    </row>
    <row r="594" spans="1:16" s="133" customFormat="1" ht="18.75" customHeight="1">
      <c r="A594" s="398">
        <f>SUBTOTAL(103,$C$6:C594)</f>
        <v>295</v>
      </c>
      <c r="B594" s="398"/>
      <c r="C594" s="404" t="s">
        <v>1785</v>
      </c>
      <c r="D594" s="620" t="s">
        <v>173</v>
      </c>
      <c r="E594" s="620"/>
      <c r="F594" s="406"/>
      <c r="G594" s="398"/>
      <c r="H594" s="407"/>
      <c r="I594" s="407">
        <f>ROUND(H593/1000,4)+I592</f>
        <v>113.67999999999996</v>
      </c>
      <c r="J594" s="402" t="s">
        <v>50</v>
      </c>
      <c r="K594" s="398" t="s">
        <v>255</v>
      </c>
      <c r="L594" s="398" t="s">
        <v>255</v>
      </c>
      <c r="M594" s="398" t="s">
        <v>255</v>
      </c>
      <c r="N594" s="398"/>
      <c r="O594" s="398"/>
      <c r="P594" s="398" t="s">
        <v>1143</v>
      </c>
    </row>
    <row r="595" spans="1:16" s="133" customFormat="1" ht="18.75" hidden="1" customHeight="1">
      <c r="A595" s="398"/>
      <c r="B595" s="398"/>
      <c r="C595" s="619"/>
      <c r="D595" s="451"/>
      <c r="E595" s="451"/>
      <c r="F595" s="401"/>
      <c r="G595" s="743" t="str">
        <f>C594</f>
        <v>43A/0</v>
      </c>
      <c r="H595" s="407">
        <v>375</v>
      </c>
      <c r="I595" s="407"/>
      <c r="J595" s="404"/>
      <c r="K595" s="398"/>
      <c r="L595" s="398"/>
      <c r="M595" s="398"/>
      <c r="N595" s="398"/>
      <c r="O595" s="398"/>
      <c r="P595" s="398"/>
    </row>
    <row r="596" spans="1:16" s="133" customFormat="1" ht="18.75" customHeight="1">
      <c r="A596" s="398">
        <f>SUBTOTAL(103,$C$6:C596)</f>
        <v>296</v>
      </c>
      <c r="B596" s="398"/>
      <c r="C596" s="404" t="s">
        <v>647</v>
      </c>
      <c r="D596" s="620" t="s">
        <v>2</v>
      </c>
      <c r="E596" s="620"/>
      <c r="F596" s="406"/>
      <c r="G596" s="398"/>
      <c r="H596" s="407"/>
      <c r="I596" s="407">
        <f>ROUND(H595/1000,4)+I594</f>
        <v>114.05499999999996</v>
      </c>
      <c r="J596" s="402" t="s">
        <v>50</v>
      </c>
      <c r="K596" s="398" t="s">
        <v>255</v>
      </c>
      <c r="L596" s="398" t="s">
        <v>255</v>
      </c>
      <c r="M596" s="398" t="s">
        <v>255</v>
      </c>
      <c r="N596" s="398"/>
      <c r="O596" s="398"/>
      <c r="P596" s="398"/>
    </row>
    <row r="597" spans="1:16" s="133" customFormat="1" ht="18.75" hidden="1" customHeight="1">
      <c r="A597" s="398"/>
      <c r="B597" s="398"/>
      <c r="C597" s="619"/>
      <c r="D597" s="451"/>
      <c r="E597" s="451"/>
      <c r="F597" s="401"/>
      <c r="G597" s="743" t="str">
        <f>C596</f>
        <v>43/6</v>
      </c>
      <c r="H597" s="407">
        <v>385</v>
      </c>
      <c r="I597" s="407"/>
      <c r="J597" s="404"/>
      <c r="K597" s="398"/>
      <c r="L597" s="398"/>
      <c r="M597" s="398"/>
      <c r="N597" s="398"/>
      <c r="O597" s="398"/>
      <c r="P597" s="398"/>
    </row>
    <row r="598" spans="1:16" s="133" customFormat="1" ht="18.75" customHeight="1">
      <c r="A598" s="398">
        <f>SUBTOTAL(103,$C$6:C598)</f>
        <v>297</v>
      </c>
      <c r="B598" s="398"/>
      <c r="C598" s="404" t="s">
        <v>648</v>
      </c>
      <c r="D598" s="620" t="s">
        <v>3</v>
      </c>
      <c r="E598" s="620"/>
      <c r="F598" s="406"/>
      <c r="G598" s="398"/>
      <c r="H598" s="407"/>
      <c r="I598" s="407">
        <f>ROUND(H597/1000,4)+I596</f>
        <v>114.43999999999997</v>
      </c>
      <c r="J598" s="402" t="s">
        <v>50</v>
      </c>
      <c r="K598" s="398" t="s">
        <v>255</v>
      </c>
      <c r="L598" s="398" t="s">
        <v>255</v>
      </c>
      <c r="M598" s="398" t="s">
        <v>255</v>
      </c>
      <c r="N598" s="398"/>
      <c r="O598" s="398"/>
      <c r="P598" s="398"/>
    </row>
    <row r="599" spans="1:16" s="133" customFormat="1" ht="18.75" hidden="1" customHeight="1">
      <c r="A599" s="398"/>
      <c r="B599" s="398"/>
      <c r="C599" s="619"/>
      <c r="D599" s="451"/>
      <c r="E599" s="451"/>
      <c r="F599" s="401"/>
      <c r="G599" s="743" t="str">
        <f>C598</f>
        <v>43/7</v>
      </c>
      <c r="H599" s="407">
        <v>415</v>
      </c>
      <c r="I599" s="407"/>
      <c r="J599" s="404"/>
      <c r="K599" s="398"/>
      <c r="L599" s="398"/>
      <c r="M599" s="398"/>
      <c r="N599" s="398"/>
      <c r="O599" s="398"/>
      <c r="P599" s="398"/>
    </row>
    <row r="600" spans="1:16" s="133" customFormat="1" ht="18.75" customHeight="1">
      <c r="A600" s="398">
        <f>SUBTOTAL(103,$C$6:C600)</f>
        <v>298</v>
      </c>
      <c r="B600" s="398"/>
      <c r="C600" s="404" t="s">
        <v>649</v>
      </c>
      <c r="D600" s="620" t="s">
        <v>49</v>
      </c>
      <c r="E600" s="620"/>
      <c r="F600" s="406"/>
      <c r="G600" s="398"/>
      <c r="H600" s="407"/>
      <c r="I600" s="407">
        <f>ROUND(H599/1000,4)+I598</f>
        <v>114.85499999999998</v>
      </c>
      <c r="J600" s="402" t="s">
        <v>50</v>
      </c>
      <c r="K600" s="398" t="s">
        <v>255</v>
      </c>
      <c r="L600" s="398" t="s">
        <v>255</v>
      </c>
      <c r="M600" s="398" t="s">
        <v>255</v>
      </c>
      <c r="N600" s="398"/>
      <c r="O600" s="398"/>
      <c r="P600" s="398"/>
    </row>
    <row r="601" spans="1:16" s="133" customFormat="1" ht="18.75" hidden="1" customHeight="1">
      <c r="A601" s="398"/>
      <c r="B601" s="398"/>
      <c r="C601" s="619"/>
      <c r="D601" s="451"/>
      <c r="E601" s="451"/>
      <c r="F601" s="401"/>
      <c r="G601" s="743" t="str">
        <f>C600</f>
        <v>43/8</v>
      </c>
      <c r="H601" s="407">
        <v>409.54599999999999</v>
      </c>
      <c r="I601" s="407"/>
      <c r="J601" s="404"/>
      <c r="K601" s="398"/>
      <c r="L601" s="398"/>
      <c r="M601" s="398"/>
      <c r="N601" s="398"/>
      <c r="O601" s="398"/>
      <c r="P601" s="398"/>
    </row>
    <row r="602" spans="1:16" s="133" customFormat="1" ht="18.75" customHeight="1">
      <c r="A602" s="398">
        <f>SUBTOTAL(103,$C$6:C602)</f>
        <v>299</v>
      </c>
      <c r="B602" s="399" t="s">
        <v>650</v>
      </c>
      <c r="C602" s="404" t="s">
        <v>7</v>
      </c>
      <c r="D602" s="620" t="s">
        <v>227</v>
      </c>
      <c r="E602" s="620"/>
      <c r="F602" s="401"/>
      <c r="G602" s="400"/>
      <c r="H602" s="407"/>
      <c r="I602" s="407">
        <f>ROUND(H601/1000,4)+I600</f>
        <v>115.26449999999997</v>
      </c>
      <c r="J602" s="402" t="s">
        <v>50</v>
      </c>
      <c r="K602" s="398" t="s">
        <v>255</v>
      </c>
      <c r="L602" s="398" t="s">
        <v>255</v>
      </c>
      <c r="M602" s="398" t="s">
        <v>255</v>
      </c>
      <c r="N602" s="398"/>
      <c r="O602" s="398"/>
      <c r="P602" s="398"/>
    </row>
    <row r="603" spans="1:16" s="133" customFormat="1" ht="18.75" hidden="1" customHeight="1">
      <c r="A603" s="398"/>
      <c r="B603" s="398"/>
      <c r="C603" s="619"/>
      <c r="D603" s="451"/>
      <c r="E603" s="451"/>
      <c r="F603" s="401"/>
      <c r="G603" s="743" t="str">
        <f>C602</f>
        <v>44/0</v>
      </c>
      <c r="H603" s="407">
        <v>400</v>
      </c>
      <c r="I603" s="407"/>
      <c r="J603" s="398"/>
      <c r="K603" s="398"/>
      <c r="L603" s="398"/>
      <c r="M603" s="398"/>
      <c r="N603" s="398"/>
      <c r="O603" s="398"/>
      <c r="P603" s="398"/>
    </row>
    <row r="604" spans="1:16" s="132" customFormat="1" ht="18.75" customHeight="1">
      <c r="A604" s="404">
        <f>SUBTOTAL(103,$C$6:C604)</f>
        <v>300</v>
      </c>
      <c r="B604" s="404"/>
      <c r="C604" s="404" t="s">
        <v>1238</v>
      </c>
      <c r="D604" s="620" t="s">
        <v>2</v>
      </c>
      <c r="E604" s="620"/>
      <c r="F604" s="620"/>
      <c r="G604" s="404"/>
      <c r="H604" s="407"/>
      <c r="I604" s="1165">
        <f>ROUND(H603/1000,4)+I602</f>
        <v>115.66449999999998</v>
      </c>
      <c r="J604" s="404" t="s">
        <v>50</v>
      </c>
      <c r="K604" s="404" t="s">
        <v>255</v>
      </c>
      <c r="L604" s="404" t="s">
        <v>255</v>
      </c>
      <c r="M604" s="404" t="s">
        <v>255</v>
      </c>
      <c r="N604" s="404"/>
      <c r="O604" s="404"/>
      <c r="P604" s="404"/>
    </row>
    <row r="605" spans="1:16" s="647" customFormat="1" ht="18.75" hidden="1" customHeight="1">
      <c r="A605" s="404"/>
      <c r="B605" s="404"/>
      <c r="C605" s="619"/>
      <c r="D605" s="451"/>
      <c r="E605" s="451"/>
      <c r="F605" s="451"/>
      <c r="G605" s="908" t="str">
        <f>C604</f>
        <v>44/1</v>
      </c>
      <c r="H605" s="407">
        <v>427</v>
      </c>
      <c r="I605" s="454"/>
      <c r="J605" s="404"/>
      <c r="K605" s="404"/>
      <c r="L605" s="404"/>
      <c r="M605" s="404"/>
      <c r="N605" s="404"/>
      <c r="O605" s="404"/>
      <c r="P605" s="404"/>
    </row>
    <row r="606" spans="1:16" s="132" customFormat="1" ht="18.75" customHeight="1">
      <c r="A606" s="404">
        <f>SUBTOTAL(103,$C$6:C606)</f>
        <v>301</v>
      </c>
      <c r="B606" s="404"/>
      <c r="C606" s="404" t="s">
        <v>1240</v>
      </c>
      <c r="D606" s="620" t="s">
        <v>2</v>
      </c>
      <c r="E606" s="620"/>
      <c r="F606" s="620"/>
      <c r="G606" s="404"/>
      <c r="H606" s="407"/>
      <c r="I606" s="1165">
        <f>ROUND(H605/1000,4)+I604</f>
        <v>116.09149999999998</v>
      </c>
      <c r="J606" s="404" t="s">
        <v>50</v>
      </c>
      <c r="K606" s="404" t="s">
        <v>255</v>
      </c>
      <c r="L606" s="404" t="s">
        <v>255</v>
      </c>
      <c r="M606" s="404" t="s">
        <v>255</v>
      </c>
      <c r="N606" s="404"/>
      <c r="O606" s="404"/>
      <c r="P606" s="404"/>
    </row>
    <row r="607" spans="1:16" s="647" customFormat="1" ht="18.75" hidden="1" customHeight="1">
      <c r="A607" s="404"/>
      <c r="B607" s="404"/>
      <c r="C607" s="619"/>
      <c r="D607" s="451"/>
      <c r="E607" s="451"/>
      <c r="F607" s="451"/>
      <c r="G607" s="908" t="str">
        <f>C606</f>
        <v>44/2</v>
      </c>
      <c r="H607" s="407">
        <v>366</v>
      </c>
      <c r="I607" s="1166"/>
      <c r="J607" s="404"/>
      <c r="K607" s="404"/>
      <c r="L607" s="404"/>
      <c r="M607" s="404"/>
      <c r="N607" s="404"/>
      <c r="O607" s="404"/>
      <c r="P607" s="404"/>
    </row>
    <row r="608" spans="1:16" s="132" customFormat="1" ht="18.75" customHeight="1">
      <c r="A608" s="404">
        <f>SUBTOTAL(103,$C$6:C608)</f>
        <v>302</v>
      </c>
      <c r="B608" s="404"/>
      <c r="C608" s="404" t="s">
        <v>1241</v>
      </c>
      <c r="D608" s="620" t="s">
        <v>2</v>
      </c>
      <c r="E608" s="620"/>
      <c r="F608" s="620"/>
      <c r="G608" s="404"/>
      <c r="H608" s="407"/>
      <c r="I608" s="1165">
        <f>ROUND(H607/1000,4)+I606</f>
        <v>116.45749999999998</v>
      </c>
      <c r="J608" s="404" t="s">
        <v>50</v>
      </c>
      <c r="K608" s="404" t="s">
        <v>255</v>
      </c>
      <c r="L608" s="404" t="s">
        <v>255</v>
      </c>
      <c r="M608" s="404" t="s">
        <v>255</v>
      </c>
      <c r="N608" s="404"/>
      <c r="O608" s="404"/>
      <c r="P608" s="404"/>
    </row>
    <row r="609" spans="1:16" s="647" customFormat="1" ht="18.75" hidden="1" customHeight="1">
      <c r="A609" s="404"/>
      <c r="B609" s="404"/>
      <c r="C609" s="619"/>
      <c r="D609" s="451"/>
      <c r="E609" s="451"/>
      <c r="F609" s="451"/>
      <c r="G609" s="908" t="str">
        <f>C608</f>
        <v>44/3</v>
      </c>
      <c r="H609" s="407">
        <v>350</v>
      </c>
      <c r="I609" s="1166"/>
      <c r="J609" s="404"/>
      <c r="K609" s="404"/>
      <c r="L609" s="404"/>
      <c r="M609" s="404"/>
      <c r="N609" s="404"/>
      <c r="O609" s="404"/>
      <c r="P609" s="404"/>
    </row>
    <row r="610" spans="1:16" s="132" customFormat="1" ht="18.75" customHeight="1">
      <c r="A610" s="404">
        <f>SUBTOTAL(103,$C$6:C610)</f>
        <v>303</v>
      </c>
      <c r="B610" s="404"/>
      <c r="C610" s="404" t="s">
        <v>1242</v>
      </c>
      <c r="D610" s="620" t="s">
        <v>3</v>
      </c>
      <c r="E610" s="620"/>
      <c r="F610" s="620"/>
      <c r="G610" s="404"/>
      <c r="H610" s="407"/>
      <c r="I610" s="1165">
        <f>ROUND(H609/1000,4)+I608</f>
        <v>116.80749999999998</v>
      </c>
      <c r="J610" s="404" t="s">
        <v>50</v>
      </c>
      <c r="K610" s="404" t="s">
        <v>255</v>
      </c>
      <c r="L610" s="404" t="s">
        <v>255</v>
      </c>
      <c r="M610" s="404" t="s">
        <v>255</v>
      </c>
      <c r="N610" s="404"/>
      <c r="O610" s="404"/>
      <c r="P610" s="404"/>
    </row>
    <row r="611" spans="1:16" s="647" customFormat="1" ht="18.75" hidden="1" customHeight="1">
      <c r="A611" s="404"/>
      <c r="B611" s="404"/>
      <c r="C611" s="619"/>
      <c r="D611" s="451"/>
      <c r="E611" s="451"/>
      <c r="F611" s="451"/>
      <c r="G611" s="908" t="str">
        <f>C610</f>
        <v>44/4</v>
      </c>
      <c r="H611" s="407">
        <v>383</v>
      </c>
      <c r="I611" s="1166"/>
      <c r="J611" s="404"/>
      <c r="K611" s="404"/>
      <c r="L611" s="404"/>
      <c r="M611" s="404"/>
      <c r="N611" s="404"/>
      <c r="O611" s="404"/>
      <c r="P611" s="404"/>
    </row>
    <row r="612" spans="1:16" s="132" customFormat="1" ht="18.75" customHeight="1">
      <c r="A612" s="404">
        <f>SUBTOTAL(103,$C$6:C612)</f>
        <v>304</v>
      </c>
      <c r="B612" s="404"/>
      <c r="C612" s="404" t="s">
        <v>1243</v>
      </c>
      <c r="D612" s="620" t="s">
        <v>3</v>
      </c>
      <c r="E612" s="620"/>
      <c r="F612" s="620"/>
      <c r="G612" s="404"/>
      <c r="H612" s="407"/>
      <c r="I612" s="1165">
        <f>ROUND(H611/1000,4)+I610</f>
        <v>117.19049999999997</v>
      </c>
      <c r="J612" s="404" t="s">
        <v>50</v>
      </c>
      <c r="K612" s="404" t="s">
        <v>255</v>
      </c>
      <c r="L612" s="404" t="s">
        <v>255</v>
      </c>
      <c r="M612" s="404" t="s">
        <v>255</v>
      </c>
      <c r="N612" s="404"/>
      <c r="O612" s="404"/>
      <c r="P612" s="404"/>
    </row>
    <row r="613" spans="1:16" s="132" customFormat="1" ht="18.75" hidden="1" customHeight="1">
      <c r="A613" s="404"/>
      <c r="B613" s="404"/>
      <c r="C613" s="404"/>
      <c r="D613" s="620"/>
      <c r="E613" s="620"/>
      <c r="F613" s="620"/>
      <c r="G613" s="404" t="str">
        <f>C612</f>
        <v>44/5</v>
      </c>
      <c r="H613" s="407">
        <v>457.15499999999997</v>
      </c>
      <c r="I613" s="1166"/>
      <c r="J613" s="404"/>
      <c r="K613" s="404"/>
      <c r="L613" s="404"/>
      <c r="M613" s="404"/>
      <c r="N613" s="404"/>
      <c r="O613" s="404"/>
      <c r="P613" s="404"/>
    </row>
    <row r="614" spans="1:16" s="132" customFormat="1" ht="18.75" customHeight="1">
      <c r="A614" s="404">
        <f>SUBTOTAL(103,$C$6:C614)</f>
        <v>305</v>
      </c>
      <c r="B614" s="404" t="s">
        <v>1268</v>
      </c>
      <c r="C614" s="404" t="s">
        <v>1244</v>
      </c>
      <c r="D614" s="620" t="s">
        <v>211</v>
      </c>
      <c r="E614" s="620"/>
      <c r="F614" s="620"/>
      <c r="G614" s="404"/>
      <c r="H614" s="407"/>
      <c r="I614" s="1165">
        <f>ROUND(H613/1000,4)+I612</f>
        <v>117.64769999999997</v>
      </c>
      <c r="J614" s="404" t="s">
        <v>50</v>
      </c>
      <c r="K614" s="404" t="s">
        <v>255</v>
      </c>
      <c r="L614" s="404" t="s">
        <v>255</v>
      </c>
      <c r="M614" s="404" t="s">
        <v>255</v>
      </c>
      <c r="N614" s="404"/>
      <c r="O614" s="404"/>
      <c r="P614" s="404" t="s">
        <v>1246</v>
      </c>
    </row>
    <row r="615" spans="1:16" s="132" customFormat="1" ht="18.75" hidden="1" customHeight="1">
      <c r="A615" s="404"/>
      <c r="B615" s="404"/>
      <c r="C615" s="404"/>
      <c r="D615" s="620"/>
      <c r="E615" s="620"/>
      <c r="F615" s="620"/>
      <c r="G615" s="404" t="str">
        <f>C614</f>
        <v>45/0</v>
      </c>
      <c r="H615" s="407">
        <v>208.53</v>
      </c>
      <c r="I615" s="1167"/>
      <c r="J615" s="404"/>
      <c r="K615" s="404"/>
      <c r="L615" s="404"/>
      <c r="M615" s="404"/>
      <c r="N615" s="404"/>
      <c r="O615" s="404"/>
      <c r="P615" s="404"/>
    </row>
    <row r="616" spans="1:16" s="132" customFormat="1" ht="18.75" customHeight="1">
      <c r="A616" s="404">
        <f>SUBTOTAL(103,$C$6:C616)</f>
        <v>306</v>
      </c>
      <c r="B616" s="404" t="s">
        <v>1269</v>
      </c>
      <c r="C616" s="404" t="s">
        <v>1245</v>
      </c>
      <c r="D616" s="620" t="s">
        <v>401</v>
      </c>
      <c r="E616" s="620"/>
      <c r="F616" s="620"/>
      <c r="G616" s="404"/>
      <c r="H616" s="620"/>
      <c r="I616" s="1165">
        <f>ROUND(H615/1000,4)+I614</f>
        <v>117.85619999999997</v>
      </c>
      <c r="J616" s="404" t="s">
        <v>50</v>
      </c>
      <c r="K616" s="404" t="s">
        <v>255</v>
      </c>
      <c r="L616" s="404" t="s">
        <v>255</v>
      </c>
      <c r="M616" s="404" t="s">
        <v>255</v>
      </c>
      <c r="N616" s="404"/>
      <c r="O616" s="404"/>
      <c r="P616" s="404" t="s">
        <v>1246</v>
      </c>
    </row>
    <row r="617" spans="1:16" s="132" customFormat="1" ht="18.75" customHeight="1">
      <c r="A617" s="404"/>
      <c r="B617" s="404"/>
      <c r="C617" s="620"/>
      <c r="D617" s="620"/>
      <c r="E617" s="620"/>
      <c r="F617" s="620"/>
      <c r="G617" s="404"/>
      <c r="H617" s="620"/>
      <c r="I617" s="620"/>
      <c r="J617" s="404"/>
      <c r="K617" s="404"/>
      <c r="L617" s="404"/>
      <c r="M617" s="404"/>
      <c r="N617" s="404"/>
      <c r="O617" s="404"/>
      <c r="P617" s="404"/>
    </row>
    <row r="618" spans="1:16">
      <c r="C618" s="1027"/>
    </row>
    <row r="619" spans="1:16">
      <c r="C619" s="1027"/>
    </row>
    <row r="620" spans="1:16">
      <c r="C620" s="1027"/>
    </row>
    <row r="621" spans="1:16">
      <c r="C621" s="1027"/>
    </row>
    <row r="622" spans="1:16">
      <c r="C622" s="1026"/>
    </row>
    <row r="623" spans="1:16">
      <c r="C623" s="1026"/>
    </row>
    <row r="624" spans="1:16">
      <c r="C624" s="1026"/>
    </row>
    <row r="625" spans="3:3">
      <c r="C625" s="1026"/>
    </row>
    <row r="626" spans="3:3">
      <c r="C626" s="1026"/>
    </row>
    <row r="627" spans="3:3">
      <c r="C627" s="1026"/>
    </row>
    <row r="628" spans="3:3">
      <c r="C628" s="1026"/>
    </row>
    <row r="629" spans="3:3">
      <c r="C629" s="1026"/>
    </row>
    <row r="630" spans="3:3">
      <c r="C630" s="1026"/>
    </row>
    <row r="631" spans="3:3">
      <c r="C631" s="1026"/>
    </row>
    <row r="632" spans="3:3">
      <c r="C632" s="1026"/>
    </row>
    <row r="633" spans="3:3">
      <c r="C633" s="1026"/>
    </row>
    <row r="634" spans="3:3">
      <c r="C634" s="1026"/>
    </row>
    <row r="635" spans="3:3">
      <c r="C635" s="1026"/>
    </row>
    <row r="636" spans="3:3">
      <c r="C636" s="1026"/>
    </row>
    <row r="637" spans="3:3">
      <c r="C637" s="1026"/>
    </row>
    <row r="638" spans="3:3">
      <c r="C638" s="1026"/>
    </row>
    <row r="639" spans="3:3">
      <c r="C639" s="1026"/>
    </row>
    <row r="640" spans="3:3">
      <c r="C640" s="1026"/>
    </row>
    <row r="641" spans="3:3">
      <c r="C641" s="1026"/>
    </row>
    <row r="642" spans="3:3">
      <c r="C642" s="1026"/>
    </row>
    <row r="643" spans="3:3">
      <c r="C643" s="1026"/>
    </row>
    <row r="644" spans="3:3">
      <c r="C644" s="1026"/>
    </row>
    <row r="645" spans="3:3">
      <c r="C645" s="1026"/>
    </row>
    <row r="646" spans="3:3">
      <c r="C646" s="1026"/>
    </row>
    <row r="647" spans="3:3">
      <c r="C647" s="1026"/>
    </row>
    <row r="648" spans="3:3">
      <c r="C648" s="1026"/>
    </row>
    <row r="649" spans="3:3">
      <c r="C649" s="1026"/>
    </row>
    <row r="650" spans="3:3">
      <c r="C650" s="1026"/>
    </row>
    <row r="651" spans="3:3">
      <c r="C651" s="1026"/>
    </row>
    <row r="652" spans="3:3">
      <c r="C652" s="1026"/>
    </row>
    <row r="653" spans="3:3">
      <c r="C653" s="1026"/>
    </row>
    <row r="654" spans="3:3">
      <c r="C654" s="1026"/>
    </row>
    <row r="655" spans="3:3">
      <c r="C655" s="1026"/>
    </row>
    <row r="656" spans="3:3">
      <c r="C656" s="1026"/>
    </row>
    <row r="657" spans="3:3">
      <c r="C657" s="1026"/>
    </row>
    <row r="658" spans="3:3">
      <c r="C658" s="1026"/>
    </row>
    <row r="659" spans="3:3">
      <c r="C659" s="1026"/>
    </row>
    <row r="660" spans="3:3">
      <c r="C660" s="1026"/>
    </row>
    <row r="661" spans="3:3">
      <c r="C661" s="1026"/>
    </row>
    <row r="662" spans="3:3">
      <c r="C662" s="1026"/>
    </row>
    <row r="663" spans="3:3">
      <c r="C663" s="1026"/>
    </row>
    <row r="664" spans="3:3">
      <c r="C664" s="1026"/>
    </row>
    <row r="665" spans="3:3">
      <c r="C665" s="1026"/>
    </row>
    <row r="666" spans="3:3">
      <c r="C666" s="1026"/>
    </row>
    <row r="667" spans="3:3">
      <c r="C667" s="1026"/>
    </row>
    <row r="668" spans="3:3">
      <c r="C668" s="1026"/>
    </row>
    <row r="669" spans="3:3">
      <c r="C669" s="1026"/>
    </row>
    <row r="670" spans="3:3">
      <c r="C670" s="1026"/>
    </row>
    <row r="671" spans="3:3">
      <c r="C671" s="1026"/>
    </row>
    <row r="672" spans="3:3">
      <c r="C672" s="1026"/>
    </row>
    <row r="673" spans="3:3">
      <c r="C673" s="1026"/>
    </row>
    <row r="674" spans="3:3">
      <c r="C674" s="1026"/>
    </row>
    <row r="675" spans="3:3">
      <c r="C675" s="1026"/>
    </row>
    <row r="676" spans="3:3">
      <c r="C676" s="1026"/>
    </row>
    <row r="677" spans="3:3">
      <c r="C677" s="1026"/>
    </row>
    <row r="678" spans="3:3">
      <c r="C678" s="1026"/>
    </row>
    <row r="679" spans="3:3">
      <c r="C679" s="1026"/>
    </row>
    <row r="680" spans="3:3">
      <c r="C680" s="1026"/>
    </row>
    <row r="681" spans="3:3">
      <c r="C681" s="1026"/>
    </row>
    <row r="682" spans="3:3">
      <c r="C682" s="1026"/>
    </row>
    <row r="683" spans="3:3">
      <c r="C683" s="1026"/>
    </row>
    <row r="684" spans="3:3">
      <c r="C684" s="1026"/>
    </row>
    <row r="685" spans="3:3">
      <c r="C685" s="1026"/>
    </row>
    <row r="686" spans="3:3">
      <c r="C686" s="1026"/>
    </row>
    <row r="687" spans="3:3">
      <c r="C687" s="1026"/>
    </row>
    <row r="688" spans="3:3">
      <c r="C688" s="1026"/>
    </row>
    <row r="689" spans="3:3">
      <c r="C689" s="1026"/>
    </row>
    <row r="690" spans="3:3">
      <c r="C690" s="1026"/>
    </row>
    <row r="691" spans="3:3">
      <c r="C691" s="1026"/>
    </row>
    <row r="692" spans="3:3">
      <c r="C692" s="1026"/>
    </row>
    <row r="693" spans="3:3">
      <c r="C693" s="1026"/>
    </row>
    <row r="694" spans="3:3">
      <c r="C694" s="1026"/>
    </row>
    <row r="695" spans="3:3">
      <c r="C695" s="1026"/>
    </row>
    <row r="696" spans="3:3">
      <c r="C696" s="1026"/>
    </row>
    <row r="697" spans="3:3">
      <c r="C697" s="1026"/>
    </row>
    <row r="698" spans="3:3">
      <c r="C698" s="1026"/>
    </row>
    <row r="699" spans="3:3">
      <c r="C699" s="1026"/>
    </row>
    <row r="700" spans="3:3">
      <c r="C700" s="1026"/>
    </row>
    <row r="701" spans="3:3">
      <c r="C701" s="1026"/>
    </row>
    <row r="702" spans="3:3">
      <c r="C702" s="1026"/>
    </row>
    <row r="703" spans="3:3">
      <c r="C703" s="1026"/>
    </row>
    <row r="704" spans="3:3">
      <c r="C704" s="1026"/>
    </row>
    <row r="705" spans="3:3">
      <c r="C705" s="1026"/>
    </row>
    <row r="706" spans="3:3">
      <c r="C706" s="1026"/>
    </row>
    <row r="707" spans="3:3">
      <c r="C707" s="1026"/>
    </row>
    <row r="708" spans="3:3">
      <c r="C708" s="1026"/>
    </row>
    <row r="709" spans="3:3">
      <c r="C709" s="1026"/>
    </row>
    <row r="710" spans="3:3">
      <c r="C710" s="1026"/>
    </row>
    <row r="711" spans="3:3">
      <c r="C711" s="1026"/>
    </row>
    <row r="712" spans="3:3">
      <c r="C712" s="1026"/>
    </row>
    <row r="713" spans="3:3">
      <c r="C713" s="1026"/>
    </row>
    <row r="714" spans="3:3">
      <c r="C714" s="1026"/>
    </row>
    <row r="715" spans="3:3">
      <c r="C715" s="1026"/>
    </row>
    <row r="716" spans="3:3">
      <c r="C716" s="1026"/>
    </row>
    <row r="717" spans="3:3">
      <c r="C717" s="1026"/>
    </row>
    <row r="718" spans="3:3">
      <c r="C718" s="1026"/>
    </row>
    <row r="719" spans="3:3">
      <c r="C719" s="1026"/>
    </row>
    <row r="720" spans="3:3">
      <c r="C720" s="1026"/>
    </row>
    <row r="721" spans="3:3">
      <c r="C721" s="1026"/>
    </row>
    <row r="722" spans="3:3">
      <c r="C722" s="1026"/>
    </row>
    <row r="723" spans="3:3">
      <c r="C723" s="1026"/>
    </row>
    <row r="724" spans="3:3">
      <c r="C724" s="1026"/>
    </row>
    <row r="725" spans="3:3">
      <c r="C725" s="1026"/>
    </row>
    <row r="726" spans="3:3">
      <c r="C726" s="1026"/>
    </row>
    <row r="727" spans="3:3">
      <c r="C727" s="1026"/>
    </row>
    <row r="728" spans="3:3">
      <c r="C728" s="1026"/>
    </row>
    <row r="729" spans="3:3">
      <c r="C729" s="1026"/>
    </row>
    <row r="730" spans="3:3">
      <c r="C730" s="1026"/>
    </row>
    <row r="731" spans="3:3">
      <c r="C731" s="1026"/>
    </row>
    <row r="732" spans="3:3">
      <c r="C732" s="1026"/>
    </row>
    <row r="733" spans="3:3">
      <c r="C733" s="1026"/>
    </row>
    <row r="734" spans="3:3">
      <c r="C734" s="1026"/>
    </row>
    <row r="735" spans="3:3">
      <c r="C735" s="1026"/>
    </row>
    <row r="736" spans="3:3">
      <c r="C736" s="1026"/>
    </row>
    <row r="737" spans="3:3">
      <c r="C737" s="1026"/>
    </row>
    <row r="738" spans="3:3">
      <c r="C738" s="1026"/>
    </row>
    <row r="739" spans="3:3">
      <c r="C739" s="1026"/>
    </row>
    <row r="740" spans="3:3">
      <c r="C740" s="1026"/>
    </row>
    <row r="741" spans="3:3">
      <c r="C741" s="1026"/>
    </row>
    <row r="742" spans="3:3">
      <c r="C742" s="1026"/>
    </row>
    <row r="743" spans="3:3">
      <c r="C743" s="1026"/>
    </row>
    <row r="744" spans="3:3">
      <c r="C744" s="1026"/>
    </row>
    <row r="745" spans="3:3">
      <c r="C745" s="1026"/>
    </row>
    <row r="746" spans="3:3">
      <c r="C746" s="1026"/>
    </row>
    <row r="747" spans="3:3">
      <c r="C747" s="1026"/>
    </row>
    <row r="748" spans="3:3">
      <c r="C748" s="1026"/>
    </row>
    <row r="749" spans="3:3">
      <c r="C749" s="1026"/>
    </row>
    <row r="750" spans="3:3">
      <c r="C750" s="1026"/>
    </row>
    <row r="751" spans="3:3">
      <c r="C751" s="1026"/>
    </row>
    <row r="752" spans="3:3">
      <c r="C752" s="1026"/>
    </row>
    <row r="753" spans="3:3">
      <c r="C753" s="1026"/>
    </row>
    <row r="754" spans="3:3">
      <c r="C754" s="1026"/>
    </row>
    <row r="755" spans="3:3">
      <c r="C755" s="1026"/>
    </row>
    <row r="756" spans="3:3">
      <c r="C756" s="1026"/>
    </row>
    <row r="757" spans="3:3">
      <c r="C757" s="1026"/>
    </row>
    <row r="758" spans="3:3">
      <c r="C758" s="1026"/>
    </row>
    <row r="759" spans="3:3">
      <c r="C759" s="1026"/>
    </row>
    <row r="760" spans="3:3">
      <c r="C760" s="1026"/>
    </row>
    <row r="761" spans="3:3">
      <c r="C761" s="1026"/>
    </row>
    <row r="762" spans="3:3">
      <c r="C762" s="1026"/>
    </row>
    <row r="763" spans="3:3">
      <c r="C763" s="1026"/>
    </row>
    <row r="764" spans="3:3">
      <c r="C764" s="1026"/>
    </row>
    <row r="765" spans="3:3">
      <c r="C765" s="1026"/>
    </row>
    <row r="766" spans="3:3">
      <c r="C766" s="1026"/>
    </row>
    <row r="767" spans="3:3">
      <c r="C767" s="1026"/>
    </row>
    <row r="768" spans="3:3">
      <c r="C768" s="1026"/>
    </row>
    <row r="769" spans="3:3">
      <c r="C769" s="1026"/>
    </row>
    <row r="770" spans="3:3">
      <c r="C770" s="1026"/>
    </row>
    <row r="771" spans="3:3">
      <c r="C771" s="1026"/>
    </row>
    <row r="772" spans="3:3">
      <c r="C772" s="1026"/>
    </row>
    <row r="773" spans="3:3">
      <c r="C773" s="1026"/>
    </row>
    <row r="774" spans="3:3">
      <c r="C774" s="1026"/>
    </row>
    <row r="775" spans="3:3">
      <c r="C775" s="1026"/>
    </row>
    <row r="776" spans="3:3">
      <c r="C776" s="1026"/>
    </row>
    <row r="777" spans="3:3">
      <c r="C777" s="1026"/>
    </row>
    <row r="778" spans="3:3">
      <c r="C778" s="1026"/>
    </row>
    <row r="779" spans="3:3">
      <c r="C779" s="1026"/>
    </row>
    <row r="780" spans="3:3">
      <c r="C780" s="1026"/>
    </row>
    <row r="781" spans="3:3">
      <c r="C781" s="1026"/>
    </row>
    <row r="782" spans="3:3">
      <c r="C782" s="1026"/>
    </row>
  </sheetData>
  <autoFilter ref="A3:P615" xr:uid="{3E47E529-5BE9-4B2E-8A21-97BE8ECE68B5}">
    <filterColumn colId="2">
      <customFilters>
        <customFilter operator="notEqual" val=" "/>
      </customFilters>
    </filterColumn>
  </autoFilter>
  <mergeCells count="2">
    <mergeCell ref="A1:P1"/>
    <mergeCell ref="A2:A3"/>
  </mergeCells>
  <conditionalFormatting sqref="C1 C4:C33 C35:C569 C571:C593 C595:C603 C618:C1048576">
    <cfRule type="duplicateValues" dxfId="32" priority="1234"/>
    <cfRule type="duplicateValues" dxfId="31" priority="1235"/>
  </conditionalFormatting>
  <conditionalFormatting sqref="C1:C1048576">
    <cfRule type="duplicateValues" dxfId="30" priority="1"/>
    <cfRule type="duplicateValues" dxfId="29" priority="2"/>
    <cfRule type="duplicateValues" dxfId="28" priority="3"/>
  </conditionalFormatting>
  <conditionalFormatting sqref="C594">
    <cfRule type="duplicateValues" dxfId="27" priority="17"/>
    <cfRule type="duplicateValues" dxfId="26" priority="18"/>
    <cfRule type="duplicateValues" dxfId="25" priority="19"/>
    <cfRule type="duplicateValues" dxfId="24" priority="20"/>
  </conditionalFormatting>
  <conditionalFormatting sqref="C605 C607 C609">
    <cfRule type="duplicateValues" dxfId="23" priority="13"/>
    <cfRule type="duplicateValues" dxfId="22" priority="14"/>
    <cfRule type="duplicateValues" dxfId="21" priority="15"/>
    <cfRule type="duplicateValues" dxfId="20" priority="16"/>
  </conditionalFormatting>
  <conditionalFormatting sqref="C611">
    <cfRule type="duplicateValues" dxfId="19" priority="5"/>
    <cfRule type="duplicateValues" dxfId="18" priority="6"/>
    <cfRule type="duplicateValues" dxfId="17" priority="7"/>
    <cfRule type="duplicateValues" dxfId="16" priority="8"/>
  </conditionalFormatting>
  <conditionalFormatting sqref="D61:F61 C4:C33 C35:C569 C571:C593 C595:C603 C618:C1048576">
    <cfRule type="duplicateValues" dxfId="15" priority="1250"/>
    <cfRule type="duplicateValues" dxfId="14" priority="1251"/>
  </conditionalFormatting>
  <conditionalFormatting sqref="H61">
    <cfRule type="duplicateValues" dxfId="13" priority="40"/>
    <cfRule type="duplicateValues" dxfId="12" priority="41"/>
  </conditionalFormatting>
  <printOptions horizontalCentered="1"/>
  <pageMargins left="0.47244094488188981" right="0.15748031496062992" top="0.51181102362204722" bottom="0.74803149606299213" header="0.31496062992125984" footer="0.31496062992125984"/>
  <pageSetup paperSize="9" scale="44" fitToHeight="0" orientation="portrait" r:id="rId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1A85E-1414-48BF-96F9-D48B8825EAD9}">
  <sheetPr codeName="Sheet20">
    <tabColor rgb="FFFF0000"/>
    <pageSetUpPr fitToPage="1"/>
  </sheetPr>
  <dimension ref="A1:AK1340"/>
  <sheetViews>
    <sheetView view="pageBreakPreview" zoomScale="99" zoomScaleNormal="100" zoomScaleSheetLayoutView="100" workbookViewId="0">
      <pane xSplit="5" ySplit="3" topLeftCell="F1284" activePane="bottomRight" state="frozen"/>
      <selection activeCell="H4" sqref="H4"/>
      <selection pane="topRight" activeCell="H4" sqref="H4"/>
      <selection pane="bottomLeft" activeCell="H4" sqref="H4"/>
      <selection pane="bottomRight" activeCell="AI1308" sqref="AI1308"/>
    </sheetView>
  </sheetViews>
  <sheetFormatPr defaultColWidth="9.1796875" defaultRowHeight="14.5"/>
  <cols>
    <col min="1" max="1" width="5.81640625" style="3" bestFit="1" customWidth="1"/>
    <col min="2" max="2" width="11" style="3" customWidth="1"/>
    <col min="3" max="3" width="9.453125" style="23" customWidth="1"/>
    <col min="4" max="4" width="10" style="3" customWidth="1"/>
    <col min="5" max="5" width="13.1796875" style="118" customWidth="1"/>
    <col min="6" max="6" width="13.1796875" style="92" customWidth="1"/>
    <col min="7" max="7" width="4.7265625" style="158" customWidth="1"/>
    <col min="8" max="8" width="4.7265625" style="157" customWidth="1"/>
    <col min="9" max="9" width="4.7265625" style="156" customWidth="1"/>
    <col min="10" max="10" width="4.7265625" style="158" customWidth="1"/>
    <col min="11" max="11" width="4.7265625" style="157" customWidth="1"/>
    <col min="12" max="12" width="4.7265625" style="156" customWidth="1"/>
    <col min="13" max="13" width="4.7265625" style="158" customWidth="1"/>
    <col min="14" max="14" width="4.7265625" style="157" customWidth="1"/>
    <col min="15" max="15" width="4.7265625" style="156" customWidth="1"/>
    <col min="16" max="16" width="4.7265625" style="158" customWidth="1"/>
    <col min="17" max="17" width="4.7265625" style="157" customWidth="1"/>
    <col min="18" max="18" width="4.7265625" style="156" customWidth="1"/>
    <col min="19" max="19" width="4" style="67" customWidth="1"/>
    <col min="20" max="20" width="0" style="3" hidden="1" customWidth="1"/>
    <col min="21" max="23" width="10.7265625" style="3" hidden="1" customWidth="1"/>
    <col min="24" max="25" width="10.7265625" style="3" customWidth="1"/>
    <col min="26" max="26" width="6.1796875" style="67" customWidth="1"/>
    <col min="27" max="27" width="0" style="67" hidden="1" customWidth="1"/>
    <col min="28" max="28" width="6.1796875" style="67" hidden="1" customWidth="1"/>
    <col min="29" max="32" width="0" style="67" hidden="1" customWidth="1"/>
    <col min="33" max="16384" width="9.1796875" style="67"/>
  </cols>
  <sheetData>
    <row r="1" spans="1:37">
      <c r="A1" s="166" t="s">
        <v>682</v>
      </c>
      <c r="B1" s="173"/>
      <c r="C1" s="165"/>
      <c r="D1" s="165"/>
      <c r="E1" s="164"/>
      <c r="F1" s="176"/>
      <c r="G1" s="1726" t="s">
        <v>83</v>
      </c>
      <c r="H1" s="1727"/>
      <c r="I1" s="1728"/>
      <c r="J1" s="1726" t="s">
        <v>84</v>
      </c>
      <c r="K1" s="1727"/>
      <c r="L1" s="1728"/>
      <c r="M1" s="1726" t="s">
        <v>85</v>
      </c>
      <c r="N1" s="1727"/>
      <c r="O1" s="1728"/>
      <c r="P1" s="1726" t="s">
        <v>86</v>
      </c>
      <c r="Q1" s="1727"/>
      <c r="R1" s="1728"/>
    </row>
    <row r="2" spans="1:37" ht="15" thickBot="1">
      <c r="A2" s="163" t="s">
        <v>681</v>
      </c>
      <c r="B2" s="162" t="str">
        <f>TA413_PBNTL!M1</f>
        <v>17.07.2026</v>
      </c>
      <c r="D2" s="70"/>
      <c r="E2" s="159"/>
      <c r="F2" s="159" t="s">
        <v>680</v>
      </c>
      <c r="G2" s="161">
        <f t="shared" ref="G2:R2" si="0">SUBTOTAL(9,G4:G1484)</f>
        <v>309</v>
      </c>
      <c r="H2" s="149">
        <f t="shared" si="0"/>
        <v>310</v>
      </c>
      <c r="I2" s="160">
        <f t="shared" si="0"/>
        <v>313</v>
      </c>
      <c r="J2" s="161">
        <f t="shared" si="0"/>
        <v>316</v>
      </c>
      <c r="K2" s="149">
        <f t="shared" si="0"/>
        <v>309</v>
      </c>
      <c r="L2" s="160">
        <f t="shared" si="0"/>
        <v>312</v>
      </c>
      <c r="M2" s="161">
        <f t="shared" si="0"/>
        <v>313</v>
      </c>
      <c r="N2" s="149">
        <f t="shared" si="0"/>
        <v>309</v>
      </c>
      <c r="O2" s="160">
        <f t="shared" si="0"/>
        <v>313</v>
      </c>
      <c r="P2" s="161">
        <f t="shared" si="0"/>
        <v>311</v>
      </c>
      <c r="Q2" s="149">
        <f t="shared" si="0"/>
        <v>310</v>
      </c>
      <c r="R2" s="160">
        <f t="shared" si="0"/>
        <v>314</v>
      </c>
    </row>
    <row r="3" spans="1:37" s="2" customFormat="1" ht="29">
      <c r="A3" s="155" t="s">
        <v>374</v>
      </c>
      <c r="B3" s="155" t="s">
        <v>666</v>
      </c>
      <c r="C3" s="155" t="s">
        <v>43</v>
      </c>
      <c r="D3" s="70" t="s">
        <v>44</v>
      </c>
      <c r="E3" s="159" t="s">
        <v>45</v>
      </c>
      <c r="F3" s="167" t="s">
        <v>683</v>
      </c>
      <c r="G3" s="180" t="s">
        <v>124</v>
      </c>
      <c r="H3" s="181" t="s">
        <v>679</v>
      </c>
      <c r="I3" s="182" t="s">
        <v>85</v>
      </c>
      <c r="J3" s="180" t="s">
        <v>124</v>
      </c>
      <c r="K3" s="181" t="s">
        <v>679</v>
      </c>
      <c r="L3" s="182" t="s">
        <v>85</v>
      </c>
      <c r="M3" s="180" t="s">
        <v>124</v>
      </c>
      <c r="N3" s="181" t="s">
        <v>679</v>
      </c>
      <c r="O3" s="182" t="s">
        <v>85</v>
      </c>
      <c r="P3" s="180" t="s">
        <v>124</v>
      </c>
      <c r="Q3" s="181" t="s">
        <v>679</v>
      </c>
      <c r="R3" s="182" t="s">
        <v>85</v>
      </c>
      <c r="T3" s="66" t="s">
        <v>747</v>
      </c>
      <c r="U3" s="1560" t="s">
        <v>712</v>
      </c>
      <c r="V3" s="1560"/>
      <c r="W3" s="1560"/>
      <c r="X3" s="75" t="s">
        <v>745</v>
      </c>
      <c r="Y3" s="75" t="s">
        <v>746</v>
      </c>
      <c r="AA3" s="2" t="s">
        <v>747</v>
      </c>
      <c r="AC3" s="66" t="s">
        <v>782</v>
      </c>
      <c r="AD3" s="66" t="s">
        <v>783</v>
      </c>
      <c r="AE3" s="66" t="s">
        <v>784</v>
      </c>
      <c r="AF3" s="66" t="s">
        <v>81</v>
      </c>
      <c r="AH3" s="189" t="s">
        <v>748</v>
      </c>
      <c r="AI3" s="25"/>
      <c r="AJ3" s="25"/>
      <c r="AK3" s="186"/>
    </row>
    <row r="4" spans="1:37" ht="20.149999999999999" customHeight="1">
      <c r="A4" s="3">
        <f>SUBTOTAL(103,$B$4:B4)</f>
        <v>1</v>
      </c>
      <c r="B4" s="35">
        <v>45442</v>
      </c>
      <c r="C4" s="23" t="s">
        <v>368</v>
      </c>
      <c r="D4" s="3" t="str">
        <f>VLOOKUP(C4,'Location Summary'!$C$4:$D$602,2,0)</f>
        <v>DA+6</v>
      </c>
      <c r="E4" s="118" t="s">
        <v>403</v>
      </c>
      <c r="F4" s="92" t="s">
        <v>683</v>
      </c>
      <c r="G4" s="158">
        <v>1</v>
      </c>
      <c r="P4" s="158">
        <v>1</v>
      </c>
      <c r="T4" s="174">
        <v>55</v>
      </c>
      <c r="U4" s="3" t="s">
        <v>699</v>
      </c>
      <c r="V4" s="3" t="s">
        <v>703</v>
      </c>
      <c r="W4" s="3" t="s">
        <v>703</v>
      </c>
      <c r="X4" s="35">
        <f>B4</f>
        <v>45442</v>
      </c>
      <c r="Y4" s="35">
        <f t="shared" ref="Y4:Y33" si="1">B4+28</f>
        <v>45470</v>
      </c>
      <c r="AA4" s="174">
        <v>55</v>
      </c>
      <c r="AC4" s="65">
        <f>(VLOOKUP($D4,$AH$4:$AK$40,2,FALSE))*(G4+J4+M4+P4)</f>
        <v>11.054</v>
      </c>
      <c r="AD4" s="65">
        <f>(VLOOKUP($D4,$AH$4:$AK$40,3,FALSE))*(H4+K4+N4+Q4)</f>
        <v>0</v>
      </c>
      <c r="AE4" s="65">
        <f>(VLOOKUP($D4,$AH$4:$AK$40,4,FALSE))*(I4+L4+O4+R4)</f>
        <v>0</v>
      </c>
      <c r="AF4" s="65">
        <f>SUM(AC4:AE4)</f>
        <v>11.054</v>
      </c>
      <c r="AH4" s="4" t="s">
        <v>4</v>
      </c>
      <c r="AI4" s="184">
        <f>ROUND((1/6)*0.2*(4.1*4.1+(4.1+3.7)*(4.1+3.7)+3.7*3.7)+0.1*(4.1*4.1),3)</f>
        <v>4.726</v>
      </c>
      <c r="AJ4" s="184">
        <f t="shared" ref="AJ4:AJ10" si="2">ROUND((1/6)*1.09*(2.35*2.35+(2.35+0.68)*(2.35+0.68)+0.68*0.68),3)</f>
        <v>2.7549999999999999</v>
      </c>
      <c r="AK4" s="185">
        <f>ROUND(0.68*0.68*2.28,3)</f>
        <v>1.054</v>
      </c>
    </row>
    <row r="5" spans="1:37" ht="20.149999999999999" customHeight="1">
      <c r="A5" s="3">
        <f>SUBTOTAL(103,$B$4:B5)</f>
        <v>2</v>
      </c>
      <c r="B5" s="35">
        <v>45444</v>
      </c>
      <c r="C5" s="23" t="s">
        <v>411</v>
      </c>
      <c r="D5" s="3" t="str">
        <f>VLOOKUP(C5,'Location Summary'!$C$4:$D$602,2,0)</f>
        <v>DA+3</v>
      </c>
      <c r="E5" s="118" t="s">
        <v>403</v>
      </c>
      <c r="F5" s="92" t="s">
        <v>683</v>
      </c>
      <c r="G5" s="158">
        <v>1</v>
      </c>
      <c r="M5" s="158">
        <v>1</v>
      </c>
      <c r="T5" s="174">
        <v>55</v>
      </c>
      <c r="U5" s="3" t="s">
        <v>715</v>
      </c>
      <c r="V5" s="3" t="s">
        <v>715</v>
      </c>
      <c r="W5" s="3" t="s">
        <v>715</v>
      </c>
      <c r="X5" s="35">
        <f t="shared" ref="X5:X61" si="3">B5</f>
        <v>45444</v>
      </c>
      <c r="Y5" s="35">
        <f t="shared" si="1"/>
        <v>45472</v>
      </c>
      <c r="AA5" s="174">
        <v>55</v>
      </c>
      <c r="AC5" s="65">
        <f t="shared" ref="AC5:AC69" si="4">(VLOOKUP($D5,$AH$4:$AK$40,2,FALSE))*(G5+J5+M5+P5)</f>
        <v>11.054</v>
      </c>
      <c r="AD5" s="65">
        <f t="shared" ref="AD5:AD69" si="5">(VLOOKUP($D5,$AH$4:$AK$40,3,FALSE))*(H5+K5+N5+Q5)</f>
        <v>0</v>
      </c>
      <c r="AE5" s="65">
        <f t="shared" ref="AE5:AE69" si="6">(VLOOKUP($D5,$AH$4:$AK$40,4,FALSE))*(I5+L5+O5+R5)</f>
        <v>0</v>
      </c>
      <c r="AF5" s="65">
        <f t="shared" ref="AF5:AF69" si="7">SUM(AC5:AE5)</f>
        <v>11.054</v>
      </c>
      <c r="AH5" s="4" t="s">
        <v>154</v>
      </c>
      <c r="AI5" s="184">
        <f>ROUND((1/6)*0.2*(4.1*4.1+(4.1+3.7)*(4.1+3.7)+3.7*3.7)+0.1*(4.1*4.1),3)</f>
        <v>4.726</v>
      </c>
      <c r="AJ5" s="184">
        <f t="shared" si="2"/>
        <v>2.7549999999999999</v>
      </c>
      <c r="AK5" s="185">
        <f>ROUND(0.68*0.68*2.28,3)</f>
        <v>1.054</v>
      </c>
    </row>
    <row r="6" spans="1:37" ht="20.149999999999999" customHeight="1">
      <c r="A6" s="3">
        <f>SUBTOTAL(103,$B$4:B6)</f>
        <v>3</v>
      </c>
      <c r="B6" s="35">
        <v>45445</v>
      </c>
      <c r="C6" s="23" t="s">
        <v>411</v>
      </c>
      <c r="D6" s="3" t="str">
        <f>VLOOKUP(C6,'Location Summary'!$C$4:$D$602,2,0)</f>
        <v>DA+3</v>
      </c>
      <c r="E6" s="118" t="s">
        <v>403</v>
      </c>
      <c r="F6" s="92" t="s">
        <v>683</v>
      </c>
      <c r="H6" s="157">
        <v>1</v>
      </c>
      <c r="I6" s="156">
        <v>1</v>
      </c>
      <c r="J6" s="158">
        <v>1</v>
      </c>
      <c r="N6" s="157">
        <v>1</v>
      </c>
      <c r="O6" s="156">
        <v>1</v>
      </c>
      <c r="P6" s="158">
        <v>1</v>
      </c>
      <c r="T6" s="174">
        <v>50</v>
      </c>
      <c r="U6" s="3" t="s">
        <v>718</v>
      </c>
      <c r="V6" s="3" t="s">
        <v>718</v>
      </c>
      <c r="W6" s="3" t="s">
        <v>718</v>
      </c>
      <c r="X6" s="35">
        <f t="shared" si="3"/>
        <v>45445</v>
      </c>
      <c r="Y6" s="35">
        <f t="shared" si="1"/>
        <v>45473</v>
      </c>
      <c r="AA6" s="174">
        <v>40</v>
      </c>
      <c r="AC6" s="65">
        <f t="shared" si="4"/>
        <v>11.054</v>
      </c>
      <c r="AD6" s="65">
        <f t="shared" si="5"/>
        <v>5.51</v>
      </c>
      <c r="AE6" s="65">
        <f t="shared" si="6"/>
        <v>2.0859999999999999</v>
      </c>
      <c r="AF6" s="65">
        <f t="shared" si="7"/>
        <v>18.649999999999999</v>
      </c>
      <c r="AH6" s="4" t="s">
        <v>3</v>
      </c>
      <c r="AI6" s="184">
        <f>ROUND((1/6)*0.2*(4.1*4.1+(4.1+3.7)*(4.1+3.7)+3.7*3.7)+0.1*(4.1*4.1),3)</f>
        <v>4.726</v>
      </c>
      <c r="AJ6" s="184">
        <f t="shared" si="2"/>
        <v>2.7549999999999999</v>
      </c>
      <c r="AK6" s="185">
        <f>ROUND(0.68*0.68*2.28,3)</f>
        <v>1.054</v>
      </c>
    </row>
    <row r="7" spans="1:37" ht="20.149999999999999" customHeight="1">
      <c r="A7" s="3">
        <f>SUBTOTAL(103,$B$4:B7)</f>
        <v>4</v>
      </c>
      <c r="B7" s="35">
        <v>45446</v>
      </c>
      <c r="C7" s="23" t="s">
        <v>368</v>
      </c>
      <c r="D7" s="3" t="str">
        <f>VLOOKUP(C7,'Location Summary'!$C$4:$D$602,2,0)</f>
        <v>DA+6</v>
      </c>
      <c r="E7" s="118" t="s">
        <v>403</v>
      </c>
      <c r="F7" s="92" t="s">
        <v>683</v>
      </c>
      <c r="H7" s="157">
        <v>1</v>
      </c>
      <c r="J7" s="158">
        <v>1</v>
      </c>
      <c r="Q7" s="157">
        <v>1</v>
      </c>
      <c r="T7" s="174">
        <v>52</v>
      </c>
      <c r="U7" s="3" t="s">
        <v>704</v>
      </c>
      <c r="V7" s="3" t="s">
        <v>708</v>
      </c>
      <c r="W7" s="3" t="s">
        <v>709</v>
      </c>
      <c r="X7" s="35">
        <f t="shared" si="3"/>
        <v>45446</v>
      </c>
      <c r="Y7" s="35">
        <f t="shared" si="1"/>
        <v>45474</v>
      </c>
      <c r="AA7" s="174">
        <v>52</v>
      </c>
      <c r="AC7" s="65">
        <f>(VLOOKUP($D7,$AH$4:$AK$40,2,FALSE))*(G7+J7+M7+P7)</f>
        <v>5.5270000000000001</v>
      </c>
      <c r="AD7" s="65">
        <f t="shared" si="5"/>
        <v>5.51</v>
      </c>
      <c r="AE7" s="65">
        <f t="shared" si="6"/>
        <v>0</v>
      </c>
      <c r="AF7" s="65">
        <f t="shared" si="7"/>
        <v>11.036999999999999</v>
      </c>
      <c r="AH7" s="4" t="s">
        <v>170</v>
      </c>
      <c r="AI7" s="184">
        <f>ROUND((1/6)*0.23*(4.25*4.25+(4.25+3.79)*(4.25+3.79)+3.79*3.79)+0.1*(4.25*4.25),3)</f>
        <v>5.5270000000000001</v>
      </c>
      <c r="AJ7" s="184">
        <f t="shared" si="2"/>
        <v>2.7549999999999999</v>
      </c>
      <c r="AK7" s="185">
        <f>ROUND(0.68*0.68*2.255,3)</f>
        <v>1.0429999999999999</v>
      </c>
    </row>
    <row r="8" spans="1:37" ht="20.149999999999999" customHeight="1">
      <c r="A8" s="3">
        <f>SUBTOTAL(103,$B$4:B8)</f>
        <v>5</v>
      </c>
      <c r="B8" s="35">
        <v>45447</v>
      </c>
      <c r="C8" s="23" t="s">
        <v>368</v>
      </c>
      <c r="D8" s="3" t="str">
        <f>VLOOKUP(C8,'Location Summary'!$C$4:$D$602,2,0)</f>
        <v>DA+6</v>
      </c>
      <c r="E8" s="118" t="s">
        <v>403</v>
      </c>
      <c r="F8" s="92" t="s">
        <v>683</v>
      </c>
      <c r="I8" s="156">
        <v>1</v>
      </c>
      <c r="R8" s="156">
        <v>1</v>
      </c>
      <c r="T8" s="174">
        <v>40</v>
      </c>
      <c r="U8" s="3" t="s">
        <v>710</v>
      </c>
      <c r="V8" s="3" t="s">
        <v>701</v>
      </c>
      <c r="W8" s="3" t="s">
        <v>701</v>
      </c>
      <c r="X8" s="35">
        <f t="shared" si="3"/>
        <v>45447</v>
      </c>
      <c r="Y8" s="35">
        <f t="shared" si="1"/>
        <v>45475</v>
      </c>
      <c r="AA8" s="174">
        <v>40</v>
      </c>
      <c r="AC8" s="65">
        <f t="shared" si="4"/>
        <v>0</v>
      </c>
      <c r="AD8" s="65">
        <f t="shared" si="5"/>
        <v>0</v>
      </c>
      <c r="AE8" s="65">
        <f t="shared" si="6"/>
        <v>2.0859999999999999</v>
      </c>
      <c r="AF8" s="65">
        <f t="shared" si="7"/>
        <v>2.0859999999999999</v>
      </c>
      <c r="AH8" s="4" t="s">
        <v>2</v>
      </c>
      <c r="AI8" s="184">
        <f>ROUND((1/6)*0.23*(4.25*4.25+(4.25+3.79)*(4.25+3.79)+3.79*3.79)+0.1*(4.25*4.25),3)</f>
        <v>5.5270000000000001</v>
      </c>
      <c r="AJ8" s="184">
        <f t="shared" si="2"/>
        <v>2.7549999999999999</v>
      </c>
      <c r="AK8" s="185">
        <f>ROUND(0.68*0.68*2.255,3)</f>
        <v>1.0429999999999999</v>
      </c>
    </row>
    <row r="9" spans="1:37" ht="20.149999999999999" customHeight="1">
      <c r="A9" s="3">
        <f>SUBTOTAL(103,$B$4:B9)</f>
        <v>6</v>
      </c>
      <c r="B9" s="35">
        <v>45448</v>
      </c>
      <c r="C9" s="23" t="s">
        <v>368</v>
      </c>
      <c r="D9" s="3" t="str">
        <f>VLOOKUP(C9,'Location Summary'!$C$4:$D$602,2,0)</f>
        <v>DA+6</v>
      </c>
      <c r="E9" s="118" t="s">
        <v>403</v>
      </c>
      <c r="F9" s="92" t="s">
        <v>683</v>
      </c>
      <c r="K9" s="157">
        <v>1</v>
      </c>
      <c r="L9" s="156">
        <v>1</v>
      </c>
      <c r="M9" s="158">
        <v>1</v>
      </c>
      <c r="N9" s="157">
        <v>1</v>
      </c>
      <c r="O9" s="156">
        <v>1</v>
      </c>
      <c r="T9" s="174">
        <v>40</v>
      </c>
      <c r="U9" s="3" t="s">
        <v>700</v>
      </c>
      <c r="V9" s="3" t="s">
        <v>702</v>
      </c>
      <c r="W9" s="3" t="s">
        <v>711</v>
      </c>
      <c r="X9" s="35">
        <f t="shared" si="3"/>
        <v>45448</v>
      </c>
      <c r="Y9" s="35">
        <f t="shared" si="1"/>
        <v>45476</v>
      </c>
      <c r="AA9" s="174">
        <v>40</v>
      </c>
      <c r="AC9" s="65">
        <f t="shared" si="4"/>
        <v>5.5270000000000001</v>
      </c>
      <c r="AD9" s="65">
        <f t="shared" si="5"/>
        <v>5.51</v>
      </c>
      <c r="AE9" s="65">
        <f t="shared" si="6"/>
        <v>2.0859999999999999</v>
      </c>
      <c r="AF9" s="65">
        <f t="shared" si="7"/>
        <v>13.122999999999999</v>
      </c>
      <c r="AH9" s="4" t="s">
        <v>79</v>
      </c>
      <c r="AI9" s="184">
        <f>ROUND((1/6)*0.23*(4.25*4.25+(4.25+3.79)*(4.25+3.79)+3.79*3.79)+0.1*(4.25*4.25),3)</f>
        <v>5.5270000000000001</v>
      </c>
      <c r="AJ9" s="184">
        <f t="shared" si="2"/>
        <v>2.7549999999999999</v>
      </c>
      <c r="AK9" s="185">
        <f>ROUND(0.68*0.68*2.255,3)</f>
        <v>1.0429999999999999</v>
      </c>
    </row>
    <row r="10" spans="1:37" ht="20.149999999999999" customHeight="1">
      <c r="A10" s="3">
        <f>SUBTOTAL(103,$B$4:B10)</f>
        <v>7</v>
      </c>
      <c r="B10" s="35">
        <v>45450</v>
      </c>
      <c r="C10" s="23" t="s">
        <v>411</v>
      </c>
      <c r="D10" s="3" t="str">
        <f>VLOOKUP(C10,'Location Summary'!$C$4:$D$602,2,0)</f>
        <v>DA+3</v>
      </c>
      <c r="E10" s="118" t="s">
        <v>403</v>
      </c>
      <c r="F10" s="92" t="s">
        <v>683</v>
      </c>
      <c r="K10" s="157">
        <v>1</v>
      </c>
      <c r="L10" s="156">
        <v>1</v>
      </c>
      <c r="Q10" s="157">
        <v>1</v>
      </c>
      <c r="R10" s="156">
        <v>1</v>
      </c>
      <c r="T10" s="174">
        <v>55</v>
      </c>
      <c r="U10" s="3" t="s">
        <v>701</v>
      </c>
      <c r="V10" s="3" t="s">
        <v>701</v>
      </c>
      <c r="W10" s="3" t="s">
        <v>701</v>
      </c>
      <c r="X10" s="35">
        <f t="shared" si="3"/>
        <v>45450</v>
      </c>
      <c r="Y10" s="35">
        <f t="shared" si="1"/>
        <v>45478</v>
      </c>
      <c r="AA10" s="174">
        <v>55</v>
      </c>
      <c r="AC10" s="65">
        <f t="shared" si="4"/>
        <v>0</v>
      </c>
      <c r="AD10" s="65">
        <f t="shared" si="5"/>
        <v>5.51</v>
      </c>
      <c r="AE10" s="65">
        <f t="shared" si="6"/>
        <v>2.0859999999999999</v>
      </c>
      <c r="AF10" s="65">
        <f t="shared" si="7"/>
        <v>7.5960000000000001</v>
      </c>
      <c r="AH10" s="4" t="s">
        <v>49</v>
      </c>
      <c r="AI10" s="184">
        <f>ROUND((1/6)*0.23*(4.25*4.25+(4.25+3.79)*(4.25+3.79)+3.79*3.79)+0.1*(4.25*4.25),3)</f>
        <v>5.5270000000000001</v>
      </c>
      <c r="AJ10" s="184">
        <f t="shared" si="2"/>
        <v>2.7549999999999999</v>
      </c>
      <c r="AK10" s="185">
        <f>ROUND(0.68*0.68*2.255,3)</f>
        <v>1.0429999999999999</v>
      </c>
    </row>
    <row r="11" spans="1:37" ht="20.149999999999999" customHeight="1">
      <c r="A11" s="3">
        <f>SUBTOTAL(103,$B$4:B11)</f>
        <v>8</v>
      </c>
      <c r="B11" s="35">
        <v>45451</v>
      </c>
      <c r="C11" s="23" t="s">
        <v>412</v>
      </c>
      <c r="D11" s="3" t="str">
        <f>VLOOKUP(C11,'Location Summary'!$C$4:$D$602,2,0)</f>
        <v>DA+3</v>
      </c>
      <c r="E11" s="118" t="s">
        <v>403</v>
      </c>
      <c r="F11" s="92" t="s">
        <v>683</v>
      </c>
      <c r="G11" s="158">
        <v>1</v>
      </c>
      <c r="H11" s="157">
        <v>1</v>
      </c>
      <c r="I11" s="156">
        <v>1</v>
      </c>
      <c r="J11" s="158">
        <v>1</v>
      </c>
      <c r="M11" s="158">
        <v>1</v>
      </c>
      <c r="N11" s="157">
        <v>1</v>
      </c>
      <c r="O11" s="156">
        <v>1</v>
      </c>
      <c r="P11" s="158">
        <v>1</v>
      </c>
      <c r="T11" s="174">
        <v>55</v>
      </c>
      <c r="U11" s="3" t="s">
        <v>717</v>
      </c>
      <c r="V11" s="3" t="s">
        <v>717</v>
      </c>
      <c r="W11" s="3" t="s">
        <v>717</v>
      </c>
      <c r="X11" s="35">
        <f t="shared" si="3"/>
        <v>45451</v>
      </c>
      <c r="Y11" s="35">
        <f t="shared" si="1"/>
        <v>45479</v>
      </c>
      <c r="AA11" s="174">
        <v>55</v>
      </c>
      <c r="AC11" s="65">
        <f t="shared" si="4"/>
        <v>22.108000000000001</v>
      </c>
      <c r="AD11" s="65">
        <f t="shared" si="5"/>
        <v>5.51</v>
      </c>
      <c r="AE11" s="65">
        <f t="shared" si="6"/>
        <v>2.0859999999999999</v>
      </c>
      <c r="AF11" s="65">
        <f t="shared" si="7"/>
        <v>29.704000000000001</v>
      </c>
      <c r="AH11" s="4" t="s">
        <v>197</v>
      </c>
      <c r="AI11" s="65"/>
      <c r="AJ11" s="65"/>
      <c r="AK11" s="187"/>
    </row>
    <row r="12" spans="1:37" ht="20.149999999999999" customHeight="1">
      <c r="A12" s="3">
        <f>SUBTOTAL(103,$B$4:B12)</f>
        <v>9</v>
      </c>
      <c r="B12" s="35">
        <v>45452</v>
      </c>
      <c r="C12" s="23" t="s">
        <v>412</v>
      </c>
      <c r="D12" s="3" t="str">
        <f>VLOOKUP(C12,'Location Summary'!$C$4:$D$602,2,0)</f>
        <v>DA+3</v>
      </c>
      <c r="E12" s="118" t="s">
        <v>403</v>
      </c>
      <c r="F12" s="92" t="s">
        <v>683</v>
      </c>
      <c r="K12" s="157">
        <v>1</v>
      </c>
      <c r="L12" s="156">
        <v>1</v>
      </c>
      <c r="Q12" s="157">
        <v>1</v>
      </c>
      <c r="R12" s="156">
        <v>1</v>
      </c>
      <c r="T12" s="174">
        <v>50</v>
      </c>
      <c r="U12" s="3" t="s">
        <v>718</v>
      </c>
      <c r="V12" s="3" t="s">
        <v>718</v>
      </c>
      <c r="W12" s="3" t="s">
        <v>718</v>
      </c>
      <c r="X12" s="35">
        <f t="shared" si="3"/>
        <v>45452</v>
      </c>
      <c r="Y12" s="35">
        <f t="shared" si="1"/>
        <v>45480</v>
      </c>
      <c r="AA12" s="174">
        <v>50</v>
      </c>
      <c r="AC12" s="65">
        <f t="shared" si="4"/>
        <v>0</v>
      </c>
      <c r="AD12" s="65">
        <f t="shared" si="5"/>
        <v>5.51</v>
      </c>
      <c r="AE12" s="65">
        <f t="shared" si="6"/>
        <v>2.0859999999999999</v>
      </c>
      <c r="AF12" s="65">
        <f t="shared" si="7"/>
        <v>7.5960000000000001</v>
      </c>
      <c r="AH12" s="4" t="s">
        <v>226</v>
      </c>
      <c r="AI12" s="65"/>
      <c r="AJ12" s="65"/>
      <c r="AK12" s="187"/>
    </row>
    <row r="13" spans="1:37" ht="20.149999999999999" customHeight="1">
      <c r="A13" s="3">
        <f>SUBTOTAL(103,$B$4:B13)</f>
        <v>10</v>
      </c>
      <c r="B13" s="35">
        <v>45453</v>
      </c>
      <c r="C13" s="23" t="s">
        <v>410</v>
      </c>
      <c r="D13" s="3" t="str">
        <f>VLOOKUP(C13,'Location Summary'!$C$4:$D$602,2,0)</f>
        <v>DA+3</v>
      </c>
      <c r="E13" s="118" t="s">
        <v>403</v>
      </c>
      <c r="F13" s="92" t="s">
        <v>683</v>
      </c>
      <c r="G13" s="158">
        <v>1</v>
      </c>
      <c r="H13" s="157">
        <v>1</v>
      </c>
      <c r="I13" s="156">
        <v>1</v>
      </c>
      <c r="J13" s="158">
        <v>1</v>
      </c>
      <c r="K13" s="157">
        <v>1</v>
      </c>
      <c r="L13" s="156">
        <v>1</v>
      </c>
      <c r="T13" s="174">
        <v>58</v>
      </c>
      <c r="U13" s="3" t="s">
        <v>730</v>
      </c>
      <c r="V13" s="3" t="s">
        <v>728</v>
      </c>
      <c r="W13" s="3" t="s">
        <v>729</v>
      </c>
      <c r="X13" s="35">
        <f t="shared" si="3"/>
        <v>45453</v>
      </c>
      <c r="Y13" s="35">
        <f t="shared" si="1"/>
        <v>45481</v>
      </c>
      <c r="AA13" s="174">
        <v>58</v>
      </c>
      <c r="AC13" s="65">
        <f t="shared" si="4"/>
        <v>11.054</v>
      </c>
      <c r="AD13" s="65">
        <f t="shared" si="5"/>
        <v>5.51</v>
      </c>
      <c r="AE13" s="65">
        <f t="shared" si="6"/>
        <v>2.0859999999999999</v>
      </c>
      <c r="AF13" s="65">
        <f t="shared" si="7"/>
        <v>18.649999999999999</v>
      </c>
      <c r="AH13" s="4" t="s">
        <v>227</v>
      </c>
      <c r="AI13" s="65"/>
      <c r="AJ13" s="65"/>
      <c r="AK13" s="187"/>
    </row>
    <row r="14" spans="1:37" ht="20.149999999999999" customHeight="1">
      <c r="A14" s="3">
        <f>SUBTOTAL(103,$B$4:B14)</f>
        <v>11</v>
      </c>
      <c r="B14" s="35">
        <v>45454</v>
      </c>
      <c r="C14" s="23" t="s">
        <v>410</v>
      </c>
      <c r="D14" s="3" t="str">
        <f>VLOOKUP(C14,'Location Summary'!$C$4:$D$602,2,0)</f>
        <v>DA+3</v>
      </c>
      <c r="E14" s="118" t="s">
        <v>403</v>
      </c>
      <c r="F14" s="92" t="s">
        <v>683</v>
      </c>
      <c r="M14" s="158">
        <v>1</v>
      </c>
      <c r="N14" s="157">
        <v>1</v>
      </c>
      <c r="O14" s="156">
        <v>1</v>
      </c>
      <c r="P14" s="158">
        <v>1</v>
      </c>
      <c r="Q14" s="157">
        <v>1</v>
      </c>
      <c r="R14" s="156">
        <v>1</v>
      </c>
      <c r="T14" s="174">
        <v>40</v>
      </c>
      <c r="U14" s="3" t="s">
        <v>719</v>
      </c>
      <c r="V14" s="3" t="s">
        <v>719</v>
      </c>
      <c r="W14" s="3" t="s">
        <v>719</v>
      </c>
      <c r="X14" s="35">
        <f t="shared" si="3"/>
        <v>45454</v>
      </c>
      <c r="Y14" s="35">
        <f t="shared" si="1"/>
        <v>45482</v>
      </c>
      <c r="AA14" s="174">
        <v>40</v>
      </c>
      <c r="AC14" s="65">
        <f t="shared" si="4"/>
        <v>11.054</v>
      </c>
      <c r="AD14" s="65">
        <f t="shared" si="5"/>
        <v>5.51</v>
      </c>
      <c r="AE14" s="65">
        <f t="shared" si="6"/>
        <v>2.0859999999999999</v>
      </c>
      <c r="AF14" s="65">
        <f t="shared" si="7"/>
        <v>18.649999999999999</v>
      </c>
      <c r="AH14" s="4" t="s">
        <v>211</v>
      </c>
      <c r="AI14" s="65"/>
      <c r="AJ14" s="65"/>
      <c r="AK14" s="187"/>
    </row>
    <row r="15" spans="1:37" ht="20.149999999999999" customHeight="1">
      <c r="A15" s="3">
        <f>SUBTOTAL(103,$B$4:B15)</f>
        <v>12</v>
      </c>
      <c r="B15" s="35">
        <v>45455</v>
      </c>
      <c r="C15" s="23" t="s">
        <v>369</v>
      </c>
      <c r="D15" s="3" t="str">
        <f>VLOOKUP(C15,'Location Summary'!$C$4:$D$602,2,0)</f>
        <v>DA+3</v>
      </c>
      <c r="E15" s="118" t="s">
        <v>403</v>
      </c>
      <c r="F15" s="92" t="s">
        <v>683</v>
      </c>
      <c r="P15" s="158">
        <v>1</v>
      </c>
      <c r="T15" s="174">
        <v>44</v>
      </c>
      <c r="U15" s="3" t="s">
        <v>699</v>
      </c>
      <c r="V15" s="3" t="s">
        <v>699</v>
      </c>
      <c r="W15" s="3" t="s">
        <v>699</v>
      </c>
      <c r="X15" s="35">
        <f t="shared" si="3"/>
        <v>45455</v>
      </c>
      <c r="Y15" s="35">
        <f t="shared" si="1"/>
        <v>45483</v>
      </c>
      <c r="AA15" s="174">
        <v>44</v>
      </c>
      <c r="AC15" s="65">
        <f t="shared" si="4"/>
        <v>5.5270000000000001</v>
      </c>
      <c r="AD15" s="65">
        <f t="shared" si="5"/>
        <v>0</v>
      </c>
      <c r="AE15" s="65">
        <f t="shared" si="6"/>
        <v>0</v>
      </c>
      <c r="AF15" s="65">
        <f t="shared" si="7"/>
        <v>5.5270000000000001</v>
      </c>
      <c r="AH15" s="4" t="s">
        <v>401</v>
      </c>
      <c r="AI15" s="65"/>
      <c r="AJ15" s="65"/>
      <c r="AK15" s="187"/>
    </row>
    <row r="16" spans="1:37" ht="20.149999999999999" customHeight="1">
      <c r="A16" s="3">
        <f>SUBTOTAL(103,$B$4:B16)</f>
        <v>13</v>
      </c>
      <c r="B16" s="35">
        <v>45456</v>
      </c>
      <c r="C16" s="23" t="s">
        <v>369</v>
      </c>
      <c r="D16" s="3" t="str">
        <f>VLOOKUP(C16,'Location Summary'!$C$4:$D$602,2,0)</f>
        <v>DA+3</v>
      </c>
      <c r="E16" s="118" t="s">
        <v>403</v>
      </c>
      <c r="F16" s="92" t="s">
        <v>683</v>
      </c>
      <c r="M16" s="158">
        <v>1</v>
      </c>
      <c r="Q16" s="157">
        <v>1</v>
      </c>
      <c r="T16" s="174">
        <v>40</v>
      </c>
      <c r="U16" s="31" t="s">
        <v>700</v>
      </c>
      <c r="V16" s="31" t="s">
        <v>700</v>
      </c>
      <c r="W16" s="31" t="s">
        <v>700</v>
      </c>
      <c r="X16" s="35">
        <f t="shared" si="3"/>
        <v>45456</v>
      </c>
      <c r="Y16" s="35">
        <f t="shared" si="1"/>
        <v>45484</v>
      </c>
      <c r="AA16" s="174">
        <v>40</v>
      </c>
      <c r="AC16" s="65">
        <f t="shared" si="4"/>
        <v>5.5270000000000001</v>
      </c>
      <c r="AD16" s="65">
        <f t="shared" si="5"/>
        <v>2.7549999999999999</v>
      </c>
      <c r="AE16" s="65">
        <f t="shared" si="6"/>
        <v>0</v>
      </c>
      <c r="AF16" s="65">
        <f t="shared" si="7"/>
        <v>8.282</v>
      </c>
      <c r="AH16" s="4" t="s">
        <v>184</v>
      </c>
      <c r="AI16" s="65"/>
      <c r="AJ16" s="65"/>
      <c r="AK16" s="187"/>
    </row>
    <row r="17" spans="1:37" ht="20.149999999999999" customHeight="1">
      <c r="A17" s="3">
        <f>SUBTOTAL(103,$B$4:B17)</f>
        <v>14</v>
      </c>
      <c r="B17" s="35">
        <v>45456</v>
      </c>
      <c r="C17" s="23" t="s">
        <v>413</v>
      </c>
      <c r="D17" s="3" t="str">
        <f>VLOOKUP(C17,'Location Summary'!$C$4:$D$602,2,0)</f>
        <v>DA+3</v>
      </c>
      <c r="E17" s="118" t="s">
        <v>403</v>
      </c>
      <c r="F17" s="92" t="s">
        <v>683</v>
      </c>
      <c r="M17" s="158">
        <v>1</v>
      </c>
      <c r="P17" s="158">
        <v>1</v>
      </c>
      <c r="T17" s="174">
        <v>40</v>
      </c>
      <c r="U17" s="3" t="s">
        <v>731</v>
      </c>
      <c r="V17" s="3" t="s">
        <v>732</v>
      </c>
      <c r="W17" s="3" t="s">
        <v>732</v>
      </c>
      <c r="X17" s="35">
        <f t="shared" si="3"/>
        <v>45456</v>
      </c>
      <c r="Y17" s="35">
        <f t="shared" si="1"/>
        <v>45484</v>
      </c>
      <c r="AA17" s="174">
        <v>40</v>
      </c>
      <c r="AC17" s="65">
        <f>(VLOOKUP($D17,$AH$4:$AK$40,2,FALSE))*(G17+J17+M17+P17)</f>
        <v>11.054</v>
      </c>
      <c r="AD17" s="65">
        <f t="shared" si="5"/>
        <v>0</v>
      </c>
      <c r="AE17" s="65">
        <f t="shared" si="6"/>
        <v>0</v>
      </c>
      <c r="AF17" s="65">
        <f t="shared" si="7"/>
        <v>11.054</v>
      </c>
      <c r="AH17" s="4" t="s">
        <v>228</v>
      </c>
      <c r="AI17" s="65"/>
      <c r="AJ17" s="65"/>
      <c r="AK17" s="187"/>
    </row>
    <row r="18" spans="1:37" ht="20.149999999999999" customHeight="1">
      <c r="A18" s="3">
        <f>SUBTOTAL(103,$B$4:B18)</f>
        <v>15</v>
      </c>
      <c r="B18" s="35">
        <v>45457</v>
      </c>
      <c r="C18" s="23" t="s">
        <v>369</v>
      </c>
      <c r="D18" s="3" t="str">
        <f>VLOOKUP(C18,'Location Summary'!$C$4:$D$602,2,0)</f>
        <v>DA+3</v>
      </c>
      <c r="E18" s="118" t="s">
        <v>403</v>
      </c>
      <c r="F18" s="92" t="s">
        <v>683</v>
      </c>
      <c r="N18" s="157">
        <v>1</v>
      </c>
      <c r="O18" s="156">
        <v>1</v>
      </c>
      <c r="R18" s="156">
        <v>1</v>
      </c>
      <c r="T18" s="174">
        <v>50</v>
      </c>
      <c r="U18" s="3" t="s">
        <v>701</v>
      </c>
      <c r="V18" s="3" t="s">
        <v>702</v>
      </c>
      <c r="W18" s="3" t="s">
        <v>702</v>
      </c>
      <c r="X18" s="35">
        <f t="shared" si="3"/>
        <v>45457</v>
      </c>
      <c r="Y18" s="35">
        <f t="shared" si="1"/>
        <v>45485</v>
      </c>
      <c r="AA18" s="174">
        <v>50</v>
      </c>
      <c r="AC18" s="65">
        <f t="shared" si="4"/>
        <v>0</v>
      </c>
      <c r="AD18" s="65">
        <f t="shared" si="5"/>
        <v>2.7549999999999999</v>
      </c>
      <c r="AE18" s="65">
        <f t="shared" si="6"/>
        <v>2.0859999999999999</v>
      </c>
      <c r="AF18" s="65">
        <f t="shared" si="7"/>
        <v>4.8409999999999993</v>
      </c>
      <c r="AH18" s="4" t="s">
        <v>229</v>
      </c>
      <c r="AI18" s="65"/>
      <c r="AJ18" s="65"/>
      <c r="AK18" s="187"/>
    </row>
    <row r="19" spans="1:37" ht="20.149999999999999" customHeight="1">
      <c r="A19" s="3">
        <f>SUBTOTAL(103,$B$4:B19)</f>
        <v>16</v>
      </c>
      <c r="B19" s="35">
        <v>45457</v>
      </c>
      <c r="C19" s="23" t="s">
        <v>413</v>
      </c>
      <c r="D19" s="3" t="str">
        <f>VLOOKUP(C19,'Location Summary'!$C$4:$D$602,2,0)</f>
        <v>DA+3</v>
      </c>
      <c r="E19" s="118" t="s">
        <v>403</v>
      </c>
      <c r="F19" s="92" t="s">
        <v>683</v>
      </c>
      <c r="G19" s="158">
        <v>1</v>
      </c>
      <c r="J19" s="158">
        <v>1</v>
      </c>
      <c r="T19" s="174">
        <v>35</v>
      </c>
      <c r="U19" s="3" t="s">
        <v>729</v>
      </c>
      <c r="V19" s="3" t="s">
        <v>729</v>
      </c>
      <c r="W19" s="3" t="s">
        <v>729</v>
      </c>
      <c r="X19" s="35">
        <f t="shared" si="3"/>
        <v>45457</v>
      </c>
      <c r="Y19" s="35">
        <f t="shared" si="1"/>
        <v>45485</v>
      </c>
      <c r="AA19" s="174">
        <v>35</v>
      </c>
      <c r="AC19" s="65">
        <f t="shared" si="4"/>
        <v>11.054</v>
      </c>
      <c r="AD19" s="65">
        <f t="shared" si="5"/>
        <v>0</v>
      </c>
      <c r="AE19" s="65">
        <f t="shared" si="6"/>
        <v>0</v>
      </c>
      <c r="AF19" s="65">
        <f t="shared" si="7"/>
        <v>11.054</v>
      </c>
      <c r="AH19" s="4" t="s">
        <v>215</v>
      </c>
      <c r="AI19" s="65"/>
      <c r="AJ19" s="65"/>
      <c r="AK19" s="187"/>
    </row>
    <row r="20" spans="1:37" ht="20.149999999999999" customHeight="1">
      <c r="A20" s="3">
        <f>SUBTOTAL(103,$B$4:B20)</f>
        <v>17</v>
      </c>
      <c r="B20" s="35">
        <v>45458</v>
      </c>
      <c r="C20" s="23" t="s">
        <v>369</v>
      </c>
      <c r="D20" s="3" t="str">
        <f>VLOOKUP(C20,'Location Summary'!$C$4:$D$602,2,0)</f>
        <v>DA+3</v>
      </c>
      <c r="E20" s="118" t="s">
        <v>403</v>
      </c>
      <c r="F20" s="92" t="s">
        <v>683</v>
      </c>
      <c r="G20" s="158">
        <v>1</v>
      </c>
      <c r="T20" s="174">
        <v>40</v>
      </c>
      <c r="U20" s="3" t="s">
        <v>703</v>
      </c>
      <c r="V20" s="3" t="s">
        <v>703</v>
      </c>
      <c r="W20" s="3" t="s">
        <v>703</v>
      </c>
      <c r="X20" s="35">
        <f t="shared" si="3"/>
        <v>45458</v>
      </c>
      <c r="Y20" s="35">
        <f t="shared" si="1"/>
        <v>45486</v>
      </c>
      <c r="AA20" s="174">
        <v>40</v>
      </c>
      <c r="AC20" s="65">
        <f t="shared" si="4"/>
        <v>5.5270000000000001</v>
      </c>
      <c r="AD20" s="65">
        <f t="shared" si="5"/>
        <v>0</v>
      </c>
      <c r="AE20" s="65">
        <f t="shared" si="6"/>
        <v>0</v>
      </c>
      <c r="AF20" s="65">
        <f t="shared" si="7"/>
        <v>5.5270000000000001</v>
      </c>
      <c r="AH20" s="4" t="s">
        <v>185</v>
      </c>
      <c r="AI20" s="65"/>
      <c r="AJ20" s="65"/>
      <c r="AK20" s="187"/>
    </row>
    <row r="21" spans="1:37" ht="20.149999999999999" customHeight="1">
      <c r="A21" s="3">
        <f>SUBTOTAL(103,$B$4:B21)</f>
        <v>18</v>
      </c>
      <c r="B21" s="35">
        <v>45458</v>
      </c>
      <c r="C21" s="23" t="s">
        <v>413</v>
      </c>
      <c r="D21" s="3" t="str">
        <f>VLOOKUP(C21,'Location Summary'!$C$4:$D$602,2,0)</f>
        <v>DA+3</v>
      </c>
      <c r="E21" s="118" t="s">
        <v>403</v>
      </c>
      <c r="F21" s="92" t="s">
        <v>683</v>
      </c>
      <c r="H21" s="157">
        <v>1</v>
      </c>
      <c r="I21" s="156">
        <v>1</v>
      </c>
      <c r="K21" s="157">
        <v>1</v>
      </c>
      <c r="L21" s="156">
        <v>1</v>
      </c>
      <c r="T21" s="174">
        <v>40</v>
      </c>
      <c r="U21" s="3" t="s">
        <v>728</v>
      </c>
      <c r="V21" s="3" t="s">
        <v>730</v>
      </c>
      <c r="W21" s="3" t="s">
        <v>730</v>
      </c>
      <c r="X21" s="35">
        <f t="shared" si="3"/>
        <v>45458</v>
      </c>
      <c r="Y21" s="35">
        <f t="shared" si="1"/>
        <v>45486</v>
      </c>
      <c r="AA21" s="174">
        <v>40</v>
      </c>
      <c r="AC21" s="65">
        <f t="shared" si="4"/>
        <v>0</v>
      </c>
      <c r="AD21" s="65">
        <f t="shared" si="5"/>
        <v>5.51</v>
      </c>
      <c r="AE21" s="65">
        <f t="shared" si="6"/>
        <v>2.0859999999999999</v>
      </c>
      <c r="AF21" s="65">
        <f t="shared" si="7"/>
        <v>7.5960000000000001</v>
      </c>
      <c r="AH21" s="4" t="s">
        <v>217</v>
      </c>
      <c r="AI21" s="65"/>
      <c r="AJ21" s="65"/>
      <c r="AK21" s="187"/>
    </row>
    <row r="22" spans="1:37" ht="20.149999999999999" customHeight="1">
      <c r="A22" s="3">
        <f>SUBTOTAL(103,$B$4:B22)</f>
        <v>19</v>
      </c>
      <c r="B22" s="35">
        <v>45459</v>
      </c>
      <c r="C22" s="23" t="s">
        <v>369</v>
      </c>
      <c r="D22" s="3" t="str">
        <f>VLOOKUP(C22,'Location Summary'!$C$4:$D$602,2,0)</f>
        <v>DA+3</v>
      </c>
      <c r="E22" s="118" t="s">
        <v>403</v>
      </c>
      <c r="F22" s="92" t="s">
        <v>683</v>
      </c>
      <c r="H22" s="157">
        <v>1</v>
      </c>
      <c r="I22" s="156">
        <v>1</v>
      </c>
      <c r="J22" s="158">
        <v>1</v>
      </c>
      <c r="K22" s="157">
        <v>1</v>
      </c>
      <c r="T22" s="174">
        <v>50</v>
      </c>
      <c r="U22" s="3" t="s">
        <v>704</v>
      </c>
      <c r="V22" s="3" t="s">
        <v>704</v>
      </c>
      <c r="W22" s="3" t="s">
        <v>704</v>
      </c>
      <c r="X22" s="35">
        <f t="shared" si="3"/>
        <v>45459</v>
      </c>
      <c r="Y22" s="35">
        <f t="shared" si="1"/>
        <v>45487</v>
      </c>
      <c r="AA22" s="174">
        <v>50</v>
      </c>
      <c r="AC22" s="65">
        <f t="shared" si="4"/>
        <v>5.5270000000000001</v>
      </c>
      <c r="AD22" s="65">
        <f t="shared" si="5"/>
        <v>5.51</v>
      </c>
      <c r="AE22" s="65">
        <f t="shared" si="6"/>
        <v>1.0429999999999999</v>
      </c>
      <c r="AF22" s="65">
        <f t="shared" si="7"/>
        <v>12.079999999999998</v>
      </c>
      <c r="AH22" s="4" t="s">
        <v>214</v>
      </c>
      <c r="AI22" s="65"/>
      <c r="AJ22" s="65"/>
      <c r="AK22" s="187"/>
    </row>
    <row r="23" spans="1:37" ht="20.149999999999999" customHeight="1">
      <c r="A23" s="3">
        <f>SUBTOTAL(103,$B$4:B23)</f>
        <v>20</v>
      </c>
      <c r="B23" s="35">
        <v>45459</v>
      </c>
      <c r="C23" s="23" t="s">
        <v>414</v>
      </c>
      <c r="D23" s="3" t="str">
        <f>VLOOKUP(C23,'Location Summary'!$C$4:$D$602,2,0)</f>
        <v>DA+3</v>
      </c>
      <c r="E23" s="118" t="s">
        <v>403</v>
      </c>
      <c r="F23" s="92" t="s">
        <v>683</v>
      </c>
      <c r="G23" s="158">
        <v>1</v>
      </c>
      <c r="J23" s="158">
        <v>1</v>
      </c>
      <c r="M23" s="158">
        <v>1</v>
      </c>
      <c r="P23" s="158">
        <v>1</v>
      </c>
      <c r="T23" s="174">
        <v>50</v>
      </c>
      <c r="U23" s="3" t="s">
        <v>715</v>
      </c>
      <c r="V23" s="3" t="s">
        <v>715</v>
      </c>
      <c r="W23" s="3" t="s">
        <v>715</v>
      </c>
      <c r="X23" s="35">
        <f t="shared" si="3"/>
        <v>45459</v>
      </c>
      <c r="Y23" s="35">
        <f t="shared" si="1"/>
        <v>45487</v>
      </c>
      <c r="AA23" s="174">
        <v>50</v>
      </c>
      <c r="AC23" s="65">
        <f t="shared" si="4"/>
        <v>22.108000000000001</v>
      </c>
      <c r="AD23" s="65">
        <f t="shared" si="5"/>
        <v>0</v>
      </c>
      <c r="AE23" s="65">
        <f t="shared" si="6"/>
        <v>0</v>
      </c>
      <c r="AF23" s="65">
        <f t="shared" si="7"/>
        <v>22.108000000000001</v>
      </c>
      <c r="AH23" s="4" t="s">
        <v>210</v>
      </c>
      <c r="AI23" s="65"/>
      <c r="AJ23" s="65"/>
      <c r="AK23" s="187"/>
    </row>
    <row r="24" spans="1:37" ht="20.149999999999999" customHeight="1">
      <c r="A24" s="3">
        <f>SUBTOTAL(103,$B$4:B24)</f>
        <v>21</v>
      </c>
      <c r="B24" s="35">
        <v>45460</v>
      </c>
      <c r="C24" s="23" t="s">
        <v>369</v>
      </c>
      <c r="D24" s="3" t="str">
        <f>VLOOKUP(C24,'Location Summary'!$C$4:$D$602,2,0)</f>
        <v>DA+3</v>
      </c>
      <c r="E24" s="118" t="s">
        <v>403</v>
      </c>
      <c r="F24" s="92" t="s">
        <v>683</v>
      </c>
      <c r="L24" s="156">
        <v>1</v>
      </c>
      <c r="T24" s="174">
        <v>40</v>
      </c>
      <c r="U24" s="3" t="s">
        <v>705</v>
      </c>
      <c r="V24" s="3" t="s">
        <v>705</v>
      </c>
      <c r="W24" s="3" t="s">
        <v>705</v>
      </c>
      <c r="X24" s="35">
        <f t="shared" si="3"/>
        <v>45460</v>
      </c>
      <c r="Y24" s="35">
        <f t="shared" si="1"/>
        <v>45488</v>
      </c>
      <c r="AA24" s="174">
        <v>40</v>
      </c>
      <c r="AC24" s="65">
        <f t="shared" si="4"/>
        <v>0</v>
      </c>
      <c r="AD24" s="65">
        <f t="shared" si="5"/>
        <v>0</v>
      </c>
      <c r="AE24" s="65">
        <f t="shared" si="6"/>
        <v>1.0429999999999999</v>
      </c>
      <c r="AF24" s="65">
        <f t="shared" si="7"/>
        <v>1.0429999999999999</v>
      </c>
      <c r="AH24" s="4" t="s">
        <v>173</v>
      </c>
      <c r="AI24" s="65"/>
      <c r="AJ24" s="65"/>
      <c r="AK24" s="187"/>
    </row>
    <row r="25" spans="1:37" ht="20.149999999999999" customHeight="1">
      <c r="A25" s="3">
        <f>SUBTOTAL(103,$B$4:B25)</f>
        <v>22</v>
      </c>
      <c r="B25" s="35">
        <v>45460</v>
      </c>
      <c r="C25" s="23" t="s">
        <v>413</v>
      </c>
      <c r="D25" s="3" t="str">
        <f>VLOOKUP(C25,'Location Summary'!$C$4:$D$602,2,0)</f>
        <v>DA+3</v>
      </c>
      <c r="E25" s="118" t="s">
        <v>403</v>
      </c>
      <c r="F25" s="92" t="s">
        <v>683</v>
      </c>
      <c r="N25" s="157">
        <v>1</v>
      </c>
      <c r="O25" s="156">
        <v>1</v>
      </c>
      <c r="Q25" s="157">
        <v>1</v>
      </c>
      <c r="R25" s="156">
        <v>1</v>
      </c>
      <c r="T25" s="174">
        <v>52</v>
      </c>
      <c r="U25" s="3" t="s">
        <v>733</v>
      </c>
      <c r="V25" s="3" t="s">
        <v>734</v>
      </c>
      <c r="W25" s="3" t="s">
        <v>734</v>
      </c>
      <c r="X25" s="35">
        <f t="shared" si="3"/>
        <v>45460</v>
      </c>
      <c r="Y25" s="35">
        <f t="shared" si="1"/>
        <v>45488</v>
      </c>
      <c r="AA25" s="174">
        <v>42</v>
      </c>
      <c r="AC25" s="65">
        <f t="shared" si="4"/>
        <v>0</v>
      </c>
      <c r="AD25" s="65">
        <f t="shared" si="5"/>
        <v>5.51</v>
      </c>
      <c r="AE25" s="65">
        <f t="shared" si="6"/>
        <v>2.0859999999999999</v>
      </c>
      <c r="AF25" s="65">
        <f t="shared" si="7"/>
        <v>7.5960000000000001</v>
      </c>
      <c r="AH25" s="4" t="s">
        <v>219</v>
      </c>
      <c r="AI25" s="65"/>
      <c r="AJ25" s="65"/>
      <c r="AK25" s="187"/>
    </row>
    <row r="26" spans="1:37" ht="20.149999999999999" customHeight="1">
      <c r="A26" s="3">
        <f>SUBTOTAL(103,$B$4:B26)</f>
        <v>23</v>
      </c>
      <c r="B26" s="35">
        <v>45460</v>
      </c>
      <c r="C26" s="23" t="s">
        <v>414</v>
      </c>
      <c r="D26" s="3" t="str">
        <f>VLOOKUP(C26,'Location Summary'!$C$4:$D$602,2,0)</f>
        <v>DA+3</v>
      </c>
      <c r="E26" s="118" t="s">
        <v>403</v>
      </c>
      <c r="F26" s="92" t="s">
        <v>683</v>
      </c>
      <c r="H26" s="157">
        <v>1</v>
      </c>
      <c r="I26" s="156">
        <v>1</v>
      </c>
      <c r="K26" s="157">
        <v>1</v>
      </c>
      <c r="L26" s="156">
        <v>1</v>
      </c>
      <c r="T26" s="174">
        <v>60</v>
      </c>
      <c r="U26" s="3" t="s">
        <v>720</v>
      </c>
      <c r="V26" s="3" t="s">
        <v>720</v>
      </c>
      <c r="W26" s="3" t="s">
        <v>720</v>
      </c>
      <c r="X26" s="35">
        <f t="shared" si="3"/>
        <v>45460</v>
      </c>
      <c r="Y26" s="35">
        <f t="shared" si="1"/>
        <v>45488</v>
      </c>
      <c r="AA26" s="174">
        <v>40</v>
      </c>
      <c r="AC26" s="65">
        <f t="shared" si="4"/>
        <v>0</v>
      </c>
      <c r="AD26" s="65">
        <f t="shared" si="5"/>
        <v>5.51</v>
      </c>
      <c r="AE26" s="65">
        <f t="shared" si="6"/>
        <v>2.0859999999999999</v>
      </c>
      <c r="AF26" s="65">
        <f t="shared" si="7"/>
        <v>7.5960000000000001</v>
      </c>
      <c r="AH26" s="4" t="s">
        <v>230</v>
      </c>
      <c r="AI26" s="65"/>
      <c r="AJ26" s="65"/>
      <c r="AK26" s="187"/>
    </row>
    <row r="27" spans="1:37" ht="20.149999999999999" customHeight="1">
      <c r="A27" s="3">
        <f>SUBTOTAL(103,$B$4:B27)</f>
        <v>24</v>
      </c>
      <c r="B27" s="35">
        <v>45460</v>
      </c>
      <c r="C27" s="23" t="s">
        <v>394</v>
      </c>
      <c r="D27" s="3" t="str">
        <f>VLOOKUP(C27,'Location Summary'!$C$4:$D$602,2,0)</f>
        <v>DA+9</v>
      </c>
      <c r="E27" s="118" t="s">
        <v>403</v>
      </c>
      <c r="F27" s="92" t="s">
        <v>683</v>
      </c>
      <c r="J27" s="158">
        <v>1</v>
      </c>
      <c r="T27" s="174">
        <v>68</v>
      </c>
      <c r="U27" s="3" t="s">
        <v>725</v>
      </c>
      <c r="V27" s="3" t="s">
        <v>725</v>
      </c>
      <c r="W27" s="3" t="s">
        <v>725</v>
      </c>
      <c r="X27" s="35">
        <f t="shared" si="3"/>
        <v>45460</v>
      </c>
      <c r="Y27" s="35">
        <f t="shared" si="1"/>
        <v>45488</v>
      </c>
      <c r="AA27" s="174">
        <v>68</v>
      </c>
      <c r="AC27" s="65">
        <f t="shared" si="4"/>
        <v>5.5270000000000001</v>
      </c>
      <c r="AD27" s="65">
        <f t="shared" si="5"/>
        <v>0</v>
      </c>
      <c r="AE27" s="65">
        <f t="shared" si="6"/>
        <v>0</v>
      </c>
      <c r="AF27" s="65">
        <f t="shared" si="7"/>
        <v>5.5270000000000001</v>
      </c>
      <c r="AH27" s="4" t="s">
        <v>216</v>
      </c>
      <c r="AI27" s="65"/>
      <c r="AJ27" s="65"/>
      <c r="AK27" s="187"/>
    </row>
    <row r="28" spans="1:37" ht="20.149999999999999" customHeight="1">
      <c r="A28" s="3">
        <f>SUBTOTAL(103,$B$4:B28)</f>
        <v>25</v>
      </c>
      <c r="B28" s="35">
        <v>45461</v>
      </c>
      <c r="C28" s="23" t="s">
        <v>414</v>
      </c>
      <c r="D28" s="3" t="str">
        <f>VLOOKUP(C28,'Location Summary'!$C$4:$D$602,2,0)</f>
        <v>DA+3</v>
      </c>
      <c r="E28" s="118" t="s">
        <v>403</v>
      </c>
      <c r="F28" s="92" t="s">
        <v>683</v>
      </c>
      <c r="N28" s="157">
        <v>1</v>
      </c>
      <c r="O28" s="156">
        <v>1</v>
      </c>
      <c r="Q28" s="157">
        <v>1</v>
      </c>
      <c r="R28" s="156">
        <v>1</v>
      </c>
      <c r="T28" s="174">
        <v>55</v>
      </c>
      <c r="U28" s="3" t="s">
        <v>718</v>
      </c>
      <c r="V28" s="3" t="s">
        <v>721</v>
      </c>
      <c r="W28" s="3" t="s">
        <v>721</v>
      </c>
      <c r="X28" s="35">
        <f t="shared" si="3"/>
        <v>45461</v>
      </c>
      <c r="Y28" s="35">
        <f t="shared" si="1"/>
        <v>45489</v>
      </c>
      <c r="AA28" s="174">
        <v>45</v>
      </c>
      <c r="AC28" s="65">
        <f t="shared" si="4"/>
        <v>0</v>
      </c>
      <c r="AD28" s="65">
        <f t="shared" si="5"/>
        <v>5.51</v>
      </c>
      <c r="AE28" s="65">
        <f t="shared" si="6"/>
        <v>2.0859999999999999</v>
      </c>
      <c r="AF28" s="65">
        <f t="shared" si="7"/>
        <v>7.5960000000000001</v>
      </c>
      <c r="AH28" s="4" t="s">
        <v>428</v>
      </c>
      <c r="AI28" s="65"/>
      <c r="AJ28" s="65"/>
      <c r="AK28" s="187"/>
    </row>
    <row r="29" spans="1:37" ht="20.149999999999999" customHeight="1">
      <c r="A29" s="3">
        <f>SUBTOTAL(103,$B$4:B29)</f>
        <v>26</v>
      </c>
      <c r="B29" s="35">
        <v>45461</v>
      </c>
      <c r="C29" s="23" t="s">
        <v>394</v>
      </c>
      <c r="D29" s="3" t="str">
        <f>VLOOKUP(C29,'Location Summary'!$C$4:$D$602,2,0)</f>
        <v>DA+9</v>
      </c>
      <c r="E29" s="118" t="s">
        <v>403</v>
      </c>
      <c r="F29" s="92" t="s">
        <v>683</v>
      </c>
      <c r="M29" s="158">
        <v>1</v>
      </c>
      <c r="P29" s="158">
        <v>1</v>
      </c>
      <c r="T29" s="174">
        <v>58</v>
      </c>
      <c r="U29" s="3" t="s">
        <v>726</v>
      </c>
      <c r="V29" s="3" t="s">
        <v>726</v>
      </c>
      <c r="W29" s="3" t="s">
        <v>726</v>
      </c>
      <c r="X29" s="35">
        <f t="shared" si="3"/>
        <v>45461</v>
      </c>
      <c r="Y29" s="35">
        <f t="shared" si="1"/>
        <v>45489</v>
      </c>
      <c r="AA29" s="174">
        <v>58</v>
      </c>
      <c r="AC29" s="65">
        <f t="shared" si="4"/>
        <v>11.054</v>
      </c>
      <c r="AD29" s="65">
        <f t="shared" si="5"/>
        <v>0</v>
      </c>
      <c r="AE29" s="65">
        <f t="shared" si="6"/>
        <v>0</v>
      </c>
      <c r="AF29" s="65">
        <f t="shared" si="7"/>
        <v>11.054</v>
      </c>
      <c r="AH29" s="4" t="s">
        <v>280</v>
      </c>
      <c r="AI29" s="65"/>
      <c r="AJ29" s="65"/>
      <c r="AK29" s="187"/>
    </row>
    <row r="30" spans="1:37" ht="20.149999999999999" customHeight="1">
      <c r="A30" s="3">
        <f>SUBTOTAL(103,$B$4:B30)</f>
        <v>27</v>
      </c>
      <c r="B30" s="35">
        <v>45462</v>
      </c>
      <c r="C30" s="23" t="s">
        <v>405</v>
      </c>
      <c r="D30" s="3" t="str">
        <f>VLOOKUP(C30,'Location Summary'!$C$4:$D$602,2,0)</f>
        <v>DA+0</v>
      </c>
      <c r="E30" s="118" t="s">
        <v>403</v>
      </c>
      <c r="F30" s="92" t="s">
        <v>683</v>
      </c>
      <c r="M30" s="158">
        <v>1</v>
      </c>
      <c r="T30" s="174">
        <v>60</v>
      </c>
      <c r="U30" s="3" t="s">
        <v>706</v>
      </c>
      <c r="V30" s="3" t="s">
        <v>706</v>
      </c>
      <c r="W30" s="3" t="s">
        <v>706</v>
      </c>
      <c r="X30" s="35">
        <f t="shared" si="3"/>
        <v>45462</v>
      </c>
      <c r="Y30" s="35">
        <f t="shared" si="1"/>
        <v>45490</v>
      </c>
      <c r="AA30" s="174">
        <v>60</v>
      </c>
      <c r="AC30" s="65">
        <f t="shared" si="4"/>
        <v>4.726</v>
      </c>
      <c r="AD30" s="65">
        <f t="shared" si="5"/>
        <v>0</v>
      </c>
      <c r="AE30" s="65">
        <f t="shared" si="6"/>
        <v>0</v>
      </c>
      <c r="AF30" s="65">
        <f t="shared" si="7"/>
        <v>4.726</v>
      </c>
      <c r="AH30" s="4" t="s">
        <v>178</v>
      </c>
      <c r="AI30" s="65"/>
      <c r="AJ30" s="65"/>
      <c r="AK30" s="187"/>
    </row>
    <row r="31" spans="1:37" ht="20.149999999999999" customHeight="1">
      <c r="A31" s="3">
        <f>SUBTOTAL(103,$B$4:B31)</f>
        <v>28</v>
      </c>
      <c r="B31" s="35">
        <v>45462</v>
      </c>
      <c r="C31" s="23" t="s">
        <v>415</v>
      </c>
      <c r="D31" s="3" t="str">
        <f>VLOOKUP(C31,'Location Summary'!$C$4:$D$602,2,0)</f>
        <v>DA+6</v>
      </c>
      <c r="E31" s="118" t="s">
        <v>403</v>
      </c>
      <c r="F31" s="92" t="s">
        <v>683</v>
      </c>
      <c r="G31" s="158">
        <v>1</v>
      </c>
      <c r="P31" s="158">
        <v>1</v>
      </c>
      <c r="T31" s="174">
        <v>50</v>
      </c>
      <c r="U31" s="3" t="s">
        <v>715</v>
      </c>
      <c r="V31" s="3" t="s">
        <v>715</v>
      </c>
      <c r="W31" s="3" t="s">
        <v>715</v>
      </c>
      <c r="X31" s="35">
        <f t="shared" si="3"/>
        <v>45462</v>
      </c>
      <c r="Y31" s="35">
        <f t="shared" si="1"/>
        <v>45490</v>
      </c>
      <c r="AA31" s="174">
        <v>50</v>
      </c>
      <c r="AC31" s="65">
        <f t="shared" si="4"/>
        <v>11.054</v>
      </c>
      <c r="AD31" s="65">
        <f t="shared" si="5"/>
        <v>0</v>
      </c>
      <c r="AE31" s="65">
        <f t="shared" si="6"/>
        <v>0</v>
      </c>
      <c r="AF31" s="65">
        <f t="shared" si="7"/>
        <v>11.054</v>
      </c>
      <c r="AH31" s="4" t="s">
        <v>183</v>
      </c>
      <c r="AI31" s="65"/>
      <c r="AJ31" s="65"/>
      <c r="AK31" s="187"/>
    </row>
    <row r="32" spans="1:37" ht="20.149999999999999" customHeight="1">
      <c r="A32" s="3">
        <f>SUBTOTAL(103,$B$4:B32)</f>
        <v>29</v>
      </c>
      <c r="B32" s="35">
        <v>45463</v>
      </c>
      <c r="C32" s="23" t="s">
        <v>405</v>
      </c>
      <c r="D32" s="3" t="str">
        <f>VLOOKUP(C32,'Location Summary'!$C$4:$D$602,2,0)</f>
        <v>DA+0</v>
      </c>
      <c r="E32" s="118" t="s">
        <v>403</v>
      </c>
      <c r="F32" s="92" t="s">
        <v>683</v>
      </c>
      <c r="J32" s="158">
        <v>1</v>
      </c>
      <c r="N32" s="157">
        <v>1</v>
      </c>
      <c r="O32" s="156">
        <v>1</v>
      </c>
      <c r="T32" s="174">
        <v>50</v>
      </c>
      <c r="U32" s="3" t="s">
        <v>704</v>
      </c>
      <c r="V32" s="3" t="s">
        <v>704</v>
      </c>
      <c r="W32" s="31" t="s">
        <v>702</v>
      </c>
      <c r="X32" s="35">
        <f t="shared" si="3"/>
        <v>45463</v>
      </c>
      <c r="Y32" s="35">
        <f t="shared" si="1"/>
        <v>45491</v>
      </c>
      <c r="AA32" s="174">
        <v>50</v>
      </c>
      <c r="AC32" s="65">
        <f t="shared" si="4"/>
        <v>4.726</v>
      </c>
      <c r="AD32" s="65">
        <f t="shared" si="5"/>
        <v>2.7549999999999999</v>
      </c>
      <c r="AE32" s="65">
        <f t="shared" si="6"/>
        <v>1.054</v>
      </c>
      <c r="AF32" s="65">
        <f t="shared" si="7"/>
        <v>8.5350000000000001</v>
      </c>
      <c r="AH32" s="4" t="s">
        <v>231</v>
      </c>
      <c r="AI32" s="65"/>
      <c r="AJ32" s="65"/>
      <c r="AK32" s="187"/>
    </row>
    <row r="33" spans="1:37" ht="20.149999999999999" customHeight="1">
      <c r="A33" s="3">
        <f>SUBTOTAL(103,$B$4:B33)</f>
        <v>30</v>
      </c>
      <c r="B33" s="35">
        <v>45463</v>
      </c>
      <c r="C33" s="23" t="s">
        <v>415</v>
      </c>
      <c r="D33" s="3" t="str">
        <f>VLOOKUP(C33,'Location Summary'!$C$4:$D$602,2,0)</f>
        <v>DA+6</v>
      </c>
      <c r="E33" s="118" t="s">
        <v>403</v>
      </c>
      <c r="F33" s="92" t="s">
        <v>683</v>
      </c>
      <c r="H33" s="157">
        <v>1</v>
      </c>
      <c r="I33" s="156">
        <v>1</v>
      </c>
      <c r="J33" s="158">
        <v>1</v>
      </c>
      <c r="M33" s="158">
        <v>1</v>
      </c>
      <c r="Q33" s="157">
        <v>1</v>
      </c>
      <c r="R33" s="156">
        <v>1</v>
      </c>
      <c r="T33" s="174">
        <v>50</v>
      </c>
      <c r="U33" s="3" t="s">
        <v>722</v>
      </c>
      <c r="V33" s="3" t="s">
        <v>723</v>
      </c>
      <c r="W33" s="3" t="s">
        <v>719</v>
      </c>
      <c r="X33" s="35">
        <f t="shared" si="3"/>
        <v>45463</v>
      </c>
      <c r="Y33" s="35">
        <f t="shared" si="1"/>
        <v>45491</v>
      </c>
      <c r="AA33" s="174">
        <v>50</v>
      </c>
      <c r="AC33" s="65">
        <f t="shared" si="4"/>
        <v>11.054</v>
      </c>
      <c r="AD33" s="65">
        <f t="shared" si="5"/>
        <v>5.51</v>
      </c>
      <c r="AE33" s="65">
        <f t="shared" si="6"/>
        <v>2.0859999999999999</v>
      </c>
      <c r="AF33" s="65">
        <f t="shared" si="7"/>
        <v>18.649999999999999</v>
      </c>
      <c r="AH33" s="4" t="s">
        <v>208</v>
      </c>
      <c r="AI33" s="65"/>
      <c r="AJ33" s="65"/>
      <c r="AK33" s="187"/>
    </row>
    <row r="34" spans="1:37" ht="20.149999999999999" customHeight="1">
      <c r="A34" s="3">
        <f>SUBTOTAL(103,$B$4:B34)</f>
        <v>31</v>
      </c>
      <c r="B34" s="35">
        <v>45464</v>
      </c>
      <c r="C34" s="23" t="s">
        <v>405</v>
      </c>
      <c r="D34" s="3" t="str">
        <f>VLOOKUP(C34,'Location Summary'!$C$4:$D$602,2,0)</f>
        <v>DA+0</v>
      </c>
      <c r="E34" s="118" t="s">
        <v>403</v>
      </c>
      <c r="F34" s="92" t="s">
        <v>683</v>
      </c>
      <c r="G34" s="158">
        <v>1</v>
      </c>
      <c r="K34" s="157">
        <v>1</v>
      </c>
      <c r="L34" s="156">
        <v>1</v>
      </c>
      <c r="T34" s="174">
        <v>50</v>
      </c>
      <c r="U34" s="3" t="s">
        <v>707</v>
      </c>
      <c r="V34" s="3" t="s">
        <v>707</v>
      </c>
      <c r="W34" s="3" t="s">
        <v>707</v>
      </c>
      <c r="X34" s="35">
        <f t="shared" si="3"/>
        <v>45464</v>
      </c>
      <c r="Y34" s="35">
        <f>B34+28</f>
        <v>45492</v>
      </c>
      <c r="AA34" s="174">
        <v>50</v>
      </c>
      <c r="AC34" s="65">
        <f t="shared" si="4"/>
        <v>4.726</v>
      </c>
      <c r="AD34" s="65">
        <f t="shared" si="5"/>
        <v>2.7549999999999999</v>
      </c>
      <c r="AE34" s="65">
        <f t="shared" si="6"/>
        <v>1.054</v>
      </c>
      <c r="AF34" s="65">
        <f t="shared" si="7"/>
        <v>8.5350000000000001</v>
      </c>
      <c r="AH34" s="4" t="s">
        <v>188</v>
      </c>
      <c r="AI34" s="65"/>
      <c r="AJ34" s="65"/>
      <c r="AK34" s="187"/>
    </row>
    <row r="35" spans="1:37" ht="20.149999999999999" customHeight="1">
      <c r="A35" s="3">
        <f>SUBTOTAL(103,$B$4:B35)</f>
        <v>32</v>
      </c>
      <c r="B35" s="35">
        <v>45464</v>
      </c>
      <c r="C35" s="23" t="s">
        <v>415</v>
      </c>
      <c r="D35" s="3" t="str">
        <f>VLOOKUP(C35,'Location Summary'!$C$4:$D$602,2,0)</f>
        <v>DA+6</v>
      </c>
      <c r="E35" s="118" t="s">
        <v>403</v>
      </c>
      <c r="F35" s="92" t="s">
        <v>683</v>
      </c>
      <c r="K35" s="157">
        <v>1</v>
      </c>
      <c r="L35" s="156">
        <v>1</v>
      </c>
      <c r="N35" s="157">
        <v>1</v>
      </c>
      <c r="O35" s="156">
        <v>1</v>
      </c>
      <c r="T35" s="174">
        <v>55</v>
      </c>
      <c r="U35" s="3" t="s">
        <v>724</v>
      </c>
      <c r="V35" s="3" t="s">
        <v>716</v>
      </c>
      <c r="W35" s="3" t="s">
        <v>717</v>
      </c>
      <c r="X35" s="35">
        <f t="shared" si="3"/>
        <v>45464</v>
      </c>
      <c r="Y35" s="35">
        <f t="shared" ref="Y35:Y61" si="8">B35+28</f>
        <v>45492</v>
      </c>
      <c r="AA35" s="174">
        <v>45</v>
      </c>
      <c r="AC35" s="65">
        <f t="shared" si="4"/>
        <v>0</v>
      </c>
      <c r="AD35" s="65">
        <f t="shared" si="5"/>
        <v>5.51</v>
      </c>
      <c r="AE35" s="65">
        <f t="shared" si="6"/>
        <v>2.0859999999999999</v>
      </c>
      <c r="AF35" s="65">
        <f t="shared" si="7"/>
        <v>7.5960000000000001</v>
      </c>
      <c r="AH35" s="4" t="s">
        <v>213</v>
      </c>
      <c r="AI35" s="65"/>
      <c r="AJ35" s="65"/>
      <c r="AK35" s="187"/>
    </row>
    <row r="36" spans="1:37" ht="20.149999999999999" customHeight="1">
      <c r="A36" s="3">
        <f>SUBTOTAL(103,$B$4:B36)</f>
        <v>33</v>
      </c>
      <c r="B36" s="35">
        <v>45465</v>
      </c>
      <c r="C36" s="23" t="s">
        <v>416</v>
      </c>
      <c r="D36" s="3" t="str">
        <f>VLOOKUP(C36,'Location Summary'!$C$4:$D$602,2,0)</f>
        <v>DA+3</v>
      </c>
      <c r="E36" s="118" t="s">
        <v>403</v>
      </c>
      <c r="F36" s="92" t="s">
        <v>683</v>
      </c>
      <c r="G36" s="158">
        <v>1</v>
      </c>
      <c r="J36" s="158">
        <v>1</v>
      </c>
      <c r="K36" s="157">
        <v>1</v>
      </c>
      <c r="T36" s="174">
        <v>40</v>
      </c>
      <c r="U36" s="3" t="s">
        <v>715</v>
      </c>
      <c r="V36" s="3" t="s">
        <v>722</v>
      </c>
      <c r="W36" s="3" t="s">
        <v>722</v>
      </c>
      <c r="X36" s="35">
        <f t="shared" si="3"/>
        <v>45465</v>
      </c>
      <c r="Y36" s="35">
        <f t="shared" si="8"/>
        <v>45493</v>
      </c>
      <c r="AA36" s="174">
        <v>40</v>
      </c>
      <c r="AC36" s="65">
        <f t="shared" si="4"/>
        <v>11.054</v>
      </c>
      <c r="AD36" s="65">
        <f t="shared" si="5"/>
        <v>2.7549999999999999</v>
      </c>
      <c r="AE36" s="65">
        <f t="shared" si="6"/>
        <v>0</v>
      </c>
      <c r="AF36" s="65">
        <f t="shared" si="7"/>
        <v>13.809000000000001</v>
      </c>
      <c r="AH36" s="4" t="s">
        <v>212</v>
      </c>
      <c r="AI36" s="65"/>
      <c r="AJ36" s="65"/>
      <c r="AK36" s="187"/>
    </row>
    <row r="37" spans="1:37" ht="20.149999999999999" customHeight="1">
      <c r="A37" s="3">
        <f>SUBTOTAL(103,$B$4:B37)</f>
        <v>34</v>
      </c>
      <c r="B37" s="35">
        <v>45465</v>
      </c>
      <c r="C37" s="23" t="s">
        <v>405</v>
      </c>
      <c r="D37" s="3" t="str">
        <f>VLOOKUP(C37,'Location Summary'!$C$4:$D$602,2,0)</f>
        <v>DA+0</v>
      </c>
      <c r="E37" s="118" t="s">
        <v>403</v>
      </c>
      <c r="F37" s="92" t="s">
        <v>683</v>
      </c>
      <c r="H37" s="157">
        <v>1</v>
      </c>
      <c r="P37" s="158">
        <v>1</v>
      </c>
      <c r="T37" s="174">
        <v>45</v>
      </c>
      <c r="U37" s="3" t="s">
        <v>699</v>
      </c>
      <c r="V37" s="3" t="s">
        <v>699</v>
      </c>
      <c r="W37" s="3" t="s">
        <v>708</v>
      </c>
      <c r="X37" s="35">
        <f t="shared" si="3"/>
        <v>45465</v>
      </c>
      <c r="Y37" s="35">
        <f t="shared" si="8"/>
        <v>45493</v>
      </c>
      <c r="AA37" s="174">
        <v>45</v>
      </c>
      <c r="AC37" s="65">
        <f t="shared" si="4"/>
        <v>4.726</v>
      </c>
      <c r="AD37" s="65">
        <f t="shared" si="5"/>
        <v>2.7549999999999999</v>
      </c>
      <c r="AE37" s="65">
        <f t="shared" si="6"/>
        <v>0</v>
      </c>
      <c r="AF37" s="65">
        <f t="shared" si="7"/>
        <v>7.4809999999999999</v>
      </c>
      <c r="AH37" s="4" t="s">
        <v>209</v>
      </c>
      <c r="AI37" s="65"/>
      <c r="AJ37" s="65"/>
      <c r="AK37" s="187"/>
    </row>
    <row r="38" spans="1:37" ht="20.149999999999999" customHeight="1">
      <c r="A38" s="3">
        <f>SUBTOTAL(103,$B$4:B38)</f>
        <v>35</v>
      </c>
      <c r="B38" s="35">
        <v>45466</v>
      </c>
      <c r="C38" s="23" t="s">
        <v>416</v>
      </c>
      <c r="D38" s="3" t="str">
        <f>VLOOKUP(C38,'Location Summary'!$C$4:$D$602,2,0)</f>
        <v>DA+3</v>
      </c>
      <c r="E38" s="118" t="s">
        <v>403</v>
      </c>
      <c r="F38" s="92" t="s">
        <v>683</v>
      </c>
      <c r="L38" s="156">
        <v>1</v>
      </c>
      <c r="M38" s="158">
        <v>1</v>
      </c>
      <c r="N38" s="157">
        <v>1</v>
      </c>
      <c r="O38" s="156">
        <v>1</v>
      </c>
      <c r="P38" s="158">
        <v>1</v>
      </c>
      <c r="Q38" s="157">
        <v>1</v>
      </c>
      <c r="R38" s="156">
        <v>1</v>
      </c>
      <c r="T38" s="174">
        <v>58</v>
      </c>
      <c r="U38" s="3" t="s">
        <v>717</v>
      </c>
      <c r="V38" s="3" t="s">
        <v>720</v>
      </c>
      <c r="W38" s="3" t="s">
        <v>720</v>
      </c>
      <c r="X38" s="35">
        <f t="shared" si="3"/>
        <v>45466</v>
      </c>
      <c r="Y38" s="35">
        <f t="shared" si="8"/>
        <v>45494</v>
      </c>
      <c r="AA38" s="174">
        <v>38</v>
      </c>
      <c r="AC38" s="65">
        <f t="shared" si="4"/>
        <v>11.054</v>
      </c>
      <c r="AD38" s="65">
        <f t="shared" si="5"/>
        <v>5.51</v>
      </c>
      <c r="AE38" s="65">
        <f t="shared" si="6"/>
        <v>3.1289999999999996</v>
      </c>
      <c r="AF38" s="65">
        <f t="shared" si="7"/>
        <v>19.692999999999998</v>
      </c>
      <c r="AH38" s="4" t="s">
        <v>186</v>
      </c>
      <c r="AI38" s="65"/>
      <c r="AJ38" s="65"/>
      <c r="AK38" s="187"/>
    </row>
    <row r="39" spans="1:37" ht="20.149999999999999" customHeight="1">
      <c r="A39" s="3">
        <f>SUBTOTAL(103,$B$4:B39)</f>
        <v>36</v>
      </c>
      <c r="B39" s="35">
        <v>45466</v>
      </c>
      <c r="C39" s="23" t="s">
        <v>405</v>
      </c>
      <c r="D39" s="3" t="str">
        <f>VLOOKUP(C39,'Location Summary'!$C$4:$D$602,2,0)</f>
        <v>DA+0</v>
      </c>
      <c r="E39" s="118" t="s">
        <v>403</v>
      </c>
      <c r="F39" s="92" t="s">
        <v>683</v>
      </c>
      <c r="I39" s="156">
        <v>1</v>
      </c>
      <c r="Q39" s="157">
        <v>1</v>
      </c>
      <c r="R39" s="156">
        <v>1</v>
      </c>
      <c r="T39" s="174">
        <v>50</v>
      </c>
      <c r="U39" s="3" t="s">
        <v>709</v>
      </c>
      <c r="V39" s="3" t="s">
        <v>709</v>
      </c>
      <c r="W39" s="3" t="s">
        <v>710</v>
      </c>
      <c r="X39" s="35">
        <f>B39</f>
        <v>45466</v>
      </c>
      <c r="Y39" s="35">
        <f>B39+28</f>
        <v>45494</v>
      </c>
      <c r="AA39" s="174">
        <v>50</v>
      </c>
      <c r="AC39" s="65">
        <f t="shared" si="4"/>
        <v>0</v>
      </c>
      <c r="AD39" s="65">
        <f t="shared" si="5"/>
        <v>2.7549999999999999</v>
      </c>
      <c r="AE39" s="65">
        <f t="shared" si="6"/>
        <v>2.1080000000000001</v>
      </c>
      <c r="AF39" s="65">
        <f t="shared" si="7"/>
        <v>4.8629999999999995</v>
      </c>
      <c r="AH39" s="4" t="s">
        <v>218</v>
      </c>
      <c r="AI39" s="65"/>
      <c r="AJ39" s="65"/>
      <c r="AK39" s="187"/>
    </row>
    <row r="40" spans="1:37" ht="20.149999999999999" customHeight="1" thickBot="1">
      <c r="A40" s="3">
        <f>SUBTOTAL(103,$B$4:B40)</f>
        <v>37</v>
      </c>
      <c r="B40" s="35">
        <v>45466</v>
      </c>
      <c r="C40" s="23" t="s">
        <v>394</v>
      </c>
      <c r="D40" s="3" t="str">
        <f>VLOOKUP(C40,'Location Summary'!$C$4:$D$602,2,0)</f>
        <v>DA+9</v>
      </c>
      <c r="E40" s="118" t="s">
        <v>403</v>
      </c>
      <c r="F40" s="92" t="s">
        <v>683</v>
      </c>
      <c r="N40" s="157">
        <v>1</v>
      </c>
      <c r="Q40" s="157">
        <v>1</v>
      </c>
      <c r="T40" s="174">
        <v>68</v>
      </c>
      <c r="U40" s="3" t="s">
        <v>738</v>
      </c>
      <c r="V40" s="3" t="s">
        <v>738</v>
      </c>
      <c r="W40" s="3" t="s">
        <v>738</v>
      </c>
      <c r="X40" s="35">
        <f t="shared" si="3"/>
        <v>45466</v>
      </c>
      <c r="Y40" s="35">
        <f t="shared" si="8"/>
        <v>45494</v>
      </c>
      <c r="AA40" s="174">
        <v>68</v>
      </c>
      <c r="AC40" s="65">
        <f t="shared" si="4"/>
        <v>0</v>
      </c>
      <c r="AD40" s="65">
        <f t="shared" si="5"/>
        <v>5.51</v>
      </c>
      <c r="AE40" s="65">
        <f t="shared" si="6"/>
        <v>0</v>
      </c>
      <c r="AF40" s="65">
        <f t="shared" si="7"/>
        <v>5.51</v>
      </c>
      <c r="AH40" s="27" t="s">
        <v>429</v>
      </c>
      <c r="AI40" s="178"/>
      <c r="AJ40" s="178"/>
      <c r="AK40" s="188"/>
    </row>
    <row r="41" spans="1:37" ht="20.149999999999999" customHeight="1">
      <c r="A41" s="3">
        <f>SUBTOTAL(103,$B$4:B41)</f>
        <v>38</v>
      </c>
      <c r="B41" s="35">
        <v>45467</v>
      </c>
      <c r="C41" s="23" t="s">
        <v>394</v>
      </c>
      <c r="D41" s="3" t="str">
        <f>VLOOKUP(C41,'Location Summary'!$C$4:$D$602,2,0)</f>
        <v>DA+9</v>
      </c>
      <c r="E41" s="118" t="s">
        <v>403</v>
      </c>
      <c r="F41" s="92" t="s">
        <v>683</v>
      </c>
      <c r="G41" s="158">
        <v>1</v>
      </c>
      <c r="O41" s="156">
        <v>1</v>
      </c>
      <c r="R41" s="156">
        <v>1</v>
      </c>
      <c r="T41" s="174">
        <v>50</v>
      </c>
      <c r="U41" s="3" t="s">
        <v>735</v>
      </c>
      <c r="V41" s="3" t="s">
        <v>735</v>
      </c>
      <c r="W41" s="3" t="s">
        <v>735</v>
      </c>
      <c r="X41" s="35">
        <f t="shared" si="3"/>
        <v>45467</v>
      </c>
      <c r="Y41" s="35">
        <f t="shared" si="8"/>
        <v>45495</v>
      </c>
      <c r="AA41" s="174">
        <v>50</v>
      </c>
      <c r="AC41" s="65">
        <f t="shared" si="4"/>
        <v>5.5270000000000001</v>
      </c>
      <c r="AD41" s="65">
        <f t="shared" si="5"/>
        <v>0</v>
      </c>
      <c r="AE41" s="65">
        <f t="shared" si="6"/>
        <v>2.0859999999999999</v>
      </c>
      <c r="AF41" s="65">
        <f t="shared" si="7"/>
        <v>7.6129999999999995</v>
      </c>
    </row>
    <row r="42" spans="1:37" ht="20.149999999999999" customHeight="1">
      <c r="A42" s="3">
        <f>SUBTOTAL(103,$B$4:B42)</f>
        <v>39</v>
      </c>
      <c r="B42" s="35">
        <v>45467</v>
      </c>
      <c r="C42" s="23" t="s">
        <v>416</v>
      </c>
      <c r="D42" s="3" t="str">
        <f>VLOOKUP(C42,'Location Summary'!$C$4:$D$602,2,0)</f>
        <v>DA+3</v>
      </c>
      <c r="E42" s="118" t="s">
        <v>403</v>
      </c>
      <c r="F42" s="92" t="s">
        <v>683</v>
      </c>
      <c r="H42" s="157">
        <v>1</v>
      </c>
      <c r="I42" s="156">
        <v>1</v>
      </c>
      <c r="T42" s="174">
        <v>50</v>
      </c>
      <c r="U42" s="3" t="s">
        <v>714</v>
      </c>
      <c r="V42" s="3" t="s">
        <v>721</v>
      </c>
      <c r="W42" s="3" t="s">
        <v>719</v>
      </c>
      <c r="X42" s="35">
        <f t="shared" si="3"/>
        <v>45467</v>
      </c>
      <c r="Y42" s="35">
        <f t="shared" si="8"/>
        <v>45495</v>
      </c>
      <c r="AA42" s="174">
        <v>50</v>
      </c>
      <c r="AC42" s="65">
        <f t="shared" si="4"/>
        <v>0</v>
      </c>
      <c r="AD42" s="65">
        <f t="shared" si="5"/>
        <v>2.7549999999999999</v>
      </c>
      <c r="AE42" s="65">
        <f t="shared" si="6"/>
        <v>1.0429999999999999</v>
      </c>
      <c r="AF42" s="65">
        <f t="shared" si="7"/>
        <v>3.798</v>
      </c>
    </row>
    <row r="43" spans="1:37" ht="20.149999999999999" customHeight="1">
      <c r="A43" s="3">
        <f>SUBTOTAL(103,$B$4:B43)</f>
        <v>40</v>
      </c>
      <c r="B43" s="35">
        <v>45468</v>
      </c>
      <c r="C43" s="23" t="s">
        <v>394</v>
      </c>
      <c r="D43" s="3" t="str">
        <f>VLOOKUP(C43,'Location Summary'!$C$4:$D$602,2,0)</f>
        <v>DA+9</v>
      </c>
      <c r="E43" s="118" t="s">
        <v>403</v>
      </c>
      <c r="F43" s="92" t="s">
        <v>683</v>
      </c>
      <c r="H43" s="157">
        <v>1</v>
      </c>
      <c r="I43" s="156">
        <v>1</v>
      </c>
      <c r="K43" s="157">
        <v>1</v>
      </c>
      <c r="L43" s="156">
        <v>1</v>
      </c>
      <c r="T43" s="174">
        <v>50</v>
      </c>
      <c r="U43" s="3" t="s">
        <v>723</v>
      </c>
      <c r="V43" s="3" t="s">
        <v>724</v>
      </c>
      <c r="W43" s="3" t="s">
        <v>717</v>
      </c>
      <c r="X43" s="35">
        <f t="shared" si="3"/>
        <v>45468</v>
      </c>
      <c r="Y43" s="35">
        <f t="shared" si="8"/>
        <v>45496</v>
      </c>
      <c r="AA43" s="174">
        <v>50</v>
      </c>
      <c r="AC43" s="65">
        <f t="shared" si="4"/>
        <v>0</v>
      </c>
      <c r="AD43" s="65">
        <f t="shared" si="5"/>
        <v>5.51</v>
      </c>
      <c r="AE43" s="65">
        <f t="shared" si="6"/>
        <v>2.0859999999999999</v>
      </c>
      <c r="AF43" s="65">
        <f t="shared" si="7"/>
        <v>7.5960000000000001</v>
      </c>
    </row>
    <row r="44" spans="1:37" ht="20.149999999999999" customHeight="1">
      <c r="A44" s="3">
        <f>SUBTOTAL(103,$B$4:B44)</f>
        <v>41</v>
      </c>
      <c r="B44" s="35">
        <v>45468</v>
      </c>
      <c r="C44" s="23" t="s">
        <v>409</v>
      </c>
      <c r="D44" s="3" t="str">
        <f>VLOOKUP(C44,'Location Summary'!$C$4:$D$602,2,0)</f>
        <v>DA+3</v>
      </c>
      <c r="E44" s="118" t="s">
        <v>403</v>
      </c>
      <c r="F44" s="92" t="s">
        <v>683</v>
      </c>
      <c r="J44" s="158">
        <v>1</v>
      </c>
      <c r="T44" s="174">
        <v>65</v>
      </c>
      <c r="U44" s="3" t="s">
        <v>722</v>
      </c>
      <c r="V44" s="3" t="s">
        <v>722</v>
      </c>
      <c r="W44" s="3" t="s">
        <v>722</v>
      </c>
      <c r="X44" s="35">
        <f t="shared" si="3"/>
        <v>45468</v>
      </c>
      <c r="Y44" s="35">
        <f t="shared" si="8"/>
        <v>45496</v>
      </c>
      <c r="AA44" s="174">
        <v>65</v>
      </c>
      <c r="AC44" s="65">
        <f t="shared" si="4"/>
        <v>5.5270000000000001</v>
      </c>
      <c r="AD44" s="65">
        <f t="shared" si="5"/>
        <v>0</v>
      </c>
      <c r="AE44" s="65">
        <f t="shared" si="6"/>
        <v>0</v>
      </c>
      <c r="AF44" s="65">
        <f t="shared" si="7"/>
        <v>5.5270000000000001</v>
      </c>
    </row>
    <row r="45" spans="1:37" ht="20.149999999999999" customHeight="1">
      <c r="A45" s="3">
        <f>SUBTOTAL(103,$B$4:B45)</f>
        <v>42</v>
      </c>
      <c r="B45" s="35">
        <v>45468</v>
      </c>
      <c r="C45" s="120" t="s">
        <v>63</v>
      </c>
      <c r="D45" s="3" t="str">
        <f>VLOOKUP(C45,'Location Summary'!$C$4:$D$602,2,0)</f>
        <v>DC2-3</v>
      </c>
      <c r="E45" s="118" t="s">
        <v>403</v>
      </c>
      <c r="F45" s="92" t="s">
        <v>683</v>
      </c>
      <c r="M45" s="158">
        <v>1</v>
      </c>
      <c r="T45" s="174"/>
      <c r="X45" s="35">
        <f t="shared" si="3"/>
        <v>45468</v>
      </c>
      <c r="Y45" s="35">
        <f t="shared" si="8"/>
        <v>45496</v>
      </c>
      <c r="AA45" s="174"/>
      <c r="AC45" s="65"/>
      <c r="AD45" s="65"/>
      <c r="AE45" s="65"/>
      <c r="AF45" s="65"/>
    </row>
    <row r="46" spans="1:37" ht="20.149999999999999" customHeight="1">
      <c r="A46" s="3">
        <f>SUBTOTAL(103,$B$4:B46)</f>
        <v>43</v>
      </c>
      <c r="B46" s="35">
        <v>45469</v>
      </c>
      <c r="C46" s="23" t="s">
        <v>417</v>
      </c>
      <c r="D46" s="3" t="str">
        <f>VLOOKUP(C46,'Location Summary'!$C$4:$D$602,2,0)</f>
        <v>DA+9</v>
      </c>
      <c r="E46" s="118" t="s">
        <v>403</v>
      </c>
      <c r="F46" s="92" t="s">
        <v>683</v>
      </c>
      <c r="G46" s="158">
        <v>1</v>
      </c>
      <c r="J46" s="158">
        <v>1</v>
      </c>
      <c r="K46" s="157">
        <v>1</v>
      </c>
      <c r="M46" s="158">
        <v>1</v>
      </c>
      <c r="P46" s="158">
        <v>1</v>
      </c>
      <c r="Q46" s="157">
        <v>1</v>
      </c>
      <c r="T46" s="174">
        <v>55</v>
      </c>
      <c r="U46" s="3" t="s">
        <v>715</v>
      </c>
      <c r="V46" s="3" t="s">
        <v>722</v>
      </c>
      <c r="W46" s="3" t="s">
        <v>713</v>
      </c>
      <c r="X46" s="35">
        <f t="shared" si="3"/>
        <v>45469</v>
      </c>
      <c r="Y46" s="35">
        <f t="shared" si="8"/>
        <v>45497</v>
      </c>
      <c r="AA46" s="174">
        <v>55</v>
      </c>
      <c r="AC46" s="65">
        <f t="shared" si="4"/>
        <v>22.108000000000001</v>
      </c>
      <c r="AD46" s="65">
        <f t="shared" si="5"/>
        <v>5.51</v>
      </c>
      <c r="AE46" s="65">
        <f t="shared" si="6"/>
        <v>0</v>
      </c>
      <c r="AF46" s="65">
        <f t="shared" si="7"/>
        <v>27.618000000000002</v>
      </c>
    </row>
    <row r="47" spans="1:37" ht="20.149999999999999" customHeight="1">
      <c r="A47" s="3">
        <f>SUBTOTAL(103,$B$4:B47)</f>
        <v>44</v>
      </c>
      <c r="B47" s="35">
        <v>45469</v>
      </c>
      <c r="C47" s="23" t="s">
        <v>409</v>
      </c>
      <c r="D47" s="3" t="str">
        <f>VLOOKUP(C47,'Location Summary'!$C$4:$D$602,2,0)</f>
        <v>DA+3</v>
      </c>
      <c r="E47" s="118" t="s">
        <v>403</v>
      </c>
      <c r="F47" s="92" t="s">
        <v>683</v>
      </c>
      <c r="K47" s="157">
        <v>1</v>
      </c>
      <c r="L47" s="156">
        <v>1</v>
      </c>
      <c r="P47" s="158">
        <v>1</v>
      </c>
      <c r="Q47" s="157">
        <v>1</v>
      </c>
      <c r="R47" s="156">
        <v>1</v>
      </c>
      <c r="T47" s="174">
        <v>55</v>
      </c>
      <c r="U47" s="3" t="s">
        <v>714</v>
      </c>
      <c r="V47" s="3" t="s">
        <v>724</v>
      </c>
      <c r="W47" s="3" t="s">
        <v>717</v>
      </c>
      <c r="X47" s="35">
        <f t="shared" si="3"/>
        <v>45469</v>
      </c>
      <c r="Y47" s="35">
        <f t="shared" si="8"/>
        <v>45497</v>
      </c>
      <c r="AA47" s="174">
        <v>55</v>
      </c>
      <c r="AC47" s="65">
        <f t="shared" si="4"/>
        <v>5.5270000000000001</v>
      </c>
      <c r="AD47" s="65">
        <f t="shared" si="5"/>
        <v>5.51</v>
      </c>
      <c r="AE47" s="65">
        <f t="shared" si="6"/>
        <v>2.0859999999999999</v>
      </c>
      <c r="AF47" s="65">
        <f t="shared" si="7"/>
        <v>13.122999999999999</v>
      </c>
    </row>
    <row r="48" spans="1:37" ht="20.149999999999999" customHeight="1">
      <c r="A48" s="3">
        <f>SUBTOTAL(103,$B$4:B48)</f>
        <v>45</v>
      </c>
      <c r="B48" s="35">
        <v>45469</v>
      </c>
      <c r="C48" s="23" t="s">
        <v>404</v>
      </c>
      <c r="D48" s="3" t="str">
        <f>VLOOKUP(C48,'Location Summary'!$C$4:$D$602,2,0)</f>
        <v>DA+3</v>
      </c>
      <c r="E48" s="118" t="s">
        <v>403</v>
      </c>
      <c r="F48" s="92" t="s">
        <v>683</v>
      </c>
      <c r="G48" s="158">
        <v>1</v>
      </c>
      <c r="J48" s="158">
        <v>1</v>
      </c>
      <c r="T48" s="174">
        <v>58</v>
      </c>
      <c r="U48" s="3" t="s">
        <v>703</v>
      </c>
      <c r="V48" s="3" t="s">
        <v>703</v>
      </c>
      <c r="W48" s="3" t="s">
        <v>703</v>
      </c>
      <c r="X48" s="35">
        <f t="shared" si="3"/>
        <v>45469</v>
      </c>
      <c r="Y48" s="35">
        <f t="shared" si="8"/>
        <v>45497</v>
      </c>
      <c r="AA48" s="174">
        <v>58</v>
      </c>
      <c r="AC48" s="65">
        <f t="shared" si="4"/>
        <v>11.054</v>
      </c>
      <c r="AD48" s="65">
        <f t="shared" si="5"/>
        <v>0</v>
      </c>
      <c r="AE48" s="65">
        <f t="shared" si="6"/>
        <v>0</v>
      </c>
      <c r="AF48" s="65">
        <f t="shared" si="7"/>
        <v>11.054</v>
      </c>
    </row>
    <row r="49" spans="1:32" ht="20.149999999999999" customHeight="1">
      <c r="A49" s="3">
        <f>SUBTOTAL(103,$B$4:B49)</f>
        <v>46</v>
      </c>
      <c r="B49" s="35">
        <v>45470</v>
      </c>
      <c r="C49" s="23" t="s">
        <v>417</v>
      </c>
      <c r="D49" s="3" t="str">
        <f>VLOOKUP(C49,'Location Summary'!$C$4:$D$602,2,0)</f>
        <v>DA+9</v>
      </c>
      <c r="E49" s="118" t="s">
        <v>403</v>
      </c>
      <c r="F49" s="92" t="s">
        <v>683</v>
      </c>
      <c r="H49" s="157">
        <v>1</v>
      </c>
      <c r="I49" s="156">
        <v>1</v>
      </c>
      <c r="L49" s="156">
        <v>1</v>
      </c>
      <c r="N49" s="157">
        <v>1</v>
      </c>
      <c r="O49" s="156">
        <v>1</v>
      </c>
      <c r="R49" s="156">
        <v>1</v>
      </c>
      <c r="T49" s="174">
        <v>50</v>
      </c>
      <c r="U49" s="3" t="s">
        <v>723</v>
      </c>
      <c r="V49" s="3" t="s">
        <v>716</v>
      </c>
      <c r="W49" s="3" t="s">
        <v>719</v>
      </c>
      <c r="X49" s="35">
        <f t="shared" si="3"/>
        <v>45470</v>
      </c>
      <c r="Y49" s="35">
        <f t="shared" si="8"/>
        <v>45498</v>
      </c>
      <c r="AA49" s="174">
        <v>50</v>
      </c>
      <c r="AC49" s="65">
        <f t="shared" si="4"/>
        <v>0</v>
      </c>
      <c r="AD49" s="65">
        <f t="shared" si="5"/>
        <v>5.51</v>
      </c>
      <c r="AE49" s="65">
        <f t="shared" si="6"/>
        <v>4.1719999999999997</v>
      </c>
      <c r="AF49" s="65">
        <f t="shared" si="7"/>
        <v>9.6819999999999986</v>
      </c>
    </row>
    <row r="50" spans="1:32" ht="20.149999999999999" customHeight="1">
      <c r="A50" s="3">
        <f>SUBTOTAL(103,$B$4:B50)</f>
        <v>47</v>
      </c>
      <c r="B50" s="35">
        <v>45470</v>
      </c>
      <c r="C50" s="23" t="s">
        <v>409</v>
      </c>
      <c r="D50" s="3" t="str">
        <f>VLOOKUP(C50,'Location Summary'!$C$4:$D$602,2,0)</f>
        <v>DA+3</v>
      </c>
      <c r="E50" s="118" t="s">
        <v>403</v>
      </c>
      <c r="F50" s="92" t="s">
        <v>683</v>
      </c>
      <c r="G50" s="158">
        <v>1</v>
      </c>
      <c r="M50" s="158">
        <v>1</v>
      </c>
      <c r="T50" s="174">
        <v>65</v>
      </c>
      <c r="U50" s="3" t="s">
        <v>740</v>
      </c>
      <c r="V50" s="3" t="s">
        <v>740</v>
      </c>
      <c r="W50" s="3" t="s">
        <v>741</v>
      </c>
      <c r="X50" s="35">
        <f t="shared" si="3"/>
        <v>45470</v>
      </c>
      <c r="Y50" s="35">
        <f t="shared" si="8"/>
        <v>45498</v>
      </c>
      <c r="AA50" s="174">
        <v>65</v>
      </c>
      <c r="AC50" s="65">
        <f t="shared" si="4"/>
        <v>11.054</v>
      </c>
      <c r="AD50" s="65">
        <f t="shared" si="5"/>
        <v>0</v>
      </c>
      <c r="AE50" s="65">
        <f t="shared" si="6"/>
        <v>0</v>
      </c>
      <c r="AF50" s="65">
        <f t="shared" si="7"/>
        <v>11.054</v>
      </c>
    </row>
    <row r="51" spans="1:32" ht="20.149999999999999" customHeight="1">
      <c r="A51" s="3">
        <f>SUBTOTAL(103,$B$4:B51)</f>
        <v>48</v>
      </c>
      <c r="B51" s="35">
        <v>45470</v>
      </c>
      <c r="C51" s="23" t="s">
        <v>404</v>
      </c>
      <c r="D51" s="3" t="str">
        <f>VLOOKUP(C51,'Location Summary'!$C$4:$D$602,2,0)</f>
        <v>DA+3</v>
      </c>
      <c r="E51" s="118" t="s">
        <v>403</v>
      </c>
      <c r="F51" s="92" t="s">
        <v>683</v>
      </c>
      <c r="H51" s="157">
        <v>1</v>
      </c>
      <c r="I51" s="156">
        <v>1</v>
      </c>
      <c r="K51" s="157">
        <v>1</v>
      </c>
      <c r="L51" s="156">
        <v>1</v>
      </c>
      <c r="M51" s="158">
        <v>1</v>
      </c>
      <c r="T51" s="174">
        <v>50</v>
      </c>
      <c r="U51" s="3" t="s">
        <v>707</v>
      </c>
      <c r="V51" s="3" t="s">
        <v>707</v>
      </c>
      <c r="W51" s="3" t="s">
        <v>708</v>
      </c>
      <c r="X51" s="35">
        <f t="shared" si="3"/>
        <v>45470</v>
      </c>
      <c r="Y51" s="35">
        <f t="shared" si="8"/>
        <v>45498</v>
      </c>
      <c r="AA51" s="174">
        <v>50</v>
      </c>
      <c r="AC51" s="65">
        <f t="shared" si="4"/>
        <v>5.5270000000000001</v>
      </c>
      <c r="AD51" s="65">
        <f t="shared" si="5"/>
        <v>5.51</v>
      </c>
      <c r="AE51" s="65">
        <f t="shared" si="6"/>
        <v>2.0859999999999999</v>
      </c>
      <c r="AF51" s="65">
        <f t="shared" si="7"/>
        <v>13.122999999999999</v>
      </c>
    </row>
    <row r="52" spans="1:32" ht="20.149999999999999" customHeight="1">
      <c r="A52" s="3">
        <f>SUBTOTAL(103,$B$4:B52)</f>
        <v>49</v>
      </c>
      <c r="B52" s="35">
        <v>45471</v>
      </c>
      <c r="C52" s="23" t="s">
        <v>404</v>
      </c>
      <c r="D52" s="3" t="str">
        <f>VLOOKUP(C52,'Location Summary'!$C$4:$D$602,2,0)</f>
        <v>DA+3</v>
      </c>
      <c r="E52" s="118" t="s">
        <v>403</v>
      </c>
      <c r="F52" s="92" t="s">
        <v>683</v>
      </c>
      <c r="N52" s="157">
        <v>1</v>
      </c>
      <c r="O52" s="156">
        <v>1</v>
      </c>
      <c r="T52" s="174">
        <v>48</v>
      </c>
      <c r="U52" s="3" t="s">
        <v>727</v>
      </c>
      <c r="V52" s="3" t="s">
        <v>702</v>
      </c>
      <c r="W52" s="3" t="s">
        <v>702</v>
      </c>
      <c r="X52" s="35">
        <f t="shared" si="3"/>
        <v>45471</v>
      </c>
      <c r="Y52" s="35">
        <f t="shared" si="8"/>
        <v>45499</v>
      </c>
      <c r="AA52" s="174">
        <v>48</v>
      </c>
      <c r="AC52" s="65">
        <f t="shared" si="4"/>
        <v>0</v>
      </c>
      <c r="AD52" s="65">
        <f t="shared" si="5"/>
        <v>2.7549999999999999</v>
      </c>
      <c r="AE52" s="65">
        <f t="shared" si="6"/>
        <v>1.0429999999999999</v>
      </c>
      <c r="AF52" s="65">
        <f t="shared" si="7"/>
        <v>3.798</v>
      </c>
    </row>
    <row r="53" spans="1:32" ht="20.149999999999999" customHeight="1">
      <c r="A53" s="3">
        <f>SUBTOTAL(103,$B$4:B53)</f>
        <v>50</v>
      </c>
      <c r="B53" s="35">
        <v>45471</v>
      </c>
      <c r="C53" s="23" t="s">
        <v>418</v>
      </c>
      <c r="D53" s="3" t="str">
        <f>VLOOKUP(C53,'Location Summary'!$C$4:$D$602,2,0)</f>
        <v>DA+0</v>
      </c>
      <c r="E53" s="118" t="s">
        <v>403</v>
      </c>
      <c r="F53" s="92" t="s">
        <v>683</v>
      </c>
      <c r="G53" s="158">
        <v>1</v>
      </c>
      <c r="P53" s="158">
        <v>1</v>
      </c>
      <c r="T53" s="174">
        <v>40</v>
      </c>
      <c r="U53" s="3" t="s">
        <v>729</v>
      </c>
      <c r="V53" s="3" t="s">
        <v>729</v>
      </c>
      <c r="W53" s="3" t="s">
        <v>732</v>
      </c>
      <c r="X53" s="35">
        <f t="shared" si="3"/>
        <v>45471</v>
      </c>
      <c r="Y53" s="35">
        <f t="shared" si="8"/>
        <v>45499</v>
      </c>
      <c r="AA53" s="174">
        <v>40</v>
      </c>
      <c r="AC53" s="65">
        <f t="shared" si="4"/>
        <v>9.452</v>
      </c>
      <c r="AD53" s="65">
        <f t="shared" si="5"/>
        <v>0</v>
      </c>
      <c r="AE53" s="65">
        <f t="shared" si="6"/>
        <v>0</v>
      </c>
      <c r="AF53" s="65">
        <f t="shared" si="7"/>
        <v>9.452</v>
      </c>
    </row>
    <row r="54" spans="1:32" ht="20.149999999999999" customHeight="1">
      <c r="A54" s="3">
        <f>SUBTOTAL(103,$B$4:B54)</f>
        <v>51</v>
      </c>
      <c r="B54" s="35">
        <v>45471</v>
      </c>
      <c r="C54" s="23" t="s">
        <v>409</v>
      </c>
      <c r="D54" s="3" t="str">
        <f>VLOOKUP(C54,'Location Summary'!$C$4:$D$602,2,0)</f>
        <v>DA+3</v>
      </c>
      <c r="E54" s="118" t="s">
        <v>403</v>
      </c>
      <c r="F54" s="92" t="s">
        <v>683</v>
      </c>
      <c r="H54" s="157">
        <v>1</v>
      </c>
      <c r="I54" s="156">
        <v>1</v>
      </c>
      <c r="N54" s="157">
        <v>1</v>
      </c>
      <c r="O54" s="156">
        <v>1</v>
      </c>
      <c r="T54" s="174">
        <v>45</v>
      </c>
      <c r="U54" s="3" t="s">
        <v>723</v>
      </c>
      <c r="V54" s="3" t="s">
        <v>718</v>
      </c>
      <c r="W54" s="3" t="s">
        <v>718</v>
      </c>
      <c r="X54" s="35">
        <f t="shared" si="3"/>
        <v>45471</v>
      </c>
      <c r="Y54" s="35">
        <f t="shared" si="8"/>
        <v>45499</v>
      </c>
      <c r="AA54" s="174">
        <v>45</v>
      </c>
      <c r="AC54" s="65">
        <f t="shared" si="4"/>
        <v>0</v>
      </c>
      <c r="AD54" s="65">
        <f t="shared" si="5"/>
        <v>5.51</v>
      </c>
      <c r="AE54" s="65">
        <f t="shared" si="6"/>
        <v>2.0859999999999999</v>
      </c>
      <c r="AF54" s="65">
        <f t="shared" si="7"/>
        <v>7.5960000000000001</v>
      </c>
    </row>
    <row r="55" spans="1:32" ht="20.149999999999999" customHeight="1">
      <c r="A55" s="3">
        <f>SUBTOTAL(103,$B$4:B55)</f>
        <v>52</v>
      </c>
      <c r="B55" s="35">
        <v>45472</v>
      </c>
      <c r="C55" s="23" t="s">
        <v>418</v>
      </c>
      <c r="D55" s="3" t="str">
        <f>VLOOKUP(C55,'Location Summary'!$C$4:$D$602,2,0)</f>
        <v>DA+0</v>
      </c>
      <c r="E55" s="118" t="s">
        <v>403</v>
      </c>
      <c r="F55" s="92" t="s">
        <v>683</v>
      </c>
      <c r="H55" s="157">
        <v>1</v>
      </c>
      <c r="I55" s="156">
        <v>1</v>
      </c>
      <c r="J55" s="158">
        <v>1</v>
      </c>
      <c r="M55" s="158">
        <v>1</v>
      </c>
      <c r="Q55" s="157">
        <v>1</v>
      </c>
      <c r="R55" s="156">
        <v>1</v>
      </c>
      <c r="T55" s="174">
        <v>50</v>
      </c>
      <c r="U55" s="3" t="s">
        <v>736</v>
      </c>
      <c r="V55" s="3" t="s">
        <v>737</v>
      </c>
      <c r="W55" s="3" t="s">
        <v>731</v>
      </c>
      <c r="X55" s="35">
        <f t="shared" si="3"/>
        <v>45472</v>
      </c>
      <c r="Y55" s="35">
        <f t="shared" si="8"/>
        <v>45500</v>
      </c>
      <c r="AA55" s="174">
        <v>50</v>
      </c>
      <c r="AC55" s="65">
        <f t="shared" si="4"/>
        <v>9.452</v>
      </c>
      <c r="AD55" s="65">
        <f t="shared" si="5"/>
        <v>5.51</v>
      </c>
      <c r="AE55" s="65">
        <f t="shared" si="6"/>
        <v>2.1080000000000001</v>
      </c>
      <c r="AF55" s="65">
        <f t="shared" si="7"/>
        <v>17.07</v>
      </c>
    </row>
    <row r="56" spans="1:32" ht="20.149999999999999" customHeight="1">
      <c r="A56" s="3">
        <f>SUBTOTAL(103,$B$4:B56)</f>
        <v>53</v>
      </c>
      <c r="B56" s="35">
        <v>45472</v>
      </c>
      <c r="C56" s="23" t="s">
        <v>395</v>
      </c>
      <c r="D56" s="3" t="str">
        <f>VLOOKUP(C56,'Location Summary'!$C$4:$D$602,2,0)</f>
        <v>DA+3</v>
      </c>
      <c r="E56" s="118" t="s">
        <v>403</v>
      </c>
      <c r="F56" s="92" t="s">
        <v>683</v>
      </c>
      <c r="M56" s="158">
        <v>1</v>
      </c>
      <c r="P56" s="158">
        <v>1</v>
      </c>
      <c r="T56" s="174">
        <v>50</v>
      </c>
      <c r="U56" s="3" t="s">
        <v>731</v>
      </c>
      <c r="V56" s="3" t="s">
        <v>731</v>
      </c>
      <c r="W56" s="3" t="s">
        <v>732</v>
      </c>
      <c r="X56" s="35">
        <f t="shared" si="3"/>
        <v>45472</v>
      </c>
      <c r="Y56" s="35">
        <f t="shared" si="8"/>
        <v>45500</v>
      </c>
      <c r="AA56" s="174">
        <v>50</v>
      </c>
      <c r="AC56" s="65">
        <f t="shared" si="4"/>
        <v>11.054</v>
      </c>
      <c r="AD56" s="65">
        <f t="shared" si="5"/>
        <v>0</v>
      </c>
      <c r="AE56" s="65">
        <f t="shared" si="6"/>
        <v>0</v>
      </c>
      <c r="AF56" s="65">
        <f t="shared" si="7"/>
        <v>11.054</v>
      </c>
    </row>
    <row r="57" spans="1:32" ht="20.149999999999999" customHeight="1">
      <c r="A57" s="3">
        <f>SUBTOTAL(103,$B$4:B57)</f>
        <v>54</v>
      </c>
      <c r="B57" s="35">
        <v>45472</v>
      </c>
      <c r="C57" s="23" t="s">
        <v>404</v>
      </c>
      <c r="D57" s="3" t="str">
        <f>VLOOKUP(C57,'Location Summary'!$C$4:$D$602,2,0)</f>
        <v>DA+3</v>
      </c>
      <c r="E57" s="118" t="s">
        <v>403</v>
      </c>
      <c r="F57" s="92" t="s">
        <v>683</v>
      </c>
      <c r="P57" s="158">
        <v>1</v>
      </c>
      <c r="Q57" s="157">
        <v>1</v>
      </c>
      <c r="R57" s="156">
        <v>1</v>
      </c>
      <c r="T57" s="174">
        <v>65</v>
      </c>
      <c r="U57" s="3" t="s">
        <v>699</v>
      </c>
      <c r="V57" s="3" t="s">
        <v>699</v>
      </c>
      <c r="W57" s="3" t="s">
        <v>699</v>
      </c>
      <c r="X57" s="35">
        <f t="shared" si="3"/>
        <v>45472</v>
      </c>
      <c r="Y57" s="35">
        <f t="shared" si="8"/>
        <v>45500</v>
      </c>
      <c r="AA57" s="174">
        <v>65</v>
      </c>
      <c r="AC57" s="65">
        <f t="shared" si="4"/>
        <v>5.5270000000000001</v>
      </c>
      <c r="AD57" s="65">
        <f t="shared" si="5"/>
        <v>2.7549999999999999</v>
      </c>
      <c r="AE57" s="65">
        <f t="shared" si="6"/>
        <v>1.0429999999999999</v>
      </c>
      <c r="AF57" s="65">
        <f t="shared" si="7"/>
        <v>9.3249999999999993</v>
      </c>
    </row>
    <row r="58" spans="1:32" ht="20.149999999999999" customHeight="1">
      <c r="A58" s="3">
        <f>SUBTOTAL(103,$B$4:B58)</f>
        <v>55</v>
      </c>
      <c r="B58" s="35">
        <v>45473</v>
      </c>
      <c r="C58" s="23" t="s">
        <v>395</v>
      </c>
      <c r="D58" s="3" t="str">
        <f>VLOOKUP(C58,'Location Summary'!$C$4:$D$602,2,0)</f>
        <v>DA+3</v>
      </c>
      <c r="E58" s="118" t="s">
        <v>403</v>
      </c>
      <c r="F58" s="92" t="s">
        <v>683</v>
      </c>
      <c r="G58" s="158">
        <v>1</v>
      </c>
      <c r="N58" s="157">
        <v>1</v>
      </c>
      <c r="Q58" s="157">
        <v>1</v>
      </c>
      <c r="T58" s="174">
        <v>50</v>
      </c>
      <c r="U58" s="3" t="s">
        <v>729</v>
      </c>
      <c r="V58" s="3" t="s">
        <v>733</v>
      </c>
      <c r="W58" s="3" t="s">
        <v>739</v>
      </c>
      <c r="X58" s="35">
        <f t="shared" si="3"/>
        <v>45473</v>
      </c>
      <c r="Y58" s="35">
        <f t="shared" si="8"/>
        <v>45501</v>
      </c>
      <c r="AA58" s="174">
        <v>50</v>
      </c>
      <c r="AC58" s="65">
        <f t="shared" si="4"/>
        <v>5.5270000000000001</v>
      </c>
      <c r="AD58" s="65">
        <f t="shared" si="5"/>
        <v>5.51</v>
      </c>
      <c r="AE58" s="65">
        <f t="shared" si="6"/>
        <v>0</v>
      </c>
      <c r="AF58" s="65">
        <f t="shared" si="7"/>
        <v>11.036999999999999</v>
      </c>
    </row>
    <row r="59" spans="1:32" ht="20.149999999999999" customHeight="1">
      <c r="A59" s="3">
        <f>SUBTOTAL(103,$B$4:B59)</f>
        <v>56</v>
      </c>
      <c r="B59" s="35">
        <v>45474</v>
      </c>
      <c r="C59" s="23" t="s">
        <v>420</v>
      </c>
      <c r="D59" s="3" t="str">
        <f>VLOOKUP(C59,'Location Summary'!$C$4:$D$602,2,0)</f>
        <v>DA+0</v>
      </c>
      <c r="E59" s="118" t="s">
        <v>403</v>
      </c>
      <c r="F59" s="92" t="s">
        <v>683</v>
      </c>
      <c r="G59" s="158">
        <v>1</v>
      </c>
      <c r="P59" s="158">
        <v>1</v>
      </c>
      <c r="T59" s="174">
        <v>45</v>
      </c>
      <c r="U59" s="3" t="s">
        <v>729</v>
      </c>
      <c r="V59" s="3" t="s">
        <v>732</v>
      </c>
      <c r="W59" s="3" t="s">
        <v>732</v>
      </c>
      <c r="X59" s="35">
        <f t="shared" si="3"/>
        <v>45474</v>
      </c>
      <c r="Y59" s="35">
        <f t="shared" si="8"/>
        <v>45502</v>
      </c>
      <c r="AA59" s="174">
        <v>45</v>
      </c>
      <c r="AC59" s="65">
        <f t="shared" si="4"/>
        <v>9.452</v>
      </c>
      <c r="AD59" s="65">
        <f t="shared" si="5"/>
        <v>0</v>
      </c>
      <c r="AE59" s="65">
        <f t="shared" si="6"/>
        <v>0</v>
      </c>
      <c r="AF59" s="65">
        <f t="shared" si="7"/>
        <v>9.452</v>
      </c>
    </row>
    <row r="60" spans="1:32" ht="20.149999999999999" customHeight="1">
      <c r="A60" s="3">
        <f>SUBTOTAL(103,$B$4:B60)</f>
        <v>57</v>
      </c>
      <c r="B60" s="35">
        <v>45474</v>
      </c>
      <c r="C60" s="23" t="s">
        <v>395</v>
      </c>
      <c r="D60" s="3" t="str">
        <f>VLOOKUP(C60,'Location Summary'!$C$4:$D$602,2,0)</f>
        <v>DA+3</v>
      </c>
      <c r="E60" s="118" t="s">
        <v>403</v>
      </c>
      <c r="F60" s="92" t="s">
        <v>683</v>
      </c>
      <c r="O60" s="156">
        <v>1</v>
      </c>
      <c r="R60" s="156">
        <v>1</v>
      </c>
      <c r="T60" s="174">
        <v>50</v>
      </c>
      <c r="U60" s="3" t="s">
        <v>727</v>
      </c>
      <c r="V60" s="3" t="s">
        <v>727</v>
      </c>
      <c r="W60" s="3" t="s">
        <v>734</v>
      </c>
      <c r="X60" s="35">
        <f t="shared" si="3"/>
        <v>45474</v>
      </c>
      <c r="Y60" s="35">
        <f t="shared" si="8"/>
        <v>45502</v>
      </c>
      <c r="AA60" s="174">
        <v>50</v>
      </c>
      <c r="AC60" s="65">
        <f t="shared" si="4"/>
        <v>0</v>
      </c>
      <c r="AD60" s="65">
        <f t="shared" si="5"/>
        <v>0</v>
      </c>
      <c r="AE60" s="65">
        <f t="shared" si="6"/>
        <v>2.0859999999999999</v>
      </c>
      <c r="AF60" s="65">
        <f t="shared" si="7"/>
        <v>2.0859999999999999</v>
      </c>
    </row>
    <row r="61" spans="1:32" ht="20.149999999999999" customHeight="1">
      <c r="A61" s="3">
        <f>SUBTOTAL(103,$B$4:B61)</f>
        <v>58</v>
      </c>
      <c r="B61" s="35">
        <v>45475</v>
      </c>
      <c r="C61" s="23" t="s">
        <v>420</v>
      </c>
      <c r="D61" s="3" t="str">
        <f>VLOOKUP(C61,'Location Summary'!$C$4:$D$602,2,0)</f>
        <v>DA+0</v>
      </c>
      <c r="E61" s="118" t="s">
        <v>403</v>
      </c>
      <c r="F61" s="92" t="s">
        <v>683</v>
      </c>
      <c r="H61" s="157">
        <v>1</v>
      </c>
      <c r="I61" s="156">
        <v>1</v>
      </c>
      <c r="J61" s="158">
        <v>1</v>
      </c>
      <c r="M61" s="158">
        <v>1</v>
      </c>
      <c r="Q61" s="157">
        <v>1</v>
      </c>
      <c r="R61" s="156">
        <v>1</v>
      </c>
      <c r="T61" s="174">
        <v>40</v>
      </c>
      <c r="U61" s="3" t="s">
        <v>737</v>
      </c>
      <c r="V61" s="3" t="s">
        <v>731</v>
      </c>
      <c r="W61" s="3" t="s">
        <v>744</v>
      </c>
      <c r="X61" s="35">
        <f t="shared" si="3"/>
        <v>45475</v>
      </c>
      <c r="Y61" s="35">
        <f t="shared" si="8"/>
        <v>45503</v>
      </c>
      <c r="AA61" s="174">
        <v>40</v>
      </c>
      <c r="AC61" s="65">
        <f t="shared" si="4"/>
        <v>9.452</v>
      </c>
      <c r="AD61" s="65">
        <f t="shared" si="5"/>
        <v>5.51</v>
      </c>
      <c r="AE61" s="65">
        <f t="shared" si="6"/>
        <v>2.1080000000000001</v>
      </c>
      <c r="AF61" s="65">
        <f t="shared" si="7"/>
        <v>17.07</v>
      </c>
    </row>
    <row r="62" spans="1:32" ht="20.149999999999999" customHeight="1">
      <c r="A62" s="3">
        <f>SUBTOTAL(103,$B$4:B62)</f>
        <v>59</v>
      </c>
      <c r="B62" s="35">
        <v>45475</v>
      </c>
      <c r="C62" s="23" t="s">
        <v>402</v>
      </c>
      <c r="D62" s="3" t="str">
        <f>VLOOKUP(C62,'Location Summary'!$C$4:$D$602,2,0)</f>
        <v>DA+3</v>
      </c>
      <c r="E62" s="118" t="s">
        <v>403</v>
      </c>
      <c r="F62" s="92" t="s">
        <v>683</v>
      </c>
      <c r="M62" s="158">
        <v>1</v>
      </c>
      <c r="P62" s="158">
        <v>1</v>
      </c>
      <c r="T62" s="174">
        <v>50</v>
      </c>
      <c r="U62" s="3" t="s">
        <v>732</v>
      </c>
      <c r="V62" s="3" t="s">
        <v>732</v>
      </c>
      <c r="W62" s="3" t="s">
        <v>731</v>
      </c>
      <c r="X62" s="35">
        <f t="shared" ref="X62:X70" si="9">B62</f>
        <v>45475</v>
      </c>
      <c r="Y62" s="35">
        <f t="shared" ref="Y62:Y70" si="10">B62+28</f>
        <v>45503</v>
      </c>
      <c r="Z62" s="175"/>
      <c r="AA62" s="174">
        <v>50</v>
      </c>
      <c r="AC62" s="65">
        <f t="shared" si="4"/>
        <v>11.054</v>
      </c>
      <c r="AD62" s="65">
        <f t="shared" si="5"/>
        <v>0</v>
      </c>
      <c r="AE62" s="65">
        <f t="shared" si="6"/>
        <v>0</v>
      </c>
      <c r="AF62" s="65">
        <f t="shared" si="7"/>
        <v>11.054</v>
      </c>
    </row>
    <row r="63" spans="1:32" ht="20.149999999999999" customHeight="1">
      <c r="A63" s="3">
        <f>SUBTOTAL(103,$B$4:B63)</f>
        <v>60</v>
      </c>
      <c r="B63" s="35">
        <v>45476</v>
      </c>
      <c r="C63" s="23" t="s">
        <v>395</v>
      </c>
      <c r="D63" s="3" t="str">
        <f>VLOOKUP(C63,'Location Summary'!$C$4:$D$602,2,0)</f>
        <v>DA+3</v>
      </c>
      <c r="E63" s="118" t="s">
        <v>403</v>
      </c>
      <c r="F63" s="92" t="s">
        <v>683</v>
      </c>
      <c r="H63" s="157">
        <v>1</v>
      </c>
      <c r="I63" s="156">
        <v>1</v>
      </c>
      <c r="J63" s="158">
        <v>1</v>
      </c>
      <c r="K63" s="157">
        <v>1</v>
      </c>
      <c r="L63" s="156">
        <v>1</v>
      </c>
      <c r="T63" s="174">
        <v>46</v>
      </c>
      <c r="U63" s="3" t="s">
        <v>752</v>
      </c>
      <c r="V63" s="3" t="s">
        <v>736</v>
      </c>
      <c r="W63" s="3" t="s">
        <v>750</v>
      </c>
      <c r="X63" s="35">
        <f t="shared" si="9"/>
        <v>45476</v>
      </c>
      <c r="Y63" s="35">
        <f t="shared" si="10"/>
        <v>45504</v>
      </c>
      <c r="AA63" s="174">
        <v>46</v>
      </c>
      <c r="AC63" s="65">
        <f t="shared" si="4"/>
        <v>5.5270000000000001</v>
      </c>
      <c r="AD63" s="65">
        <f t="shared" si="5"/>
        <v>5.51</v>
      </c>
      <c r="AE63" s="65">
        <f t="shared" si="6"/>
        <v>2.0859999999999999</v>
      </c>
      <c r="AF63" s="65">
        <f t="shared" si="7"/>
        <v>13.122999999999999</v>
      </c>
    </row>
    <row r="64" spans="1:32" ht="20.149999999999999" customHeight="1">
      <c r="A64" s="3">
        <f>SUBTOTAL(103,$B$4:B64)</f>
        <v>61</v>
      </c>
      <c r="B64" s="35">
        <v>45476</v>
      </c>
      <c r="C64" s="23" t="s">
        <v>402</v>
      </c>
      <c r="D64" s="3" t="str">
        <f>VLOOKUP(C64,'Location Summary'!$C$4:$D$602,2,0)</f>
        <v>DA+3</v>
      </c>
      <c r="E64" s="118" t="s">
        <v>403</v>
      </c>
      <c r="F64" s="92" t="s">
        <v>683</v>
      </c>
      <c r="N64" s="157">
        <v>1</v>
      </c>
      <c r="O64" s="156">
        <v>1</v>
      </c>
      <c r="Q64" s="157">
        <v>1</v>
      </c>
      <c r="R64" s="156">
        <v>1</v>
      </c>
      <c r="T64" s="174">
        <v>45</v>
      </c>
      <c r="U64" s="3" t="s">
        <v>739</v>
      </c>
      <c r="V64" s="3" t="s">
        <v>733</v>
      </c>
      <c r="W64" s="3" t="s">
        <v>733</v>
      </c>
      <c r="X64" s="35">
        <f t="shared" si="9"/>
        <v>45476</v>
      </c>
      <c r="Y64" s="35">
        <f t="shared" si="10"/>
        <v>45504</v>
      </c>
      <c r="Z64" s="175"/>
      <c r="AA64" s="174">
        <v>45</v>
      </c>
      <c r="AC64" s="65">
        <f t="shared" si="4"/>
        <v>0</v>
      </c>
      <c r="AD64" s="65">
        <f t="shared" si="5"/>
        <v>5.51</v>
      </c>
      <c r="AE64" s="65">
        <f t="shared" si="6"/>
        <v>2.0859999999999999</v>
      </c>
      <c r="AF64" s="65">
        <f t="shared" si="7"/>
        <v>7.5960000000000001</v>
      </c>
    </row>
    <row r="65" spans="1:32" ht="20.149999999999999" customHeight="1">
      <c r="A65" s="3">
        <f>SUBTOTAL(103,$B$4:B65)</f>
        <v>62</v>
      </c>
      <c r="B65" s="35">
        <v>45476</v>
      </c>
      <c r="C65" s="23" t="s">
        <v>420</v>
      </c>
      <c r="D65" s="3" t="str">
        <f>VLOOKUP(C65,'Location Summary'!$C$4:$D$602,2,0)</f>
        <v>DA+0</v>
      </c>
      <c r="E65" s="118" t="s">
        <v>403</v>
      </c>
      <c r="F65" s="92" t="s">
        <v>683</v>
      </c>
      <c r="K65" s="157">
        <v>1</v>
      </c>
      <c r="L65" s="156">
        <v>1</v>
      </c>
      <c r="N65" s="157">
        <v>1</v>
      </c>
      <c r="O65" s="156">
        <v>1</v>
      </c>
      <c r="T65" s="174">
        <v>50</v>
      </c>
      <c r="U65" s="3" t="s">
        <v>750</v>
      </c>
      <c r="V65" s="3" t="s">
        <v>733</v>
      </c>
      <c r="W65" s="3" t="s">
        <v>751</v>
      </c>
      <c r="X65" s="35">
        <f t="shared" si="9"/>
        <v>45476</v>
      </c>
      <c r="Y65" s="35">
        <f t="shared" si="10"/>
        <v>45504</v>
      </c>
      <c r="AA65" s="174">
        <v>50</v>
      </c>
      <c r="AC65" s="65">
        <f t="shared" si="4"/>
        <v>0</v>
      </c>
      <c r="AD65" s="65">
        <f t="shared" si="5"/>
        <v>5.51</v>
      </c>
      <c r="AE65" s="65">
        <f t="shared" si="6"/>
        <v>2.1080000000000001</v>
      </c>
      <c r="AF65" s="65">
        <f t="shared" si="7"/>
        <v>7.6180000000000003</v>
      </c>
    </row>
    <row r="66" spans="1:32" ht="20.149999999999999" customHeight="1">
      <c r="A66" s="3">
        <f>SUBTOTAL(103,$B$4:B66)</f>
        <v>63</v>
      </c>
      <c r="B66" s="35">
        <v>45478</v>
      </c>
      <c r="C66" s="23" t="s">
        <v>419</v>
      </c>
      <c r="D66" s="3" t="str">
        <f>VLOOKUP(C66,'Location Summary'!$C$4:$D$602,2,0)</f>
        <v>DA+1.5</v>
      </c>
      <c r="E66" s="118" t="s">
        <v>403</v>
      </c>
      <c r="F66" s="92" t="s">
        <v>683</v>
      </c>
      <c r="G66" s="158">
        <v>1</v>
      </c>
      <c r="H66" s="157">
        <v>1</v>
      </c>
      <c r="I66" s="156">
        <v>1</v>
      </c>
      <c r="J66" s="158">
        <v>1</v>
      </c>
      <c r="K66" s="157">
        <v>1</v>
      </c>
      <c r="L66" s="156">
        <v>1</v>
      </c>
      <c r="M66" s="158">
        <v>1</v>
      </c>
      <c r="T66" s="174">
        <v>50</v>
      </c>
      <c r="U66" s="3" t="s">
        <v>729</v>
      </c>
      <c r="V66" s="3" t="s">
        <v>737</v>
      </c>
      <c r="W66" s="174" t="s">
        <v>731</v>
      </c>
      <c r="X66" s="35">
        <f t="shared" si="9"/>
        <v>45478</v>
      </c>
      <c r="Y66" s="35">
        <f t="shared" si="10"/>
        <v>45506</v>
      </c>
      <c r="AA66" s="174">
        <v>50</v>
      </c>
      <c r="AC66" s="65">
        <f t="shared" si="4"/>
        <v>16.581</v>
      </c>
      <c r="AD66" s="65">
        <f t="shared" si="5"/>
        <v>5.51</v>
      </c>
      <c r="AE66" s="65">
        <f t="shared" si="6"/>
        <v>2.0859999999999999</v>
      </c>
      <c r="AF66" s="65">
        <f t="shared" si="7"/>
        <v>24.177</v>
      </c>
    </row>
    <row r="67" spans="1:32" ht="20.149999999999999" customHeight="1">
      <c r="A67" s="3">
        <f>SUBTOTAL(103,$B$4:B67)</f>
        <v>64</v>
      </c>
      <c r="B67" s="35">
        <v>45478</v>
      </c>
      <c r="C67" s="23" t="s">
        <v>449</v>
      </c>
      <c r="D67" s="3" t="str">
        <f>VLOOKUP(C67,'Location Summary'!$C$4:$D$602,2,0)</f>
        <v>DA+1.5</v>
      </c>
      <c r="E67" s="118" t="s">
        <v>403</v>
      </c>
      <c r="F67" s="92" t="s">
        <v>683</v>
      </c>
      <c r="G67" s="158">
        <v>1</v>
      </c>
      <c r="H67" s="157">
        <v>1</v>
      </c>
      <c r="J67" s="158">
        <v>1</v>
      </c>
      <c r="K67" s="157">
        <v>1</v>
      </c>
      <c r="M67" s="158">
        <v>1</v>
      </c>
      <c r="N67" s="157">
        <v>1</v>
      </c>
      <c r="P67" s="158">
        <v>1</v>
      </c>
      <c r="Q67" s="157">
        <v>1</v>
      </c>
      <c r="T67" s="174">
        <v>40</v>
      </c>
      <c r="U67" s="3" t="s">
        <v>703</v>
      </c>
      <c r="V67" s="3" t="s">
        <v>699</v>
      </c>
      <c r="W67" s="3" t="s">
        <v>706</v>
      </c>
      <c r="X67" s="35">
        <f t="shared" si="9"/>
        <v>45478</v>
      </c>
      <c r="Y67" s="35">
        <f t="shared" si="10"/>
        <v>45506</v>
      </c>
      <c r="AA67" s="174">
        <v>40</v>
      </c>
      <c r="AC67" s="65">
        <f t="shared" si="4"/>
        <v>22.108000000000001</v>
      </c>
      <c r="AD67" s="65">
        <f t="shared" si="5"/>
        <v>11.02</v>
      </c>
      <c r="AE67" s="65">
        <f t="shared" si="6"/>
        <v>0</v>
      </c>
      <c r="AF67" s="65">
        <f t="shared" si="7"/>
        <v>33.128</v>
      </c>
    </row>
    <row r="68" spans="1:32" ht="20.149999999999999" customHeight="1">
      <c r="A68" s="3">
        <f>SUBTOTAL(103,$B$4:B68)</f>
        <v>65</v>
      </c>
      <c r="B68" s="35">
        <v>45479</v>
      </c>
      <c r="C68" s="23" t="s">
        <v>396</v>
      </c>
      <c r="D68" s="3" t="str">
        <f>VLOOKUP(C68,'Location Summary'!$C$4:$D$602,2,0)</f>
        <v>DA+3</v>
      </c>
      <c r="E68" s="118" t="s">
        <v>403</v>
      </c>
      <c r="F68" s="92" t="s">
        <v>683</v>
      </c>
      <c r="G68" s="158">
        <v>1</v>
      </c>
      <c r="J68" s="158">
        <v>1</v>
      </c>
      <c r="T68" s="3">
        <v>48</v>
      </c>
      <c r="U68" s="3" t="s">
        <v>763</v>
      </c>
      <c r="V68" s="3" t="s">
        <v>763</v>
      </c>
      <c r="W68" s="3" t="s">
        <v>706</v>
      </c>
      <c r="X68" s="35">
        <f t="shared" si="9"/>
        <v>45479</v>
      </c>
      <c r="Y68" s="35">
        <f t="shared" si="10"/>
        <v>45507</v>
      </c>
      <c r="AA68" s="3">
        <v>48</v>
      </c>
      <c r="AC68" s="65">
        <f t="shared" si="4"/>
        <v>11.054</v>
      </c>
      <c r="AD68" s="65">
        <f t="shared" si="5"/>
        <v>0</v>
      </c>
      <c r="AE68" s="65">
        <f t="shared" si="6"/>
        <v>0</v>
      </c>
      <c r="AF68" s="65">
        <f t="shared" si="7"/>
        <v>11.054</v>
      </c>
    </row>
    <row r="69" spans="1:32" ht="20.149999999999999" customHeight="1">
      <c r="A69" s="3">
        <f>SUBTOTAL(103,$B$4:B69)</f>
        <v>66</v>
      </c>
      <c r="B69" s="35">
        <v>45479</v>
      </c>
      <c r="C69" s="23" t="s">
        <v>419</v>
      </c>
      <c r="D69" s="3" t="str">
        <f>VLOOKUP(C69,'Location Summary'!$C$4:$D$602,2,0)</f>
        <v>DA+1.5</v>
      </c>
      <c r="E69" s="118" t="s">
        <v>403</v>
      </c>
      <c r="F69" s="92" t="s">
        <v>683</v>
      </c>
      <c r="N69" s="157">
        <v>1</v>
      </c>
      <c r="O69" s="156">
        <v>1</v>
      </c>
      <c r="P69" s="158">
        <v>1</v>
      </c>
      <c r="Q69" s="157">
        <v>1</v>
      </c>
      <c r="R69" s="156">
        <v>1</v>
      </c>
      <c r="T69" s="3">
        <v>45</v>
      </c>
      <c r="U69" s="3" t="s">
        <v>732</v>
      </c>
      <c r="V69" s="3" t="s">
        <v>734</v>
      </c>
      <c r="W69" s="3" t="s">
        <v>751</v>
      </c>
      <c r="X69" s="35">
        <f t="shared" si="9"/>
        <v>45479</v>
      </c>
      <c r="Y69" s="35">
        <f t="shared" si="10"/>
        <v>45507</v>
      </c>
      <c r="AA69" s="3">
        <v>45</v>
      </c>
      <c r="AC69" s="65">
        <f t="shared" si="4"/>
        <v>5.5270000000000001</v>
      </c>
      <c r="AD69" s="65">
        <f t="shared" si="5"/>
        <v>5.51</v>
      </c>
      <c r="AE69" s="65">
        <f t="shared" si="6"/>
        <v>2.0859999999999999</v>
      </c>
      <c r="AF69" s="65">
        <f t="shared" si="7"/>
        <v>13.122999999999999</v>
      </c>
    </row>
    <row r="70" spans="1:32" ht="20.149999999999999" customHeight="1">
      <c r="A70" s="3">
        <f>SUBTOTAL(103,$B$4:B70)</f>
        <v>67</v>
      </c>
      <c r="B70" s="35">
        <v>45479</v>
      </c>
      <c r="C70" s="23" t="s">
        <v>449</v>
      </c>
      <c r="D70" s="3" t="str">
        <f>VLOOKUP(C70,'Location Summary'!$C$4:$D$602,2,0)</f>
        <v>DA+1.5</v>
      </c>
      <c r="E70" s="118" t="s">
        <v>403</v>
      </c>
      <c r="F70" s="92" t="s">
        <v>683</v>
      </c>
      <c r="I70" s="156">
        <v>1</v>
      </c>
      <c r="L70" s="156">
        <v>1</v>
      </c>
      <c r="O70" s="156">
        <v>1</v>
      </c>
      <c r="R70" s="156">
        <v>1</v>
      </c>
      <c r="T70" s="3">
        <v>55</v>
      </c>
      <c r="U70" s="3" t="s">
        <v>710</v>
      </c>
      <c r="V70" s="3" t="s">
        <v>705</v>
      </c>
      <c r="W70" s="3" t="s">
        <v>751</v>
      </c>
      <c r="X70" s="35">
        <f t="shared" si="9"/>
        <v>45479</v>
      </c>
      <c r="Y70" s="35">
        <f t="shared" si="10"/>
        <v>45507</v>
      </c>
      <c r="AA70" s="3">
        <v>55</v>
      </c>
      <c r="AC70" s="65">
        <f t="shared" ref="AC70:AC103" si="11">(VLOOKUP($D70,$AH$4:$AK$40,2,FALSE))*(G70+J70+M70+P70)</f>
        <v>0</v>
      </c>
      <c r="AD70" s="65">
        <f t="shared" ref="AD70:AD103" si="12">(VLOOKUP($D70,$AH$4:$AK$40,3,FALSE))*(H70+K70+N70+Q70)</f>
        <v>0</v>
      </c>
      <c r="AE70" s="65">
        <f t="shared" ref="AE70:AE103" si="13">(VLOOKUP($D70,$AH$4:$AK$40,4,FALSE))*(I70+L70+O70+R70)</f>
        <v>4.1719999999999997</v>
      </c>
      <c r="AF70" s="65">
        <f t="shared" ref="AF70:AF103" si="14">SUM(AC70:AE70)</f>
        <v>4.1719999999999997</v>
      </c>
    </row>
    <row r="71" spans="1:32" ht="20.149999999999999" customHeight="1">
      <c r="A71" s="3">
        <f>SUBTOTAL(103,$B$4:B71)</f>
        <v>68</v>
      </c>
      <c r="B71" s="35">
        <v>45480</v>
      </c>
      <c r="C71" s="23" t="s">
        <v>396</v>
      </c>
      <c r="D71" s="3" t="str">
        <f>VLOOKUP(C71,'Location Summary'!$C$4:$D$602,2,0)</f>
        <v>DA+3</v>
      </c>
      <c r="E71" s="118" t="s">
        <v>403</v>
      </c>
      <c r="F71" s="92" t="s">
        <v>683</v>
      </c>
      <c r="H71" s="157">
        <v>1</v>
      </c>
      <c r="I71" s="156">
        <v>1</v>
      </c>
      <c r="K71" s="157">
        <v>1</v>
      </c>
      <c r="L71" s="156">
        <v>1</v>
      </c>
      <c r="P71" s="158">
        <v>1</v>
      </c>
      <c r="T71" s="3">
        <v>48</v>
      </c>
      <c r="U71" s="3" t="s">
        <v>760</v>
      </c>
      <c r="V71" s="3" t="s">
        <v>761</v>
      </c>
      <c r="W71" s="3" t="s">
        <v>762</v>
      </c>
      <c r="X71" s="35">
        <f t="shared" ref="X71:X77" si="15">B71</f>
        <v>45480</v>
      </c>
      <c r="Y71" s="35">
        <f t="shared" ref="Y71:Y77" si="16">B71+28</f>
        <v>45508</v>
      </c>
      <c r="AA71" s="3">
        <v>48</v>
      </c>
      <c r="AC71" s="65">
        <f t="shared" si="11"/>
        <v>5.5270000000000001</v>
      </c>
      <c r="AD71" s="65">
        <f t="shared" si="12"/>
        <v>5.51</v>
      </c>
      <c r="AE71" s="65">
        <f t="shared" si="13"/>
        <v>2.0859999999999999</v>
      </c>
      <c r="AF71" s="65">
        <f t="shared" si="14"/>
        <v>13.122999999999999</v>
      </c>
    </row>
    <row r="72" spans="1:32" ht="20.149999999999999" customHeight="1">
      <c r="A72" s="3">
        <f>SUBTOTAL(103,$B$4:B72)</f>
        <v>69</v>
      </c>
      <c r="B72" s="35">
        <v>45480</v>
      </c>
      <c r="C72" s="23" t="s">
        <v>448</v>
      </c>
      <c r="D72" s="3" t="str">
        <f>VLOOKUP(C72,'Location Summary'!$C$4:$D$602,2,0)</f>
        <v>DA+0</v>
      </c>
      <c r="E72" s="118" t="s">
        <v>403</v>
      </c>
      <c r="F72" s="92" t="s">
        <v>683</v>
      </c>
      <c r="P72" s="158">
        <v>1</v>
      </c>
      <c r="T72" s="3">
        <v>50</v>
      </c>
      <c r="U72" s="3" t="s">
        <v>732</v>
      </c>
      <c r="V72" s="3" t="s">
        <v>732</v>
      </c>
      <c r="W72" s="3" t="s">
        <v>732</v>
      </c>
      <c r="X72" s="35">
        <f t="shared" si="15"/>
        <v>45480</v>
      </c>
      <c r="Y72" s="35">
        <f t="shared" si="16"/>
        <v>45508</v>
      </c>
      <c r="AA72" s="3">
        <v>50</v>
      </c>
      <c r="AC72" s="65">
        <f t="shared" si="11"/>
        <v>4.726</v>
      </c>
      <c r="AD72" s="65">
        <f t="shared" si="12"/>
        <v>0</v>
      </c>
      <c r="AE72" s="65">
        <f t="shared" si="13"/>
        <v>0</v>
      </c>
      <c r="AF72" s="65">
        <f t="shared" si="14"/>
        <v>4.726</v>
      </c>
    </row>
    <row r="73" spans="1:32" ht="20.149999999999999" customHeight="1">
      <c r="A73" s="3">
        <f>SUBTOTAL(103,$B$4:B73)</f>
        <v>70</v>
      </c>
      <c r="B73" s="35">
        <v>45481</v>
      </c>
      <c r="C73" s="23" t="s">
        <v>396</v>
      </c>
      <c r="D73" s="3" t="str">
        <f>VLOOKUP(C73,'Location Summary'!$C$4:$D$602,2,0)</f>
        <v>DA+3</v>
      </c>
      <c r="E73" s="118" t="s">
        <v>403</v>
      </c>
      <c r="F73" s="92" t="s">
        <v>683</v>
      </c>
      <c r="M73" s="158">
        <v>1</v>
      </c>
      <c r="Q73" s="157">
        <v>1</v>
      </c>
      <c r="T73" s="3">
        <v>40</v>
      </c>
      <c r="U73" s="3" t="s">
        <v>739</v>
      </c>
      <c r="V73" s="3" t="s">
        <v>731</v>
      </c>
      <c r="W73" s="3" t="s">
        <v>731</v>
      </c>
      <c r="X73" s="35">
        <f t="shared" si="15"/>
        <v>45481</v>
      </c>
      <c r="Y73" s="35">
        <f t="shared" si="16"/>
        <v>45509</v>
      </c>
      <c r="AA73" s="3">
        <v>40</v>
      </c>
      <c r="AC73" s="65">
        <f t="shared" si="11"/>
        <v>5.5270000000000001</v>
      </c>
      <c r="AD73" s="65">
        <f t="shared" si="12"/>
        <v>2.7549999999999999</v>
      </c>
      <c r="AE73" s="65">
        <f t="shared" si="13"/>
        <v>0</v>
      </c>
      <c r="AF73" s="65">
        <f t="shared" si="14"/>
        <v>8.282</v>
      </c>
    </row>
    <row r="74" spans="1:32" ht="20.149999999999999" customHeight="1">
      <c r="A74" s="3">
        <f>SUBTOTAL(103,$B$4:B74)</f>
        <v>71</v>
      </c>
      <c r="B74" s="35">
        <v>45481</v>
      </c>
      <c r="C74" s="23" t="s">
        <v>402</v>
      </c>
      <c r="D74" s="3" t="str">
        <f>VLOOKUP(C74,'Location Summary'!$C$4:$D$602,2,0)</f>
        <v>DA+3</v>
      </c>
      <c r="E74" s="118" t="s">
        <v>403</v>
      </c>
      <c r="F74" s="92" t="s">
        <v>683</v>
      </c>
      <c r="G74" s="158">
        <v>1</v>
      </c>
      <c r="T74" s="3">
        <v>55</v>
      </c>
      <c r="U74" s="3" t="s">
        <v>729</v>
      </c>
      <c r="V74" s="3" t="s">
        <v>729</v>
      </c>
      <c r="W74" s="3" t="s">
        <v>729</v>
      </c>
      <c r="X74" s="35">
        <f>B74</f>
        <v>45481</v>
      </c>
      <c r="Y74" s="35">
        <f>B74+28</f>
        <v>45509</v>
      </c>
      <c r="AA74" s="3">
        <v>55</v>
      </c>
      <c r="AC74" s="65">
        <f t="shared" si="11"/>
        <v>5.5270000000000001</v>
      </c>
      <c r="AD74" s="65">
        <f t="shared" si="12"/>
        <v>0</v>
      </c>
      <c r="AE74" s="65">
        <f t="shared" si="13"/>
        <v>0</v>
      </c>
      <c r="AF74" s="65">
        <f t="shared" si="14"/>
        <v>5.5270000000000001</v>
      </c>
    </row>
    <row r="75" spans="1:32" ht="20.149999999999999" customHeight="1">
      <c r="A75" s="3">
        <f>SUBTOTAL(103,$B$4:B75)</f>
        <v>72</v>
      </c>
      <c r="B75" s="35">
        <v>45481</v>
      </c>
      <c r="C75" s="23" t="s">
        <v>421</v>
      </c>
      <c r="D75" s="3" t="str">
        <f>VLOOKUP(C75,'Location Summary'!$C$4:$D$602,2,0)</f>
        <v>DA-1.5</v>
      </c>
      <c r="E75" s="118" t="s">
        <v>403</v>
      </c>
      <c r="F75" s="92" t="s">
        <v>683</v>
      </c>
      <c r="G75" s="158">
        <v>1</v>
      </c>
      <c r="J75" s="158">
        <v>1</v>
      </c>
      <c r="M75" s="158">
        <v>1</v>
      </c>
      <c r="P75" s="158">
        <v>1</v>
      </c>
      <c r="T75" s="3">
        <v>55</v>
      </c>
      <c r="U75" s="3" t="s">
        <v>729</v>
      </c>
      <c r="V75" s="3" t="s">
        <v>737</v>
      </c>
      <c r="W75" s="3" t="s">
        <v>737</v>
      </c>
      <c r="X75" s="35">
        <f>B75</f>
        <v>45481</v>
      </c>
      <c r="Y75" s="35">
        <f>B75+28</f>
        <v>45509</v>
      </c>
      <c r="AA75" s="3">
        <v>55</v>
      </c>
      <c r="AC75" s="65">
        <f t="shared" si="11"/>
        <v>18.904</v>
      </c>
      <c r="AD75" s="65">
        <f t="shared" si="12"/>
        <v>0</v>
      </c>
      <c r="AE75" s="65">
        <f t="shared" si="13"/>
        <v>0</v>
      </c>
      <c r="AF75" s="65">
        <f t="shared" si="14"/>
        <v>18.904</v>
      </c>
    </row>
    <row r="76" spans="1:32" ht="20.149999999999999" customHeight="1">
      <c r="A76" s="3">
        <f>SUBTOTAL(103,$B$4:B76)</f>
        <v>73</v>
      </c>
      <c r="B76" s="35">
        <v>45481</v>
      </c>
      <c r="C76" s="23" t="s">
        <v>448</v>
      </c>
      <c r="D76" s="3" t="str">
        <f>VLOOKUP(C76,'Location Summary'!$C$4:$D$602,2,0)</f>
        <v>DA+0</v>
      </c>
      <c r="E76" s="118" t="s">
        <v>403</v>
      </c>
      <c r="F76" s="92" t="s">
        <v>683</v>
      </c>
      <c r="G76" s="158">
        <v>1</v>
      </c>
      <c r="M76" s="158">
        <v>1</v>
      </c>
      <c r="T76" s="3">
        <v>65</v>
      </c>
      <c r="U76" s="3" t="s">
        <v>729</v>
      </c>
      <c r="V76" s="3" t="s">
        <v>729</v>
      </c>
      <c r="W76" s="3" t="s">
        <v>731</v>
      </c>
      <c r="X76" s="35">
        <f t="shared" si="15"/>
        <v>45481</v>
      </c>
      <c r="Y76" s="35">
        <f t="shared" si="16"/>
        <v>45509</v>
      </c>
      <c r="AA76" s="3">
        <v>65</v>
      </c>
      <c r="AC76" s="65">
        <f t="shared" si="11"/>
        <v>9.452</v>
      </c>
      <c r="AD76" s="65">
        <f t="shared" si="12"/>
        <v>0</v>
      </c>
      <c r="AE76" s="65">
        <f t="shared" si="13"/>
        <v>0</v>
      </c>
      <c r="AF76" s="65">
        <f t="shared" si="14"/>
        <v>9.452</v>
      </c>
    </row>
    <row r="77" spans="1:32" ht="20.149999999999999" customHeight="1">
      <c r="A77" s="3">
        <f>SUBTOTAL(103,$B$4:B77)</f>
        <v>74</v>
      </c>
      <c r="B77" s="35">
        <v>45482</v>
      </c>
      <c r="C77" s="23" t="s">
        <v>396</v>
      </c>
      <c r="D77" s="3" t="str">
        <f>VLOOKUP(C77,'Location Summary'!$C$4:$D$602,2,0)</f>
        <v>DA+3</v>
      </c>
      <c r="E77" s="118" t="s">
        <v>403</v>
      </c>
      <c r="F77" s="92" t="s">
        <v>683</v>
      </c>
      <c r="N77" s="157">
        <v>1</v>
      </c>
      <c r="O77" s="156">
        <v>1</v>
      </c>
      <c r="R77" s="156">
        <v>1</v>
      </c>
      <c r="T77" s="3">
        <v>57</v>
      </c>
      <c r="U77" s="3" t="s">
        <v>787</v>
      </c>
      <c r="V77" s="3" t="s">
        <v>733</v>
      </c>
      <c r="W77" s="3" t="s">
        <v>751</v>
      </c>
      <c r="X77" s="35">
        <f t="shared" si="15"/>
        <v>45482</v>
      </c>
      <c r="Y77" s="35">
        <f t="shared" si="16"/>
        <v>45510</v>
      </c>
      <c r="AA77" s="3">
        <v>57</v>
      </c>
      <c r="AC77" s="65">
        <f t="shared" si="11"/>
        <v>0</v>
      </c>
      <c r="AD77" s="65">
        <f t="shared" si="12"/>
        <v>2.7549999999999999</v>
      </c>
      <c r="AE77" s="65">
        <f t="shared" si="13"/>
        <v>2.0859999999999999</v>
      </c>
      <c r="AF77" s="65">
        <f t="shared" si="14"/>
        <v>4.8409999999999993</v>
      </c>
    </row>
    <row r="78" spans="1:32" ht="20.149999999999999" customHeight="1">
      <c r="A78" s="3">
        <f>SUBTOTAL(103,$B$4:B78)</f>
        <v>75</v>
      </c>
      <c r="B78" s="35">
        <v>45482</v>
      </c>
      <c r="C78" s="23" t="s">
        <v>402</v>
      </c>
      <c r="D78" s="3" t="str">
        <f>VLOOKUP(C78,'Location Summary'!$C$4:$D$602,2,0)</f>
        <v>DA+3</v>
      </c>
      <c r="E78" s="118" t="s">
        <v>403</v>
      </c>
      <c r="F78" s="92" t="s">
        <v>683</v>
      </c>
      <c r="H78" s="157">
        <v>1</v>
      </c>
      <c r="T78" s="3">
        <v>40</v>
      </c>
      <c r="U78" s="3" t="s">
        <v>736</v>
      </c>
      <c r="V78" s="3" t="s">
        <v>736</v>
      </c>
      <c r="W78" s="3" t="s">
        <v>736</v>
      </c>
      <c r="X78" s="35">
        <f t="shared" ref="X78:X103" si="17">B78</f>
        <v>45482</v>
      </c>
      <c r="Y78" s="35">
        <f t="shared" ref="Y78:Y103" si="18">B78+28</f>
        <v>45510</v>
      </c>
      <c r="AA78" s="3">
        <v>40</v>
      </c>
      <c r="AC78" s="65">
        <f t="shared" si="11"/>
        <v>0</v>
      </c>
      <c r="AD78" s="65">
        <f t="shared" si="12"/>
        <v>2.7549999999999999</v>
      </c>
      <c r="AE78" s="65">
        <f t="shared" si="13"/>
        <v>0</v>
      </c>
      <c r="AF78" s="65">
        <f t="shared" si="14"/>
        <v>2.7549999999999999</v>
      </c>
    </row>
    <row r="79" spans="1:32" ht="20.149999999999999" customHeight="1">
      <c r="A79" s="3">
        <f>SUBTOTAL(103,$B$4:B79)</f>
        <v>76</v>
      </c>
      <c r="B79" s="35">
        <v>45482</v>
      </c>
      <c r="C79" s="23" t="s">
        <v>421</v>
      </c>
      <c r="D79" s="3" t="str">
        <f>VLOOKUP(C79,'Location Summary'!$C$4:$D$602,2,0)</f>
        <v>DA-1.5</v>
      </c>
      <c r="E79" s="118" t="s">
        <v>403</v>
      </c>
      <c r="F79" s="92" t="s">
        <v>683</v>
      </c>
      <c r="H79" s="157">
        <v>1</v>
      </c>
      <c r="I79" s="156">
        <v>1</v>
      </c>
      <c r="K79" s="157">
        <v>1</v>
      </c>
      <c r="L79" s="156">
        <v>1</v>
      </c>
      <c r="T79" s="3">
        <v>60</v>
      </c>
      <c r="U79" s="3" t="s">
        <v>736</v>
      </c>
      <c r="V79" s="3" t="s">
        <v>750</v>
      </c>
      <c r="W79" s="3" t="s">
        <v>730</v>
      </c>
      <c r="X79" s="35">
        <f t="shared" si="17"/>
        <v>45482</v>
      </c>
      <c r="Y79" s="35">
        <f t="shared" si="18"/>
        <v>45510</v>
      </c>
      <c r="AA79" s="3">
        <v>60</v>
      </c>
      <c r="AC79" s="65">
        <f t="shared" si="11"/>
        <v>0</v>
      </c>
      <c r="AD79" s="65">
        <f t="shared" si="12"/>
        <v>5.51</v>
      </c>
      <c r="AE79" s="65">
        <f t="shared" si="13"/>
        <v>2.1080000000000001</v>
      </c>
      <c r="AF79" s="65">
        <f t="shared" si="14"/>
        <v>7.6180000000000003</v>
      </c>
    </row>
    <row r="80" spans="1:32" ht="20.149999999999999" customHeight="1">
      <c r="A80" s="3">
        <f>SUBTOTAL(103,$B$4:B80)</f>
        <v>77</v>
      </c>
      <c r="B80" s="35">
        <v>45482</v>
      </c>
      <c r="C80" s="23" t="s">
        <v>448</v>
      </c>
      <c r="D80" s="3" t="str">
        <f>VLOOKUP(C80,'Location Summary'!$C$4:$D$602,2,0)</f>
        <v>DA+0</v>
      </c>
      <c r="E80" s="118" t="s">
        <v>403</v>
      </c>
      <c r="F80" s="92" t="s">
        <v>683</v>
      </c>
      <c r="H80" s="157">
        <v>1</v>
      </c>
      <c r="J80" s="158">
        <v>1</v>
      </c>
      <c r="N80" s="157">
        <v>1</v>
      </c>
      <c r="Q80" s="157">
        <v>1</v>
      </c>
      <c r="T80" s="3">
        <v>55</v>
      </c>
      <c r="U80" s="3" t="s">
        <v>737</v>
      </c>
      <c r="V80" s="3" t="s">
        <v>733</v>
      </c>
      <c r="W80" s="3" t="s">
        <v>736</v>
      </c>
      <c r="X80" s="35">
        <f t="shared" si="17"/>
        <v>45482</v>
      </c>
      <c r="Y80" s="35">
        <f t="shared" si="18"/>
        <v>45510</v>
      </c>
      <c r="AA80" s="3">
        <v>55</v>
      </c>
      <c r="AC80" s="65">
        <f t="shared" si="11"/>
        <v>4.726</v>
      </c>
      <c r="AD80" s="65">
        <f t="shared" si="12"/>
        <v>8.2650000000000006</v>
      </c>
      <c r="AE80" s="65">
        <f t="shared" si="13"/>
        <v>0</v>
      </c>
      <c r="AF80" s="65">
        <f t="shared" si="14"/>
        <v>12.991</v>
      </c>
    </row>
    <row r="81" spans="1:32" ht="20.149999999999999" customHeight="1">
      <c r="A81" s="3">
        <f>SUBTOTAL(103,$B$4:B81)</f>
        <v>78</v>
      </c>
      <c r="B81" s="35">
        <v>45483</v>
      </c>
      <c r="C81" s="23" t="s">
        <v>402</v>
      </c>
      <c r="D81" s="3" t="str">
        <f>VLOOKUP(C81,'Location Summary'!$C$4:$D$602,2,0)</f>
        <v>DA+3</v>
      </c>
      <c r="E81" s="118" t="s">
        <v>403</v>
      </c>
      <c r="F81" s="92" t="s">
        <v>683</v>
      </c>
      <c r="I81" s="156">
        <v>1</v>
      </c>
      <c r="J81" s="158">
        <v>1</v>
      </c>
      <c r="K81" s="157">
        <v>1</v>
      </c>
      <c r="L81" s="156">
        <v>1</v>
      </c>
      <c r="T81" s="3">
        <v>40</v>
      </c>
      <c r="U81" s="3" t="s">
        <v>737</v>
      </c>
      <c r="V81" s="3" t="s">
        <v>737</v>
      </c>
      <c r="W81" s="3" t="s">
        <v>737</v>
      </c>
      <c r="X81" s="35">
        <f t="shared" si="17"/>
        <v>45483</v>
      </c>
      <c r="Y81" s="35">
        <f t="shared" si="18"/>
        <v>45511</v>
      </c>
      <c r="AA81" s="3">
        <v>40</v>
      </c>
      <c r="AC81" s="65">
        <f t="shared" si="11"/>
        <v>5.5270000000000001</v>
      </c>
      <c r="AD81" s="65">
        <f t="shared" si="12"/>
        <v>2.7549999999999999</v>
      </c>
      <c r="AE81" s="65">
        <f t="shared" si="13"/>
        <v>2.0859999999999999</v>
      </c>
      <c r="AF81" s="65">
        <f t="shared" si="14"/>
        <v>10.368</v>
      </c>
    </row>
    <row r="82" spans="1:32" ht="20.149999999999999" customHeight="1">
      <c r="A82" s="3">
        <f>SUBTOTAL(103,$B$4:B82)</f>
        <v>79</v>
      </c>
      <c r="B82" s="35">
        <v>45483</v>
      </c>
      <c r="C82" s="23" t="s">
        <v>421</v>
      </c>
      <c r="D82" s="3" t="str">
        <f>VLOOKUP(C82,'Location Summary'!$C$4:$D$602,2,0)</f>
        <v>DA-1.5</v>
      </c>
      <c r="E82" s="118" t="s">
        <v>403</v>
      </c>
      <c r="F82" s="92" t="s">
        <v>683</v>
      </c>
      <c r="N82" s="157">
        <v>1</v>
      </c>
      <c r="O82" s="156">
        <v>1</v>
      </c>
      <c r="Q82" s="157">
        <v>1</v>
      </c>
      <c r="R82" s="156">
        <v>1</v>
      </c>
      <c r="T82" s="3">
        <v>50</v>
      </c>
      <c r="U82" s="3" t="s">
        <v>733</v>
      </c>
      <c r="V82" s="3" t="s">
        <v>727</v>
      </c>
      <c r="W82" s="3" t="s">
        <v>734</v>
      </c>
      <c r="X82" s="35">
        <f t="shared" si="17"/>
        <v>45483</v>
      </c>
      <c r="Y82" s="35">
        <f t="shared" si="18"/>
        <v>45511</v>
      </c>
      <c r="AA82" s="3">
        <v>40</v>
      </c>
      <c r="AC82" s="65">
        <f t="shared" si="11"/>
        <v>0</v>
      </c>
      <c r="AD82" s="65">
        <f t="shared" si="12"/>
        <v>5.51</v>
      </c>
      <c r="AE82" s="65">
        <f t="shared" si="13"/>
        <v>2.1080000000000001</v>
      </c>
      <c r="AF82" s="65">
        <f t="shared" si="14"/>
        <v>7.6180000000000003</v>
      </c>
    </row>
    <row r="83" spans="1:32" ht="20.149999999999999" customHeight="1">
      <c r="A83" s="3">
        <f>SUBTOTAL(103,$B$4:B83)</f>
        <v>80</v>
      </c>
      <c r="B83" s="35">
        <v>45483</v>
      </c>
      <c r="C83" s="23" t="s">
        <v>448</v>
      </c>
      <c r="D83" s="3" t="str">
        <f>VLOOKUP(C83,'Location Summary'!$C$4:$D$602,2,0)</f>
        <v>DA+0</v>
      </c>
      <c r="E83" s="118" t="s">
        <v>403</v>
      </c>
      <c r="F83" s="92" t="s">
        <v>683</v>
      </c>
      <c r="I83" s="156">
        <v>1</v>
      </c>
      <c r="K83" s="157">
        <v>1</v>
      </c>
      <c r="L83" s="156">
        <v>1</v>
      </c>
      <c r="O83" s="156">
        <v>1</v>
      </c>
      <c r="R83" s="156">
        <v>1</v>
      </c>
      <c r="T83" s="3">
        <v>55</v>
      </c>
      <c r="U83" s="3" t="s">
        <v>750</v>
      </c>
      <c r="V83" s="3" t="s">
        <v>728</v>
      </c>
      <c r="W83" s="3" t="s">
        <v>734</v>
      </c>
      <c r="X83" s="35">
        <f t="shared" si="17"/>
        <v>45483</v>
      </c>
      <c r="Y83" s="35">
        <f t="shared" si="18"/>
        <v>45511</v>
      </c>
      <c r="AA83" s="3">
        <v>55</v>
      </c>
      <c r="AC83" s="65">
        <f t="shared" si="11"/>
        <v>0</v>
      </c>
      <c r="AD83" s="65">
        <f t="shared" si="12"/>
        <v>2.7549999999999999</v>
      </c>
      <c r="AE83" s="65">
        <f t="shared" si="13"/>
        <v>4.2160000000000002</v>
      </c>
      <c r="AF83" s="65">
        <f t="shared" si="14"/>
        <v>6.9710000000000001</v>
      </c>
    </row>
    <row r="84" spans="1:32" ht="20.149999999999999" customHeight="1">
      <c r="A84" s="3">
        <f>SUBTOTAL(103,$B$4:B84)</f>
        <v>81</v>
      </c>
      <c r="B84" s="35">
        <v>45484</v>
      </c>
      <c r="C84" s="23" t="s">
        <v>418</v>
      </c>
      <c r="D84" s="3" t="str">
        <f>VLOOKUP(C84,'Location Summary'!$C$4:$D$602,2,0)</f>
        <v>DA+0</v>
      </c>
      <c r="E84" s="118" t="s">
        <v>403</v>
      </c>
      <c r="F84" s="92" t="s">
        <v>683</v>
      </c>
      <c r="K84" s="157">
        <v>1</v>
      </c>
      <c r="L84" s="156">
        <v>1</v>
      </c>
      <c r="N84" s="157">
        <v>1</v>
      </c>
      <c r="O84" s="156">
        <v>1</v>
      </c>
      <c r="T84" s="3">
        <v>55</v>
      </c>
      <c r="U84" s="3" t="s">
        <v>750</v>
      </c>
      <c r="V84" s="3" t="s">
        <v>730</v>
      </c>
      <c r="W84" s="3" t="s">
        <v>727</v>
      </c>
      <c r="X84" s="35">
        <f t="shared" si="17"/>
        <v>45484</v>
      </c>
      <c r="Y84" s="35">
        <f t="shared" si="18"/>
        <v>45512</v>
      </c>
      <c r="AA84" s="3">
        <v>55</v>
      </c>
      <c r="AC84" s="65">
        <f t="shared" si="11"/>
        <v>0</v>
      </c>
      <c r="AD84" s="65">
        <f t="shared" si="12"/>
        <v>5.51</v>
      </c>
      <c r="AE84" s="65">
        <f t="shared" si="13"/>
        <v>2.1080000000000001</v>
      </c>
      <c r="AF84" s="65">
        <f t="shared" si="14"/>
        <v>7.6180000000000003</v>
      </c>
    </row>
    <row r="85" spans="1:32" ht="20.149999999999999" customHeight="1">
      <c r="A85" s="3">
        <f>SUBTOTAL(103,$B$4:B85)</f>
        <v>82</v>
      </c>
      <c r="B85" s="35">
        <v>45485</v>
      </c>
      <c r="C85" s="23" t="s">
        <v>447</v>
      </c>
      <c r="D85" s="3" t="str">
        <f>VLOOKUP(C85,'Location Summary'!$C$4:$D$602,2,0)</f>
        <v>DA+0</v>
      </c>
      <c r="E85" s="118" t="s">
        <v>403</v>
      </c>
      <c r="F85" s="92" t="s">
        <v>683</v>
      </c>
      <c r="G85" s="158">
        <v>1</v>
      </c>
      <c r="J85" s="158">
        <v>1</v>
      </c>
      <c r="T85" s="3">
        <v>60</v>
      </c>
      <c r="U85" s="3" t="s">
        <v>737</v>
      </c>
      <c r="V85" s="3" t="s">
        <v>737</v>
      </c>
      <c r="W85" s="3" t="s">
        <v>729</v>
      </c>
      <c r="X85" s="35">
        <f t="shared" si="17"/>
        <v>45485</v>
      </c>
      <c r="Y85" s="35">
        <f t="shared" si="18"/>
        <v>45513</v>
      </c>
      <c r="AC85" s="65">
        <f t="shared" si="11"/>
        <v>9.452</v>
      </c>
      <c r="AD85" s="65">
        <f t="shared" si="12"/>
        <v>0</v>
      </c>
      <c r="AE85" s="65">
        <f t="shared" si="13"/>
        <v>0</v>
      </c>
      <c r="AF85" s="65">
        <f t="shared" si="14"/>
        <v>9.452</v>
      </c>
    </row>
    <row r="86" spans="1:32" ht="20.149999999999999" customHeight="1">
      <c r="A86" s="3">
        <f>SUBTOTAL(103,$B$4:B86)</f>
        <v>83</v>
      </c>
      <c r="B86" s="35">
        <v>45486</v>
      </c>
      <c r="C86" s="23" t="s">
        <v>447</v>
      </c>
      <c r="D86" s="3" t="str">
        <f>VLOOKUP(C86,'Location Summary'!$C$4:$D$602,2,0)</f>
        <v>DA+0</v>
      </c>
      <c r="E86" s="118" t="s">
        <v>403</v>
      </c>
      <c r="F86" s="92" t="s">
        <v>683</v>
      </c>
      <c r="H86" s="157">
        <v>1</v>
      </c>
      <c r="K86" s="157">
        <v>1</v>
      </c>
      <c r="P86" s="158">
        <v>1</v>
      </c>
      <c r="T86" s="3">
        <v>60</v>
      </c>
      <c r="U86" s="3" t="s">
        <v>750</v>
      </c>
      <c r="V86" s="3" t="s">
        <v>732</v>
      </c>
      <c r="W86" s="3" t="s">
        <v>732</v>
      </c>
      <c r="X86" s="35">
        <f t="shared" si="17"/>
        <v>45486</v>
      </c>
      <c r="Y86" s="35">
        <f t="shared" si="18"/>
        <v>45514</v>
      </c>
      <c r="AC86" s="65">
        <f t="shared" si="11"/>
        <v>4.726</v>
      </c>
      <c r="AD86" s="65">
        <f t="shared" si="12"/>
        <v>5.51</v>
      </c>
      <c r="AE86" s="65">
        <f t="shared" si="13"/>
        <v>0</v>
      </c>
      <c r="AF86" s="65">
        <f t="shared" si="14"/>
        <v>10.236000000000001</v>
      </c>
    </row>
    <row r="87" spans="1:32" ht="20.149999999999999" customHeight="1">
      <c r="A87" s="3">
        <f>SUBTOTAL(103,$B$4:B87)</f>
        <v>84</v>
      </c>
      <c r="B87" s="35">
        <v>45487</v>
      </c>
      <c r="C87" s="23" t="s">
        <v>397</v>
      </c>
      <c r="D87" s="3" t="str">
        <f>VLOOKUP(C87,'Location Summary'!$C$4:$D$602,2,0)</f>
        <v>DA+9</v>
      </c>
      <c r="E87" s="118" t="s">
        <v>403</v>
      </c>
      <c r="F87" s="92" t="s">
        <v>683</v>
      </c>
      <c r="G87" s="158">
        <v>1</v>
      </c>
      <c r="J87" s="158">
        <v>1</v>
      </c>
      <c r="T87" s="3">
        <v>50</v>
      </c>
      <c r="U87" s="3" t="s">
        <v>785</v>
      </c>
      <c r="V87" s="3" t="s">
        <v>785</v>
      </c>
      <c r="W87" s="3" t="s">
        <v>786</v>
      </c>
      <c r="X87" s="35">
        <f t="shared" si="17"/>
        <v>45487</v>
      </c>
      <c r="Y87" s="35">
        <f t="shared" si="18"/>
        <v>45515</v>
      </c>
      <c r="AC87" s="65">
        <f t="shared" si="11"/>
        <v>11.054</v>
      </c>
      <c r="AD87" s="65">
        <f t="shared" si="12"/>
        <v>0</v>
      </c>
      <c r="AE87" s="65">
        <f t="shared" si="13"/>
        <v>0</v>
      </c>
      <c r="AF87" s="65">
        <f t="shared" si="14"/>
        <v>11.054</v>
      </c>
    </row>
    <row r="88" spans="1:32" ht="20.149999999999999" customHeight="1">
      <c r="A88" s="3">
        <f>SUBTOTAL(103,$B$4:B88)</f>
        <v>85</v>
      </c>
      <c r="B88" s="35">
        <v>45487</v>
      </c>
      <c r="C88" s="23" t="s">
        <v>447</v>
      </c>
      <c r="D88" s="3" t="str">
        <f>VLOOKUP(C88,'Location Summary'!$C$4:$D$602,2,0)</f>
        <v>DA+0</v>
      </c>
      <c r="E88" s="118" t="s">
        <v>403</v>
      </c>
      <c r="F88" s="92" t="s">
        <v>683</v>
      </c>
      <c r="M88" s="158">
        <v>1</v>
      </c>
      <c r="Q88" s="157">
        <v>1</v>
      </c>
      <c r="T88" s="3">
        <v>60</v>
      </c>
      <c r="U88" s="3" t="s">
        <v>739</v>
      </c>
      <c r="V88" s="3" t="s">
        <v>739</v>
      </c>
      <c r="W88" s="3" t="s">
        <v>731</v>
      </c>
      <c r="X88" s="35">
        <f t="shared" si="17"/>
        <v>45487</v>
      </c>
      <c r="Y88" s="35">
        <f t="shared" si="18"/>
        <v>45515</v>
      </c>
      <c r="AC88" s="65">
        <f t="shared" si="11"/>
        <v>4.726</v>
      </c>
      <c r="AD88" s="65">
        <f t="shared" si="12"/>
        <v>2.7549999999999999</v>
      </c>
      <c r="AE88" s="65">
        <f t="shared" si="13"/>
        <v>0</v>
      </c>
      <c r="AF88" s="65">
        <f t="shared" si="14"/>
        <v>7.4809999999999999</v>
      </c>
    </row>
    <row r="89" spans="1:32" ht="20.149999999999999" customHeight="1">
      <c r="A89" s="3">
        <f>SUBTOTAL(103,$B$4:B89)</f>
        <v>86</v>
      </c>
      <c r="B89" s="35">
        <v>45488</v>
      </c>
      <c r="C89" s="23" t="s">
        <v>397</v>
      </c>
      <c r="D89" s="3" t="str">
        <f>VLOOKUP(C89,'Location Summary'!$C$4:$D$602,2,0)</f>
        <v>DA+9</v>
      </c>
      <c r="E89" s="118" t="s">
        <v>403</v>
      </c>
      <c r="F89" s="92" t="s">
        <v>683</v>
      </c>
      <c r="K89" s="157">
        <v>1</v>
      </c>
      <c r="T89" s="3">
        <v>60</v>
      </c>
      <c r="U89" s="3" t="s">
        <v>792</v>
      </c>
      <c r="V89" s="3" t="s">
        <v>792</v>
      </c>
      <c r="W89" s="3" t="s">
        <v>793</v>
      </c>
      <c r="X89" s="35">
        <f t="shared" si="17"/>
        <v>45488</v>
      </c>
      <c r="Y89" s="35">
        <f t="shared" si="18"/>
        <v>45516</v>
      </c>
      <c r="AC89" s="65">
        <f t="shared" si="11"/>
        <v>0</v>
      </c>
      <c r="AD89" s="65">
        <f t="shared" si="12"/>
        <v>2.7549999999999999</v>
      </c>
      <c r="AE89" s="65">
        <f t="shared" si="13"/>
        <v>0</v>
      </c>
      <c r="AF89" s="65">
        <f t="shared" si="14"/>
        <v>2.7549999999999999</v>
      </c>
    </row>
    <row r="90" spans="1:32" ht="20.149999999999999" customHeight="1">
      <c r="A90" s="3">
        <f>SUBTOTAL(103,$B$4:B90)</f>
        <v>87</v>
      </c>
      <c r="B90" s="35">
        <v>45488</v>
      </c>
      <c r="C90" s="23" t="s">
        <v>422</v>
      </c>
      <c r="D90" s="3" t="str">
        <f>VLOOKUP(C90,'Location Summary'!$C$4:$D$602,2,0)</f>
        <v>DA+0</v>
      </c>
      <c r="E90" s="118" t="s">
        <v>403</v>
      </c>
      <c r="F90" s="92" t="s">
        <v>683</v>
      </c>
      <c r="G90" s="158">
        <v>1</v>
      </c>
      <c r="J90" s="158">
        <v>1</v>
      </c>
      <c r="T90" s="3">
        <v>60</v>
      </c>
      <c r="U90" s="3" t="s">
        <v>729</v>
      </c>
      <c r="V90" s="3" t="s">
        <v>729</v>
      </c>
      <c r="W90" s="3" t="s">
        <v>737</v>
      </c>
      <c r="X90" s="35">
        <f t="shared" si="17"/>
        <v>45488</v>
      </c>
      <c r="Y90" s="35">
        <f t="shared" si="18"/>
        <v>45516</v>
      </c>
      <c r="AC90" s="65">
        <f t="shared" si="11"/>
        <v>9.452</v>
      </c>
      <c r="AD90" s="65">
        <f t="shared" si="12"/>
        <v>0</v>
      </c>
      <c r="AE90" s="65">
        <f t="shared" si="13"/>
        <v>0</v>
      </c>
      <c r="AF90" s="65">
        <f t="shared" si="14"/>
        <v>9.452</v>
      </c>
    </row>
    <row r="91" spans="1:32" ht="20.149999999999999" customHeight="1">
      <c r="A91" s="3">
        <f>SUBTOTAL(103,$B$4:B91)</f>
        <v>88</v>
      </c>
      <c r="B91" s="35">
        <v>45488</v>
      </c>
      <c r="C91" s="23" t="s">
        <v>447</v>
      </c>
      <c r="D91" s="3" t="str">
        <f>VLOOKUP(C91,'Location Summary'!$C$4:$D$602,2,0)</f>
        <v>DA+0</v>
      </c>
      <c r="E91" s="118" t="s">
        <v>403</v>
      </c>
      <c r="F91" s="92" t="s">
        <v>683</v>
      </c>
      <c r="I91" s="156">
        <v>1</v>
      </c>
      <c r="L91" s="156">
        <v>1</v>
      </c>
      <c r="N91" s="157">
        <v>1</v>
      </c>
      <c r="O91" s="156">
        <v>1</v>
      </c>
      <c r="R91" s="156">
        <v>1</v>
      </c>
      <c r="T91" s="3">
        <v>55</v>
      </c>
      <c r="U91" s="3" t="s">
        <v>752</v>
      </c>
      <c r="V91" s="3" t="s">
        <v>744</v>
      </c>
      <c r="W91" s="3" t="s">
        <v>733</v>
      </c>
      <c r="X91" s="35">
        <f t="shared" si="17"/>
        <v>45488</v>
      </c>
      <c r="Y91" s="35">
        <f t="shared" si="18"/>
        <v>45516</v>
      </c>
      <c r="AC91" s="65">
        <f t="shared" si="11"/>
        <v>0</v>
      </c>
      <c r="AD91" s="65">
        <f t="shared" si="12"/>
        <v>2.7549999999999999</v>
      </c>
      <c r="AE91" s="65">
        <f t="shared" si="13"/>
        <v>4.2160000000000002</v>
      </c>
      <c r="AF91" s="65">
        <f t="shared" si="14"/>
        <v>6.9710000000000001</v>
      </c>
    </row>
    <row r="92" spans="1:32" ht="20.149999999999999" customHeight="1">
      <c r="A92" s="3">
        <f>SUBTOTAL(103,$B$4:B92)</f>
        <v>89</v>
      </c>
      <c r="B92" s="35">
        <v>45489</v>
      </c>
      <c r="C92" s="23" t="s">
        <v>397</v>
      </c>
      <c r="D92" s="3" t="str">
        <f>VLOOKUP(C92,'Location Summary'!$C$4:$D$602,2,0)</f>
        <v>DA+9</v>
      </c>
      <c r="E92" s="118" t="s">
        <v>403</v>
      </c>
      <c r="F92" s="92" t="s">
        <v>683</v>
      </c>
      <c r="H92" s="157">
        <v>1</v>
      </c>
      <c r="I92" s="156">
        <v>1</v>
      </c>
      <c r="L92" s="156">
        <v>1</v>
      </c>
      <c r="M92" s="158">
        <v>1</v>
      </c>
      <c r="T92" s="3">
        <v>60</v>
      </c>
      <c r="U92" s="3" t="s">
        <v>794</v>
      </c>
      <c r="V92" s="3" t="s">
        <v>795</v>
      </c>
      <c r="W92" s="3" t="s">
        <v>796</v>
      </c>
      <c r="X92" s="35">
        <f t="shared" si="17"/>
        <v>45489</v>
      </c>
      <c r="Y92" s="35">
        <f t="shared" si="18"/>
        <v>45517</v>
      </c>
      <c r="AC92" s="65">
        <f t="shared" si="11"/>
        <v>5.5270000000000001</v>
      </c>
      <c r="AD92" s="65">
        <f t="shared" si="12"/>
        <v>2.7549999999999999</v>
      </c>
      <c r="AE92" s="65">
        <f t="shared" si="13"/>
        <v>2.0859999999999999</v>
      </c>
      <c r="AF92" s="65">
        <f t="shared" si="14"/>
        <v>10.368</v>
      </c>
    </row>
    <row r="93" spans="1:32" ht="20.149999999999999" customHeight="1">
      <c r="A93" s="3">
        <f>SUBTOTAL(103,$B$4:B93)</f>
        <v>90</v>
      </c>
      <c r="B93" s="35">
        <v>45489</v>
      </c>
      <c r="C93" s="23" t="s">
        <v>422</v>
      </c>
      <c r="D93" s="3" t="str">
        <f>VLOOKUP(C93,'Location Summary'!$C$4:$D$602,2,0)</f>
        <v>DA+0</v>
      </c>
      <c r="E93" s="118" t="s">
        <v>403</v>
      </c>
      <c r="F93" s="92" t="s">
        <v>683</v>
      </c>
      <c r="H93" s="157">
        <v>1</v>
      </c>
      <c r="I93" s="156">
        <v>1</v>
      </c>
      <c r="K93" s="157">
        <v>1</v>
      </c>
      <c r="L93" s="156">
        <v>1</v>
      </c>
      <c r="T93" s="3">
        <v>58</v>
      </c>
      <c r="U93" s="3" t="s">
        <v>736</v>
      </c>
      <c r="V93" s="3" t="s">
        <v>752</v>
      </c>
      <c r="W93" s="3" t="s">
        <v>744</v>
      </c>
      <c r="X93" s="35">
        <f t="shared" si="17"/>
        <v>45489</v>
      </c>
      <c r="Y93" s="35">
        <f t="shared" si="18"/>
        <v>45517</v>
      </c>
      <c r="AC93" s="65">
        <f t="shared" si="11"/>
        <v>0</v>
      </c>
      <c r="AD93" s="65">
        <f t="shared" si="12"/>
        <v>5.51</v>
      </c>
      <c r="AE93" s="65">
        <f t="shared" si="13"/>
        <v>2.1080000000000001</v>
      </c>
      <c r="AF93" s="65">
        <f t="shared" si="14"/>
        <v>7.6180000000000003</v>
      </c>
    </row>
    <row r="94" spans="1:32" ht="20.149999999999999" customHeight="1">
      <c r="A94" s="3">
        <f>SUBTOTAL(103,$B$4:B94)</f>
        <v>91</v>
      </c>
      <c r="B94" s="35">
        <v>45490</v>
      </c>
      <c r="C94" s="23" t="s">
        <v>390</v>
      </c>
      <c r="D94" s="3" t="str">
        <f>VLOOKUP(C94,'Location Summary'!$C$4:$D$602,2,0)</f>
        <v>DA-3</v>
      </c>
      <c r="E94" s="118" t="s">
        <v>403</v>
      </c>
      <c r="F94" s="92" t="s">
        <v>683</v>
      </c>
      <c r="G94" s="158">
        <v>1</v>
      </c>
      <c r="P94" s="158">
        <v>1</v>
      </c>
      <c r="T94" s="3">
        <v>50</v>
      </c>
      <c r="U94" s="3" t="s">
        <v>797</v>
      </c>
      <c r="V94" s="3" t="s">
        <v>797</v>
      </c>
      <c r="W94" s="3" t="s">
        <v>798</v>
      </c>
      <c r="X94" s="35">
        <f t="shared" si="17"/>
        <v>45490</v>
      </c>
      <c r="Y94" s="35">
        <f t="shared" si="18"/>
        <v>45518</v>
      </c>
      <c r="AC94" s="65">
        <f t="shared" si="11"/>
        <v>9.452</v>
      </c>
      <c r="AD94" s="65">
        <f t="shared" si="12"/>
        <v>0</v>
      </c>
      <c r="AE94" s="65">
        <f t="shared" si="13"/>
        <v>0</v>
      </c>
      <c r="AF94" s="65">
        <f t="shared" si="14"/>
        <v>9.452</v>
      </c>
    </row>
    <row r="95" spans="1:32" ht="20.149999999999999" customHeight="1">
      <c r="A95" s="3">
        <f>SUBTOTAL(103,$B$4:B95)</f>
        <v>92</v>
      </c>
      <c r="B95" s="35">
        <v>45490</v>
      </c>
      <c r="C95" s="23" t="s">
        <v>397</v>
      </c>
      <c r="D95" s="3" t="str">
        <f>VLOOKUP(C95,'Location Summary'!$C$4:$D$602,2,0)</f>
        <v>DA+9</v>
      </c>
      <c r="E95" s="118" t="s">
        <v>403</v>
      </c>
      <c r="F95" s="92" t="s">
        <v>683</v>
      </c>
      <c r="P95" s="158">
        <v>1</v>
      </c>
      <c r="T95" s="3">
        <v>57</v>
      </c>
      <c r="U95" s="3" t="s">
        <v>762</v>
      </c>
      <c r="V95" s="3" t="s">
        <v>762</v>
      </c>
      <c r="W95" s="3" t="s">
        <v>762</v>
      </c>
      <c r="X95" s="35">
        <f t="shared" si="17"/>
        <v>45490</v>
      </c>
      <c r="Y95" s="35">
        <f t="shared" si="18"/>
        <v>45518</v>
      </c>
      <c r="AC95" s="65">
        <f t="shared" si="11"/>
        <v>5.5270000000000001</v>
      </c>
      <c r="AD95" s="65">
        <f t="shared" si="12"/>
        <v>0</v>
      </c>
      <c r="AE95" s="65">
        <f t="shared" si="13"/>
        <v>0</v>
      </c>
      <c r="AF95" s="65">
        <f t="shared" si="14"/>
        <v>5.5270000000000001</v>
      </c>
    </row>
    <row r="96" spans="1:32" ht="20.149999999999999" customHeight="1">
      <c r="A96" s="3">
        <f>SUBTOTAL(103,$B$4:B96)</f>
        <v>93</v>
      </c>
      <c r="B96" s="35">
        <v>45490</v>
      </c>
      <c r="C96" s="23" t="s">
        <v>422</v>
      </c>
      <c r="D96" s="3" t="str">
        <f>VLOOKUP(C96,'Location Summary'!$C$4:$D$602,2,0)</f>
        <v>DA+0</v>
      </c>
      <c r="E96" s="118" t="s">
        <v>403</v>
      </c>
      <c r="F96" s="92" t="s">
        <v>683</v>
      </c>
      <c r="M96" s="158">
        <v>1</v>
      </c>
      <c r="P96" s="158">
        <v>1</v>
      </c>
      <c r="T96" s="3">
        <v>57</v>
      </c>
      <c r="U96" s="3" t="s">
        <v>731</v>
      </c>
      <c r="V96" s="3" t="s">
        <v>732</v>
      </c>
      <c r="W96" s="3" t="s">
        <v>732</v>
      </c>
      <c r="X96" s="35">
        <f t="shared" si="17"/>
        <v>45490</v>
      </c>
      <c r="Y96" s="35">
        <f t="shared" si="18"/>
        <v>45518</v>
      </c>
      <c r="AC96" s="65">
        <f t="shared" si="11"/>
        <v>9.452</v>
      </c>
      <c r="AD96" s="65">
        <f t="shared" si="12"/>
        <v>0</v>
      </c>
      <c r="AE96" s="65">
        <f t="shared" si="13"/>
        <v>0</v>
      </c>
      <c r="AF96" s="65">
        <f t="shared" si="14"/>
        <v>9.452</v>
      </c>
    </row>
    <row r="97" spans="1:32" ht="20.149999999999999" customHeight="1">
      <c r="A97" s="3">
        <f>SUBTOTAL(103,$B$4:B97)</f>
        <v>94</v>
      </c>
      <c r="B97" s="35">
        <v>45491</v>
      </c>
      <c r="C97" s="23" t="s">
        <v>390</v>
      </c>
      <c r="D97" s="3" t="str">
        <f>VLOOKUP(C97,'Location Summary'!$C$4:$D$602,2,0)</f>
        <v>DA-3</v>
      </c>
      <c r="E97" s="118" t="s">
        <v>403</v>
      </c>
      <c r="F97" s="92" t="s">
        <v>683</v>
      </c>
      <c r="H97" s="157">
        <v>1</v>
      </c>
      <c r="I97" s="156">
        <v>1</v>
      </c>
      <c r="Q97" s="157">
        <v>1</v>
      </c>
      <c r="R97" s="156">
        <v>1</v>
      </c>
      <c r="X97" s="35">
        <f t="shared" si="17"/>
        <v>45491</v>
      </c>
      <c r="Y97" s="35">
        <f t="shared" si="18"/>
        <v>45519</v>
      </c>
      <c r="AC97" s="65">
        <f t="shared" si="11"/>
        <v>0</v>
      </c>
      <c r="AD97" s="65">
        <f t="shared" si="12"/>
        <v>5.51</v>
      </c>
      <c r="AE97" s="65">
        <f t="shared" si="13"/>
        <v>2.1080000000000001</v>
      </c>
      <c r="AF97" s="65">
        <f t="shared" si="14"/>
        <v>7.6180000000000003</v>
      </c>
    </row>
    <row r="98" spans="1:32" ht="20.149999999999999" customHeight="1">
      <c r="A98" s="3">
        <f>SUBTOTAL(103,$B$4:B98)</f>
        <v>95</v>
      </c>
      <c r="B98" s="35">
        <v>45491</v>
      </c>
      <c r="C98" s="23" t="s">
        <v>422</v>
      </c>
      <c r="D98" s="3" t="str">
        <f>VLOOKUP(C98,'Location Summary'!$C$4:$D$602,2,0)</f>
        <v>DA+0</v>
      </c>
      <c r="E98" s="118" t="s">
        <v>403</v>
      </c>
      <c r="F98" s="92" t="s">
        <v>683</v>
      </c>
      <c r="N98" s="157">
        <v>1</v>
      </c>
      <c r="O98" s="156">
        <v>1</v>
      </c>
      <c r="Q98" s="157">
        <v>1</v>
      </c>
      <c r="R98" s="156">
        <v>1</v>
      </c>
      <c r="T98" s="3">
        <v>55</v>
      </c>
      <c r="U98" s="3" t="s">
        <v>787</v>
      </c>
      <c r="V98" s="3" t="s">
        <v>751</v>
      </c>
      <c r="W98" s="3" t="s">
        <v>751</v>
      </c>
      <c r="X98" s="35">
        <f t="shared" si="17"/>
        <v>45491</v>
      </c>
      <c r="Y98" s="35">
        <f t="shared" si="18"/>
        <v>45519</v>
      </c>
      <c r="AC98" s="65">
        <f t="shared" si="11"/>
        <v>0</v>
      </c>
      <c r="AD98" s="65">
        <f t="shared" si="12"/>
        <v>5.51</v>
      </c>
      <c r="AE98" s="65">
        <f t="shared" si="13"/>
        <v>2.1080000000000001</v>
      </c>
      <c r="AF98" s="65">
        <f t="shared" si="14"/>
        <v>7.6180000000000003</v>
      </c>
    </row>
    <row r="99" spans="1:32" ht="20.149999999999999" customHeight="1">
      <c r="A99" s="3">
        <f>SUBTOTAL(103,$B$4:B99)</f>
        <v>96</v>
      </c>
      <c r="B99" s="35">
        <v>45492</v>
      </c>
      <c r="C99" s="23" t="s">
        <v>390</v>
      </c>
      <c r="D99" s="3" t="str">
        <f>VLOOKUP(C99,'Location Summary'!$C$4:$D$602,2,0)</f>
        <v>DA-3</v>
      </c>
      <c r="E99" s="118" t="s">
        <v>403</v>
      </c>
      <c r="F99" s="92" t="s">
        <v>683</v>
      </c>
      <c r="J99" s="158">
        <v>1</v>
      </c>
      <c r="M99" s="158">
        <v>1</v>
      </c>
      <c r="X99" s="35">
        <f t="shared" si="17"/>
        <v>45492</v>
      </c>
      <c r="Y99" s="35">
        <f t="shared" si="18"/>
        <v>45520</v>
      </c>
      <c r="AC99" s="65">
        <f t="shared" si="11"/>
        <v>9.452</v>
      </c>
      <c r="AD99" s="65">
        <f t="shared" si="12"/>
        <v>0</v>
      </c>
      <c r="AE99" s="65">
        <f t="shared" si="13"/>
        <v>0</v>
      </c>
      <c r="AF99" s="65">
        <f t="shared" si="14"/>
        <v>9.452</v>
      </c>
    </row>
    <row r="100" spans="1:32" ht="20.149999999999999" customHeight="1">
      <c r="A100" s="3">
        <f>SUBTOTAL(103,$B$4:B100)</f>
        <v>97</v>
      </c>
      <c r="B100" s="35">
        <v>45492</v>
      </c>
      <c r="C100" s="23" t="s">
        <v>397</v>
      </c>
      <c r="D100" s="3" t="str">
        <f>VLOOKUP(C100,'Location Summary'!$C$4:$D$602,2,0)</f>
        <v>DA+9</v>
      </c>
      <c r="E100" s="118" t="s">
        <v>403</v>
      </c>
      <c r="F100" s="92" t="s">
        <v>683</v>
      </c>
      <c r="N100" s="157">
        <v>1</v>
      </c>
      <c r="O100" s="156">
        <v>1</v>
      </c>
      <c r="Q100" s="157">
        <v>1</v>
      </c>
      <c r="R100" s="156">
        <v>1</v>
      </c>
      <c r="X100" s="35">
        <f t="shared" si="17"/>
        <v>45492</v>
      </c>
      <c r="Y100" s="35">
        <f t="shared" si="18"/>
        <v>45520</v>
      </c>
      <c r="AC100" s="65">
        <f t="shared" si="11"/>
        <v>0</v>
      </c>
      <c r="AD100" s="65">
        <f t="shared" si="12"/>
        <v>5.51</v>
      </c>
      <c r="AE100" s="65">
        <f t="shared" si="13"/>
        <v>2.0859999999999999</v>
      </c>
      <c r="AF100" s="65">
        <f t="shared" si="14"/>
        <v>7.5960000000000001</v>
      </c>
    </row>
    <row r="101" spans="1:32" ht="20.149999999999999" customHeight="1">
      <c r="A101" s="3">
        <f>SUBTOTAL(103,$B$4:B101)</f>
        <v>98</v>
      </c>
      <c r="B101" s="35">
        <v>45492</v>
      </c>
      <c r="C101" s="23" t="s">
        <v>446</v>
      </c>
      <c r="D101" s="3" t="str">
        <f>VLOOKUP(C101,'Location Summary'!$C$4:$D$602,2,0)</f>
        <v>DA+9</v>
      </c>
      <c r="E101" s="118" t="s">
        <v>403</v>
      </c>
      <c r="F101" s="92" t="s">
        <v>311</v>
      </c>
      <c r="G101" s="158">
        <v>1</v>
      </c>
      <c r="H101" s="157">
        <v>1</v>
      </c>
      <c r="P101" s="158">
        <v>1</v>
      </c>
      <c r="Q101" s="157">
        <v>1</v>
      </c>
      <c r="X101" s="35">
        <f t="shared" si="17"/>
        <v>45492</v>
      </c>
      <c r="Y101" s="35">
        <f t="shared" si="18"/>
        <v>45520</v>
      </c>
      <c r="AC101" s="65">
        <f t="shared" si="11"/>
        <v>11.054</v>
      </c>
      <c r="AD101" s="65">
        <f t="shared" si="12"/>
        <v>5.51</v>
      </c>
      <c r="AE101" s="65">
        <f t="shared" si="13"/>
        <v>0</v>
      </c>
      <c r="AF101" s="65">
        <f t="shared" si="14"/>
        <v>16.564</v>
      </c>
    </row>
    <row r="102" spans="1:32" ht="20.149999999999999" customHeight="1">
      <c r="A102" s="3">
        <f>SUBTOTAL(103,$B$4:B102)</f>
        <v>99</v>
      </c>
      <c r="B102" s="35">
        <v>45493</v>
      </c>
      <c r="C102" s="23" t="s">
        <v>390</v>
      </c>
      <c r="D102" s="3" t="str">
        <f>VLOOKUP(C102,'Location Summary'!$C$4:$D$602,2,0)</f>
        <v>DA-3</v>
      </c>
      <c r="E102" s="118" t="s">
        <v>403</v>
      </c>
      <c r="F102" s="92" t="s">
        <v>683</v>
      </c>
      <c r="K102" s="157">
        <v>1</v>
      </c>
      <c r="L102" s="156">
        <v>1</v>
      </c>
      <c r="N102" s="157">
        <v>1</v>
      </c>
      <c r="O102" s="156">
        <v>1</v>
      </c>
      <c r="X102" s="35">
        <f t="shared" si="17"/>
        <v>45493</v>
      </c>
      <c r="Y102" s="35">
        <f t="shared" si="18"/>
        <v>45521</v>
      </c>
      <c r="AC102" s="65">
        <f t="shared" si="11"/>
        <v>0</v>
      </c>
      <c r="AD102" s="65">
        <f t="shared" si="12"/>
        <v>5.51</v>
      </c>
      <c r="AE102" s="65">
        <f t="shared" si="13"/>
        <v>2.1080000000000001</v>
      </c>
      <c r="AF102" s="65">
        <f t="shared" si="14"/>
        <v>7.6180000000000003</v>
      </c>
    </row>
    <row r="103" spans="1:32" ht="20.149999999999999" customHeight="1">
      <c r="A103" s="3">
        <f>SUBTOTAL(103,$B$4:B103)</f>
        <v>100</v>
      </c>
      <c r="B103" s="35">
        <v>45494</v>
      </c>
      <c r="C103" s="23" t="s">
        <v>446</v>
      </c>
      <c r="D103" s="3" t="str">
        <f>VLOOKUP(C103,'Location Summary'!$C$4:$D$602,2,0)</f>
        <v>DA+9</v>
      </c>
      <c r="E103" s="118" t="s">
        <v>403</v>
      </c>
      <c r="F103" s="92" t="s">
        <v>311</v>
      </c>
      <c r="X103" s="35">
        <f t="shared" si="17"/>
        <v>45494</v>
      </c>
      <c r="Y103" s="35">
        <f t="shared" si="18"/>
        <v>45522</v>
      </c>
      <c r="AC103" s="65">
        <f t="shared" si="11"/>
        <v>0</v>
      </c>
      <c r="AD103" s="65">
        <f t="shared" si="12"/>
        <v>0</v>
      </c>
      <c r="AE103" s="65">
        <f t="shared" si="13"/>
        <v>0</v>
      </c>
      <c r="AF103" s="65">
        <f t="shared" si="14"/>
        <v>0</v>
      </c>
    </row>
    <row r="104" spans="1:32" ht="20.149999999999999" customHeight="1">
      <c r="A104" s="3">
        <f>SUBTOTAL(103,$B$4:B104)</f>
        <v>101</v>
      </c>
      <c r="B104" s="35">
        <v>45494</v>
      </c>
      <c r="C104" s="23" t="s">
        <v>391</v>
      </c>
      <c r="D104" s="3" t="str">
        <f>VLOOKUP(C104,'Location Summary'!$C$4:$D$602,2,0)</f>
        <v>DA+6</v>
      </c>
      <c r="E104" s="118" t="s">
        <v>403</v>
      </c>
      <c r="F104" s="92" t="s">
        <v>683</v>
      </c>
      <c r="P104" s="158">
        <v>1</v>
      </c>
      <c r="Q104" s="157">
        <v>1</v>
      </c>
      <c r="X104" s="35">
        <f t="shared" ref="X104:X113" si="19">B104</f>
        <v>45494</v>
      </c>
      <c r="Y104" s="35">
        <f t="shared" ref="Y104:Y113" si="20">B104+28</f>
        <v>45522</v>
      </c>
    </row>
    <row r="105" spans="1:32" ht="20.149999999999999" customHeight="1">
      <c r="A105" s="3">
        <f>SUBTOTAL(103,$B$4:B105)</f>
        <v>102</v>
      </c>
      <c r="B105" s="35">
        <v>45494</v>
      </c>
      <c r="C105" s="23" t="s">
        <v>398</v>
      </c>
      <c r="D105" s="3" t="str">
        <f>VLOOKUP(C105,'Location Summary'!$C$4:$D$602,2,0)</f>
        <v>DA+3</v>
      </c>
      <c r="E105" s="118" t="s">
        <v>403</v>
      </c>
      <c r="F105" s="92" t="s">
        <v>683</v>
      </c>
      <c r="G105" s="158">
        <v>1</v>
      </c>
      <c r="P105" s="158">
        <v>1</v>
      </c>
      <c r="X105" s="35">
        <f t="shared" si="19"/>
        <v>45494</v>
      </c>
      <c r="Y105" s="35">
        <f t="shared" si="20"/>
        <v>45522</v>
      </c>
    </row>
    <row r="106" spans="1:32" ht="20.149999999999999" customHeight="1">
      <c r="A106" s="3">
        <f>SUBTOTAL(103,$B$4:B106)</f>
        <v>103</v>
      </c>
      <c r="B106" s="35">
        <v>45494</v>
      </c>
      <c r="C106" s="23" t="s">
        <v>433</v>
      </c>
      <c r="D106" s="3" t="str">
        <f>VLOOKUP(C106,'Location Summary'!$C$4:$D$602,2,0)</f>
        <v>DA+3</v>
      </c>
      <c r="E106" s="118" t="s">
        <v>403</v>
      </c>
      <c r="F106" s="92" t="s">
        <v>683</v>
      </c>
      <c r="M106" s="158">
        <v>1</v>
      </c>
      <c r="P106" s="158">
        <v>1</v>
      </c>
      <c r="X106" s="35">
        <f t="shared" si="19"/>
        <v>45494</v>
      </c>
      <c r="Y106" s="35">
        <f t="shared" si="20"/>
        <v>45522</v>
      </c>
    </row>
    <row r="107" spans="1:32" ht="20.149999999999999" customHeight="1">
      <c r="A107" s="3">
        <f>SUBTOTAL(103,$B$4:B107)</f>
        <v>104</v>
      </c>
      <c r="B107" s="35">
        <v>45494</v>
      </c>
      <c r="C107" s="23" t="s">
        <v>446</v>
      </c>
      <c r="D107" s="3" t="str">
        <f>VLOOKUP(C107,'Location Summary'!$C$4:$D$602,2,0)</f>
        <v>DA+9</v>
      </c>
      <c r="E107" s="118" t="s">
        <v>403</v>
      </c>
      <c r="F107" s="92" t="s">
        <v>311</v>
      </c>
      <c r="I107" s="156">
        <v>1</v>
      </c>
      <c r="M107" s="158">
        <v>1</v>
      </c>
      <c r="N107" s="157">
        <v>1</v>
      </c>
      <c r="R107" s="156">
        <v>1</v>
      </c>
      <c r="X107" s="35">
        <f t="shared" si="19"/>
        <v>45494</v>
      </c>
      <c r="Y107" s="35">
        <f t="shared" si="20"/>
        <v>45522</v>
      </c>
    </row>
    <row r="108" spans="1:32" ht="20.149999999999999" customHeight="1">
      <c r="A108" s="3">
        <f>SUBTOTAL(103,$B$4:B108)</f>
        <v>105</v>
      </c>
      <c r="B108" s="35">
        <v>45495</v>
      </c>
      <c r="C108" s="23" t="s">
        <v>433</v>
      </c>
      <c r="D108" s="3" t="str">
        <f>VLOOKUP(C108,'Location Summary'!$C$4:$D$602,2,0)</f>
        <v>DA+3</v>
      </c>
      <c r="E108" s="118" t="s">
        <v>403</v>
      </c>
      <c r="F108" s="92" t="s">
        <v>683</v>
      </c>
      <c r="G108" s="158">
        <v>1</v>
      </c>
      <c r="N108" s="157">
        <v>1</v>
      </c>
      <c r="Q108" s="157">
        <v>1</v>
      </c>
      <c r="X108" s="35">
        <f t="shared" si="19"/>
        <v>45495</v>
      </c>
      <c r="Y108" s="35">
        <f t="shared" si="20"/>
        <v>45523</v>
      </c>
    </row>
    <row r="109" spans="1:32" ht="20.149999999999999" customHeight="1">
      <c r="A109" s="3">
        <f>SUBTOTAL(103,$B$4:B109)</f>
        <v>106</v>
      </c>
      <c r="B109" s="35">
        <v>45495</v>
      </c>
      <c r="C109" s="23" t="s">
        <v>446</v>
      </c>
      <c r="D109" s="3" t="str">
        <f>VLOOKUP(C109,'Location Summary'!$C$4:$D$602,2,0)</f>
        <v>DA+9</v>
      </c>
      <c r="E109" s="118" t="s">
        <v>403</v>
      </c>
      <c r="F109" s="92" t="s">
        <v>683</v>
      </c>
      <c r="J109" s="158">
        <v>1</v>
      </c>
      <c r="K109" s="157">
        <v>1</v>
      </c>
      <c r="L109" s="156">
        <v>1</v>
      </c>
      <c r="O109" s="156">
        <v>1</v>
      </c>
      <c r="X109" s="35">
        <f t="shared" si="19"/>
        <v>45495</v>
      </c>
      <c r="Y109" s="35">
        <f t="shared" si="20"/>
        <v>45523</v>
      </c>
    </row>
    <row r="110" spans="1:32" ht="20.149999999999999" customHeight="1">
      <c r="A110" s="3">
        <f>SUBTOTAL(103,$B$4:B110)</f>
        <v>107</v>
      </c>
      <c r="B110" s="35">
        <v>45496</v>
      </c>
      <c r="C110" s="23" t="s">
        <v>391</v>
      </c>
      <c r="D110" s="3" t="str">
        <f>VLOOKUP(C110,'Location Summary'!$C$4:$D$602,2,0)</f>
        <v>DA+6</v>
      </c>
      <c r="E110" s="118" t="s">
        <v>403</v>
      </c>
      <c r="F110" s="92" t="s">
        <v>683</v>
      </c>
      <c r="G110" s="158">
        <v>1</v>
      </c>
      <c r="M110" s="158">
        <v>1</v>
      </c>
      <c r="N110" s="157">
        <v>1</v>
      </c>
      <c r="R110" s="156">
        <v>1</v>
      </c>
      <c r="X110" s="35">
        <f t="shared" si="19"/>
        <v>45496</v>
      </c>
      <c r="Y110" s="35">
        <f t="shared" si="20"/>
        <v>45524</v>
      </c>
    </row>
    <row r="111" spans="1:32" ht="20.149999999999999" customHeight="1">
      <c r="A111" s="3">
        <f>SUBTOTAL(103,$B$4:B111)</f>
        <v>108</v>
      </c>
      <c r="B111" s="35">
        <v>45496</v>
      </c>
      <c r="C111" s="23" t="s">
        <v>398</v>
      </c>
      <c r="D111" s="3" t="str">
        <f>VLOOKUP(C111,'Location Summary'!$C$4:$D$602,2,0)</f>
        <v>DA+3</v>
      </c>
      <c r="E111" s="118" t="s">
        <v>403</v>
      </c>
      <c r="F111" s="92" t="s">
        <v>683</v>
      </c>
      <c r="H111" s="157">
        <v>1</v>
      </c>
      <c r="I111" s="156">
        <v>1</v>
      </c>
      <c r="J111" s="158">
        <v>1</v>
      </c>
      <c r="Q111" s="157">
        <v>1</v>
      </c>
      <c r="R111" s="156">
        <v>1</v>
      </c>
      <c r="X111" s="35">
        <f t="shared" si="19"/>
        <v>45496</v>
      </c>
      <c r="Y111" s="35">
        <f t="shared" si="20"/>
        <v>45524</v>
      </c>
    </row>
    <row r="112" spans="1:32" ht="20.149999999999999" customHeight="1">
      <c r="A112" s="3">
        <f>SUBTOTAL(103,$B$4:B112)</f>
        <v>109</v>
      </c>
      <c r="B112" s="35">
        <v>45496</v>
      </c>
      <c r="C112" s="23" t="s">
        <v>433</v>
      </c>
      <c r="D112" s="3" t="str">
        <f>VLOOKUP(C112,'Location Summary'!$C$4:$D$602,2,0)</f>
        <v>DA+3</v>
      </c>
      <c r="E112" s="118" t="s">
        <v>403</v>
      </c>
      <c r="F112" s="92" t="s">
        <v>683</v>
      </c>
      <c r="H112" s="157">
        <v>1</v>
      </c>
      <c r="I112" s="156">
        <v>1</v>
      </c>
      <c r="J112" s="158">
        <v>1</v>
      </c>
      <c r="O112" s="156">
        <v>1</v>
      </c>
      <c r="R112" s="156">
        <v>1</v>
      </c>
      <c r="X112" s="35">
        <f t="shared" si="19"/>
        <v>45496</v>
      </c>
      <c r="Y112" s="35">
        <f t="shared" si="20"/>
        <v>45524</v>
      </c>
    </row>
    <row r="113" spans="1:25" ht="20.149999999999999" customHeight="1">
      <c r="A113" s="3">
        <f>SUBTOTAL(103,$B$4:B113)</f>
        <v>110</v>
      </c>
      <c r="B113" s="35">
        <v>45497</v>
      </c>
      <c r="C113" s="23" t="s">
        <v>391</v>
      </c>
      <c r="D113" s="3" t="str">
        <f>VLOOKUP(C113,'Location Summary'!$C$4:$D$602,2,0)</f>
        <v>DA+6</v>
      </c>
      <c r="E113" s="118" t="s">
        <v>403</v>
      </c>
      <c r="F113" s="92" t="s">
        <v>683</v>
      </c>
      <c r="H113" s="157">
        <v>1</v>
      </c>
      <c r="I113" s="156">
        <v>1</v>
      </c>
      <c r="O113" s="156">
        <v>1</v>
      </c>
      <c r="X113" s="35">
        <f t="shared" si="19"/>
        <v>45497</v>
      </c>
      <c r="Y113" s="35">
        <f t="shared" si="20"/>
        <v>45525</v>
      </c>
    </row>
    <row r="114" spans="1:25" ht="20.149999999999999" customHeight="1">
      <c r="A114" s="3">
        <f>SUBTOTAL(103,$B$4:B114)</f>
        <v>111</v>
      </c>
      <c r="B114" s="35">
        <v>45497</v>
      </c>
      <c r="C114" s="23" t="s">
        <v>398</v>
      </c>
      <c r="D114" s="3" t="str">
        <f>VLOOKUP(C114,'Location Summary'!$C$4:$D$602,2,0)</f>
        <v>DA+3</v>
      </c>
      <c r="E114" s="118" t="s">
        <v>403</v>
      </c>
      <c r="F114" s="92" t="s">
        <v>683</v>
      </c>
      <c r="K114" s="157">
        <v>1</v>
      </c>
      <c r="M114" s="158">
        <v>1</v>
      </c>
      <c r="X114" s="35">
        <f t="shared" ref="X114:X134" si="21">B114</f>
        <v>45497</v>
      </c>
      <c r="Y114" s="35">
        <f t="shared" ref="Y114:Y134" si="22">B114+28</f>
        <v>45525</v>
      </c>
    </row>
    <row r="115" spans="1:25" ht="20.149999999999999" customHeight="1">
      <c r="A115" s="3">
        <f>SUBTOTAL(103,$B$4:B115)</f>
        <v>112</v>
      </c>
      <c r="B115" s="35">
        <v>45497</v>
      </c>
      <c r="C115" s="23" t="s">
        <v>433</v>
      </c>
      <c r="D115" s="3" t="str">
        <f>VLOOKUP(C115,'Location Summary'!$C$4:$D$602,2,0)</f>
        <v>DA+3</v>
      </c>
      <c r="E115" s="118" t="s">
        <v>403</v>
      </c>
      <c r="F115" s="92" t="s">
        <v>683</v>
      </c>
      <c r="K115" s="157">
        <v>1</v>
      </c>
      <c r="L115" s="156">
        <v>1</v>
      </c>
      <c r="X115" s="35">
        <f t="shared" si="21"/>
        <v>45497</v>
      </c>
      <c r="Y115" s="35">
        <f t="shared" si="22"/>
        <v>45525</v>
      </c>
    </row>
    <row r="116" spans="1:25" ht="20.149999999999999" customHeight="1">
      <c r="A116" s="3">
        <f>SUBTOTAL(103,$B$4:B116)</f>
        <v>113</v>
      </c>
      <c r="B116" s="35">
        <v>45497</v>
      </c>
      <c r="C116" s="23" t="s">
        <v>450</v>
      </c>
      <c r="D116" s="3" t="str">
        <f>VLOOKUP(C116,'Location Summary'!$C$4:$D$602,2,0)</f>
        <v>DA+4.5</v>
      </c>
      <c r="E116" s="118" t="s">
        <v>403</v>
      </c>
      <c r="F116" s="92" t="s">
        <v>683</v>
      </c>
      <c r="J116" s="158">
        <v>1</v>
      </c>
      <c r="X116" s="35">
        <f t="shared" si="21"/>
        <v>45497</v>
      </c>
      <c r="Y116" s="35">
        <f t="shared" si="22"/>
        <v>45525</v>
      </c>
    </row>
    <row r="117" spans="1:25" ht="20.149999999999999" customHeight="1">
      <c r="A117" s="3">
        <f>SUBTOTAL(103,$B$4:B117)</f>
        <v>114</v>
      </c>
      <c r="B117" s="35">
        <v>45498</v>
      </c>
      <c r="C117" s="23" t="s">
        <v>391</v>
      </c>
      <c r="D117" s="3" t="str">
        <f>VLOOKUP(C117,'Location Summary'!$C$4:$D$602,2,0)</f>
        <v>DA+6</v>
      </c>
      <c r="E117" s="118" t="s">
        <v>403</v>
      </c>
      <c r="F117" s="92" t="s">
        <v>683</v>
      </c>
      <c r="J117" s="158">
        <v>1</v>
      </c>
      <c r="K117" s="157">
        <v>1</v>
      </c>
      <c r="L117" s="156">
        <v>1</v>
      </c>
      <c r="X117" s="35">
        <f t="shared" si="21"/>
        <v>45498</v>
      </c>
      <c r="Y117" s="35">
        <f t="shared" si="22"/>
        <v>45526</v>
      </c>
    </row>
    <row r="118" spans="1:25" ht="20.149999999999999" customHeight="1">
      <c r="A118" s="3">
        <f>SUBTOTAL(103,$B$4:B118)</f>
        <v>115</v>
      </c>
      <c r="B118" s="35">
        <v>45498</v>
      </c>
      <c r="C118" s="23" t="s">
        <v>398</v>
      </c>
      <c r="D118" s="3" t="str">
        <f>VLOOKUP(C118,'Location Summary'!$C$4:$D$602,2,0)</f>
        <v>DA+3</v>
      </c>
      <c r="E118" s="118" t="s">
        <v>403</v>
      </c>
      <c r="F118" s="92" t="s">
        <v>683</v>
      </c>
      <c r="L118" s="156">
        <v>1</v>
      </c>
      <c r="N118" s="157">
        <v>1</v>
      </c>
      <c r="O118" s="156">
        <v>1</v>
      </c>
      <c r="X118" s="35">
        <f t="shared" si="21"/>
        <v>45498</v>
      </c>
      <c r="Y118" s="35">
        <f t="shared" si="22"/>
        <v>45526</v>
      </c>
    </row>
    <row r="119" spans="1:25" ht="20.149999999999999" customHeight="1">
      <c r="A119" s="3">
        <f>SUBTOTAL(103,$B$4:B119)</f>
        <v>116</v>
      </c>
      <c r="B119" s="35">
        <v>45498</v>
      </c>
      <c r="C119" s="23" t="s">
        <v>450</v>
      </c>
      <c r="D119" s="3" t="str">
        <f>VLOOKUP(C119,'Location Summary'!$C$4:$D$602,2,0)</f>
        <v>DA+4.5</v>
      </c>
      <c r="E119" s="118" t="s">
        <v>403</v>
      </c>
      <c r="F119" s="92" t="s">
        <v>683</v>
      </c>
      <c r="G119" s="158">
        <v>1</v>
      </c>
      <c r="K119" s="157">
        <v>1</v>
      </c>
      <c r="P119" s="158">
        <v>1</v>
      </c>
      <c r="X119" s="35">
        <f t="shared" si="21"/>
        <v>45498</v>
      </c>
      <c r="Y119" s="35">
        <f t="shared" si="22"/>
        <v>45526</v>
      </c>
    </row>
    <row r="120" spans="1:25" ht="20.149999999999999" customHeight="1">
      <c r="A120" s="3">
        <f>SUBTOTAL(103,$B$4:B120)</f>
        <v>117</v>
      </c>
      <c r="B120" s="35">
        <v>45499</v>
      </c>
      <c r="C120" s="23" t="s">
        <v>432</v>
      </c>
      <c r="D120" s="3" t="str">
        <f>VLOOKUP(C120,'Location Summary'!$C$4:$D$602,2,0)</f>
        <v>DA+0</v>
      </c>
      <c r="E120" s="118" t="s">
        <v>403</v>
      </c>
      <c r="F120" s="92" t="s">
        <v>683</v>
      </c>
      <c r="G120" s="158">
        <v>1</v>
      </c>
      <c r="J120" s="158">
        <v>1</v>
      </c>
      <c r="X120" s="35">
        <f t="shared" si="21"/>
        <v>45499</v>
      </c>
      <c r="Y120" s="35">
        <f t="shared" si="22"/>
        <v>45527</v>
      </c>
    </row>
    <row r="121" spans="1:25" ht="20.149999999999999" customHeight="1">
      <c r="A121" s="3">
        <f>SUBTOTAL(103,$B$4:B121)</f>
        <v>118</v>
      </c>
      <c r="B121" s="35">
        <v>45499</v>
      </c>
      <c r="C121" s="23" t="s">
        <v>450</v>
      </c>
      <c r="D121" s="3" t="str">
        <f>VLOOKUP(C121,'Location Summary'!$C$4:$D$602,2,0)</f>
        <v>DA+4.5</v>
      </c>
      <c r="E121" s="118" t="s">
        <v>403</v>
      </c>
      <c r="F121" s="92" t="s">
        <v>683</v>
      </c>
      <c r="H121" s="157">
        <v>1</v>
      </c>
      <c r="I121" s="156">
        <v>1</v>
      </c>
      <c r="L121" s="156">
        <v>1</v>
      </c>
      <c r="Q121" s="157">
        <v>1</v>
      </c>
      <c r="R121" s="156">
        <v>1</v>
      </c>
      <c r="X121" s="35">
        <f t="shared" si="21"/>
        <v>45499</v>
      </c>
      <c r="Y121" s="35">
        <f t="shared" si="22"/>
        <v>45527</v>
      </c>
    </row>
    <row r="122" spans="1:25" ht="20.149999999999999" customHeight="1">
      <c r="A122" s="3">
        <f>SUBTOTAL(103,$B$4:B122)</f>
        <v>119</v>
      </c>
      <c r="B122" s="35">
        <v>45500</v>
      </c>
      <c r="C122" s="23" t="s">
        <v>432</v>
      </c>
      <c r="D122" s="3" t="str">
        <f>VLOOKUP(C122,'Location Summary'!$C$4:$D$602,2,0)</f>
        <v>DA+0</v>
      </c>
      <c r="E122" s="118" t="s">
        <v>403</v>
      </c>
      <c r="F122" s="92" t="s">
        <v>683</v>
      </c>
      <c r="M122" s="158">
        <v>1</v>
      </c>
      <c r="P122" s="158">
        <v>1</v>
      </c>
      <c r="X122" s="35">
        <f t="shared" si="21"/>
        <v>45500</v>
      </c>
      <c r="Y122" s="35">
        <f t="shared" si="22"/>
        <v>45528</v>
      </c>
    </row>
    <row r="123" spans="1:25" ht="20.149999999999999" customHeight="1">
      <c r="A123" s="3">
        <f>SUBTOTAL(103,$B$4:B123)</f>
        <v>120</v>
      </c>
      <c r="B123" s="35">
        <v>45500</v>
      </c>
      <c r="C123" s="23" t="s">
        <v>26</v>
      </c>
      <c r="D123" s="3" t="str">
        <f>VLOOKUP(C123,'Location Summary'!$C$4:$D$602,2,0)</f>
        <v>DA+0</v>
      </c>
      <c r="E123" s="118" t="s">
        <v>403</v>
      </c>
      <c r="F123" s="92" t="s">
        <v>683</v>
      </c>
      <c r="G123" s="158">
        <v>1</v>
      </c>
      <c r="P123" s="158">
        <v>1</v>
      </c>
      <c r="X123" s="35">
        <f t="shared" si="21"/>
        <v>45500</v>
      </c>
      <c r="Y123" s="35">
        <f t="shared" si="22"/>
        <v>45528</v>
      </c>
    </row>
    <row r="124" spans="1:25" ht="20.149999999999999" customHeight="1">
      <c r="A124" s="3">
        <f>SUBTOTAL(103,$B$4:B124)</f>
        <v>121</v>
      </c>
      <c r="B124" s="35">
        <v>45500</v>
      </c>
      <c r="C124" s="23" t="s">
        <v>450</v>
      </c>
      <c r="D124" s="3" t="str">
        <f>VLOOKUP(C124,'Location Summary'!$C$4:$D$602,2,0)</f>
        <v>DA+4.5</v>
      </c>
      <c r="E124" s="118" t="s">
        <v>403</v>
      </c>
      <c r="F124" s="92" t="s">
        <v>683</v>
      </c>
      <c r="M124" s="158">
        <v>1</v>
      </c>
      <c r="X124" s="35">
        <f t="shared" si="21"/>
        <v>45500</v>
      </c>
      <c r="Y124" s="35">
        <f t="shared" si="22"/>
        <v>45528</v>
      </c>
    </row>
    <row r="125" spans="1:25" ht="20.149999999999999" customHeight="1">
      <c r="A125" s="3">
        <f>SUBTOTAL(103,$B$4:B125)</f>
        <v>122</v>
      </c>
      <c r="B125" s="35">
        <v>45501</v>
      </c>
      <c r="C125" s="23" t="s">
        <v>432</v>
      </c>
      <c r="D125" s="3" t="str">
        <f>VLOOKUP(C125,'Location Summary'!$C$4:$D$602,2,0)</f>
        <v>DA+0</v>
      </c>
      <c r="E125" s="118" t="s">
        <v>403</v>
      </c>
      <c r="F125" s="92" t="s">
        <v>683</v>
      </c>
      <c r="H125" s="157">
        <v>1</v>
      </c>
      <c r="K125" s="157">
        <v>1</v>
      </c>
      <c r="N125" s="157">
        <v>1</v>
      </c>
      <c r="Q125" s="157">
        <v>1</v>
      </c>
      <c r="X125" s="35">
        <f t="shared" si="21"/>
        <v>45501</v>
      </c>
      <c r="Y125" s="35">
        <f t="shared" si="22"/>
        <v>45529</v>
      </c>
    </row>
    <row r="126" spans="1:25" ht="20.149999999999999" customHeight="1">
      <c r="A126" s="3">
        <f>SUBTOTAL(103,$B$4:B126)</f>
        <v>123</v>
      </c>
      <c r="B126" s="35">
        <v>45501</v>
      </c>
      <c r="C126" s="23" t="s">
        <v>26</v>
      </c>
      <c r="D126" s="3" t="str">
        <f>VLOOKUP(C126,'Location Summary'!$C$4:$D$602,2,0)</f>
        <v>DA+0</v>
      </c>
      <c r="E126" s="118" t="s">
        <v>403</v>
      </c>
      <c r="F126" s="92" t="s">
        <v>683</v>
      </c>
      <c r="H126" s="157">
        <v>1</v>
      </c>
      <c r="Q126" s="157">
        <v>1</v>
      </c>
      <c r="X126" s="35">
        <f t="shared" si="21"/>
        <v>45501</v>
      </c>
      <c r="Y126" s="35">
        <f t="shared" si="22"/>
        <v>45529</v>
      </c>
    </row>
    <row r="127" spans="1:25" ht="20.149999999999999" customHeight="1">
      <c r="A127" s="3">
        <f>SUBTOTAL(103,$B$4:B127)</f>
        <v>124</v>
      </c>
      <c r="B127" s="35">
        <v>45501</v>
      </c>
      <c r="C127" s="23" t="s">
        <v>450</v>
      </c>
      <c r="D127" s="3" t="str">
        <f>VLOOKUP(C127,'Location Summary'!$C$4:$D$602,2,0)</f>
        <v>DA+4.5</v>
      </c>
      <c r="E127" s="118" t="s">
        <v>403</v>
      </c>
      <c r="F127" s="92" t="s">
        <v>683</v>
      </c>
      <c r="N127" s="157">
        <v>1</v>
      </c>
      <c r="O127" s="156">
        <v>1</v>
      </c>
      <c r="X127" s="35">
        <f t="shared" si="21"/>
        <v>45501</v>
      </c>
      <c r="Y127" s="35">
        <f t="shared" si="22"/>
        <v>45529</v>
      </c>
    </row>
    <row r="128" spans="1:25" ht="20.149999999999999" customHeight="1">
      <c r="A128" s="3">
        <f>SUBTOTAL(103,$B$4:B128)</f>
        <v>125</v>
      </c>
      <c r="B128" s="35">
        <v>45502</v>
      </c>
      <c r="C128" s="23" t="s">
        <v>432</v>
      </c>
      <c r="D128" s="3" t="str">
        <f>VLOOKUP(C128,'Location Summary'!$C$4:$D$602,2,0)</f>
        <v>DA+0</v>
      </c>
      <c r="E128" s="118" t="s">
        <v>403</v>
      </c>
      <c r="F128" s="92" t="s">
        <v>683</v>
      </c>
      <c r="I128" s="156">
        <v>1</v>
      </c>
      <c r="L128" s="156">
        <v>1</v>
      </c>
      <c r="O128" s="156">
        <v>1</v>
      </c>
      <c r="R128" s="156">
        <v>1</v>
      </c>
      <c r="X128" s="35">
        <f t="shared" si="21"/>
        <v>45502</v>
      </c>
      <c r="Y128" s="35">
        <f t="shared" si="22"/>
        <v>45530</v>
      </c>
    </row>
    <row r="129" spans="1:25" ht="20.149999999999999" customHeight="1">
      <c r="A129" s="3">
        <f>SUBTOTAL(103,$B$4:B129)</f>
        <v>126</v>
      </c>
      <c r="B129" s="35">
        <v>45502</v>
      </c>
      <c r="C129" s="23" t="s">
        <v>26</v>
      </c>
      <c r="D129" s="3" t="str">
        <f>VLOOKUP(C129,'Location Summary'!$C$4:$D$602,2,0)</f>
        <v>DA+0</v>
      </c>
      <c r="E129" s="118" t="s">
        <v>403</v>
      </c>
      <c r="F129" s="92" t="s">
        <v>683</v>
      </c>
      <c r="I129" s="156">
        <v>1</v>
      </c>
      <c r="J129" s="158">
        <v>1</v>
      </c>
      <c r="M129" s="158">
        <v>1</v>
      </c>
      <c r="R129" s="156">
        <v>1</v>
      </c>
      <c r="X129" s="35">
        <f t="shared" si="21"/>
        <v>45502</v>
      </c>
      <c r="Y129" s="35">
        <f t="shared" si="22"/>
        <v>45530</v>
      </c>
    </row>
    <row r="130" spans="1:25" ht="20.149999999999999" customHeight="1">
      <c r="A130" s="3">
        <f>SUBTOTAL(103,$B$4:B130)</f>
        <v>127</v>
      </c>
      <c r="B130" s="35">
        <v>45502</v>
      </c>
      <c r="C130" s="23" t="s">
        <v>164</v>
      </c>
      <c r="D130" s="3" t="str">
        <f>VLOOKUP(C130,'Location Summary'!$C$4:$D$602,2,0)</f>
        <v>DA+3</v>
      </c>
      <c r="E130" s="118" t="s">
        <v>403</v>
      </c>
      <c r="F130" s="92" t="s">
        <v>683</v>
      </c>
      <c r="J130" s="158">
        <v>1</v>
      </c>
      <c r="M130" s="158">
        <v>1</v>
      </c>
      <c r="X130" s="35">
        <f t="shared" si="21"/>
        <v>45502</v>
      </c>
      <c r="Y130" s="35">
        <f t="shared" si="22"/>
        <v>45530</v>
      </c>
    </row>
    <row r="131" spans="1:25" ht="20.149999999999999" customHeight="1">
      <c r="A131" s="3">
        <f>SUBTOTAL(103,$B$4:B131)</f>
        <v>128</v>
      </c>
      <c r="B131" s="35">
        <v>45503</v>
      </c>
      <c r="C131" s="23" t="s">
        <v>164</v>
      </c>
      <c r="D131" s="3" t="str">
        <f>VLOOKUP(C131,'Location Summary'!$C$4:$D$602,2,0)</f>
        <v>DA+3</v>
      </c>
      <c r="E131" s="118" t="s">
        <v>403</v>
      </c>
      <c r="F131" s="92" t="s">
        <v>683</v>
      </c>
      <c r="G131" s="158">
        <v>1</v>
      </c>
      <c r="P131" s="158">
        <v>1</v>
      </c>
      <c r="X131" s="35">
        <f t="shared" si="21"/>
        <v>45503</v>
      </c>
      <c r="Y131" s="35">
        <f t="shared" si="22"/>
        <v>45531</v>
      </c>
    </row>
    <row r="132" spans="1:25" ht="20.149999999999999" customHeight="1">
      <c r="A132" s="3">
        <f>SUBTOTAL(103,$B$4:B132)</f>
        <v>129</v>
      </c>
      <c r="B132" s="35">
        <v>45503</v>
      </c>
      <c r="C132" s="23" t="s">
        <v>26</v>
      </c>
      <c r="D132" s="3" t="str">
        <f>VLOOKUP(C132,'Location Summary'!$C$4:$D$602,2,0)</f>
        <v>DA+0</v>
      </c>
      <c r="E132" s="118" t="s">
        <v>403</v>
      </c>
      <c r="F132" s="92" t="s">
        <v>683</v>
      </c>
      <c r="K132" s="157">
        <v>1</v>
      </c>
      <c r="N132" s="157">
        <v>1</v>
      </c>
      <c r="O132" s="156">
        <v>1</v>
      </c>
      <c r="X132" s="35">
        <f t="shared" si="21"/>
        <v>45503</v>
      </c>
      <c r="Y132" s="35">
        <f t="shared" si="22"/>
        <v>45531</v>
      </c>
    </row>
    <row r="133" spans="1:25" ht="20.149999999999999" customHeight="1">
      <c r="A133" s="3">
        <f>SUBTOTAL(103,$B$4:B133)</f>
        <v>130</v>
      </c>
      <c r="B133" s="35">
        <v>45504</v>
      </c>
      <c r="C133" s="120" t="s">
        <v>164</v>
      </c>
      <c r="D133" s="3" t="str">
        <f>VLOOKUP(C133,'Location Summary'!$C$4:$D$602,2,0)</f>
        <v>DA+3</v>
      </c>
      <c r="E133" s="118" t="s">
        <v>403</v>
      </c>
      <c r="F133" s="92" t="s">
        <v>683</v>
      </c>
      <c r="H133" s="157">
        <v>1</v>
      </c>
      <c r="I133" s="156">
        <v>1</v>
      </c>
      <c r="K133" s="157">
        <v>1</v>
      </c>
      <c r="L133" s="156">
        <v>1</v>
      </c>
      <c r="N133" s="157">
        <v>1</v>
      </c>
      <c r="O133" s="156">
        <v>1</v>
      </c>
      <c r="Q133" s="157">
        <v>1</v>
      </c>
      <c r="R133" s="156">
        <v>1</v>
      </c>
      <c r="X133" s="35">
        <f t="shared" si="21"/>
        <v>45504</v>
      </c>
      <c r="Y133" s="35">
        <f t="shared" si="22"/>
        <v>45532</v>
      </c>
    </row>
    <row r="134" spans="1:25" ht="20.149999999999999" customHeight="1">
      <c r="A134" s="3">
        <f>SUBTOTAL(103,$B$4:B134)</f>
        <v>131</v>
      </c>
      <c r="B134" s="35">
        <v>45504</v>
      </c>
      <c r="C134" s="23" t="s">
        <v>434</v>
      </c>
      <c r="D134" s="3" t="str">
        <f>VLOOKUP(C134,'Location Summary'!$C$4:$D$602,2,0)</f>
        <v>DA+0</v>
      </c>
      <c r="E134" s="118" t="s">
        <v>403</v>
      </c>
      <c r="F134" s="92" t="s">
        <v>683</v>
      </c>
      <c r="G134" s="158">
        <v>1</v>
      </c>
      <c r="X134" s="35">
        <f t="shared" si="21"/>
        <v>45504</v>
      </c>
      <c r="Y134" s="35">
        <f t="shared" si="22"/>
        <v>45532</v>
      </c>
    </row>
    <row r="135" spans="1:25" ht="20.149999999999999" customHeight="1">
      <c r="A135" s="3">
        <f>SUBTOTAL(103,$B$4:B135)</f>
        <v>132</v>
      </c>
      <c r="B135" s="35">
        <v>45505</v>
      </c>
      <c r="C135" s="23" t="s">
        <v>26</v>
      </c>
      <c r="D135" s="3" t="str">
        <f>VLOOKUP(C135,'Location Summary'!$C$4:$D$602,2,0)</f>
        <v>DA+0</v>
      </c>
      <c r="E135" s="118" t="s">
        <v>403</v>
      </c>
      <c r="F135" s="92" t="s">
        <v>683</v>
      </c>
      <c r="L135" s="156">
        <v>1</v>
      </c>
      <c r="X135" s="35">
        <f t="shared" ref="X135:X146" si="23">B135</f>
        <v>45505</v>
      </c>
      <c r="Y135" s="35">
        <f t="shared" ref="Y135:Y146" si="24">B135+28</f>
        <v>45533</v>
      </c>
    </row>
    <row r="136" spans="1:25" ht="20.149999999999999" customHeight="1">
      <c r="A136" s="3">
        <f>SUBTOTAL(103,$B$4:B136)</f>
        <v>133</v>
      </c>
      <c r="B136" s="35">
        <v>45505</v>
      </c>
      <c r="C136" s="23" t="s">
        <v>434</v>
      </c>
      <c r="D136" s="3" t="str">
        <f>VLOOKUP(C136,'Location Summary'!$C$4:$D$602,2,0)</f>
        <v>DA+0</v>
      </c>
      <c r="E136" s="118" t="s">
        <v>403</v>
      </c>
      <c r="F136" s="92" t="s">
        <v>683</v>
      </c>
      <c r="M136" s="158">
        <v>1</v>
      </c>
      <c r="P136" s="158">
        <v>1</v>
      </c>
      <c r="X136" s="35">
        <f t="shared" si="23"/>
        <v>45505</v>
      </c>
      <c r="Y136" s="35">
        <f t="shared" si="24"/>
        <v>45533</v>
      </c>
    </row>
    <row r="137" spans="1:25" ht="20.149999999999999" customHeight="1">
      <c r="A137" s="3">
        <f>SUBTOTAL(103,$B$4:B137)</f>
        <v>134</v>
      </c>
      <c r="B137" s="35">
        <v>45506</v>
      </c>
      <c r="C137" s="23" t="s">
        <v>82</v>
      </c>
      <c r="D137" s="3" t="str">
        <f>VLOOKUP(C137,'Location Summary'!$C$4:$D$602,2,0)</f>
        <v>DA+3</v>
      </c>
      <c r="E137" s="118" t="s">
        <v>403</v>
      </c>
      <c r="F137" s="92" t="s">
        <v>683</v>
      </c>
      <c r="G137" s="158">
        <v>1</v>
      </c>
      <c r="J137" s="158">
        <v>1</v>
      </c>
      <c r="P137" s="158">
        <v>1</v>
      </c>
      <c r="X137" s="35">
        <f t="shared" si="23"/>
        <v>45506</v>
      </c>
      <c r="Y137" s="35">
        <f t="shared" si="24"/>
        <v>45534</v>
      </c>
    </row>
    <row r="138" spans="1:25" ht="20.149999999999999" customHeight="1">
      <c r="A138" s="3">
        <f>SUBTOTAL(103,$B$4:B138)</f>
        <v>135</v>
      </c>
      <c r="B138" s="35">
        <v>45506</v>
      </c>
      <c r="C138" s="23" t="s">
        <v>476</v>
      </c>
      <c r="D138" s="3" t="str">
        <f>VLOOKUP(C138,'Location Summary'!$C$4:$D$602,2,0)</f>
        <v>DA-3</v>
      </c>
      <c r="E138" s="118" t="s">
        <v>403</v>
      </c>
      <c r="F138" s="92" t="s">
        <v>683</v>
      </c>
      <c r="M138" s="158">
        <v>1</v>
      </c>
      <c r="X138" s="35">
        <f t="shared" si="23"/>
        <v>45506</v>
      </c>
      <c r="Y138" s="35">
        <f t="shared" si="24"/>
        <v>45534</v>
      </c>
    </row>
    <row r="139" spans="1:25" ht="20.149999999999999" customHeight="1">
      <c r="A139" s="3">
        <f>SUBTOTAL(103,$B$4:B139)</f>
        <v>136</v>
      </c>
      <c r="B139" s="35">
        <v>45506</v>
      </c>
      <c r="C139" s="23" t="s">
        <v>434</v>
      </c>
      <c r="D139" s="3" t="str">
        <f>VLOOKUP(C139,'Location Summary'!$C$4:$D$602,2,0)</f>
        <v>DA+0</v>
      </c>
      <c r="E139" s="118" t="s">
        <v>403</v>
      </c>
      <c r="F139" s="92" t="s">
        <v>683</v>
      </c>
      <c r="H139" s="157">
        <v>1</v>
      </c>
      <c r="I139" s="156">
        <v>1</v>
      </c>
      <c r="J139" s="158">
        <v>1</v>
      </c>
      <c r="N139" s="157">
        <v>1</v>
      </c>
      <c r="O139" s="156">
        <v>1</v>
      </c>
      <c r="Q139" s="157">
        <v>1</v>
      </c>
      <c r="R139" s="156">
        <v>1</v>
      </c>
      <c r="X139" s="35">
        <f t="shared" si="23"/>
        <v>45506</v>
      </c>
      <c r="Y139" s="35">
        <f t="shared" si="24"/>
        <v>45534</v>
      </c>
    </row>
    <row r="140" spans="1:25" ht="20.149999999999999" customHeight="1">
      <c r="A140" s="3">
        <f>SUBTOTAL(103,$B$4:B140)</f>
        <v>137</v>
      </c>
      <c r="B140" s="35">
        <v>45507</v>
      </c>
      <c r="C140" s="23" t="s">
        <v>82</v>
      </c>
      <c r="D140" s="3" t="str">
        <f>VLOOKUP(C140,'Location Summary'!$C$4:$D$602,2,0)</f>
        <v>DA+3</v>
      </c>
      <c r="E140" s="118" t="s">
        <v>403</v>
      </c>
      <c r="F140" s="92" t="s">
        <v>683</v>
      </c>
      <c r="H140" s="157">
        <v>1</v>
      </c>
      <c r="I140" s="156">
        <v>1</v>
      </c>
      <c r="K140" s="157">
        <v>1</v>
      </c>
      <c r="L140" s="156">
        <v>1</v>
      </c>
      <c r="M140" s="158">
        <v>1</v>
      </c>
      <c r="N140" s="157">
        <v>1</v>
      </c>
      <c r="O140" s="156">
        <v>1</v>
      </c>
      <c r="Q140" s="157">
        <v>1</v>
      </c>
      <c r="R140" s="156">
        <v>1</v>
      </c>
      <c r="X140" s="35">
        <f t="shared" si="23"/>
        <v>45507</v>
      </c>
      <c r="Y140" s="35">
        <f t="shared" si="24"/>
        <v>45535</v>
      </c>
    </row>
    <row r="141" spans="1:25" ht="20.149999999999999" customHeight="1">
      <c r="A141" s="3">
        <f>SUBTOTAL(103,$B$4:B141)</f>
        <v>138</v>
      </c>
      <c r="B141" s="35">
        <v>45507</v>
      </c>
      <c r="C141" s="23" t="s">
        <v>434</v>
      </c>
      <c r="D141" s="3" t="str">
        <f>VLOOKUP(C141,'Location Summary'!$C$4:$D$602,2,0)</f>
        <v>DA+0</v>
      </c>
      <c r="E141" s="118" t="s">
        <v>403</v>
      </c>
      <c r="F141" s="92" t="s">
        <v>683</v>
      </c>
      <c r="K141" s="157">
        <v>1</v>
      </c>
      <c r="L141" s="156">
        <v>1</v>
      </c>
      <c r="X141" s="35">
        <f t="shared" si="23"/>
        <v>45507</v>
      </c>
      <c r="Y141" s="35">
        <f t="shared" si="24"/>
        <v>45535</v>
      </c>
    </row>
    <row r="142" spans="1:25" ht="20.149999999999999" customHeight="1">
      <c r="A142" s="3">
        <f>SUBTOTAL(103,$B$4:B142)</f>
        <v>139</v>
      </c>
      <c r="B142" s="35">
        <v>45507</v>
      </c>
      <c r="C142" s="23" t="s">
        <v>476</v>
      </c>
      <c r="D142" s="3" t="str">
        <f>VLOOKUP(C142,'Location Summary'!$C$4:$D$602,2,0)</f>
        <v>DA-3</v>
      </c>
      <c r="E142" s="118" t="s">
        <v>403</v>
      </c>
      <c r="F142" s="92" t="s">
        <v>683</v>
      </c>
      <c r="G142" s="158">
        <v>1</v>
      </c>
      <c r="X142" s="35">
        <f t="shared" si="23"/>
        <v>45507</v>
      </c>
      <c r="Y142" s="35">
        <f t="shared" si="24"/>
        <v>45535</v>
      </c>
    </row>
    <row r="143" spans="1:25" ht="20.149999999999999" customHeight="1">
      <c r="A143" s="3">
        <f>SUBTOTAL(103,$B$4:B143)</f>
        <v>140</v>
      </c>
      <c r="B143" s="35">
        <v>45507</v>
      </c>
      <c r="C143" s="23" t="s">
        <v>459</v>
      </c>
      <c r="D143" s="3" t="str">
        <f>VLOOKUP(C143,'Location Summary'!$C$4:$D$602,2,0)</f>
        <v>DA+9</v>
      </c>
      <c r="E143" s="118" t="s">
        <v>403</v>
      </c>
      <c r="F143" s="92" t="s">
        <v>683</v>
      </c>
      <c r="G143" s="158">
        <v>1</v>
      </c>
      <c r="J143" s="158">
        <v>1</v>
      </c>
      <c r="X143" s="35">
        <f t="shared" si="23"/>
        <v>45507</v>
      </c>
      <c r="Y143" s="35">
        <f t="shared" si="24"/>
        <v>45535</v>
      </c>
    </row>
    <row r="144" spans="1:25" ht="20.149999999999999" customHeight="1">
      <c r="A144" s="3">
        <f>SUBTOTAL(103,$B$4:B144)</f>
        <v>141</v>
      </c>
      <c r="B144" s="35">
        <v>45508</v>
      </c>
      <c r="C144" s="23" t="s">
        <v>459</v>
      </c>
      <c r="D144" s="3" t="str">
        <f>VLOOKUP(C144,'Location Summary'!$C$4:$D$602,2,0)</f>
        <v>DA+9</v>
      </c>
      <c r="E144" s="118" t="s">
        <v>403</v>
      </c>
      <c r="F144" s="92" t="s">
        <v>683</v>
      </c>
      <c r="H144" s="157">
        <v>1</v>
      </c>
      <c r="P144" s="158">
        <v>1</v>
      </c>
      <c r="X144" s="35">
        <f t="shared" si="23"/>
        <v>45508</v>
      </c>
      <c r="Y144" s="35">
        <f t="shared" si="24"/>
        <v>45536</v>
      </c>
    </row>
    <row r="145" spans="1:25" ht="20.149999999999999" customHeight="1">
      <c r="A145" s="3">
        <f>SUBTOTAL(103,$B$4:B145)</f>
        <v>142</v>
      </c>
      <c r="B145" s="35">
        <v>45509</v>
      </c>
      <c r="C145" s="23" t="s">
        <v>459</v>
      </c>
      <c r="D145" s="3" t="str">
        <f>VLOOKUP(C145,'Location Summary'!$C$4:$D$602,2,0)</f>
        <v>DA+9</v>
      </c>
      <c r="E145" s="118" t="s">
        <v>403</v>
      </c>
      <c r="F145" s="92" t="s">
        <v>683</v>
      </c>
      <c r="I145" s="156">
        <v>1</v>
      </c>
      <c r="K145" s="157">
        <v>1</v>
      </c>
      <c r="M145" s="158">
        <v>1</v>
      </c>
      <c r="X145" s="35">
        <f t="shared" si="23"/>
        <v>45509</v>
      </c>
      <c r="Y145" s="35">
        <f t="shared" si="24"/>
        <v>45537</v>
      </c>
    </row>
    <row r="146" spans="1:25" ht="20.149999999999999" customHeight="1">
      <c r="A146" s="3">
        <f>SUBTOTAL(103,$B$4:B146)</f>
        <v>143</v>
      </c>
      <c r="B146" s="35">
        <v>45509</v>
      </c>
      <c r="C146" s="23" t="s">
        <v>900</v>
      </c>
      <c r="D146" s="3" t="str">
        <f>VLOOKUP(C146,'Location Summary'!$C$4:$D$602,2,0)</f>
        <v>DA+6</v>
      </c>
      <c r="E146" s="118" t="s">
        <v>403</v>
      </c>
      <c r="F146" s="92" t="s">
        <v>683</v>
      </c>
      <c r="G146" s="158">
        <v>1</v>
      </c>
      <c r="X146" s="35">
        <f t="shared" si="23"/>
        <v>45509</v>
      </c>
      <c r="Y146" s="35">
        <f t="shared" si="24"/>
        <v>45537</v>
      </c>
    </row>
    <row r="147" spans="1:25" ht="20.149999999999999" customHeight="1">
      <c r="A147" s="3">
        <f>SUBTOTAL(103,$B$4:B147)</f>
        <v>144</v>
      </c>
      <c r="B147" s="35">
        <v>45510</v>
      </c>
      <c r="C147" s="23" t="s">
        <v>459</v>
      </c>
      <c r="D147" s="3" t="str">
        <f>VLOOKUP(C147,'Location Summary'!$C$4:$D$602,2,0)</f>
        <v>DA+9</v>
      </c>
      <c r="E147" s="118" t="s">
        <v>403</v>
      </c>
      <c r="F147" s="92" t="s">
        <v>683</v>
      </c>
      <c r="L147" s="156">
        <v>1</v>
      </c>
      <c r="Q147" s="157">
        <v>1</v>
      </c>
      <c r="R147" s="156">
        <v>1</v>
      </c>
      <c r="X147" s="35">
        <f>B147</f>
        <v>45510</v>
      </c>
      <c r="Y147" s="35">
        <f>B147+28</f>
        <v>45538</v>
      </c>
    </row>
    <row r="148" spans="1:25" ht="20.149999999999999" customHeight="1">
      <c r="A148" s="3">
        <f>SUBTOTAL(103,$B$4:B148)</f>
        <v>145</v>
      </c>
      <c r="B148" s="35">
        <v>45510</v>
      </c>
      <c r="C148" s="23" t="s">
        <v>900</v>
      </c>
      <c r="D148" s="3" t="str">
        <f>VLOOKUP(C148,'Location Summary'!$C$4:$D$602,2,0)</f>
        <v>DA+6</v>
      </c>
      <c r="E148" s="118" t="s">
        <v>403</v>
      </c>
      <c r="F148" s="92" t="s">
        <v>683</v>
      </c>
      <c r="H148" s="157">
        <v>1</v>
      </c>
      <c r="I148" s="156">
        <v>1</v>
      </c>
      <c r="P148" s="158">
        <v>1</v>
      </c>
      <c r="X148" s="35">
        <f>B148</f>
        <v>45510</v>
      </c>
      <c r="Y148" s="35">
        <f>B148+28</f>
        <v>45538</v>
      </c>
    </row>
    <row r="149" spans="1:25" ht="20.149999999999999" customHeight="1">
      <c r="A149" s="3">
        <f>SUBTOTAL(103,$B$4:B149)</f>
        <v>146</v>
      </c>
      <c r="B149" s="35">
        <v>45510</v>
      </c>
      <c r="C149" s="23" t="s">
        <v>904</v>
      </c>
      <c r="D149" s="3" t="str">
        <f>VLOOKUP(C149,'Location Summary'!$C$4:$D$602,2,0)</f>
        <v>DA+9</v>
      </c>
      <c r="E149" s="118" t="s">
        <v>403</v>
      </c>
      <c r="F149" s="92" t="s">
        <v>683</v>
      </c>
      <c r="G149" s="158">
        <v>1</v>
      </c>
      <c r="J149" s="158">
        <v>1</v>
      </c>
      <c r="X149" s="35">
        <f>B149</f>
        <v>45510</v>
      </c>
      <c r="Y149" s="35">
        <f>B149+28</f>
        <v>45538</v>
      </c>
    </row>
    <row r="150" spans="1:25" ht="20.149999999999999" customHeight="1">
      <c r="A150" s="3">
        <f>SUBTOTAL(103,$B$4:B150)</f>
        <v>147</v>
      </c>
      <c r="B150" s="35">
        <v>45510</v>
      </c>
      <c r="C150" s="23" t="s">
        <v>476</v>
      </c>
      <c r="D150" s="3" t="str">
        <f>VLOOKUP(C150,'Location Summary'!$C$4:$D$602,2,0)</f>
        <v>DA-3</v>
      </c>
      <c r="E150" s="118" t="s">
        <v>403</v>
      </c>
      <c r="F150" s="92" t="s">
        <v>683</v>
      </c>
      <c r="J150" s="158">
        <v>1</v>
      </c>
      <c r="X150" s="35">
        <f>B150</f>
        <v>45510</v>
      </c>
      <c r="Y150" s="35">
        <f>B150+28</f>
        <v>45538</v>
      </c>
    </row>
    <row r="151" spans="1:25" ht="20.149999999999999" customHeight="1">
      <c r="A151" s="10">
        <f>SUBTOTAL(103,$B$4:B151)</f>
        <v>148</v>
      </c>
      <c r="B151" s="111">
        <v>45511</v>
      </c>
      <c r="C151" s="114" t="s">
        <v>459</v>
      </c>
      <c r="D151" s="3" t="str">
        <f>VLOOKUP(C151,'Location Summary'!$C$4:$D$602,2,0)</f>
        <v>DA+9</v>
      </c>
      <c r="E151" s="267" t="s">
        <v>403</v>
      </c>
      <c r="F151" s="268" t="s">
        <v>683</v>
      </c>
      <c r="N151" s="157">
        <v>1</v>
      </c>
      <c r="X151" s="35">
        <f t="shared" ref="X151:X156" si="25">B151</f>
        <v>45511</v>
      </c>
      <c r="Y151" s="35">
        <f t="shared" ref="Y151:Y156" si="26">B151+28</f>
        <v>45539</v>
      </c>
    </row>
    <row r="152" spans="1:25" ht="20.149999999999999" customHeight="1">
      <c r="A152" s="10">
        <f>SUBTOTAL(103,$B$4:B152)</f>
        <v>149</v>
      </c>
      <c r="B152" s="111">
        <v>45511</v>
      </c>
      <c r="C152" s="114" t="s">
        <v>900</v>
      </c>
      <c r="D152" s="3" t="str">
        <f>VLOOKUP(C152,'Location Summary'!$C$4:$D$602,2,0)</f>
        <v>DA+6</v>
      </c>
      <c r="E152" s="267" t="s">
        <v>403</v>
      </c>
      <c r="F152" s="268" t="s">
        <v>683</v>
      </c>
      <c r="J152" s="158">
        <v>1</v>
      </c>
      <c r="M152" s="158">
        <v>1</v>
      </c>
      <c r="Q152" s="157">
        <v>1</v>
      </c>
      <c r="R152" s="156">
        <v>1</v>
      </c>
      <c r="X152" s="35">
        <f t="shared" si="25"/>
        <v>45511</v>
      </c>
      <c r="Y152" s="35">
        <f t="shared" si="26"/>
        <v>45539</v>
      </c>
    </row>
    <row r="153" spans="1:25" ht="20.149999999999999" customHeight="1">
      <c r="A153" s="10">
        <f>SUBTOTAL(103,$B$4:B153)</f>
        <v>150</v>
      </c>
      <c r="B153" s="111">
        <v>45511</v>
      </c>
      <c r="C153" s="114" t="s">
        <v>904</v>
      </c>
      <c r="D153" s="3" t="str">
        <f>VLOOKUP(C153,'Location Summary'!$C$4:$D$602,2,0)</f>
        <v>DA+9</v>
      </c>
      <c r="E153" s="267" t="s">
        <v>403</v>
      </c>
      <c r="F153" s="268" t="s">
        <v>683</v>
      </c>
      <c r="H153" s="157">
        <v>1</v>
      </c>
      <c r="I153" s="156">
        <v>1</v>
      </c>
      <c r="K153" s="157">
        <v>1</v>
      </c>
      <c r="L153" s="156">
        <v>1</v>
      </c>
      <c r="X153" s="35">
        <f t="shared" si="25"/>
        <v>45511</v>
      </c>
      <c r="Y153" s="35">
        <f t="shared" si="26"/>
        <v>45539</v>
      </c>
    </row>
    <row r="154" spans="1:25" ht="20.149999999999999" customHeight="1">
      <c r="A154" s="10">
        <f>SUBTOTAL(103,$B$4:B154)</f>
        <v>151</v>
      </c>
      <c r="B154" s="111">
        <v>45511</v>
      </c>
      <c r="C154" s="114" t="s">
        <v>476</v>
      </c>
      <c r="D154" s="3" t="str">
        <f>VLOOKUP(C154,'Location Summary'!$C$4:$D$602,2,0)</f>
        <v>DA-3</v>
      </c>
      <c r="E154" s="267" t="s">
        <v>403</v>
      </c>
      <c r="F154" s="268" t="s">
        <v>683</v>
      </c>
      <c r="H154" s="157">
        <v>1</v>
      </c>
      <c r="I154" s="156">
        <v>1</v>
      </c>
      <c r="N154" s="157">
        <v>1</v>
      </c>
      <c r="X154" s="35">
        <f t="shared" si="25"/>
        <v>45511</v>
      </c>
      <c r="Y154" s="35">
        <f t="shared" si="26"/>
        <v>45539</v>
      </c>
    </row>
    <row r="155" spans="1:25" ht="20.149999999999999" customHeight="1">
      <c r="A155" s="10">
        <f>SUBTOTAL(103,$B$4:B155)</f>
        <v>152</v>
      </c>
      <c r="B155" s="111">
        <v>45512</v>
      </c>
      <c r="C155" s="114" t="s">
        <v>459</v>
      </c>
      <c r="D155" s="3" t="str">
        <f>VLOOKUP(C155,'Location Summary'!$C$4:$D$602,2,0)</f>
        <v>DA+9</v>
      </c>
      <c r="E155" s="267" t="s">
        <v>403</v>
      </c>
      <c r="F155" s="268" t="s">
        <v>683</v>
      </c>
      <c r="O155" s="156">
        <v>1</v>
      </c>
      <c r="X155" s="35">
        <f t="shared" si="25"/>
        <v>45512</v>
      </c>
      <c r="Y155" s="35">
        <f t="shared" si="26"/>
        <v>45540</v>
      </c>
    </row>
    <row r="156" spans="1:25" ht="20.149999999999999" customHeight="1">
      <c r="A156" s="10">
        <f>SUBTOTAL(103,$B$4:B156)</f>
        <v>153</v>
      </c>
      <c r="B156" s="111">
        <v>45512</v>
      </c>
      <c r="C156" s="114" t="s">
        <v>900</v>
      </c>
      <c r="D156" s="3" t="str">
        <f>VLOOKUP(C156,'Location Summary'!$C$4:$D$602,2,0)</f>
        <v>DA+6</v>
      </c>
      <c r="E156" s="267" t="s">
        <v>403</v>
      </c>
      <c r="F156" s="268" t="s">
        <v>683</v>
      </c>
      <c r="K156" s="157">
        <v>1</v>
      </c>
      <c r="L156" s="156">
        <v>1</v>
      </c>
      <c r="N156" s="157">
        <v>1</v>
      </c>
      <c r="O156" s="156">
        <v>1</v>
      </c>
      <c r="X156" s="35">
        <f t="shared" si="25"/>
        <v>45512</v>
      </c>
      <c r="Y156" s="35">
        <f t="shared" si="26"/>
        <v>45540</v>
      </c>
    </row>
    <row r="157" spans="1:25" ht="20.149999999999999" customHeight="1">
      <c r="A157" s="10">
        <f>SUBTOTAL(103,$B$4:B157)</f>
        <v>154</v>
      </c>
      <c r="B157" s="111">
        <v>45513</v>
      </c>
      <c r="C157" s="114" t="s">
        <v>476</v>
      </c>
      <c r="D157" s="3" t="str">
        <f>VLOOKUP(C157,'Location Summary'!$C$4:$D$602,2,0)</f>
        <v>DA-3</v>
      </c>
      <c r="E157" s="267" t="s">
        <v>403</v>
      </c>
      <c r="F157" s="268" t="s">
        <v>683</v>
      </c>
      <c r="K157" s="157">
        <v>1</v>
      </c>
      <c r="O157" s="156">
        <v>1</v>
      </c>
      <c r="P157" s="158">
        <v>1</v>
      </c>
      <c r="X157" s="35">
        <f t="shared" ref="X157:X175" si="27">B157</f>
        <v>45513</v>
      </c>
      <c r="Y157" s="35">
        <f t="shared" ref="Y157:Y175" si="28">B157+28</f>
        <v>45541</v>
      </c>
    </row>
    <row r="158" spans="1:25" ht="20.149999999999999" customHeight="1">
      <c r="A158" s="10">
        <f>SUBTOTAL(103,$B$4:B158)</f>
        <v>155</v>
      </c>
      <c r="B158" s="111">
        <v>45513</v>
      </c>
      <c r="C158" s="114" t="s">
        <v>399</v>
      </c>
      <c r="D158" s="3" t="str">
        <f>VLOOKUP(C158,'Location Summary'!$C$4:$D$602,2,0)</f>
        <v>DA+0</v>
      </c>
      <c r="E158" s="267" t="s">
        <v>403</v>
      </c>
      <c r="F158" s="268" t="s">
        <v>683</v>
      </c>
      <c r="G158" s="158">
        <v>1</v>
      </c>
      <c r="X158" s="35">
        <f t="shared" si="27"/>
        <v>45513</v>
      </c>
      <c r="Y158" s="35">
        <f t="shared" si="28"/>
        <v>45541</v>
      </c>
    </row>
    <row r="159" spans="1:25" ht="20.149999999999999" customHeight="1">
      <c r="A159" s="10">
        <f>SUBTOTAL(103,$B$4:B159)</f>
        <v>156</v>
      </c>
      <c r="B159" s="111">
        <v>45514</v>
      </c>
      <c r="C159" s="114" t="s">
        <v>460</v>
      </c>
      <c r="D159" s="3" t="str">
        <f>VLOOKUP(C159,'Location Summary'!$C$4:$D$602,2,0)</f>
        <v>DA-1.5</v>
      </c>
      <c r="E159" s="267" t="s">
        <v>403</v>
      </c>
      <c r="F159" s="268" t="s">
        <v>683</v>
      </c>
      <c r="G159" s="158">
        <v>1</v>
      </c>
      <c r="J159" s="158">
        <v>1</v>
      </c>
      <c r="X159" s="35">
        <f t="shared" si="27"/>
        <v>45514</v>
      </c>
      <c r="Y159" s="35">
        <f t="shared" si="28"/>
        <v>45542</v>
      </c>
    </row>
    <row r="160" spans="1:25" ht="20.149999999999999" customHeight="1">
      <c r="A160" s="10">
        <f>SUBTOTAL(103,$B$4:B160)</f>
        <v>157</v>
      </c>
      <c r="B160" s="111">
        <v>45514</v>
      </c>
      <c r="C160" s="114" t="s">
        <v>476</v>
      </c>
      <c r="D160" s="3" t="str">
        <f>VLOOKUP(C160,'Location Summary'!$C$4:$D$602,2,0)</f>
        <v>DA-3</v>
      </c>
      <c r="E160" s="267" t="s">
        <v>403</v>
      </c>
      <c r="F160" s="268" t="s">
        <v>683</v>
      </c>
      <c r="L160" s="156">
        <v>1</v>
      </c>
      <c r="Q160" s="157">
        <v>1</v>
      </c>
      <c r="R160" s="156">
        <v>1</v>
      </c>
      <c r="X160" s="35">
        <f t="shared" si="27"/>
        <v>45514</v>
      </c>
      <c r="Y160" s="35">
        <f t="shared" si="28"/>
        <v>45542</v>
      </c>
    </row>
    <row r="161" spans="1:25" ht="20.149999999999999" customHeight="1">
      <c r="A161" s="10">
        <f>SUBTOTAL(103,$B$4:B161)</f>
        <v>158</v>
      </c>
      <c r="B161" s="111">
        <v>45514</v>
      </c>
      <c r="C161" s="114" t="s">
        <v>399</v>
      </c>
      <c r="D161" s="3" t="str">
        <f>VLOOKUP(C161,'Location Summary'!$C$4:$D$602,2,0)</f>
        <v>DA+0</v>
      </c>
      <c r="E161" s="267" t="s">
        <v>403</v>
      </c>
      <c r="F161" s="268" t="s">
        <v>683</v>
      </c>
      <c r="H161" s="157">
        <v>1</v>
      </c>
      <c r="M161" s="158">
        <v>1</v>
      </c>
      <c r="X161" s="35">
        <f t="shared" si="27"/>
        <v>45514</v>
      </c>
      <c r="Y161" s="35">
        <f t="shared" si="28"/>
        <v>45542</v>
      </c>
    </row>
    <row r="162" spans="1:25" ht="20.149999999999999" customHeight="1">
      <c r="A162" s="10">
        <f>SUBTOTAL(103,$B$4:B162)</f>
        <v>159</v>
      </c>
      <c r="B162" s="111">
        <v>45515</v>
      </c>
      <c r="C162" s="114" t="s">
        <v>399</v>
      </c>
      <c r="D162" s="3" t="str">
        <f>VLOOKUP(C162,'Location Summary'!$C$4:$D$602,2,0)</f>
        <v>DA+0</v>
      </c>
      <c r="E162" s="267" t="s">
        <v>403</v>
      </c>
      <c r="F162" s="268" t="s">
        <v>683</v>
      </c>
      <c r="I162" s="156">
        <v>1</v>
      </c>
      <c r="J162" s="158">
        <v>1</v>
      </c>
      <c r="N162" s="157">
        <v>1</v>
      </c>
      <c r="P162" s="158">
        <v>1</v>
      </c>
      <c r="X162" s="35">
        <f t="shared" si="27"/>
        <v>45515</v>
      </c>
      <c r="Y162" s="35">
        <f t="shared" si="28"/>
        <v>45543</v>
      </c>
    </row>
    <row r="163" spans="1:25" ht="20.149999999999999" customHeight="1">
      <c r="A163" s="10">
        <f>SUBTOTAL(103,$B$4:B163)</f>
        <v>160</v>
      </c>
      <c r="B163" s="111">
        <v>45515</v>
      </c>
      <c r="C163" s="114" t="s">
        <v>155</v>
      </c>
      <c r="D163" s="3" t="str">
        <f>VLOOKUP(C163,'Location Summary'!$C$4:$D$602,2,0)</f>
        <v>DA+1.5</v>
      </c>
      <c r="E163" s="267" t="s">
        <v>403</v>
      </c>
      <c r="F163" s="268" t="s">
        <v>683</v>
      </c>
      <c r="M163" s="158">
        <v>1</v>
      </c>
      <c r="X163" s="35">
        <f t="shared" si="27"/>
        <v>45515</v>
      </c>
      <c r="Y163" s="35">
        <f t="shared" si="28"/>
        <v>45543</v>
      </c>
    </row>
    <row r="164" spans="1:25" ht="20.149999999999999" customHeight="1">
      <c r="A164" s="10">
        <f>SUBTOTAL(103,$B$4:B164)</f>
        <v>161</v>
      </c>
      <c r="B164" s="111">
        <v>45515</v>
      </c>
      <c r="C164" s="114" t="s">
        <v>899</v>
      </c>
      <c r="D164" s="3" t="str">
        <f>VLOOKUP(C164,'Location Summary'!$C$4:$D$602,2,0)</f>
        <v>DA+6</v>
      </c>
      <c r="E164" s="267" t="s">
        <v>403</v>
      </c>
      <c r="F164" s="268" t="s">
        <v>683</v>
      </c>
      <c r="M164" s="158">
        <v>1</v>
      </c>
      <c r="P164" s="158">
        <v>1</v>
      </c>
      <c r="X164" s="35">
        <f t="shared" si="27"/>
        <v>45515</v>
      </c>
      <c r="Y164" s="35">
        <f t="shared" si="28"/>
        <v>45543</v>
      </c>
    </row>
    <row r="165" spans="1:25" ht="20.149999999999999" customHeight="1">
      <c r="A165" s="10">
        <f>SUBTOTAL(103,$B$4:B165)</f>
        <v>162</v>
      </c>
      <c r="B165" s="111">
        <v>45516</v>
      </c>
      <c r="C165" s="114" t="s">
        <v>460</v>
      </c>
      <c r="D165" s="3" t="str">
        <f>VLOOKUP(C165,'Location Summary'!$C$4:$D$602,2,0)</f>
        <v>DA-1.5</v>
      </c>
      <c r="E165" s="267" t="s">
        <v>403</v>
      </c>
      <c r="F165" s="268" t="s">
        <v>683</v>
      </c>
      <c r="H165" s="157">
        <v>1</v>
      </c>
      <c r="K165" s="157">
        <v>1</v>
      </c>
      <c r="X165" s="35">
        <f t="shared" si="27"/>
        <v>45516</v>
      </c>
      <c r="Y165" s="35">
        <f t="shared" si="28"/>
        <v>45544</v>
      </c>
    </row>
    <row r="166" spans="1:25" ht="20.149999999999999" customHeight="1">
      <c r="A166" s="10">
        <f>SUBTOTAL(103,$B$4:B166)</f>
        <v>163</v>
      </c>
      <c r="B166" s="111">
        <v>45516</v>
      </c>
      <c r="C166" s="114" t="s">
        <v>399</v>
      </c>
      <c r="D166" s="3" t="str">
        <f>VLOOKUP(C166,'Location Summary'!$C$4:$D$602,2,0)</f>
        <v>DA+0</v>
      </c>
      <c r="E166" s="267" t="s">
        <v>403</v>
      </c>
      <c r="F166" s="268" t="s">
        <v>683</v>
      </c>
      <c r="K166" s="157">
        <v>1</v>
      </c>
      <c r="L166" s="156">
        <v>1</v>
      </c>
      <c r="Q166" s="157">
        <v>1</v>
      </c>
      <c r="R166" s="156">
        <v>1</v>
      </c>
      <c r="X166" s="35">
        <f t="shared" si="27"/>
        <v>45516</v>
      </c>
      <c r="Y166" s="35">
        <f t="shared" si="28"/>
        <v>45544</v>
      </c>
    </row>
    <row r="167" spans="1:25" ht="20.149999999999999" customHeight="1">
      <c r="A167" s="10">
        <f>SUBTOTAL(103,$B$4:B167)</f>
        <v>164</v>
      </c>
      <c r="B167" s="111">
        <v>45516</v>
      </c>
      <c r="C167" s="114" t="s">
        <v>155</v>
      </c>
      <c r="D167" s="3" t="str">
        <f>VLOOKUP(C167,'Location Summary'!$C$4:$D$602,2,0)</f>
        <v>DA+1.5</v>
      </c>
      <c r="E167" s="267" t="s">
        <v>403</v>
      </c>
      <c r="F167" s="268" t="s">
        <v>683</v>
      </c>
      <c r="J167" s="158">
        <v>1</v>
      </c>
      <c r="N167" s="157">
        <v>1</v>
      </c>
      <c r="O167" s="156">
        <v>1</v>
      </c>
      <c r="X167" s="35">
        <f t="shared" si="27"/>
        <v>45516</v>
      </c>
      <c r="Y167" s="35">
        <f t="shared" si="28"/>
        <v>45544</v>
      </c>
    </row>
    <row r="168" spans="1:25" ht="20.149999999999999" customHeight="1">
      <c r="A168" s="10">
        <f>SUBTOTAL(103,$B$4:B168)</f>
        <v>165</v>
      </c>
      <c r="B168" s="111">
        <v>45516</v>
      </c>
      <c r="C168" s="114" t="s">
        <v>899</v>
      </c>
      <c r="D168" s="3" t="str">
        <f>VLOOKUP(C168,'Location Summary'!$C$4:$D$602,2,0)</f>
        <v>DA+6</v>
      </c>
      <c r="E168" s="267" t="s">
        <v>403</v>
      </c>
      <c r="F168" s="268" t="s">
        <v>683</v>
      </c>
      <c r="G168" s="158">
        <v>1</v>
      </c>
      <c r="J168" s="158">
        <v>1</v>
      </c>
      <c r="N168" s="157">
        <v>1</v>
      </c>
      <c r="O168" s="156">
        <v>1</v>
      </c>
      <c r="Q168" s="157">
        <v>1</v>
      </c>
      <c r="R168" s="156">
        <v>1</v>
      </c>
      <c r="X168" s="35">
        <f t="shared" si="27"/>
        <v>45516</v>
      </c>
      <c r="Y168" s="35">
        <f t="shared" si="28"/>
        <v>45544</v>
      </c>
    </row>
    <row r="169" spans="1:25" ht="20.149999999999999" customHeight="1">
      <c r="A169" s="10">
        <f>SUBTOTAL(103,$B$4:B169)</f>
        <v>166</v>
      </c>
      <c r="B169" s="111">
        <v>45517</v>
      </c>
      <c r="C169" s="114" t="s">
        <v>464</v>
      </c>
      <c r="D169" s="3" t="str">
        <f>VLOOKUP(C169,'Location Summary'!$C$4:$D$602,2,0)</f>
        <v>DA+6</v>
      </c>
      <c r="E169" s="267" t="s">
        <v>403</v>
      </c>
      <c r="F169" s="268" t="s">
        <v>683</v>
      </c>
      <c r="G169" s="158">
        <v>1</v>
      </c>
      <c r="J169" s="158">
        <v>1</v>
      </c>
      <c r="X169" s="35">
        <f t="shared" si="27"/>
        <v>45517</v>
      </c>
      <c r="Y169" s="35">
        <f t="shared" si="28"/>
        <v>45545</v>
      </c>
    </row>
    <row r="170" spans="1:25" ht="20.149999999999999" customHeight="1">
      <c r="A170" s="10">
        <f>SUBTOTAL(103,$B$4:B170)</f>
        <v>167</v>
      </c>
      <c r="B170" s="111">
        <v>45517</v>
      </c>
      <c r="C170" s="114" t="s">
        <v>399</v>
      </c>
      <c r="D170" s="3" t="str">
        <f>VLOOKUP(C170,'Location Summary'!$C$4:$D$602,2,0)</f>
        <v>DA+0</v>
      </c>
      <c r="E170" s="267" t="s">
        <v>403</v>
      </c>
      <c r="F170" s="268" t="s">
        <v>683</v>
      </c>
      <c r="O170" s="156">
        <v>1</v>
      </c>
      <c r="X170" s="35">
        <f t="shared" si="27"/>
        <v>45517</v>
      </c>
      <c r="Y170" s="35">
        <f t="shared" si="28"/>
        <v>45545</v>
      </c>
    </row>
    <row r="171" spans="1:25" ht="20.149999999999999" customHeight="1">
      <c r="A171" s="10">
        <f>SUBTOTAL(103,$B$4:B171)</f>
        <v>168</v>
      </c>
      <c r="B171" s="111">
        <v>45517</v>
      </c>
      <c r="C171" s="114" t="s">
        <v>155</v>
      </c>
      <c r="D171" s="3" t="str">
        <f>VLOOKUP(C171,'Location Summary'!$C$4:$D$602,2,0)</f>
        <v>DA+1.5</v>
      </c>
      <c r="E171" s="267" t="s">
        <v>403</v>
      </c>
      <c r="F171" s="268" t="s">
        <v>683</v>
      </c>
      <c r="K171" s="157">
        <v>1</v>
      </c>
      <c r="L171" s="156">
        <v>1</v>
      </c>
      <c r="P171" s="158">
        <v>1</v>
      </c>
      <c r="X171" s="35">
        <f t="shared" si="27"/>
        <v>45517</v>
      </c>
      <c r="Y171" s="35">
        <f t="shared" si="28"/>
        <v>45545</v>
      </c>
    </row>
    <row r="172" spans="1:25" ht="20.149999999999999" customHeight="1">
      <c r="A172" s="10">
        <f>SUBTOTAL(103,$B$4:B172)</f>
        <v>169</v>
      </c>
      <c r="B172" s="111">
        <v>45517</v>
      </c>
      <c r="C172" s="114" t="s">
        <v>899</v>
      </c>
      <c r="D172" s="3" t="str">
        <f>VLOOKUP(C172,'Location Summary'!$C$4:$D$602,2,0)</f>
        <v>DA+6</v>
      </c>
      <c r="E172" s="267" t="s">
        <v>403</v>
      </c>
      <c r="F172" s="268" t="s">
        <v>683</v>
      </c>
      <c r="K172" s="157">
        <v>1</v>
      </c>
      <c r="X172" s="35">
        <f t="shared" si="27"/>
        <v>45517</v>
      </c>
      <c r="Y172" s="35">
        <f t="shared" si="28"/>
        <v>45545</v>
      </c>
    </row>
    <row r="173" spans="1:25" ht="20.149999999999999" customHeight="1">
      <c r="A173" s="10">
        <f>SUBTOTAL(103,$B$4:B173)</f>
        <v>170</v>
      </c>
      <c r="B173" s="111">
        <v>45518</v>
      </c>
      <c r="C173" s="114" t="s">
        <v>899</v>
      </c>
      <c r="D173" s="3" t="str">
        <f>VLOOKUP(C173,'Location Summary'!$C$4:$D$602,2,0)</f>
        <v>DA+6</v>
      </c>
      <c r="E173" s="267" t="s">
        <v>403</v>
      </c>
      <c r="F173" s="268" t="s">
        <v>683</v>
      </c>
      <c r="H173" s="157">
        <v>1</v>
      </c>
      <c r="I173" s="156">
        <v>1</v>
      </c>
      <c r="L173" s="156">
        <v>1</v>
      </c>
      <c r="X173" s="35">
        <f t="shared" si="27"/>
        <v>45518</v>
      </c>
      <c r="Y173" s="35">
        <f t="shared" si="28"/>
        <v>45546</v>
      </c>
    </row>
    <row r="174" spans="1:25" ht="20.149999999999999" customHeight="1">
      <c r="A174" s="10">
        <f>SUBTOTAL(103,$B$4:B174)</f>
        <v>171</v>
      </c>
      <c r="B174" s="111">
        <v>45518</v>
      </c>
      <c r="C174" s="114" t="s">
        <v>464</v>
      </c>
      <c r="D174" s="3" t="str">
        <f>VLOOKUP(C174,'Location Summary'!$C$4:$D$602,2,0)</f>
        <v>DA+6</v>
      </c>
      <c r="E174" s="267" t="s">
        <v>403</v>
      </c>
      <c r="F174" s="268" t="s">
        <v>683</v>
      </c>
      <c r="H174" s="157">
        <v>1</v>
      </c>
      <c r="I174" s="156">
        <v>1</v>
      </c>
      <c r="K174" s="157">
        <v>1</v>
      </c>
      <c r="L174" s="156">
        <v>1</v>
      </c>
      <c r="X174" s="35">
        <f t="shared" si="27"/>
        <v>45518</v>
      </c>
      <c r="Y174" s="35">
        <f t="shared" si="28"/>
        <v>45546</v>
      </c>
    </row>
    <row r="175" spans="1:25" ht="20.149999999999999" customHeight="1">
      <c r="A175" s="10">
        <f>SUBTOTAL(103,$B$4:B175)</f>
        <v>172</v>
      </c>
      <c r="B175" s="111">
        <v>45518</v>
      </c>
      <c r="C175" s="114" t="s">
        <v>155</v>
      </c>
      <c r="D175" s="3" t="str">
        <f>VLOOKUP(C175,'Location Summary'!$C$4:$D$602,2,0)</f>
        <v>DA+1.5</v>
      </c>
      <c r="E175" s="267" t="s">
        <v>403</v>
      </c>
      <c r="F175" s="268" t="s">
        <v>683</v>
      </c>
      <c r="G175" s="158">
        <v>1</v>
      </c>
      <c r="X175" s="35">
        <f t="shared" si="27"/>
        <v>45518</v>
      </c>
      <c r="Y175" s="35">
        <f t="shared" si="28"/>
        <v>45546</v>
      </c>
    </row>
    <row r="176" spans="1:25" ht="20.149999999999999" customHeight="1">
      <c r="A176" s="10">
        <f>SUBTOTAL(103,$B$4:B176)</f>
        <v>173</v>
      </c>
      <c r="B176" s="111">
        <v>45520</v>
      </c>
      <c r="C176" s="114" t="s">
        <v>460</v>
      </c>
      <c r="D176" s="3" t="str">
        <f>VLOOKUP(C176,'Location Summary'!$C$4:$D$602,2,0)</f>
        <v>DA-1.5</v>
      </c>
      <c r="E176" s="267" t="s">
        <v>403</v>
      </c>
      <c r="F176" s="268" t="s">
        <v>683</v>
      </c>
      <c r="I176" s="156">
        <v>1</v>
      </c>
      <c r="L176" s="156">
        <v>1</v>
      </c>
      <c r="P176" s="158">
        <v>1</v>
      </c>
      <c r="X176" s="35">
        <f t="shared" ref="X176:X186" si="29">B176</f>
        <v>45520</v>
      </c>
      <c r="Y176" s="35">
        <f t="shared" ref="Y176:Y186" si="30">B176+28</f>
        <v>45548</v>
      </c>
    </row>
    <row r="177" spans="1:25" ht="20.149999999999999" customHeight="1">
      <c r="A177" s="10">
        <f>SUBTOTAL(103,$B$4:B177)</f>
        <v>174</v>
      </c>
      <c r="B177" s="111">
        <v>45520</v>
      </c>
      <c r="C177" s="114" t="s">
        <v>496</v>
      </c>
      <c r="D177" s="3" t="str">
        <f>VLOOKUP(C177,'Location Summary'!$C$4:$D$602,2,0)</f>
        <v>DA+3</v>
      </c>
      <c r="E177" s="267" t="s">
        <v>403</v>
      </c>
      <c r="F177" s="268" t="s">
        <v>683</v>
      </c>
      <c r="G177" s="158">
        <v>1</v>
      </c>
      <c r="J177" s="158">
        <v>1</v>
      </c>
      <c r="M177" s="158">
        <v>1</v>
      </c>
      <c r="P177" s="158">
        <v>1</v>
      </c>
      <c r="Q177" s="157">
        <v>1</v>
      </c>
      <c r="X177" s="35">
        <f t="shared" si="29"/>
        <v>45520</v>
      </c>
      <c r="Y177" s="35">
        <f t="shared" si="30"/>
        <v>45548</v>
      </c>
    </row>
    <row r="178" spans="1:25" ht="20.149999999999999" customHeight="1">
      <c r="A178" s="10">
        <f>SUBTOTAL(103,$B$4:B178)</f>
        <v>175</v>
      </c>
      <c r="B178" s="111">
        <v>45520</v>
      </c>
      <c r="C178" s="114" t="s">
        <v>901</v>
      </c>
      <c r="D178" s="3" t="str">
        <f>VLOOKUP(C178,'Location Summary'!$C$4:$D$602,2,0)</f>
        <v>DA+6</v>
      </c>
      <c r="E178" s="267" t="s">
        <v>403</v>
      </c>
      <c r="F178" s="268" t="s">
        <v>683</v>
      </c>
      <c r="G178" s="158">
        <v>1</v>
      </c>
      <c r="J178" s="158">
        <v>1</v>
      </c>
      <c r="X178" s="35">
        <f t="shared" si="29"/>
        <v>45520</v>
      </c>
      <c r="Y178" s="35">
        <f t="shared" si="30"/>
        <v>45548</v>
      </c>
    </row>
    <row r="179" spans="1:25" ht="20.149999999999999" customHeight="1">
      <c r="A179" s="10">
        <f>SUBTOTAL(103,$B$4:B179)</f>
        <v>176</v>
      </c>
      <c r="B179" s="111">
        <v>45520</v>
      </c>
      <c r="C179" s="114" t="s">
        <v>155</v>
      </c>
      <c r="D179" s="3" t="str">
        <f>VLOOKUP(C179,'Location Summary'!$C$4:$D$602,2,0)</f>
        <v>DA+1.5</v>
      </c>
      <c r="E179" s="267" t="s">
        <v>403</v>
      </c>
      <c r="F179" s="268" t="s">
        <v>683</v>
      </c>
      <c r="H179" s="157">
        <v>1</v>
      </c>
      <c r="I179" s="156">
        <v>1</v>
      </c>
      <c r="Q179" s="157">
        <v>1</v>
      </c>
      <c r="R179" s="156">
        <v>1</v>
      </c>
      <c r="X179" s="35">
        <f t="shared" si="29"/>
        <v>45520</v>
      </c>
      <c r="Y179" s="35">
        <f t="shared" si="30"/>
        <v>45548</v>
      </c>
    </row>
    <row r="180" spans="1:25" ht="20.149999999999999" customHeight="1">
      <c r="A180" s="10">
        <f>SUBTOTAL(103,$B$4:B180)</f>
        <v>177</v>
      </c>
      <c r="B180" s="111">
        <v>45521</v>
      </c>
      <c r="C180" s="114" t="s">
        <v>464</v>
      </c>
      <c r="D180" s="3" t="str">
        <f>VLOOKUP(C180,'Location Summary'!$C$4:$D$602,2,0)</f>
        <v>DA+6</v>
      </c>
      <c r="E180" s="267" t="s">
        <v>403</v>
      </c>
      <c r="F180" s="268" t="s">
        <v>683</v>
      </c>
      <c r="M180" s="158">
        <v>1</v>
      </c>
      <c r="P180" s="158">
        <v>1</v>
      </c>
      <c r="X180" s="35">
        <f t="shared" si="29"/>
        <v>45521</v>
      </c>
      <c r="Y180" s="35">
        <f t="shared" si="30"/>
        <v>45549</v>
      </c>
    </row>
    <row r="181" spans="1:25" ht="20.149999999999999" customHeight="1">
      <c r="A181" s="10">
        <f>SUBTOTAL(103,$B$4:B181)</f>
        <v>178</v>
      </c>
      <c r="B181" s="111">
        <v>45521</v>
      </c>
      <c r="C181" s="114" t="s">
        <v>496</v>
      </c>
      <c r="D181" s="3" t="str">
        <f>VLOOKUP(C181,'Location Summary'!$C$4:$D$602,2,0)</f>
        <v>DA+3</v>
      </c>
      <c r="E181" s="267" t="s">
        <v>403</v>
      </c>
      <c r="F181" s="268" t="s">
        <v>683</v>
      </c>
      <c r="H181" s="157">
        <v>1</v>
      </c>
      <c r="I181" s="156">
        <v>1</v>
      </c>
      <c r="K181" s="157">
        <v>1</v>
      </c>
      <c r="L181" s="156">
        <v>1</v>
      </c>
      <c r="N181" s="157">
        <v>1</v>
      </c>
      <c r="O181" s="156">
        <v>1</v>
      </c>
      <c r="R181" s="156">
        <v>1</v>
      </c>
      <c r="X181" s="35">
        <f t="shared" si="29"/>
        <v>45521</v>
      </c>
      <c r="Y181" s="35">
        <f t="shared" si="30"/>
        <v>45549</v>
      </c>
    </row>
    <row r="182" spans="1:25" ht="20.149999999999999" customHeight="1">
      <c r="A182" s="10">
        <f>SUBTOTAL(103,$B$4:B182)</f>
        <v>179</v>
      </c>
      <c r="B182" s="111">
        <v>45521</v>
      </c>
      <c r="C182" s="114" t="s">
        <v>901</v>
      </c>
      <c r="D182" s="3" t="str">
        <f>VLOOKUP(C182,'Location Summary'!$C$4:$D$602,2,0)</f>
        <v>DA+6</v>
      </c>
      <c r="E182" s="267" t="s">
        <v>403</v>
      </c>
      <c r="F182" s="268" t="s">
        <v>683</v>
      </c>
      <c r="H182" s="157">
        <v>1</v>
      </c>
      <c r="K182" s="157">
        <v>1</v>
      </c>
      <c r="P182" s="158">
        <v>1</v>
      </c>
      <c r="X182" s="35">
        <f t="shared" si="29"/>
        <v>45521</v>
      </c>
      <c r="Y182" s="35">
        <f t="shared" si="30"/>
        <v>45549</v>
      </c>
    </row>
    <row r="183" spans="1:25" ht="20.149999999999999" customHeight="1">
      <c r="A183" s="10">
        <f>SUBTOTAL(103,$B$4:B183)</f>
        <v>180</v>
      </c>
      <c r="B183" s="111">
        <v>45522</v>
      </c>
      <c r="C183" s="114" t="s">
        <v>464</v>
      </c>
      <c r="D183" s="3" t="str">
        <f>VLOOKUP(C183,'Location Summary'!$C$4:$D$602,2,0)</f>
        <v>DA+6</v>
      </c>
      <c r="E183" s="267" t="s">
        <v>403</v>
      </c>
      <c r="F183" s="268" t="s">
        <v>683</v>
      </c>
      <c r="N183" s="157">
        <v>1</v>
      </c>
      <c r="O183" s="156">
        <v>1</v>
      </c>
      <c r="Q183" s="157">
        <v>1</v>
      </c>
      <c r="R183" s="156">
        <v>1</v>
      </c>
      <c r="X183" s="35">
        <f t="shared" si="29"/>
        <v>45522</v>
      </c>
      <c r="Y183" s="35">
        <f t="shared" si="30"/>
        <v>45550</v>
      </c>
    </row>
    <row r="184" spans="1:25" ht="20.149999999999999" customHeight="1">
      <c r="A184" s="10">
        <f>SUBTOTAL(103,$B$4:B184)</f>
        <v>181</v>
      </c>
      <c r="B184" s="111">
        <v>45522</v>
      </c>
      <c r="C184" s="114" t="s">
        <v>901</v>
      </c>
      <c r="D184" s="3" t="str">
        <f>VLOOKUP(C184,'Location Summary'!$C$4:$D$602,2,0)</f>
        <v>DA+6</v>
      </c>
      <c r="E184" s="267" t="s">
        <v>403</v>
      </c>
      <c r="F184" s="268" t="s">
        <v>683</v>
      </c>
      <c r="I184" s="156">
        <v>1</v>
      </c>
      <c r="L184" s="156">
        <v>1</v>
      </c>
      <c r="M184" s="158">
        <v>1</v>
      </c>
      <c r="N184" s="157">
        <v>1</v>
      </c>
      <c r="Q184" s="157">
        <v>1</v>
      </c>
      <c r="R184" s="156">
        <v>1</v>
      </c>
      <c r="X184" s="35">
        <f t="shared" si="29"/>
        <v>45522</v>
      </c>
      <c r="Y184" s="35">
        <f t="shared" si="30"/>
        <v>45550</v>
      </c>
    </row>
    <row r="185" spans="1:25" ht="20.149999999999999" customHeight="1">
      <c r="A185" s="10">
        <f>SUBTOTAL(103,$B$4:B185)</f>
        <v>182</v>
      </c>
      <c r="B185" s="111">
        <v>45522</v>
      </c>
      <c r="C185" s="114" t="s">
        <v>156</v>
      </c>
      <c r="D185" s="3" t="str">
        <f>VLOOKUP(C185,'Location Summary'!$C$4:$D$602,2,0)</f>
        <v>DA-1.5</v>
      </c>
      <c r="E185" s="267" t="s">
        <v>403</v>
      </c>
      <c r="F185" s="268" t="s">
        <v>683</v>
      </c>
      <c r="G185" s="158">
        <v>1</v>
      </c>
      <c r="X185" s="35">
        <f t="shared" si="29"/>
        <v>45522</v>
      </c>
      <c r="Y185" s="35">
        <f t="shared" si="30"/>
        <v>45550</v>
      </c>
    </row>
    <row r="186" spans="1:25" ht="20.149999999999999" customHeight="1">
      <c r="A186" s="10">
        <f>SUBTOTAL(103,$B$4:B186)</f>
        <v>183</v>
      </c>
      <c r="B186" s="111">
        <v>45522</v>
      </c>
      <c r="C186" s="114" t="s">
        <v>873</v>
      </c>
      <c r="D186" s="3" t="str">
        <f>VLOOKUP(C186,'Location Summary'!$C$4:$D$602,2,0)</f>
        <v>DA+6</v>
      </c>
      <c r="E186" s="267" t="s">
        <v>403</v>
      </c>
      <c r="F186" s="268" t="s">
        <v>683</v>
      </c>
      <c r="G186" s="158">
        <v>1</v>
      </c>
      <c r="H186" s="157">
        <v>1</v>
      </c>
      <c r="M186" s="158">
        <v>1</v>
      </c>
      <c r="P186" s="158">
        <v>1</v>
      </c>
      <c r="X186" s="35">
        <f t="shared" si="29"/>
        <v>45522</v>
      </c>
      <c r="Y186" s="35">
        <f t="shared" si="30"/>
        <v>45550</v>
      </c>
    </row>
    <row r="187" spans="1:25" ht="20.149999999999999" customHeight="1">
      <c r="A187" s="10">
        <f>SUBTOTAL(103,$B$4:B187)</f>
        <v>184</v>
      </c>
      <c r="B187" s="111">
        <v>45523</v>
      </c>
      <c r="C187" s="114" t="s">
        <v>873</v>
      </c>
      <c r="D187" s="3" t="str">
        <f>VLOOKUP(C187,'Location Summary'!$C$4:$D$602,2,0)</f>
        <v>DA+6</v>
      </c>
      <c r="E187" s="267" t="s">
        <v>403</v>
      </c>
      <c r="F187" s="268" t="s">
        <v>683</v>
      </c>
      <c r="I187" s="156">
        <v>1</v>
      </c>
      <c r="J187" s="158">
        <v>1</v>
      </c>
      <c r="K187" s="157">
        <v>1</v>
      </c>
      <c r="N187" s="157">
        <v>1</v>
      </c>
      <c r="O187" s="156">
        <v>1</v>
      </c>
      <c r="Q187" s="157">
        <v>1</v>
      </c>
      <c r="R187" s="156">
        <v>1</v>
      </c>
      <c r="X187" s="35">
        <f>B187</f>
        <v>45523</v>
      </c>
      <c r="Y187" s="35">
        <f>B187+28</f>
        <v>45551</v>
      </c>
    </row>
    <row r="188" spans="1:25" ht="20.149999999999999" customHeight="1">
      <c r="A188" s="10">
        <f>SUBTOTAL(103,$B$4:B188)</f>
        <v>185</v>
      </c>
      <c r="B188" s="111">
        <v>45524</v>
      </c>
      <c r="C188" s="114" t="s">
        <v>901</v>
      </c>
      <c r="D188" s="3" t="str">
        <f>VLOOKUP(C188,'Location Summary'!$C$4:$D$602,2,0)</f>
        <v>DA+6</v>
      </c>
      <c r="E188" s="267" t="s">
        <v>403</v>
      </c>
      <c r="F188" s="268" t="s">
        <v>683</v>
      </c>
      <c r="O188" s="156">
        <v>1</v>
      </c>
      <c r="X188" s="35">
        <f>B188</f>
        <v>45524</v>
      </c>
      <c r="Y188" s="35">
        <f>B188+28</f>
        <v>45552</v>
      </c>
    </row>
    <row r="189" spans="1:25" ht="20.149999999999999" customHeight="1">
      <c r="A189" s="10">
        <f>SUBTOTAL(103,$B$4:B189)</f>
        <v>186</v>
      </c>
      <c r="B189" s="111">
        <v>45524</v>
      </c>
      <c r="C189" s="114" t="s">
        <v>873</v>
      </c>
      <c r="D189" s="3" t="str">
        <f>VLOOKUP(C189,'Location Summary'!$C$4:$D$602,2,0)</f>
        <v>DA+6</v>
      </c>
      <c r="E189" s="267" t="s">
        <v>403</v>
      </c>
      <c r="F189" s="268" t="s">
        <v>683</v>
      </c>
      <c r="L189" s="156">
        <v>1</v>
      </c>
      <c r="X189" s="35">
        <f>B189</f>
        <v>45524</v>
      </c>
      <c r="Y189" s="35">
        <f>B189+28</f>
        <v>45552</v>
      </c>
    </row>
    <row r="190" spans="1:25" ht="20.149999999999999" customHeight="1">
      <c r="A190" s="10">
        <f>SUBTOTAL(103,$B$4:B190)</f>
        <v>187</v>
      </c>
      <c r="B190" s="111">
        <v>45524</v>
      </c>
      <c r="C190" s="114" t="s">
        <v>902</v>
      </c>
      <c r="D190" s="3" t="str">
        <f>VLOOKUP(C190,'Location Summary'!$C$4:$D$602,2,0)</f>
        <v>DA+3</v>
      </c>
      <c r="E190" s="267" t="s">
        <v>403</v>
      </c>
      <c r="F190" s="268" t="s">
        <v>683</v>
      </c>
      <c r="J190" s="158">
        <v>1</v>
      </c>
      <c r="P190" s="158">
        <v>1</v>
      </c>
      <c r="X190" s="35">
        <f>B190</f>
        <v>45524</v>
      </c>
      <c r="Y190" s="35">
        <f>B190+28</f>
        <v>45552</v>
      </c>
    </row>
    <row r="191" spans="1:25" ht="20.149999999999999" customHeight="1">
      <c r="A191" s="10">
        <f>SUBTOTAL(103,$B$4:B191)</f>
        <v>188</v>
      </c>
      <c r="B191" s="111">
        <v>45526</v>
      </c>
      <c r="C191" s="114" t="s">
        <v>495</v>
      </c>
      <c r="D191" s="3" t="str">
        <f>VLOOKUP(C191,'Location Summary'!$C$4:$D$602,2,0)</f>
        <v>DA+3</v>
      </c>
      <c r="E191" s="267" t="s">
        <v>403</v>
      </c>
      <c r="F191" s="268" t="s">
        <v>683</v>
      </c>
      <c r="G191" s="158">
        <v>1</v>
      </c>
      <c r="H191" s="157">
        <v>1</v>
      </c>
      <c r="J191" s="158">
        <v>1</v>
      </c>
      <c r="K191" s="157">
        <v>1</v>
      </c>
      <c r="M191" s="158">
        <v>1</v>
      </c>
      <c r="P191" s="158">
        <v>1</v>
      </c>
      <c r="X191" s="35">
        <f t="shared" ref="X191:X198" si="31">B191</f>
        <v>45526</v>
      </c>
      <c r="Y191" s="35">
        <f t="shared" ref="Y191:Y198" si="32">B191+28</f>
        <v>45554</v>
      </c>
    </row>
    <row r="192" spans="1:25" ht="20.149999999999999" customHeight="1">
      <c r="A192" s="10">
        <f>SUBTOTAL(103,$B$4:B192)</f>
        <v>189</v>
      </c>
      <c r="B192" s="111">
        <v>45526</v>
      </c>
      <c r="C192" s="114" t="s">
        <v>156</v>
      </c>
      <c r="D192" s="3" t="str">
        <f>VLOOKUP(C192,'Location Summary'!$C$4:$D$602,2,0)</f>
        <v>DA-1.5</v>
      </c>
      <c r="E192" s="267" t="s">
        <v>403</v>
      </c>
      <c r="F192" s="268" t="s">
        <v>683</v>
      </c>
      <c r="J192" s="158">
        <v>1</v>
      </c>
      <c r="X192" s="35">
        <f t="shared" si="31"/>
        <v>45526</v>
      </c>
      <c r="Y192" s="35">
        <f t="shared" si="32"/>
        <v>45554</v>
      </c>
    </row>
    <row r="193" spans="1:25" ht="20.149999999999999" customHeight="1">
      <c r="A193" s="10">
        <f>SUBTOTAL(103,$B$4:B193)</f>
        <v>190</v>
      </c>
      <c r="B193" s="111">
        <v>45526</v>
      </c>
      <c r="C193" s="114" t="s">
        <v>902</v>
      </c>
      <c r="D193" s="3" t="str">
        <f>VLOOKUP(C193,'Location Summary'!$C$4:$D$602,2,0)</f>
        <v>DA+3</v>
      </c>
      <c r="E193" s="267" t="s">
        <v>403</v>
      </c>
      <c r="F193" s="268" t="s">
        <v>683</v>
      </c>
      <c r="K193" s="157">
        <v>1</v>
      </c>
      <c r="M193" s="158">
        <v>1</v>
      </c>
      <c r="Q193" s="157">
        <v>1</v>
      </c>
      <c r="X193" s="35">
        <f t="shared" si="31"/>
        <v>45526</v>
      </c>
      <c r="Y193" s="35">
        <f t="shared" si="32"/>
        <v>45554</v>
      </c>
    </row>
    <row r="194" spans="1:25" ht="20.149999999999999" customHeight="1">
      <c r="A194" s="10">
        <f>SUBTOTAL(103,$B$4:B194)</f>
        <v>191</v>
      </c>
      <c r="B194" s="111">
        <v>45526</v>
      </c>
      <c r="C194" s="114" t="s">
        <v>874</v>
      </c>
      <c r="D194" s="3" t="str">
        <f>VLOOKUP(C194,'Location Summary'!$C$4:$D$602,2,0)</f>
        <v>DA+9</v>
      </c>
      <c r="E194" s="267" t="s">
        <v>403</v>
      </c>
      <c r="F194" s="268" t="s">
        <v>683</v>
      </c>
      <c r="P194" s="158">
        <v>1</v>
      </c>
      <c r="X194" s="35">
        <f t="shared" si="31"/>
        <v>45526</v>
      </c>
      <c r="Y194" s="35">
        <f t="shared" si="32"/>
        <v>45554</v>
      </c>
    </row>
    <row r="195" spans="1:25" ht="20.149999999999999" customHeight="1">
      <c r="A195" s="10">
        <f>SUBTOTAL(103,$B$4:B195)</f>
        <v>192</v>
      </c>
      <c r="B195" s="111">
        <v>45527</v>
      </c>
      <c r="C195" s="114" t="s">
        <v>495</v>
      </c>
      <c r="D195" s="3" t="str">
        <f>VLOOKUP(C195,'Location Summary'!$C$4:$D$602,2,0)</f>
        <v>DA+3</v>
      </c>
      <c r="E195" s="267" t="s">
        <v>403</v>
      </c>
      <c r="F195" s="268" t="s">
        <v>683</v>
      </c>
      <c r="I195" s="156">
        <v>1</v>
      </c>
      <c r="L195" s="156">
        <v>1</v>
      </c>
      <c r="N195" s="157">
        <v>1</v>
      </c>
      <c r="O195" s="156">
        <v>1</v>
      </c>
      <c r="Q195" s="157">
        <v>1</v>
      </c>
      <c r="R195" s="156">
        <v>1</v>
      </c>
      <c r="X195" s="35">
        <f t="shared" si="31"/>
        <v>45527</v>
      </c>
      <c r="Y195" s="35">
        <f t="shared" si="32"/>
        <v>45555</v>
      </c>
    </row>
    <row r="196" spans="1:25" ht="20.149999999999999" customHeight="1">
      <c r="A196" s="10">
        <f>SUBTOTAL(103,$B$4:B196)</f>
        <v>193</v>
      </c>
      <c r="B196" s="111">
        <v>45527</v>
      </c>
      <c r="C196" s="114" t="s">
        <v>156</v>
      </c>
      <c r="D196" s="3" t="str">
        <f>VLOOKUP(C196,'Location Summary'!$C$4:$D$602,2,0)</f>
        <v>DA-1.5</v>
      </c>
      <c r="E196" s="267" t="s">
        <v>403</v>
      </c>
      <c r="F196" s="268" t="s">
        <v>683</v>
      </c>
      <c r="H196" s="157">
        <v>1</v>
      </c>
      <c r="I196" s="156">
        <v>1</v>
      </c>
      <c r="K196" s="157">
        <v>1</v>
      </c>
      <c r="L196" s="156">
        <v>1</v>
      </c>
      <c r="X196" s="35">
        <f t="shared" si="31"/>
        <v>45527</v>
      </c>
      <c r="Y196" s="35">
        <f t="shared" si="32"/>
        <v>45555</v>
      </c>
    </row>
    <row r="197" spans="1:25" ht="20.149999999999999" customHeight="1">
      <c r="A197" s="10">
        <f>SUBTOTAL(103,$B$4:B197)</f>
        <v>194</v>
      </c>
      <c r="B197" s="111">
        <v>45527</v>
      </c>
      <c r="C197" s="114" t="s">
        <v>902</v>
      </c>
      <c r="D197" s="3" t="str">
        <f>VLOOKUP(C197,'Location Summary'!$C$4:$D$602,2,0)</f>
        <v>DA+3</v>
      </c>
      <c r="E197" s="267" t="s">
        <v>403</v>
      </c>
      <c r="F197" s="268" t="s">
        <v>683</v>
      </c>
      <c r="G197" s="158">
        <v>1</v>
      </c>
      <c r="L197" s="156">
        <v>1</v>
      </c>
      <c r="N197" s="157">
        <v>1</v>
      </c>
      <c r="R197" s="156">
        <v>1</v>
      </c>
      <c r="X197" s="35">
        <f t="shared" si="31"/>
        <v>45527</v>
      </c>
      <c r="Y197" s="35">
        <f t="shared" si="32"/>
        <v>45555</v>
      </c>
    </row>
    <row r="198" spans="1:25" ht="20.149999999999999" customHeight="1">
      <c r="A198" s="10">
        <f>SUBTOTAL(103,$B$4:B198)</f>
        <v>195</v>
      </c>
      <c r="B198" s="111">
        <v>45527</v>
      </c>
      <c r="C198" s="114" t="s">
        <v>874</v>
      </c>
      <c r="D198" s="3" t="str">
        <f>VLOOKUP(C198,'Location Summary'!$C$4:$D$602,2,0)</f>
        <v>DA+9</v>
      </c>
      <c r="E198" s="267" t="s">
        <v>403</v>
      </c>
      <c r="F198" s="268" t="s">
        <v>683</v>
      </c>
      <c r="M198" s="158">
        <v>1</v>
      </c>
      <c r="Q198" s="157">
        <v>1</v>
      </c>
      <c r="X198" s="35">
        <f t="shared" si="31"/>
        <v>45527</v>
      </c>
      <c r="Y198" s="35">
        <f t="shared" si="32"/>
        <v>45555</v>
      </c>
    </row>
    <row r="199" spans="1:25" ht="20.149999999999999" customHeight="1">
      <c r="A199" s="10">
        <f>SUBTOTAL(103,$B$4:B199)</f>
        <v>196</v>
      </c>
      <c r="B199" s="111">
        <v>45528</v>
      </c>
      <c r="C199" s="114" t="s">
        <v>902</v>
      </c>
      <c r="D199" s="3" t="str">
        <f>VLOOKUP(C199,'Location Summary'!$C$4:$D$602,2,0)</f>
        <v>DA+3</v>
      </c>
      <c r="E199" s="267" t="s">
        <v>403</v>
      </c>
      <c r="F199" s="268" t="s">
        <v>683</v>
      </c>
      <c r="H199" s="157">
        <v>1</v>
      </c>
      <c r="I199" s="156">
        <v>1</v>
      </c>
      <c r="O199" s="156">
        <v>1</v>
      </c>
      <c r="X199" s="35">
        <f t="shared" ref="X199:X206" si="33">B199</f>
        <v>45528</v>
      </c>
      <c r="Y199" s="35">
        <f t="shared" ref="Y199:Y206" si="34">B199+28</f>
        <v>45556</v>
      </c>
    </row>
    <row r="200" spans="1:25" ht="20.149999999999999" customHeight="1">
      <c r="A200" s="10">
        <f>SUBTOTAL(103,$B$4:B200)</f>
        <v>197</v>
      </c>
      <c r="B200" s="111">
        <v>45528</v>
      </c>
      <c r="C200" s="114" t="s">
        <v>874</v>
      </c>
      <c r="D200" s="3" t="str">
        <f>VLOOKUP(C200,'Location Summary'!$C$4:$D$602,2,0)</f>
        <v>DA+9</v>
      </c>
      <c r="E200" s="267" t="s">
        <v>403</v>
      </c>
      <c r="F200" s="268" t="s">
        <v>683</v>
      </c>
      <c r="G200" s="158">
        <v>1</v>
      </c>
      <c r="X200" s="35">
        <f t="shared" si="33"/>
        <v>45528</v>
      </c>
      <c r="Y200" s="35">
        <f t="shared" si="34"/>
        <v>45556</v>
      </c>
    </row>
    <row r="201" spans="1:25" ht="20.149999999999999" customHeight="1">
      <c r="A201" s="10">
        <f>SUBTOTAL(103,$B$4:B201)</f>
        <v>198</v>
      </c>
      <c r="B201" s="111">
        <v>45529</v>
      </c>
      <c r="C201" s="114" t="s">
        <v>460</v>
      </c>
      <c r="D201" s="3" t="str">
        <f>VLOOKUP(C201,'Location Summary'!$C$4:$D$602,2,0)</f>
        <v>DA-1.5</v>
      </c>
      <c r="E201" s="267" t="s">
        <v>403</v>
      </c>
      <c r="F201" s="268" t="s">
        <v>683</v>
      </c>
      <c r="M201" s="158">
        <v>1</v>
      </c>
      <c r="N201" s="157">
        <v>1</v>
      </c>
      <c r="O201" s="156">
        <v>1</v>
      </c>
      <c r="Q201" s="157">
        <v>1</v>
      </c>
      <c r="R201" s="156">
        <v>1</v>
      </c>
      <c r="X201" s="35">
        <f t="shared" si="33"/>
        <v>45529</v>
      </c>
      <c r="Y201" s="35">
        <f t="shared" si="34"/>
        <v>45557</v>
      </c>
    </row>
    <row r="202" spans="1:25" ht="20.149999999999999" customHeight="1">
      <c r="A202" s="10">
        <f>SUBTOTAL(103,$B$4:B202)</f>
        <v>199</v>
      </c>
      <c r="B202" s="111">
        <v>45529</v>
      </c>
      <c r="C202" s="114" t="s">
        <v>260</v>
      </c>
      <c r="D202" s="3" t="str">
        <f>VLOOKUP(C202,'Location Summary'!$C$4:$D$602,2,0)</f>
        <v>DA+6</v>
      </c>
      <c r="E202" s="267" t="s">
        <v>403</v>
      </c>
      <c r="F202" s="268" t="s">
        <v>683</v>
      </c>
      <c r="G202" s="158">
        <v>1</v>
      </c>
      <c r="J202" s="158">
        <v>1</v>
      </c>
      <c r="M202" s="158">
        <v>1</v>
      </c>
      <c r="P202" s="158">
        <v>1</v>
      </c>
      <c r="X202" s="35">
        <f t="shared" si="33"/>
        <v>45529</v>
      </c>
      <c r="Y202" s="35">
        <f t="shared" si="34"/>
        <v>45557</v>
      </c>
    </row>
    <row r="203" spans="1:25" ht="20.149999999999999" customHeight="1">
      <c r="A203" s="10">
        <f>SUBTOTAL(103,$B$4:B203)</f>
        <v>200</v>
      </c>
      <c r="B203" s="111">
        <v>45529</v>
      </c>
      <c r="C203" s="114" t="s">
        <v>156</v>
      </c>
      <c r="D203" s="3" t="str">
        <f>VLOOKUP(C203,'Location Summary'!$C$4:$D$602,2,0)</f>
        <v>DA-1.5</v>
      </c>
      <c r="E203" s="267" t="s">
        <v>403</v>
      </c>
      <c r="F203" s="268" t="s">
        <v>683</v>
      </c>
      <c r="P203" s="158">
        <v>1</v>
      </c>
      <c r="X203" s="35">
        <f t="shared" si="33"/>
        <v>45529</v>
      </c>
      <c r="Y203" s="35">
        <f t="shared" si="34"/>
        <v>45557</v>
      </c>
    </row>
    <row r="204" spans="1:25" ht="20.149999999999999" customHeight="1">
      <c r="A204" s="10">
        <f>SUBTOTAL(103,$B$4:B204)</f>
        <v>201</v>
      </c>
      <c r="B204" s="111">
        <v>45529</v>
      </c>
      <c r="C204" s="114" t="s">
        <v>903</v>
      </c>
      <c r="D204" s="3" t="str">
        <f>VLOOKUP(C204,'Location Summary'!$C$4:$D$602,2,0)</f>
        <v>DA+6</v>
      </c>
      <c r="E204" s="267" t="s">
        <v>403</v>
      </c>
      <c r="F204" s="268" t="s">
        <v>683</v>
      </c>
      <c r="G204" s="158">
        <v>1</v>
      </c>
      <c r="P204" s="158">
        <v>1</v>
      </c>
      <c r="X204" s="35">
        <f t="shared" si="33"/>
        <v>45529</v>
      </c>
      <c r="Y204" s="35">
        <f t="shared" si="34"/>
        <v>45557</v>
      </c>
    </row>
    <row r="205" spans="1:25" ht="20.149999999999999" customHeight="1">
      <c r="A205" s="10">
        <f>SUBTOTAL(103,$B$4:B205)</f>
        <v>202</v>
      </c>
      <c r="B205" s="111">
        <v>45529</v>
      </c>
      <c r="C205" s="114" t="s">
        <v>874</v>
      </c>
      <c r="D205" s="3" t="str">
        <f>VLOOKUP(C205,'Location Summary'!$C$4:$D$602,2,0)</f>
        <v>DA+9</v>
      </c>
      <c r="E205" s="267" t="s">
        <v>403</v>
      </c>
      <c r="F205" s="268" t="s">
        <v>683</v>
      </c>
      <c r="H205" s="157">
        <v>1</v>
      </c>
      <c r="J205" s="158">
        <v>1</v>
      </c>
      <c r="N205" s="157">
        <v>1</v>
      </c>
      <c r="O205" s="156">
        <v>1</v>
      </c>
      <c r="R205" s="156">
        <v>1</v>
      </c>
      <c r="X205" s="35">
        <f t="shared" si="33"/>
        <v>45529</v>
      </c>
      <c r="Y205" s="35">
        <f t="shared" si="34"/>
        <v>45557</v>
      </c>
    </row>
    <row r="206" spans="1:25" ht="20.149999999999999" customHeight="1">
      <c r="A206" s="10">
        <f>SUBTOTAL(103,$B$4:B206)</f>
        <v>203</v>
      </c>
      <c r="B206" s="111">
        <v>45530</v>
      </c>
      <c r="C206" s="114" t="s">
        <v>260</v>
      </c>
      <c r="D206" s="3" t="str">
        <f>VLOOKUP(C206,'Location Summary'!$C$4:$D$602,2,0)</f>
        <v>DA+6</v>
      </c>
      <c r="E206" s="267" t="s">
        <v>403</v>
      </c>
      <c r="F206" s="268" t="s">
        <v>683</v>
      </c>
      <c r="N206" s="157">
        <v>1</v>
      </c>
      <c r="O206" s="156">
        <v>1</v>
      </c>
      <c r="Q206" s="157">
        <v>1</v>
      </c>
      <c r="R206" s="156">
        <v>1</v>
      </c>
      <c r="X206" s="35">
        <f t="shared" si="33"/>
        <v>45530</v>
      </c>
      <c r="Y206" s="35">
        <f t="shared" si="34"/>
        <v>45558</v>
      </c>
    </row>
    <row r="207" spans="1:25" ht="20.149999999999999" customHeight="1">
      <c r="A207" s="10">
        <f>SUBTOTAL(103,$B$4:B207)</f>
        <v>204</v>
      </c>
      <c r="B207" s="111">
        <v>45530</v>
      </c>
      <c r="C207" s="114" t="s">
        <v>156</v>
      </c>
      <c r="D207" s="3" t="str">
        <f>VLOOKUP(C207,'Location Summary'!$C$4:$D$602,2,0)</f>
        <v>DA-1.5</v>
      </c>
      <c r="E207" s="267" t="s">
        <v>403</v>
      </c>
      <c r="F207" s="268" t="s">
        <v>683</v>
      </c>
      <c r="Q207" s="157">
        <v>1</v>
      </c>
      <c r="R207" s="156">
        <v>1</v>
      </c>
      <c r="X207" s="35">
        <f t="shared" ref="X207:X216" si="35">B207</f>
        <v>45530</v>
      </c>
      <c r="Y207" s="35">
        <f t="shared" ref="Y207:Y216" si="36">B207+28</f>
        <v>45558</v>
      </c>
    </row>
    <row r="208" spans="1:25" ht="20.149999999999999" customHeight="1">
      <c r="A208" s="10">
        <f>SUBTOTAL(103,$B$4:B208)</f>
        <v>205</v>
      </c>
      <c r="B208" s="111">
        <v>45530</v>
      </c>
      <c r="C208" s="114" t="s">
        <v>903</v>
      </c>
      <c r="D208" s="3" t="str">
        <f>VLOOKUP(C208,'Location Summary'!$C$4:$D$602,2,0)</f>
        <v>DA+6</v>
      </c>
      <c r="E208" s="267" t="s">
        <v>403</v>
      </c>
      <c r="F208" s="268" t="s">
        <v>683</v>
      </c>
      <c r="H208" s="157">
        <v>1</v>
      </c>
      <c r="J208" s="158">
        <v>1</v>
      </c>
      <c r="M208" s="158">
        <v>1</v>
      </c>
      <c r="Q208" s="157">
        <v>1</v>
      </c>
      <c r="X208" s="35">
        <f t="shared" si="35"/>
        <v>45530</v>
      </c>
      <c r="Y208" s="35">
        <f t="shared" si="36"/>
        <v>45558</v>
      </c>
    </row>
    <row r="209" spans="1:25" ht="20.149999999999999" customHeight="1">
      <c r="A209" s="10">
        <f>SUBTOTAL(103,$B$4:B209)</f>
        <v>206</v>
      </c>
      <c r="B209" s="111">
        <v>45530</v>
      </c>
      <c r="C209" s="114" t="s">
        <v>874</v>
      </c>
      <c r="D209" s="3" t="str">
        <f>VLOOKUP(C209,'Location Summary'!$C$4:$D$602,2,0)</f>
        <v>DA+9</v>
      </c>
      <c r="E209" s="267" t="s">
        <v>403</v>
      </c>
      <c r="F209" s="268" t="s">
        <v>683</v>
      </c>
      <c r="I209" s="156">
        <v>1</v>
      </c>
      <c r="K209" s="157">
        <v>1</v>
      </c>
      <c r="L209" s="156">
        <v>1</v>
      </c>
      <c r="X209" s="35">
        <f t="shared" si="35"/>
        <v>45530</v>
      </c>
      <c r="Y209" s="35">
        <f t="shared" si="36"/>
        <v>45558</v>
      </c>
    </row>
    <row r="210" spans="1:25" ht="20.149999999999999" customHeight="1">
      <c r="A210" s="10">
        <f>SUBTOTAL(103,$B$4:B210)</f>
        <v>207</v>
      </c>
      <c r="B210" s="111">
        <v>45531</v>
      </c>
      <c r="C210" s="114" t="s">
        <v>903</v>
      </c>
      <c r="D210" s="3" t="str">
        <f>VLOOKUP(C210,'Location Summary'!$C$4:$D$602,2,0)</f>
        <v>DA+6</v>
      </c>
      <c r="E210" s="267" t="s">
        <v>403</v>
      </c>
      <c r="F210" s="268" t="s">
        <v>683</v>
      </c>
      <c r="I210" s="156">
        <v>1</v>
      </c>
      <c r="K210" s="157">
        <v>1</v>
      </c>
      <c r="L210" s="156">
        <v>1</v>
      </c>
      <c r="N210" s="157">
        <v>1</v>
      </c>
      <c r="O210" s="156">
        <v>1</v>
      </c>
      <c r="R210" s="156">
        <v>1</v>
      </c>
      <c r="X210" s="35">
        <f t="shared" si="35"/>
        <v>45531</v>
      </c>
      <c r="Y210" s="35">
        <f t="shared" si="36"/>
        <v>45559</v>
      </c>
    </row>
    <row r="211" spans="1:25" ht="20.149999999999999" customHeight="1">
      <c r="A211" s="10">
        <f>SUBTOTAL(103,$B$4:B211)</f>
        <v>208</v>
      </c>
      <c r="B211" s="111">
        <v>45531</v>
      </c>
      <c r="C211" s="114" t="s">
        <v>156</v>
      </c>
      <c r="D211" s="3" t="str">
        <f>VLOOKUP(C211,'Location Summary'!$C$4:$D$602,2,0)</f>
        <v>DA-1.5</v>
      </c>
      <c r="E211" s="267" t="s">
        <v>403</v>
      </c>
      <c r="F211" s="268" t="s">
        <v>683</v>
      </c>
      <c r="M211" s="158">
        <v>1</v>
      </c>
      <c r="X211" s="35">
        <f t="shared" si="35"/>
        <v>45531</v>
      </c>
      <c r="Y211" s="35">
        <f t="shared" si="36"/>
        <v>45559</v>
      </c>
    </row>
    <row r="212" spans="1:25" ht="20.149999999999999" customHeight="1">
      <c r="A212" s="10">
        <f>SUBTOTAL(103,$B$4:B212)</f>
        <v>209</v>
      </c>
      <c r="B212" s="111">
        <v>45532</v>
      </c>
      <c r="C212" s="114" t="s">
        <v>156</v>
      </c>
      <c r="D212" s="3" t="str">
        <f>VLOOKUP(C212,'Location Summary'!$C$4:$D$602,2,0)</f>
        <v>DA-1.5</v>
      </c>
      <c r="E212" s="267" t="s">
        <v>403</v>
      </c>
      <c r="F212" s="268" t="s">
        <v>683</v>
      </c>
      <c r="N212" s="157">
        <v>1</v>
      </c>
      <c r="O212" s="156">
        <v>1</v>
      </c>
      <c r="X212" s="35">
        <f t="shared" si="35"/>
        <v>45532</v>
      </c>
      <c r="Y212" s="35">
        <f t="shared" si="36"/>
        <v>45560</v>
      </c>
    </row>
    <row r="213" spans="1:25" ht="20.149999999999999" customHeight="1">
      <c r="A213" s="10">
        <f>SUBTOTAL(103,$B$4:B213)</f>
        <v>210</v>
      </c>
      <c r="B213" s="111">
        <v>45532</v>
      </c>
      <c r="C213" s="114" t="s">
        <v>259</v>
      </c>
      <c r="D213" s="3" t="str">
        <f>VLOOKUP(C213,'Location Summary'!$C$4:$D$602,2,0)</f>
        <v>DA+9</v>
      </c>
      <c r="E213" s="267" t="s">
        <v>403</v>
      </c>
      <c r="F213" s="268" t="s">
        <v>683</v>
      </c>
      <c r="G213" s="158">
        <v>1</v>
      </c>
      <c r="J213" s="158">
        <v>1</v>
      </c>
      <c r="M213" s="158">
        <v>1</v>
      </c>
      <c r="P213" s="158">
        <v>1</v>
      </c>
      <c r="X213" s="35">
        <f t="shared" si="35"/>
        <v>45532</v>
      </c>
      <c r="Y213" s="35">
        <f t="shared" si="36"/>
        <v>45560</v>
      </c>
    </row>
    <row r="214" spans="1:25" ht="20.149999999999999" customHeight="1">
      <c r="A214" s="10">
        <f>SUBTOTAL(103,$B$4:B214)</f>
        <v>211</v>
      </c>
      <c r="B214" s="111">
        <v>45532</v>
      </c>
      <c r="C214" s="114" t="s">
        <v>570</v>
      </c>
      <c r="D214" s="3" t="str">
        <f>VLOOKUP(C214,'Location Summary'!$C$4:$D$602,2,0)</f>
        <v>DA+6</v>
      </c>
      <c r="E214" s="267" t="s">
        <v>403</v>
      </c>
      <c r="F214" s="268" t="s">
        <v>683</v>
      </c>
      <c r="J214" s="158">
        <v>1</v>
      </c>
      <c r="M214" s="158">
        <v>1</v>
      </c>
      <c r="X214" s="35">
        <f t="shared" si="35"/>
        <v>45532</v>
      </c>
      <c r="Y214" s="35">
        <f t="shared" si="36"/>
        <v>45560</v>
      </c>
    </row>
    <row r="215" spans="1:25" ht="20.149999999999999" customHeight="1">
      <c r="A215" s="10">
        <f>SUBTOTAL(103,$B$4:B215)</f>
        <v>212</v>
      </c>
      <c r="B215" s="111">
        <v>45533</v>
      </c>
      <c r="C215" s="114" t="s">
        <v>259</v>
      </c>
      <c r="D215" s="3" t="str">
        <f>VLOOKUP(C215,'Location Summary'!$C$4:$D$602,2,0)</f>
        <v>DA+9</v>
      </c>
      <c r="E215" s="267" t="s">
        <v>403</v>
      </c>
      <c r="F215" s="268" t="s">
        <v>683</v>
      </c>
      <c r="H215" s="157">
        <v>1</v>
      </c>
      <c r="K215" s="157">
        <v>1</v>
      </c>
      <c r="N215" s="157">
        <v>1</v>
      </c>
      <c r="O215" s="156">
        <v>1</v>
      </c>
      <c r="Q215" s="157">
        <v>1</v>
      </c>
      <c r="R215" s="156">
        <v>1</v>
      </c>
      <c r="X215" s="35">
        <f t="shared" si="35"/>
        <v>45533</v>
      </c>
      <c r="Y215" s="35">
        <f t="shared" si="36"/>
        <v>45561</v>
      </c>
    </row>
    <row r="216" spans="1:25" ht="20.149999999999999" customHeight="1">
      <c r="A216" s="10">
        <f>SUBTOTAL(103,$B$4:B216)</f>
        <v>213</v>
      </c>
      <c r="B216" s="111">
        <v>45533</v>
      </c>
      <c r="C216" s="114" t="s">
        <v>570</v>
      </c>
      <c r="D216" s="3" t="str">
        <f>VLOOKUP(C216,'Location Summary'!$C$4:$D$602,2,0)</f>
        <v>DA+6</v>
      </c>
      <c r="E216" s="267" t="s">
        <v>403</v>
      </c>
      <c r="F216" s="268" t="s">
        <v>683</v>
      </c>
      <c r="G216" s="158">
        <v>1</v>
      </c>
      <c r="P216" s="158">
        <v>1</v>
      </c>
      <c r="X216" s="35">
        <f t="shared" si="35"/>
        <v>45533</v>
      </c>
      <c r="Y216" s="35">
        <f t="shared" si="36"/>
        <v>45561</v>
      </c>
    </row>
    <row r="217" spans="1:25" ht="20.149999999999999" customHeight="1">
      <c r="A217" s="10">
        <f>SUBTOTAL(103,$B$4:B217)</f>
        <v>214</v>
      </c>
      <c r="B217" s="111">
        <v>45534</v>
      </c>
      <c r="C217" s="114" t="s">
        <v>259</v>
      </c>
      <c r="D217" s="3" t="str">
        <f>VLOOKUP(C217,'Location Summary'!$C$4:$D$602,2,0)</f>
        <v>DA+9</v>
      </c>
      <c r="E217" s="267" t="s">
        <v>403</v>
      </c>
      <c r="F217" s="268" t="s">
        <v>683</v>
      </c>
      <c r="I217" s="156">
        <v>1</v>
      </c>
      <c r="L217" s="156">
        <v>1</v>
      </c>
      <c r="X217" s="35">
        <f t="shared" ref="X217:X222" si="37">B217</f>
        <v>45534</v>
      </c>
      <c r="Y217" s="35">
        <f t="shared" ref="Y217:Y222" si="38">B217+28</f>
        <v>45562</v>
      </c>
    </row>
    <row r="218" spans="1:25" ht="20.149999999999999" customHeight="1">
      <c r="A218" s="10">
        <f>SUBTOTAL(103,$B$4:B218)</f>
        <v>215</v>
      </c>
      <c r="B218" s="111">
        <v>45534</v>
      </c>
      <c r="C218" s="114" t="s">
        <v>904</v>
      </c>
      <c r="D218" s="3" t="str">
        <f>VLOOKUP(C218,'Location Summary'!$C$4:$D$602,2,0)</f>
        <v>DA+9</v>
      </c>
      <c r="E218" s="267" t="s">
        <v>403</v>
      </c>
      <c r="F218" s="268" t="s">
        <v>683</v>
      </c>
      <c r="M218" s="158">
        <v>1</v>
      </c>
      <c r="X218" s="35">
        <f t="shared" si="37"/>
        <v>45534</v>
      </c>
      <c r="Y218" s="35">
        <f t="shared" si="38"/>
        <v>45562</v>
      </c>
    </row>
    <row r="219" spans="1:25" ht="20.149999999999999" customHeight="1">
      <c r="A219" s="10">
        <f>SUBTOTAL(103,$B$4:B219)</f>
        <v>216</v>
      </c>
      <c r="B219" s="111">
        <v>45534</v>
      </c>
      <c r="C219" s="114" t="s">
        <v>570</v>
      </c>
      <c r="D219" s="3" t="str">
        <f>VLOOKUP(C219,'Location Summary'!$C$4:$D$602,2,0)</f>
        <v>DA+6</v>
      </c>
      <c r="E219" s="267" t="s">
        <v>403</v>
      </c>
      <c r="F219" s="268" t="s">
        <v>683</v>
      </c>
      <c r="H219" s="157">
        <v>1</v>
      </c>
      <c r="I219" s="156">
        <v>1</v>
      </c>
      <c r="K219" s="157">
        <v>1</v>
      </c>
      <c r="L219" s="156">
        <v>1</v>
      </c>
      <c r="N219" s="157">
        <v>1</v>
      </c>
      <c r="O219" s="156">
        <v>1</v>
      </c>
      <c r="Q219" s="157">
        <v>1</v>
      </c>
      <c r="R219" s="156">
        <v>1</v>
      </c>
      <c r="X219" s="35">
        <f t="shared" si="37"/>
        <v>45534</v>
      </c>
      <c r="Y219" s="35">
        <f t="shared" si="38"/>
        <v>45562</v>
      </c>
    </row>
    <row r="220" spans="1:25" ht="20.149999999999999" customHeight="1">
      <c r="A220" s="10">
        <f>SUBTOTAL(103,$B$4:B220)</f>
        <v>217</v>
      </c>
      <c r="B220" s="111">
        <v>45534</v>
      </c>
      <c r="C220" s="114" t="s">
        <v>492</v>
      </c>
      <c r="D220" s="3" t="str">
        <f>VLOOKUP(C220,'Location Summary'!$C$4:$D$602,2,0)</f>
        <v>DA+1.5</v>
      </c>
      <c r="E220" s="267" t="s">
        <v>403</v>
      </c>
      <c r="F220" s="268" t="s">
        <v>683</v>
      </c>
      <c r="J220" s="158">
        <v>1</v>
      </c>
      <c r="K220" s="157">
        <v>1</v>
      </c>
      <c r="M220" s="158">
        <v>1</v>
      </c>
      <c r="P220" s="158">
        <v>1</v>
      </c>
      <c r="X220" s="35">
        <f t="shared" si="37"/>
        <v>45534</v>
      </c>
      <c r="Y220" s="35">
        <f t="shared" si="38"/>
        <v>45562</v>
      </c>
    </row>
    <row r="221" spans="1:25" ht="20.149999999999999" customHeight="1">
      <c r="A221" s="10">
        <f>SUBTOTAL(103,$B$4:B221)</f>
        <v>218</v>
      </c>
      <c r="B221" s="111">
        <v>45534</v>
      </c>
      <c r="C221" s="114" t="s">
        <v>895</v>
      </c>
      <c r="D221" s="3" t="str">
        <f>VLOOKUP(C221,'Location Summary'!$C$4:$D$602,2,0)</f>
        <v>DA+9</v>
      </c>
      <c r="E221" s="267" t="s">
        <v>403</v>
      </c>
      <c r="F221" s="268" t="s">
        <v>683</v>
      </c>
      <c r="G221" s="158">
        <v>1</v>
      </c>
      <c r="J221" s="158">
        <v>1</v>
      </c>
      <c r="X221" s="35">
        <f t="shared" si="37"/>
        <v>45534</v>
      </c>
      <c r="Y221" s="35">
        <f t="shared" si="38"/>
        <v>45562</v>
      </c>
    </row>
    <row r="222" spans="1:25" ht="20.149999999999999" customHeight="1">
      <c r="A222" s="10">
        <f>SUBTOTAL(103,$B$4:B222)</f>
        <v>219</v>
      </c>
      <c r="B222" s="111">
        <v>45534</v>
      </c>
      <c r="C222" s="114" t="s">
        <v>490</v>
      </c>
      <c r="D222" s="3" t="str">
        <f>VLOOKUP(C222,'Location Summary'!$C$4:$D$602,2,0)</f>
        <v>DA+1.5</v>
      </c>
      <c r="E222" s="267" t="s">
        <v>403</v>
      </c>
      <c r="F222" s="268" t="s">
        <v>683</v>
      </c>
      <c r="M222" s="158">
        <v>1</v>
      </c>
      <c r="X222" s="35">
        <f t="shared" si="37"/>
        <v>45534</v>
      </c>
      <c r="Y222" s="35">
        <f t="shared" si="38"/>
        <v>45562</v>
      </c>
    </row>
    <row r="223" spans="1:25" ht="20.149999999999999" customHeight="1">
      <c r="A223" s="10">
        <f>SUBTOTAL(103,$B$4:B223)</f>
        <v>220</v>
      </c>
      <c r="B223" s="111">
        <v>45535</v>
      </c>
      <c r="C223" s="114" t="s">
        <v>904</v>
      </c>
      <c r="D223" s="3" t="str">
        <f>VLOOKUP(C223,'Location Summary'!$C$4:$D$602,2,0)</f>
        <v>DA+9</v>
      </c>
      <c r="E223" s="267" t="s">
        <v>403</v>
      </c>
      <c r="F223" s="268" t="s">
        <v>683</v>
      </c>
      <c r="N223" s="157">
        <v>1</v>
      </c>
      <c r="O223" s="156">
        <v>1</v>
      </c>
      <c r="P223" s="158">
        <v>1</v>
      </c>
      <c r="Q223" s="157">
        <v>1</v>
      </c>
      <c r="R223" s="156">
        <v>1</v>
      </c>
      <c r="X223" s="35">
        <f t="shared" ref="X223:X230" si="39">B223</f>
        <v>45535</v>
      </c>
      <c r="Y223" s="35">
        <f t="shared" ref="Y223:Y230" si="40">B223+28</f>
        <v>45563</v>
      </c>
    </row>
    <row r="224" spans="1:25" ht="20.149999999999999" customHeight="1">
      <c r="A224" s="10">
        <f>SUBTOTAL(103,$B$4:B224)</f>
        <v>221</v>
      </c>
      <c r="B224" s="111">
        <v>45535</v>
      </c>
      <c r="C224" s="114" t="s">
        <v>492</v>
      </c>
      <c r="D224" s="3" t="str">
        <f>VLOOKUP(C224,'Location Summary'!$C$4:$D$602,2,0)</f>
        <v>DA+1.5</v>
      </c>
      <c r="E224" s="267" t="s">
        <v>403</v>
      </c>
      <c r="F224" s="268" t="s">
        <v>683</v>
      </c>
      <c r="G224" s="158">
        <v>1</v>
      </c>
      <c r="L224" s="156">
        <v>1</v>
      </c>
      <c r="N224" s="157">
        <v>1</v>
      </c>
      <c r="X224" s="35">
        <f t="shared" si="39"/>
        <v>45535</v>
      </c>
      <c r="Y224" s="35">
        <f t="shared" si="40"/>
        <v>45563</v>
      </c>
    </row>
    <row r="225" spans="1:25" ht="20.149999999999999" customHeight="1">
      <c r="A225" s="10">
        <f>SUBTOTAL(103,$B$4:B225)</f>
        <v>222</v>
      </c>
      <c r="B225" s="111">
        <v>45535</v>
      </c>
      <c r="C225" s="114" t="s">
        <v>895</v>
      </c>
      <c r="D225" s="3" t="str">
        <f>VLOOKUP(C225,'Location Summary'!$C$4:$D$602,2,0)</f>
        <v>DA+9</v>
      </c>
      <c r="E225" s="267" t="s">
        <v>403</v>
      </c>
      <c r="F225" s="268" t="s">
        <v>683</v>
      </c>
      <c r="H225" s="157">
        <v>1</v>
      </c>
      <c r="I225" s="156">
        <v>1</v>
      </c>
      <c r="K225" s="157">
        <v>1</v>
      </c>
      <c r="L225" s="156">
        <v>1</v>
      </c>
      <c r="X225" s="35">
        <f t="shared" si="39"/>
        <v>45535</v>
      </c>
      <c r="Y225" s="35">
        <f t="shared" si="40"/>
        <v>45563</v>
      </c>
    </row>
    <row r="226" spans="1:25" ht="20.149999999999999" customHeight="1">
      <c r="A226" s="10">
        <f>SUBTOTAL(103,$B$4:B226)</f>
        <v>223</v>
      </c>
      <c r="B226" s="111">
        <v>45535</v>
      </c>
      <c r="C226" s="114" t="s">
        <v>490</v>
      </c>
      <c r="D226" s="3" t="str">
        <f>VLOOKUP(C226,'Location Summary'!$C$4:$D$602,2,0)</f>
        <v>DA+1.5</v>
      </c>
      <c r="E226" s="267" t="s">
        <v>403</v>
      </c>
      <c r="F226" s="268" t="s">
        <v>683</v>
      </c>
      <c r="P226" s="158">
        <v>1</v>
      </c>
      <c r="X226" s="35">
        <f t="shared" si="39"/>
        <v>45535</v>
      </c>
      <c r="Y226" s="35">
        <f t="shared" si="40"/>
        <v>45563</v>
      </c>
    </row>
    <row r="227" spans="1:25" ht="20.149999999999999" customHeight="1">
      <c r="A227" s="10">
        <f>SUBTOTAL(103,$B$4:B227)</f>
        <v>224</v>
      </c>
      <c r="B227" s="111">
        <v>45536</v>
      </c>
      <c r="C227" s="114" t="s">
        <v>466</v>
      </c>
      <c r="D227" s="3" t="str">
        <f>VLOOKUP(C227,'Location Summary'!$C$4:$D$602,2,0)</f>
        <v>DA+9</v>
      </c>
      <c r="E227" s="267" t="s">
        <v>403</v>
      </c>
      <c r="F227" s="268" t="s">
        <v>683</v>
      </c>
      <c r="G227" s="158">
        <v>1</v>
      </c>
      <c r="J227" s="158">
        <v>1</v>
      </c>
      <c r="X227" s="35">
        <f t="shared" si="39"/>
        <v>45536</v>
      </c>
      <c r="Y227" s="35">
        <f t="shared" si="40"/>
        <v>45564</v>
      </c>
    </row>
    <row r="228" spans="1:25" ht="20.149999999999999" customHeight="1">
      <c r="A228" s="10">
        <f>SUBTOTAL(103,$B$4:B228)</f>
        <v>225</v>
      </c>
      <c r="B228" s="111">
        <v>45536</v>
      </c>
      <c r="C228" s="114" t="s">
        <v>492</v>
      </c>
      <c r="D228" s="3" t="str">
        <f>VLOOKUP(C228,'Location Summary'!$C$4:$D$602,2,0)</f>
        <v>DA+1.5</v>
      </c>
      <c r="E228" s="267" t="s">
        <v>403</v>
      </c>
      <c r="F228" s="268" t="s">
        <v>683</v>
      </c>
      <c r="H228" s="157">
        <v>1</v>
      </c>
      <c r="I228" s="156">
        <v>1</v>
      </c>
      <c r="O228" s="156">
        <v>1</v>
      </c>
      <c r="Q228" s="157">
        <v>1</v>
      </c>
      <c r="R228" s="156">
        <v>1</v>
      </c>
      <c r="X228" s="35">
        <f t="shared" si="39"/>
        <v>45536</v>
      </c>
      <c r="Y228" s="35">
        <f t="shared" si="40"/>
        <v>45564</v>
      </c>
    </row>
    <row r="229" spans="1:25" ht="20.149999999999999" customHeight="1">
      <c r="A229" s="10">
        <f>SUBTOTAL(103,$B$4:B229)</f>
        <v>226</v>
      </c>
      <c r="B229" s="111">
        <v>45536</v>
      </c>
      <c r="C229" s="114" t="s">
        <v>895</v>
      </c>
      <c r="D229" s="3" t="str">
        <f>VLOOKUP(C229,'Location Summary'!$C$4:$D$602,2,0)</f>
        <v>DA+9</v>
      </c>
      <c r="E229" s="267" t="s">
        <v>403</v>
      </c>
      <c r="F229" s="268" t="s">
        <v>683</v>
      </c>
      <c r="M229" s="158">
        <v>1</v>
      </c>
      <c r="N229" s="157">
        <v>1</v>
      </c>
      <c r="O229" s="156">
        <v>1</v>
      </c>
      <c r="P229" s="158">
        <v>1</v>
      </c>
      <c r="Q229" s="157">
        <v>1</v>
      </c>
      <c r="R229" s="156">
        <v>1</v>
      </c>
      <c r="X229" s="35">
        <f t="shared" si="39"/>
        <v>45536</v>
      </c>
      <c r="Y229" s="35">
        <f t="shared" si="40"/>
        <v>45564</v>
      </c>
    </row>
    <row r="230" spans="1:25" ht="20.149999999999999" customHeight="1">
      <c r="A230" s="10">
        <f>SUBTOTAL(103,$B$4:B230)</f>
        <v>227</v>
      </c>
      <c r="B230" s="111">
        <v>45536</v>
      </c>
      <c r="C230" s="114" t="s">
        <v>490</v>
      </c>
      <c r="D230" s="3" t="str">
        <f>VLOOKUP(C230,'Location Summary'!$C$4:$D$602,2,0)</f>
        <v>DA+1.5</v>
      </c>
      <c r="E230" s="267" t="s">
        <v>403</v>
      </c>
      <c r="F230" s="268" t="s">
        <v>683</v>
      </c>
      <c r="N230" s="157">
        <v>1</v>
      </c>
      <c r="Q230" s="157">
        <v>1</v>
      </c>
      <c r="X230" s="35">
        <f t="shared" si="39"/>
        <v>45536</v>
      </c>
      <c r="Y230" s="35">
        <f t="shared" si="40"/>
        <v>45564</v>
      </c>
    </row>
    <row r="231" spans="1:25" ht="20.149999999999999" customHeight="1">
      <c r="A231" s="10">
        <f>SUBTOTAL(103,$B$4:B231)</f>
        <v>228</v>
      </c>
      <c r="B231" s="111">
        <v>45537</v>
      </c>
      <c r="C231" s="114" t="s">
        <v>466</v>
      </c>
      <c r="D231" s="3" t="str">
        <f>VLOOKUP(C231,'Location Summary'!$C$4:$D$602,2,0)</f>
        <v>DA+9</v>
      </c>
      <c r="E231" s="267" t="s">
        <v>403</v>
      </c>
      <c r="F231" s="268" t="s">
        <v>683</v>
      </c>
      <c r="H231" s="157">
        <v>1</v>
      </c>
      <c r="K231" s="157">
        <v>1</v>
      </c>
      <c r="M231" s="158">
        <v>1</v>
      </c>
      <c r="P231" s="158">
        <v>1</v>
      </c>
      <c r="X231" s="35">
        <f t="shared" ref="X231:X237" si="41">B231</f>
        <v>45537</v>
      </c>
      <c r="Y231" s="35">
        <f t="shared" ref="Y231:Y237" si="42">B231+28</f>
        <v>45565</v>
      </c>
    </row>
    <row r="232" spans="1:25" ht="20.149999999999999" customHeight="1">
      <c r="A232" s="10">
        <f>SUBTOTAL(103,$B$4:B232)</f>
        <v>229</v>
      </c>
      <c r="B232" s="111">
        <v>45537</v>
      </c>
      <c r="C232" s="114" t="s">
        <v>571</v>
      </c>
      <c r="D232" s="3" t="str">
        <f>VLOOKUP(C232,'Location Summary'!$C$4:$D$602,2,0)</f>
        <v>DA+6</v>
      </c>
      <c r="E232" s="267" t="s">
        <v>403</v>
      </c>
      <c r="F232" s="268" t="s">
        <v>683</v>
      </c>
      <c r="J232" s="158">
        <v>1</v>
      </c>
      <c r="M232" s="158">
        <v>1</v>
      </c>
      <c r="X232" s="35">
        <f t="shared" si="41"/>
        <v>45537</v>
      </c>
      <c r="Y232" s="35">
        <f t="shared" si="42"/>
        <v>45565</v>
      </c>
    </row>
    <row r="233" spans="1:25" ht="20.149999999999999" customHeight="1">
      <c r="A233" s="10">
        <f>SUBTOTAL(103,$B$4:B233)</f>
        <v>230</v>
      </c>
      <c r="B233" s="111">
        <v>45537</v>
      </c>
      <c r="C233" s="114" t="s">
        <v>490</v>
      </c>
      <c r="D233" s="3" t="str">
        <f>VLOOKUP(C233,'Location Summary'!$C$4:$D$602,2,0)</f>
        <v>DA+1.5</v>
      </c>
      <c r="E233" s="267" t="s">
        <v>403</v>
      </c>
      <c r="F233" s="268" t="s">
        <v>683</v>
      </c>
      <c r="O233" s="156">
        <v>1</v>
      </c>
      <c r="R233" s="156">
        <v>1</v>
      </c>
      <c r="X233" s="35">
        <f t="shared" si="41"/>
        <v>45537</v>
      </c>
      <c r="Y233" s="35">
        <f t="shared" si="42"/>
        <v>45565</v>
      </c>
    </row>
    <row r="234" spans="1:25" ht="20.149999999999999" customHeight="1">
      <c r="A234" s="10">
        <f>SUBTOTAL(103,$B$4:B234)</f>
        <v>231</v>
      </c>
      <c r="B234" s="111">
        <v>45538</v>
      </c>
      <c r="C234" s="114" t="s">
        <v>466</v>
      </c>
      <c r="D234" s="3" t="str">
        <f>VLOOKUP(C234,'Location Summary'!$C$4:$D$602,2,0)</f>
        <v>DA+9</v>
      </c>
      <c r="E234" s="267" t="s">
        <v>403</v>
      </c>
      <c r="F234" s="268" t="s">
        <v>683</v>
      </c>
      <c r="N234" s="157">
        <v>1</v>
      </c>
      <c r="Q234" s="157">
        <v>1</v>
      </c>
      <c r="X234" s="35">
        <f t="shared" si="41"/>
        <v>45538</v>
      </c>
      <c r="Y234" s="35">
        <f t="shared" si="42"/>
        <v>45566</v>
      </c>
    </row>
    <row r="235" spans="1:25" ht="20.149999999999999" customHeight="1">
      <c r="A235" s="10">
        <f>SUBTOTAL(103,$B$4:B235)</f>
        <v>232</v>
      </c>
      <c r="B235" s="111">
        <v>45538</v>
      </c>
      <c r="C235" s="114" t="s">
        <v>493</v>
      </c>
      <c r="D235" s="3" t="str">
        <f>VLOOKUP(C235,'Location Summary'!$C$4:$D$602,2,0)</f>
        <v>DA+3</v>
      </c>
      <c r="E235" s="267" t="s">
        <v>403</v>
      </c>
      <c r="F235" s="268" t="s">
        <v>683</v>
      </c>
      <c r="G235" s="158">
        <v>1</v>
      </c>
      <c r="X235" s="35">
        <f t="shared" si="41"/>
        <v>45538</v>
      </c>
      <c r="Y235" s="35">
        <f t="shared" si="42"/>
        <v>45566</v>
      </c>
    </row>
    <row r="236" spans="1:25" ht="20.149999999999999" customHeight="1">
      <c r="A236" s="10">
        <f>SUBTOTAL(103,$B$4:B236)</f>
        <v>233</v>
      </c>
      <c r="B236" s="111">
        <v>45538</v>
      </c>
      <c r="C236" s="114" t="s">
        <v>490</v>
      </c>
      <c r="D236" s="3" t="str">
        <f>VLOOKUP(C236,'Location Summary'!$C$4:$D$602,2,0)</f>
        <v>DA+1.5</v>
      </c>
      <c r="E236" s="267" t="s">
        <v>403</v>
      </c>
      <c r="F236" s="268" t="s">
        <v>683</v>
      </c>
      <c r="J236" s="158">
        <v>1</v>
      </c>
      <c r="X236" s="35">
        <f t="shared" si="41"/>
        <v>45538</v>
      </c>
      <c r="Y236" s="35">
        <f t="shared" si="42"/>
        <v>45566</v>
      </c>
    </row>
    <row r="237" spans="1:25" ht="20.149999999999999" customHeight="1">
      <c r="A237" s="10">
        <f>SUBTOTAL(103,$B$4:B237)</f>
        <v>234</v>
      </c>
      <c r="B237" s="111">
        <v>45539</v>
      </c>
      <c r="C237" s="114" t="s">
        <v>894</v>
      </c>
      <c r="D237" s="3" t="str">
        <f>VLOOKUP(C237,'Location Summary'!$C$4:$D$602,2,0)</f>
        <v>DA+6</v>
      </c>
      <c r="E237" s="267" t="s">
        <v>403</v>
      </c>
      <c r="F237" s="268" t="s">
        <v>683</v>
      </c>
      <c r="G237" s="158">
        <v>1</v>
      </c>
      <c r="P237" s="158">
        <v>1</v>
      </c>
      <c r="X237" s="35">
        <f t="shared" si="41"/>
        <v>45539</v>
      </c>
      <c r="Y237" s="35">
        <f t="shared" si="42"/>
        <v>45567</v>
      </c>
    </row>
    <row r="238" spans="1:25" ht="20.149999999999999" customHeight="1">
      <c r="A238" s="10">
        <f>SUBTOTAL(103,$B$4:B238)</f>
        <v>235</v>
      </c>
      <c r="B238" s="111">
        <v>45539</v>
      </c>
      <c r="C238" s="114" t="s">
        <v>466</v>
      </c>
      <c r="D238" s="3" t="str">
        <f>VLOOKUP(C238,'Location Summary'!$C$4:$D$602,2,0)</f>
        <v>DA+9</v>
      </c>
      <c r="E238" s="267" t="s">
        <v>403</v>
      </c>
      <c r="F238" s="268" t="s">
        <v>683</v>
      </c>
      <c r="I238" s="156">
        <v>1</v>
      </c>
      <c r="L238" s="156">
        <v>1</v>
      </c>
      <c r="O238" s="156">
        <v>1</v>
      </c>
      <c r="R238" s="156">
        <v>1</v>
      </c>
      <c r="X238" s="35">
        <f t="shared" ref="X238:X252" si="43">B238</f>
        <v>45539</v>
      </c>
      <c r="Y238" s="35">
        <f t="shared" ref="Y238:Y252" si="44">B238+28</f>
        <v>45567</v>
      </c>
    </row>
    <row r="239" spans="1:25" ht="20.149999999999999" customHeight="1">
      <c r="A239" s="10">
        <f>SUBTOTAL(103,$B$4:B239)</f>
        <v>236</v>
      </c>
      <c r="B239" s="111">
        <v>45539</v>
      </c>
      <c r="C239" s="114" t="s">
        <v>571</v>
      </c>
      <c r="D239" s="3" t="str">
        <f>VLOOKUP(C239,'Location Summary'!$C$4:$D$602,2,0)</f>
        <v>DA+6</v>
      </c>
      <c r="E239" s="267" t="s">
        <v>403</v>
      </c>
      <c r="F239" s="268" t="s">
        <v>683</v>
      </c>
      <c r="G239" s="158">
        <v>1</v>
      </c>
      <c r="H239" s="157">
        <v>1</v>
      </c>
      <c r="I239" s="156">
        <v>1</v>
      </c>
      <c r="K239" s="157">
        <v>1</v>
      </c>
      <c r="L239" s="156">
        <v>1</v>
      </c>
      <c r="N239" s="157">
        <v>1</v>
      </c>
      <c r="O239" s="156">
        <v>1</v>
      </c>
      <c r="P239" s="158">
        <v>1</v>
      </c>
      <c r="Q239" s="157">
        <v>1</v>
      </c>
      <c r="R239" s="156">
        <v>1</v>
      </c>
      <c r="X239" s="35">
        <f t="shared" si="43"/>
        <v>45539</v>
      </c>
      <c r="Y239" s="35">
        <f t="shared" si="44"/>
        <v>45567</v>
      </c>
    </row>
    <row r="240" spans="1:25" ht="20.149999999999999" customHeight="1">
      <c r="A240" s="10">
        <f>SUBTOTAL(103,$B$4:B240)</f>
        <v>237</v>
      </c>
      <c r="B240" s="111">
        <v>45539</v>
      </c>
      <c r="C240" s="114" t="s">
        <v>430</v>
      </c>
      <c r="D240" s="3" t="str">
        <f>VLOOKUP(C240,'Location Summary'!$C$4:$D$602,2,0)</f>
        <v>DA+6</v>
      </c>
      <c r="E240" s="267" t="s">
        <v>403</v>
      </c>
      <c r="F240" s="268" t="s">
        <v>683</v>
      </c>
      <c r="J240" s="158">
        <v>1</v>
      </c>
      <c r="M240" s="158">
        <v>1</v>
      </c>
      <c r="X240" s="35">
        <f t="shared" si="43"/>
        <v>45539</v>
      </c>
      <c r="Y240" s="35">
        <f t="shared" si="44"/>
        <v>45567</v>
      </c>
    </row>
    <row r="241" spans="1:25" ht="20.149999999999999" customHeight="1">
      <c r="A241" s="10">
        <f>SUBTOTAL(103,$B$4:B241)</f>
        <v>238</v>
      </c>
      <c r="B241" s="111">
        <v>45539</v>
      </c>
      <c r="C241" s="114" t="s">
        <v>493</v>
      </c>
      <c r="D241" s="3" t="str">
        <f>VLOOKUP(C241,'Location Summary'!$C$4:$D$602,2,0)</f>
        <v>DA+3</v>
      </c>
      <c r="E241" s="267" t="s">
        <v>403</v>
      </c>
      <c r="F241" s="268" t="s">
        <v>683</v>
      </c>
      <c r="H241" s="157">
        <v>1</v>
      </c>
      <c r="I241" s="156">
        <v>1</v>
      </c>
      <c r="M241" s="158">
        <v>1</v>
      </c>
      <c r="N241" s="157">
        <v>1</v>
      </c>
      <c r="O241" s="156">
        <v>1</v>
      </c>
      <c r="P241" s="158">
        <v>1</v>
      </c>
      <c r="Q241" s="157">
        <v>1</v>
      </c>
      <c r="R241" s="156">
        <v>1</v>
      </c>
      <c r="X241" s="35">
        <f t="shared" si="43"/>
        <v>45539</v>
      </c>
      <c r="Y241" s="35">
        <f t="shared" si="44"/>
        <v>45567</v>
      </c>
    </row>
    <row r="242" spans="1:25" ht="20.149999999999999" customHeight="1">
      <c r="A242" s="10">
        <f>SUBTOTAL(103,$B$4:B242)</f>
        <v>239</v>
      </c>
      <c r="B242" s="111">
        <v>45539</v>
      </c>
      <c r="C242" s="114" t="s">
        <v>490</v>
      </c>
      <c r="D242" s="3" t="str">
        <f>VLOOKUP(C242,'Location Summary'!$C$4:$D$602,2,0)</f>
        <v>DA+1.5</v>
      </c>
      <c r="E242" s="267" t="s">
        <v>403</v>
      </c>
      <c r="F242" s="268" t="s">
        <v>683</v>
      </c>
      <c r="K242" s="157">
        <v>1</v>
      </c>
      <c r="L242" s="156">
        <v>1</v>
      </c>
      <c r="X242" s="35">
        <f t="shared" si="43"/>
        <v>45539</v>
      </c>
      <c r="Y242" s="35">
        <f t="shared" si="44"/>
        <v>45567</v>
      </c>
    </row>
    <row r="243" spans="1:25" ht="20.149999999999999" customHeight="1">
      <c r="A243" s="10">
        <f>SUBTOTAL(103,$B$4:B243)</f>
        <v>240</v>
      </c>
      <c r="B243" s="111">
        <v>45540</v>
      </c>
      <c r="C243" s="114" t="s">
        <v>430</v>
      </c>
      <c r="D243" s="3" t="str">
        <f>VLOOKUP(C243,'Location Summary'!$C$4:$D$602,2,0)</f>
        <v>DA+6</v>
      </c>
      <c r="E243" s="267" t="s">
        <v>403</v>
      </c>
      <c r="F243" s="268" t="s">
        <v>683</v>
      </c>
      <c r="J243" s="158">
        <v>1</v>
      </c>
      <c r="M243" s="158">
        <v>1</v>
      </c>
      <c r="X243" s="35">
        <f t="shared" si="43"/>
        <v>45540</v>
      </c>
      <c r="Y243" s="35">
        <f t="shared" si="44"/>
        <v>45568</v>
      </c>
    </row>
    <row r="244" spans="1:25" ht="20.149999999999999" customHeight="1">
      <c r="A244" s="10">
        <f>SUBTOTAL(103,$B$4:B244)</f>
        <v>241</v>
      </c>
      <c r="B244" s="111">
        <v>45540</v>
      </c>
      <c r="C244" s="114" t="s">
        <v>493</v>
      </c>
      <c r="D244" s="3" t="str">
        <f>VLOOKUP(C244,'Location Summary'!$C$4:$D$602,2,0)</f>
        <v>DA+3</v>
      </c>
      <c r="E244" s="267" t="s">
        <v>403</v>
      </c>
      <c r="F244" s="268" t="s">
        <v>683</v>
      </c>
      <c r="J244" s="158">
        <v>1</v>
      </c>
      <c r="X244" s="35">
        <f t="shared" si="43"/>
        <v>45540</v>
      </c>
      <c r="Y244" s="35">
        <f t="shared" si="44"/>
        <v>45568</v>
      </c>
    </row>
    <row r="245" spans="1:25" ht="20.149999999999999" customHeight="1">
      <c r="A245" s="10">
        <f>SUBTOTAL(103,$B$4:B245)</f>
        <v>242</v>
      </c>
      <c r="B245" s="111">
        <v>45540</v>
      </c>
      <c r="C245" s="114" t="s">
        <v>894</v>
      </c>
      <c r="D245" s="3" t="str">
        <f>VLOOKUP(C245,'Location Summary'!$C$4:$D$602,2,0)</f>
        <v>DA+6</v>
      </c>
      <c r="E245" s="267" t="s">
        <v>403</v>
      </c>
      <c r="F245" s="268" t="s">
        <v>683</v>
      </c>
      <c r="H245" s="157">
        <v>1</v>
      </c>
      <c r="I245" s="156">
        <v>1</v>
      </c>
      <c r="J245" s="158">
        <v>1</v>
      </c>
      <c r="M245" s="158">
        <v>1</v>
      </c>
      <c r="Q245" s="157">
        <v>1</v>
      </c>
      <c r="R245" s="156">
        <v>1</v>
      </c>
      <c r="X245" s="35">
        <f t="shared" si="43"/>
        <v>45540</v>
      </c>
      <c r="Y245" s="35">
        <f t="shared" si="44"/>
        <v>45568</v>
      </c>
    </row>
    <row r="246" spans="1:25" ht="20.149999999999999" customHeight="1">
      <c r="A246" s="10">
        <f>SUBTOTAL(103,$B$4:B246)</f>
        <v>243</v>
      </c>
      <c r="B246" s="111">
        <v>45540</v>
      </c>
      <c r="C246" s="114" t="s">
        <v>490</v>
      </c>
      <c r="D246" s="3" t="str">
        <f>VLOOKUP(C246,'Location Summary'!$C$4:$D$602,2,0)</f>
        <v>DA+1.5</v>
      </c>
      <c r="E246" s="267" t="s">
        <v>403</v>
      </c>
      <c r="F246" s="268" t="s">
        <v>683</v>
      </c>
      <c r="G246" s="158">
        <v>1</v>
      </c>
      <c r="H246" s="157">
        <v>1</v>
      </c>
      <c r="I246" s="156">
        <v>1</v>
      </c>
      <c r="X246" s="35">
        <f t="shared" si="43"/>
        <v>45540</v>
      </c>
      <c r="Y246" s="35">
        <f t="shared" si="44"/>
        <v>45568</v>
      </c>
    </row>
    <row r="247" spans="1:25" ht="20.149999999999999" customHeight="1">
      <c r="A247" s="10">
        <f>SUBTOTAL(103,$B$4:B247)</f>
        <v>244</v>
      </c>
      <c r="B247" s="111">
        <v>45541</v>
      </c>
      <c r="C247" s="114" t="s">
        <v>467</v>
      </c>
      <c r="D247" s="3" t="str">
        <f>VLOOKUP(C247,'Location Summary'!$C$4:$D$602,2,0)</f>
        <v>DA+3</v>
      </c>
      <c r="E247" s="267" t="s">
        <v>403</v>
      </c>
      <c r="F247" s="268" t="s">
        <v>683</v>
      </c>
      <c r="G247" s="158">
        <v>1</v>
      </c>
      <c r="J247" s="158">
        <v>1</v>
      </c>
      <c r="M247" s="158">
        <v>1</v>
      </c>
      <c r="P247" s="158">
        <v>1</v>
      </c>
      <c r="X247" s="35">
        <f t="shared" si="43"/>
        <v>45541</v>
      </c>
      <c r="Y247" s="35">
        <f t="shared" si="44"/>
        <v>45569</v>
      </c>
    </row>
    <row r="248" spans="1:25" ht="20.149999999999999" customHeight="1">
      <c r="A248" s="10">
        <f>SUBTOTAL(103,$B$4:B248)</f>
        <v>245</v>
      </c>
      <c r="B248" s="111">
        <v>45541</v>
      </c>
      <c r="C248" s="114" t="s">
        <v>430</v>
      </c>
      <c r="D248" s="3" t="str">
        <f>VLOOKUP(C248,'Location Summary'!$C$4:$D$602,2,0)</f>
        <v>DA+6</v>
      </c>
      <c r="E248" s="267" t="s">
        <v>403</v>
      </c>
      <c r="F248" s="268" t="s">
        <v>683</v>
      </c>
      <c r="K248" s="157">
        <v>1</v>
      </c>
      <c r="L248" s="156">
        <v>1</v>
      </c>
      <c r="N248" s="157">
        <v>1</v>
      </c>
      <c r="O248" s="156">
        <v>1</v>
      </c>
      <c r="X248" s="35">
        <f t="shared" si="43"/>
        <v>45541</v>
      </c>
      <c r="Y248" s="35">
        <f t="shared" si="44"/>
        <v>45569</v>
      </c>
    </row>
    <row r="249" spans="1:25" ht="20.149999999999999" customHeight="1">
      <c r="A249" s="10">
        <f>SUBTOTAL(103,$B$4:B249)</f>
        <v>246</v>
      </c>
      <c r="B249" s="111">
        <v>45541</v>
      </c>
      <c r="C249" s="114" t="s">
        <v>187</v>
      </c>
      <c r="D249" s="3" t="str">
        <f>VLOOKUP(C249,'Location Summary'!$C$4:$D$602,2,0)</f>
        <v>DA+3</v>
      </c>
      <c r="E249" s="267" t="s">
        <v>403</v>
      </c>
      <c r="F249" s="268" t="s">
        <v>683</v>
      </c>
      <c r="G249" s="158">
        <v>1</v>
      </c>
      <c r="X249" s="35">
        <f t="shared" si="43"/>
        <v>45541</v>
      </c>
      <c r="Y249" s="35">
        <f t="shared" si="44"/>
        <v>45569</v>
      </c>
    </row>
    <row r="250" spans="1:25" ht="20.149999999999999" customHeight="1">
      <c r="A250" s="10">
        <f>SUBTOTAL(103,$B$4:B250)</f>
        <v>247</v>
      </c>
      <c r="B250" s="111">
        <v>45541</v>
      </c>
      <c r="C250" s="114" t="s">
        <v>493</v>
      </c>
      <c r="D250" s="3" t="str">
        <f>VLOOKUP(C250,'Location Summary'!$C$4:$D$602,2,0)</f>
        <v>DA+3</v>
      </c>
      <c r="E250" s="267" t="s">
        <v>403</v>
      </c>
      <c r="F250" s="268" t="s">
        <v>683</v>
      </c>
      <c r="K250" s="157">
        <v>1</v>
      </c>
      <c r="L250" s="156">
        <v>1</v>
      </c>
      <c r="X250" s="35">
        <f t="shared" si="43"/>
        <v>45541</v>
      </c>
      <c r="Y250" s="35">
        <f t="shared" si="44"/>
        <v>45569</v>
      </c>
    </row>
    <row r="251" spans="1:25" ht="20.149999999999999" customHeight="1">
      <c r="A251" s="10">
        <f>SUBTOTAL(103,$B$4:B251)</f>
        <v>248</v>
      </c>
      <c r="B251" s="111">
        <v>45541</v>
      </c>
      <c r="C251" s="114" t="s">
        <v>894</v>
      </c>
      <c r="D251" s="3" t="str">
        <f>VLOOKUP(C251,'Location Summary'!$C$4:$D$602,2,0)</f>
        <v>DA+6</v>
      </c>
      <c r="E251" s="267" t="s">
        <v>403</v>
      </c>
      <c r="F251" s="268" t="s">
        <v>683</v>
      </c>
      <c r="K251" s="157">
        <v>1</v>
      </c>
      <c r="L251" s="156">
        <v>1</v>
      </c>
      <c r="N251" s="157">
        <v>1</v>
      </c>
      <c r="O251" s="156">
        <v>1</v>
      </c>
      <c r="X251" s="35">
        <f t="shared" si="43"/>
        <v>45541</v>
      </c>
      <c r="Y251" s="35">
        <f t="shared" si="44"/>
        <v>45569</v>
      </c>
    </row>
    <row r="252" spans="1:25" ht="20.149999999999999" customHeight="1">
      <c r="A252" s="10">
        <f>SUBTOTAL(103,$B$4:B252)</f>
        <v>249</v>
      </c>
      <c r="B252" s="111">
        <v>45542</v>
      </c>
      <c r="C252" s="114" t="s">
        <v>467</v>
      </c>
      <c r="D252" s="3" t="str">
        <f>VLOOKUP(C252,'Location Summary'!$C$4:$D$602,2,0)</f>
        <v>DA+3</v>
      </c>
      <c r="E252" s="267" t="s">
        <v>403</v>
      </c>
      <c r="F252" s="268" t="s">
        <v>683</v>
      </c>
      <c r="H252" s="157">
        <v>1</v>
      </c>
      <c r="I252" s="156">
        <v>1</v>
      </c>
      <c r="K252" s="157">
        <v>1</v>
      </c>
      <c r="L252" s="156">
        <v>1</v>
      </c>
      <c r="N252" s="157">
        <v>1</v>
      </c>
      <c r="O252" s="156">
        <v>1</v>
      </c>
      <c r="Q252" s="157">
        <v>1</v>
      </c>
      <c r="R252" s="156">
        <v>1</v>
      </c>
      <c r="X252" s="35">
        <f t="shared" si="43"/>
        <v>45542</v>
      </c>
      <c r="Y252" s="35">
        <f t="shared" si="44"/>
        <v>45570</v>
      </c>
    </row>
    <row r="253" spans="1:25" ht="20.149999999999999" customHeight="1">
      <c r="A253" s="10">
        <f>SUBTOTAL(103,$B$4:B253)</f>
        <v>250</v>
      </c>
      <c r="B253" s="111">
        <v>45542</v>
      </c>
      <c r="C253" s="114" t="s">
        <v>430</v>
      </c>
      <c r="D253" s="3" t="str">
        <f>VLOOKUP(C253,'Location Summary'!$C$4:$D$602,2,0)</f>
        <v>DA+6</v>
      </c>
      <c r="E253" s="267" t="s">
        <v>403</v>
      </c>
      <c r="F253" s="268" t="s">
        <v>683</v>
      </c>
      <c r="G253" s="158">
        <v>1</v>
      </c>
      <c r="X253" s="35">
        <f t="shared" ref="X253:X259" si="45">B253</f>
        <v>45542</v>
      </c>
      <c r="Y253" s="35">
        <f t="shared" ref="Y253:Y259" si="46">B253+28</f>
        <v>45570</v>
      </c>
    </row>
    <row r="254" spans="1:25" ht="20.149999999999999" customHeight="1">
      <c r="A254" s="10">
        <f>SUBTOTAL(103,$B$4:B254)</f>
        <v>251</v>
      </c>
      <c r="B254" s="111">
        <v>45543</v>
      </c>
      <c r="C254" s="114" t="s">
        <v>430</v>
      </c>
      <c r="D254" s="3" t="str">
        <f>VLOOKUP(C254,'Location Summary'!$C$4:$D$602,2,0)</f>
        <v>DA+6</v>
      </c>
      <c r="E254" s="267" t="s">
        <v>403</v>
      </c>
      <c r="F254" s="268" t="s">
        <v>683</v>
      </c>
      <c r="H254" s="157">
        <v>1</v>
      </c>
      <c r="I254" s="156">
        <v>1</v>
      </c>
      <c r="X254" s="35">
        <f t="shared" si="45"/>
        <v>45543</v>
      </c>
      <c r="Y254" s="35">
        <f t="shared" si="46"/>
        <v>45571</v>
      </c>
    </row>
    <row r="255" spans="1:25" ht="20.149999999999999" customHeight="1">
      <c r="A255" s="10">
        <f>SUBTOTAL(103,$B$4:B255)</f>
        <v>252</v>
      </c>
      <c r="B255" s="111">
        <v>45543</v>
      </c>
      <c r="C255" s="114" t="s">
        <v>187</v>
      </c>
      <c r="D255" s="3" t="str">
        <f>VLOOKUP(C255,'Location Summary'!$C$4:$D$602,2,0)</f>
        <v>DA+3</v>
      </c>
      <c r="E255" s="267" t="s">
        <v>403</v>
      </c>
      <c r="F255" s="268" t="s">
        <v>683</v>
      </c>
      <c r="H255" s="157">
        <v>1</v>
      </c>
      <c r="J255" s="158">
        <v>1</v>
      </c>
      <c r="K255" s="157">
        <v>1</v>
      </c>
      <c r="M255" s="158">
        <v>1</v>
      </c>
      <c r="N255" s="157">
        <v>1</v>
      </c>
      <c r="P255" s="158">
        <v>1</v>
      </c>
      <c r="Q255" s="157">
        <v>1</v>
      </c>
      <c r="X255" s="35">
        <f t="shared" si="45"/>
        <v>45543</v>
      </c>
      <c r="Y255" s="35">
        <f t="shared" si="46"/>
        <v>45571</v>
      </c>
    </row>
    <row r="256" spans="1:25" ht="20.149999999999999" customHeight="1">
      <c r="A256" s="10">
        <f>SUBTOTAL(103,$B$4:B256)</f>
        <v>253</v>
      </c>
      <c r="B256" s="111">
        <v>45543</v>
      </c>
      <c r="C256" s="114" t="s">
        <v>494</v>
      </c>
      <c r="D256" s="3" t="str">
        <f>VLOOKUP(C256,'Location Summary'!$C$4:$D$602,2,0)</f>
        <v>DA+3</v>
      </c>
      <c r="E256" s="267" t="s">
        <v>403</v>
      </c>
      <c r="F256" s="268" t="s">
        <v>683</v>
      </c>
      <c r="J256" s="158">
        <v>1</v>
      </c>
      <c r="M256" s="158">
        <v>1</v>
      </c>
      <c r="P256" s="158">
        <v>1</v>
      </c>
      <c r="X256" s="35">
        <f t="shared" si="45"/>
        <v>45543</v>
      </c>
      <c r="Y256" s="35">
        <f t="shared" si="46"/>
        <v>45571</v>
      </c>
    </row>
    <row r="257" spans="1:25" ht="20.149999999999999" customHeight="1">
      <c r="A257" s="10">
        <f>SUBTOTAL(103,$B$4:B257)</f>
        <v>254</v>
      </c>
      <c r="B257" s="111">
        <v>45543</v>
      </c>
      <c r="C257" s="114" t="s">
        <v>893</v>
      </c>
      <c r="D257" s="3" t="str">
        <f>VLOOKUP(C257,'Location Summary'!$C$4:$D$602,2,0)</f>
        <v>DA+9</v>
      </c>
      <c r="E257" s="267" t="s">
        <v>403</v>
      </c>
      <c r="F257" s="268" t="s">
        <v>683</v>
      </c>
      <c r="G257" s="158">
        <v>1</v>
      </c>
      <c r="J257" s="158">
        <v>1</v>
      </c>
      <c r="M257" s="158">
        <v>1</v>
      </c>
      <c r="N257" s="157">
        <v>1</v>
      </c>
      <c r="O257" s="156">
        <v>1</v>
      </c>
      <c r="P257" s="158">
        <v>1</v>
      </c>
      <c r="Q257" s="157">
        <v>1</v>
      </c>
      <c r="R257" s="156">
        <v>1</v>
      </c>
      <c r="X257" s="35">
        <f t="shared" si="45"/>
        <v>45543</v>
      </c>
      <c r="Y257" s="35">
        <f t="shared" si="46"/>
        <v>45571</v>
      </c>
    </row>
    <row r="258" spans="1:25" ht="20.149999999999999" customHeight="1">
      <c r="A258" s="10">
        <f>SUBTOTAL(103,$B$4:B258)</f>
        <v>255</v>
      </c>
      <c r="B258" s="111">
        <v>45543</v>
      </c>
      <c r="C258" s="114" t="s">
        <v>475</v>
      </c>
      <c r="D258" s="3" t="str">
        <f>VLOOKUP(C258,'Location Summary'!$C$4:$D$602,2,0)</f>
        <v>DA-1.5</v>
      </c>
      <c r="E258" s="267" t="s">
        <v>403</v>
      </c>
      <c r="F258" s="268" t="s">
        <v>683</v>
      </c>
      <c r="P258" s="158">
        <v>1</v>
      </c>
      <c r="X258" s="35">
        <f t="shared" si="45"/>
        <v>45543</v>
      </c>
      <c r="Y258" s="35">
        <f t="shared" si="46"/>
        <v>45571</v>
      </c>
    </row>
    <row r="259" spans="1:25" ht="20.149999999999999" customHeight="1">
      <c r="A259" s="10">
        <f>SUBTOTAL(103,$B$4:B259)</f>
        <v>256</v>
      </c>
      <c r="B259" s="111">
        <v>45543</v>
      </c>
      <c r="C259" s="114" t="s">
        <v>586</v>
      </c>
      <c r="D259" s="3" t="str">
        <f>VLOOKUP(C259,'Location Summary'!$C$4:$D$602,2,0)</f>
        <v>DA+3</v>
      </c>
      <c r="E259" s="267" t="s">
        <v>403</v>
      </c>
      <c r="F259" s="268" t="s">
        <v>683</v>
      </c>
      <c r="M259" s="158">
        <v>1</v>
      </c>
      <c r="P259" s="158">
        <v>1</v>
      </c>
      <c r="X259" s="35">
        <f t="shared" si="45"/>
        <v>45543</v>
      </c>
      <c r="Y259" s="35">
        <f t="shared" si="46"/>
        <v>45571</v>
      </c>
    </row>
    <row r="260" spans="1:25" ht="20.149999999999999" customHeight="1">
      <c r="A260" s="10">
        <f>SUBTOTAL(103,$B$4:B260)</f>
        <v>257</v>
      </c>
      <c r="B260" s="111">
        <v>45544</v>
      </c>
      <c r="C260" s="114" t="s">
        <v>463</v>
      </c>
      <c r="D260" s="3" t="str">
        <f>VLOOKUP(C260,'Location Summary'!$C$4:$D$602,2,0)</f>
        <v>DA+9</v>
      </c>
      <c r="E260" s="267" t="s">
        <v>403</v>
      </c>
      <c r="F260" s="268" t="s">
        <v>683</v>
      </c>
      <c r="G260" s="158">
        <v>1</v>
      </c>
      <c r="P260" s="158">
        <v>1</v>
      </c>
      <c r="X260" s="35">
        <f t="shared" ref="X260:X266" si="47">B260</f>
        <v>45544</v>
      </c>
      <c r="Y260" s="35">
        <f t="shared" ref="Y260:Y266" si="48">B260+28</f>
        <v>45572</v>
      </c>
    </row>
    <row r="261" spans="1:25" ht="20.149999999999999" customHeight="1">
      <c r="A261" s="10">
        <f>SUBTOTAL(103,$B$4:B261)</f>
        <v>258</v>
      </c>
      <c r="B261" s="111">
        <v>45544</v>
      </c>
      <c r="C261" s="114" t="s">
        <v>187</v>
      </c>
      <c r="D261" s="3" t="str">
        <f>VLOOKUP(C261,'Location Summary'!$C$4:$D$602,2,0)</f>
        <v>DA+3</v>
      </c>
      <c r="E261" s="267" t="s">
        <v>403</v>
      </c>
      <c r="F261" s="268" t="s">
        <v>683</v>
      </c>
      <c r="I261" s="156">
        <v>1</v>
      </c>
      <c r="L261" s="156">
        <v>1</v>
      </c>
      <c r="O261" s="156">
        <v>1</v>
      </c>
      <c r="R261" s="156">
        <v>1</v>
      </c>
      <c r="X261" s="35">
        <f t="shared" si="47"/>
        <v>45544</v>
      </c>
      <c r="Y261" s="35">
        <f t="shared" si="48"/>
        <v>45572</v>
      </c>
    </row>
    <row r="262" spans="1:25" ht="20.149999999999999" customHeight="1">
      <c r="A262" s="10">
        <f>SUBTOTAL(103,$B$4:B262)</f>
        <v>259</v>
      </c>
      <c r="B262" s="111">
        <v>45544</v>
      </c>
      <c r="C262" s="114" t="s">
        <v>494</v>
      </c>
      <c r="D262" s="3" t="str">
        <f>VLOOKUP(C262,'Location Summary'!$C$4:$D$602,2,0)</f>
        <v>DA+3</v>
      </c>
      <c r="E262" s="267" t="s">
        <v>403</v>
      </c>
      <c r="F262" s="268" t="s">
        <v>683</v>
      </c>
      <c r="G262" s="158">
        <v>1</v>
      </c>
      <c r="K262" s="157">
        <v>1</v>
      </c>
      <c r="N262" s="157">
        <v>1</v>
      </c>
      <c r="O262" s="156">
        <v>1</v>
      </c>
      <c r="Q262" s="157">
        <v>1</v>
      </c>
      <c r="X262" s="35">
        <f t="shared" si="47"/>
        <v>45544</v>
      </c>
      <c r="Y262" s="35">
        <f t="shared" si="48"/>
        <v>45572</v>
      </c>
    </row>
    <row r="263" spans="1:25" ht="20.149999999999999" customHeight="1">
      <c r="A263" s="10">
        <f>SUBTOTAL(103,$B$4:B263)</f>
        <v>260</v>
      </c>
      <c r="B263" s="111">
        <v>45544</v>
      </c>
      <c r="C263" s="114" t="s">
        <v>893</v>
      </c>
      <c r="D263" s="3" t="str">
        <f>VLOOKUP(C263,'Location Summary'!$C$4:$D$602,2,0)</f>
        <v>DA+9</v>
      </c>
      <c r="E263" s="267" t="s">
        <v>403</v>
      </c>
      <c r="F263" s="268" t="s">
        <v>683</v>
      </c>
      <c r="H263" s="157">
        <v>1</v>
      </c>
      <c r="I263" s="156">
        <v>1</v>
      </c>
      <c r="K263" s="157">
        <v>1</v>
      </c>
      <c r="L263" s="156">
        <v>1</v>
      </c>
      <c r="X263" s="35">
        <f t="shared" si="47"/>
        <v>45544</v>
      </c>
      <c r="Y263" s="35">
        <f t="shared" si="48"/>
        <v>45572</v>
      </c>
    </row>
    <row r="264" spans="1:25" ht="20.149999999999999" customHeight="1">
      <c r="A264" s="10">
        <f>SUBTOTAL(103,$B$4:B264)</f>
        <v>261</v>
      </c>
      <c r="B264" s="111">
        <v>45544</v>
      </c>
      <c r="C264" s="114" t="s">
        <v>475</v>
      </c>
      <c r="D264" s="3" t="str">
        <f>VLOOKUP(C264,'Location Summary'!$C$4:$D$602,2,0)</f>
        <v>DA-1.5</v>
      </c>
      <c r="E264" s="267" t="s">
        <v>403</v>
      </c>
      <c r="F264" s="268" t="s">
        <v>683</v>
      </c>
      <c r="M264" s="158">
        <v>1</v>
      </c>
      <c r="Q264" s="157">
        <v>1</v>
      </c>
      <c r="X264" s="35">
        <f t="shared" si="47"/>
        <v>45544</v>
      </c>
      <c r="Y264" s="35">
        <f t="shared" si="48"/>
        <v>45572</v>
      </c>
    </row>
    <row r="265" spans="1:25" ht="20.149999999999999" customHeight="1">
      <c r="A265" s="10">
        <f>SUBTOTAL(103,$B$4:B265)</f>
        <v>262</v>
      </c>
      <c r="B265" s="111">
        <v>45544</v>
      </c>
      <c r="C265" s="114" t="s">
        <v>586</v>
      </c>
      <c r="D265" s="3" t="str">
        <f>VLOOKUP(C265,'Location Summary'!$C$4:$D$602,2,0)</f>
        <v>DA+3</v>
      </c>
      <c r="E265" s="267" t="s">
        <v>403</v>
      </c>
      <c r="F265" s="268" t="s">
        <v>683</v>
      </c>
      <c r="N265" s="157">
        <v>1</v>
      </c>
      <c r="Q265" s="157">
        <v>1</v>
      </c>
      <c r="X265" s="35">
        <f t="shared" si="47"/>
        <v>45544</v>
      </c>
      <c r="Y265" s="35">
        <f t="shared" si="48"/>
        <v>45572</v>
      </c>
    </row>
    <row r="266" spans="1:25" ht="20.149999999999999" customHeight="1">
      <c r="A266" s="10">
        <f>SUBTOTAL(103,$B$4:B266)</f>
        <v>263</v>
      </c>
      <c r="B266" s="111">
        <v>45545</v>
      </c>
      <c r="C266" s="114" t="s">
        <v>430</v>
      </c>
      <c r="D266" s="3" t="str">
        <f>VLOOKUP(C266,'Location Summary'!$C$4:$D$602,2,0)</f>
        <v>DA+6</v>
      </c>
      <c r="E266" s="267" t="s">
        <v>403</v>
      </c>
      <c r="F266" s="268" t="s">
        <v>683</v>
      </c>
      <c r="P266" s="158">
        <v>1</v>
      </c>
      <c r="Q266" s="157">
        <v>1</v>
      </c>
      <c r="R266" s="156">
        <v>1</v>
      </c>
      <c r="X266" s="35">
        <f t="shared" si="47"/>
        <v>45545</v>
      </c>
      <c r="Y266" s="35">
        <f t="shared" si="48"/>
        <v>45573</v>
      </c>
    </row>
    <row r="267" spans="1:25" ht="20.149999999999999" customHeight="1">
      <c r="A267" s="10">
        <f>SUBTOTAL(103,$B$4:B267)</f>
        <v>264</v>
      </c>
      <c r="B267" s="111">
        <v>45545</v>
      </c>
      <c r="C267" s="114" t="s">
        <v>494</v>
      </c>
      <c r="D267" s="3" t="str">
        <f>VLOOKUP(C267,'Location Summary'!$C$4:$D$602,2,0)</f>
        <v>DA+3</v>
      </c>
      <c r="E267" s="267" t="s">
        <v>403</v>
      </c>
      <c r="F267" s="268" t="s">
        <v>683</v>
      </c>
      <c r="H267" s="157">
        <v>1</v>
      </c>
      <c r="I267" s="156">
        <v>1</v>
      </c>
      <c r="L267" s="156">
        <v>1</v>
      </c>
      <c r="R267" s="156">
        <v>1</v>
      </c>
      <c r="X267" s="35">
        <f>B267</f>
        <v>45545</v>
      </c>
      <c r="Y267" s="35">
        <f>B267+28</f>
        <v>45573</v>
      </c>
    </row>
    <row r="268" spans="1:25" ht="20.149999999999999" customHeight="1">
      <c r="A268" s="10">
        <f>SUBTOTAL(103,$B$4:B268)</f>
        <v>265</v>
      </c>
      <c r="B268" s="111">
        <v>45545</v>
      </c>
      <c r="C268" s="114" t="s">
        <v>475</v>
      </c>
      <c r="D268" s="3" t="str">
        <f>VLOOKUP(C268,'Location Summary'!$C$4:$D$602,2,0)</f>
        <v>DA-1.5</v>
      </c>
      <c r="E268" s="267" t="s">
        <v>403</v>
      </c>
      <c r="F268" s="268" t="s">
        <v>683</v>
      </c>
      <c r="N268" s="157">
        <v>1</v>
      </c>
      <c r="O268" s="156">
        <v>1</v>
      </c>
      <c r="R268" s="156">
        <v>1</v>
      </c>
      <c r="X268" s="35">
        <f>B268</f>
        <v>45545</v>
      </c>
      <c r="Y268" s="35">
        <f>B268+28</f>
        <v>45573</v>
      </c>
    </row>
    <row r="269" spans="1:25" ht="20.149999999999999" customHeight="1">
      <c r="A269" s="10">
        <f>SUBTOTAL(103,$B$4:B269)</f>
        <v>266</v>
      </c>
      <c r="B269" s="111">
        <v>45545</v>
      </c>
      <c r="C269" s="114" t="s">
        <v>586</v>
      </c>
      <c r="D269" s="3" t="str">
        <f>VLOOKUP(C269,'Location Summary'!$C$4:$D$602,2,0)</f>
        <v>DA+3</v>
      </c>
      <c r="E269" s="267" t="s">
        <v>403</v>
      </c>
      <c r="F269" s="268" t="s">
        <v>683</v>
      </c>
      <c r="O269" s="156">
        <v>1</v>
      </c>
      <c r="R269" s="156">
        <v>1</v>
      </c>
      <c r="X269" s="35">
        <f t="shared" ref="X269:X274" si="49">B269</f>
        <v>45545</v>
      </c>
      <c r="Y269" s="35">
        <f t="shared" ref="Y269:Y274" si="50">B269+28</f>
        <v>45573</v>
      </c>
    </row>
    <row r="270" spans="1:25" ht="20.149999999999999" customHeight="1">
      <c r="A270" s="10">
        <f>SUBTOTAL(103,$B$4:B270)</f>
        <v>267</v>
      </c>
      <c r="B270" s="111">
        <v>45546</v>
      </c>
      <c r="C270" s="114" t="s">
        <v>463</v>
      </c>
      <c r="D270" s="3" t="str">
        <f>VLOOKUP(C270,'Location Summary'!$C$4:$D$602,2,0)</f>
        <v>DA+9</v>
      </c>
      <c r="E270" s="267" t="s">
        <v>403</v>
      </c>
      <c r="F270" s="268" t="s">
        <v>683</v>
      </c>
      <c r="H270" s="157">
        <v>1</v>
      </c>
      <c r="J270" s="158">
        <v>1</v>
      </c>
      <c r="M270" s="158">
        <v>1</v>
      </c>
      <c r="Q270" s="157">
        <v>1</v>
      </c>
      <c r="X270" s="35">
        <f t="shared" si="49"/>
        <v>45546</v>
      </c>
      <c r="Y270" s="35">
        <f t="shared" si="50"/>
        <v>45574</v>
      </c>
    </row>
    <row r="271" spans="1:25" ht="20.149999999999999" customHeight="1">
      <c r="A271" s="10">
        <f>SUBTOTAL(103,$B$4:B271)</f>
        <v>268</v>
      </c>
      <c r="B271" s="111">
        <v>45546</v>
      </c>
      <c r="C271" s="114" t="s">
        <v>70</v>
      </c>
      <c r="D271" s="3" t="str">
        <f>VLOOKUP(C271,'Location Summary'!$C$4:$D$602,2,0)</f>
        <v>DA+3</v>
      </c>
      <c r="E271" s="267" t="s">
        <v>403</v>
      </c>
      <c r="F271" s="268" t="s">
        <v>683</v>
      </c>
      <c r="P271" s="158">
        <v>1</v>
      </c>
      <c r="X271" s="35">
        <f t="shared" si="49"/>
        <v>45546</v>
      </c>
      <c r="Y271" s="35">
        <f t="shared" si="50"/>
        <v>45574</v>
      </c>
    </row>
    <row r="272" spans="1:25" ht="20.149999999999999" customHeight="1">
      <c r="A272" s="10">
        <f>SUBTOTAL(103,$B$4:B272)</f>
        <v>269</v>
      </c>
      <c r="B272" s="111">
        <v>45546</v>
      </c>
      <c r="C272" s="114" t="s">
        <v>896</v>
      </c>
      <c r="D272" s="3" t="str">
        <f>VLOOKUP(C272,'Location Summary'!$C$4:$D$602,2,0)</f>
        <v>DA+9</v>
      </c>
      <c r="E272" s="267" t="s">
        <v>403</v>
      </c>
      <c r="F272" s="268" t="s">
        <v>683</v>
      </c>
      <c r="G272" s="158">
        <v>1</v>
      </c>
      <c r="H272" s="157">
        <v>1</v>
      </c>
      <c r="J272" s="158">
        <v>1</v>
      </c>
      <c r="M272" s="158">
        <v>1</v>
      </c>
      <c r="X272" s="35">
        <f t="shared" si="49"/>
        <v>45546</v>
      </c>
      <c r="Y272" s="35">
        <f t="shared" si="50"/>
        <v>45574</v>
      </c>
    </row>
    <row r="273" spans="1:25" ht="20.149999999999999" customHeight="1">
      <c r="A273" s="10">
        <f>SUBTOTAL(103,$B$4:B273)</f>
        <v>270</v>
      </c>
      <c r="B273" s="111">
        <v>45546</v>
      </c>
      <c r="C273" s="114" t="s">
        <v>475</v>
      </c>
      <c r="D273" s="3" t="str">
        <f>VLOOKUP(C273,'Location Summary'!$C$4:$D$602,2,0)</f>
        <v>DA-1.5</v>
      </c>
      <c r="E273" s="267" t="s">
        <v>403</v>
      </c>
      <c r="F273" s="268" t="s">
        <v>683</v>
      </c>
      <c r="G273" s="158">
        <v>1</v>
      </c>
      <c r="X273" s="35">
        <f t="shared" si="49"/>
        <v>45546</v>
      </c>
      <c r="Y273" s="35">
        <f t="shared" si="50"/>
        <v>45574</v>
      </c>
    </row>
    <row r="274" spans="1:25" ht="20.149999999999999" customHeight="1">
      <c r="A274" s="10">
        <f>SUBTOTAL(103,$B$4:B274)</f>
        <v>271</v>
      </c>
      <c r="B274" s="111">
        <v>45547</v>
      </c>
      <c r="C274" s="114" t="s">
        <v>463</v>
      </c>
      <c r="D274" s="3" t="str">
        <f>VLOOKUP(C274,'Location Summary'!$C$4:$D$602,2,0)</f>
        <v>DA+9</v>
      </c>
      <c r="E274" s="267" t="s">
        <v>403</v>
      </c>
      <c r="F274" s="268" t="s">
        <v>683</v>
      </c>
      <c r="I274" s="156">
        <v>1</v>
      </c>
      <c r="K274" s="157">
        <v>1</v>
      </c>
      <c r="L274" s="156">
        <v>1</v>
      </c>
      <c r="N274" s="157">
        <v>1</v>
      </c>
      <c r="O274" s="156">
        <v>1</v>
      </c>
      <c r="R274" s="156">
        <v>1</v>
      </c>
      <c r="X274" s="35">
        <f t="shared" si="49"/>
        <v>45547</v>
      </c>
      <c r="Y274" s="35">
        <f t="shared" si="50"/>
        <v>45575</v>
      </c>
    </row>
    <row r="275" spans="1:25" ht="20.149999999999999" customHeight="1">
      <c r="A275" s="10">
        <f>SUBTOTAL(103,$B$4:B275)</f>
        <v>272</v>
      </c>
      <c r="B275" s="111">
        <v>45547</v>
      </c>
      <c r="C275" s="114" t="s">
        <v>70</v>
      </c>
      <c r="D275" s="3" t="str">
        <f>VLOOKUP(C275,'Location Summary'!$C$4:$D$602,2,0)</f>
        <v>DA+3</v>
      </c>
      <c r="E275" s="267" t="s">
        <v>403</v>
      </c>
      <c r="F275" s="268" t="s">
        <v>683</v>
      </c>
      <c r="G275" s="158">
        <v>1</v>
      </c>
      <c r="J275" s="158">
        <v>1</v>
      </c>
      <c r="M275" s="158">
        <v>1</v>
      </c>
      <c r="N275" s="157">
        <v>1</v>
      </c>
      <c r="Q275" s="157">
        <v>1</v>
      </c>
      <c r="X275" s="35">
        <f t="shared" ref="X275:X283" si="51">B275</f>
        <v>45547</v>
      </c>
      <c r="Y275" s="35">
        <f t="shared" ref="Y275:Y283" si="52">B275+28</f>
        <v>45575</v>
      </c>
    </row>
    <row r="276" spans="1:25" ht="20.149999999999999" customHeight="1">
      <c r="A276" s="10">
        <f>SUBTOTAL(103,$B$4:B276)</f>
        <v>273</v>
      </c>
      <c r="B276" s="111">
        <v>45547</v>
      </c>
      <c r="C276" s="114" t="s">
        <v>896</v>
      </c>
      <c r="D276" s="3" t="str">
        <f>VLOOKUP(C276,'Location Summary'!$C$4:$D$602,2,0)</f>
        <v>DA+9</v>
      </c>
      <c r="E276" s="267" t="s">
        <v>403</v>
      </c>
      <c r="F276" s="268" t="s">
        <v>683</v>
      </c>
      <c r="I276" s="156">
        <v>1</v>
      </c>
      <c r="K276" s="157">
        <v>1</v>
      </c>
      <c r="L276" s="156">
        <v>1</v>
      </c>
      <c r="N276" s="157">
        <v>1</v>
      </c>
      <c r="O276" s="156">
        <v>1</v>
      </c>
      <c r="P276" s="158">
        <v>1</v>
      </c>
      <c r="Q276" s="157">
        <v>1</v>
      </c>
      <c r="R276" s="156">
        <v>1</v>
      </c>
      <c r="X276" s="35">
        <f t="shared" si="51"/>
        <v>45547</v>
      </c>
      <c r="Y276" s="35">
        <f t="shared" si="52"/>
        <v>45575</v>
      </c>
    </row>
    <row r="277" spans="1:25" ht="20.149999999999999" customHeight="1">
      <c r="A277" s="10">
        <f>SUBTOTAL(103,$B$4:B277)</f>
        <v>274</v>
      </c>
      <c r="B277" s="111">
        <v>45547</v>
      </c>
      <c r="C277" s="114" t="s">
        <v>475</v>
      </c>
      <c r="D277" s="3" t="str">
        <f>VLOOKUP(C277,'Location Summary'!$C$4:$D$602,2,0)</f>
        <v>DA-1.5</v>
      </c>
      <c r="E277" s="267" t="s">
        <v>403</v>
      </c>
      <c r="F277" s="268" t="s">
        <v>683</v>
      </c>
      <c r="H277" s="157">
        <v>1</v>
      </c>
      <c r="I277" s="156">
        <v>1</v>
      </c>
      <c r="X277" s="35">
        <f t="shared" si="51"/>
        <v>45547</v>
      </c>
      <c r="Y277" s="35">
        <f t="shared" si="52"/>
        <v>45575</v>
      </c>
    </row>
    <row r="278" spans="1:25" ht="20.149999999999999" customHeight="1">
      <c r="A278" s="10">
        <f>SUBTOTAL(103,$B$4:B278)</f>
        <v>275</v>
      </c>
      <c r="B278" s="111">
        <v>45547</v>
      </c>
      <c r="C278" s="114" t="s">
        <v>586</v>
      </c>
      <c r="D278" s="3" t="str">
        <f>VLOOKUP(C278,'Location Summary'!$C$4:$D$602,2,0)</f>
        <v>DA+3</v>
      </c>
      <c r="E278" s="267" t="s">
        <v>403</v>
      </c>
      <c r="F278" s="268" t="s">
        <v>683</v>
      </c>
      <c r="G278" s="158">
        <v>1</v>
      </c>
      <c r="J278" s="158">
        <v>1</v>
      </c>
      <c r="X278" s="35">
        <f t="shared" si="51"/>
        <v>45547</v>
      </c>
      <c r="Y278" s="35">
        <f t="shared" si="52"/>
        <v>45575</v>
      </c>
    </row>
    <row r="279" spans="1:25" ht="20.149999999999999" customHeight="1">
      <c r="A279" s="10">
        <f>SUBTOTAL(103,$B$4:B279)</f>
        <v>276</v>
      </c>
      <c r="B279" s="111">
        <v>45548</v>
      </c>
      <c r="C279" s="114" t="s">
        <v>70</v>
      </c>
      <c r="D279" s="3" t="str">
        <f>VLOOKUP(C279,'Location Summary'!$C$4:$D$602,2,0)</f>
        <v>DA+3</v>
      </c>
      <c r="E279" s="267" t="s">
        <v>403</v>
      </c>
      <c r="F279" s="268" t="s">
        <v>683</v>
      </c>
      <c r="H279" s="157">
        <v>1</v>
      </c>
      <c r="I279" s="156">
        <v>1</v>
      </c>
      <c r="K279" s="157">
        <v>1</v>
      </c>
      <c r="L279" s="156">
        <v>1</v>
      </c>
      <c r="O279" s="156">
        <v>1</v>
      </c>
      <c r="R279" s="156">
        <v>1</v>
      </c>
      <c r="X279" s="35">
        <f t="shared" si="51"/>
        <v>45548</v>
      </c>
      <c r="Y279" s="35">
        <f t="shared" si="52"/>
        <v>45576</v>
      </c>
    </row>
    <row r="280" spans="1:25" ht="20.149999999999999" customHeight="1">
      <c r="A280" s="10">
        <f>SUBTOTAL(103,$B$4:B280)</f>
        <v>277</v>
      </c>
      <c r="B280" s="111">
        <v>45548</v>
      </c>
      <c r="C280" s="114" t="s">
        <v>586</v>
      </c>
      <c r="D280" s="3" t="str">
        <f>VLOOKUP(C280,'Location Summary'!$C$4:$D$602,2,0)</f>
        <v>DA+3</v>
      </c>
      <c r="E280" s="267" t="s">
        <v>403</v>
      </c>
      <c r="F280" s="268" t="s">
        <v>683</v>
      </c>
      <c r="H280" s="157">
        <v>1</v>
      </c>
      <c r="I280" s="156">
        <v>1</v>
      </c>
      <c r="K280" s="157">
        <v>1</v>
      </c>
      <c r="L280" s="156">
        <v>1</v>
      </c>
      <c r="X280" s="35">
        <f t="shared" si="51"/>
        <v>45548</v>
      </c>
      <c r="Y280" s="35">
        <f t="shared" si="52"/>
        <v>45576</v>
      </c>
    </row>
    <row r="281" spans="1:25" ht="20.149999999999999" customHeight="1">
      <c r="A281" s="10">
        <f>SUBTOTAL(103,$B$4:B281)</f>
        <v>278</v>
      </c>
      <c r="B281" s="111">
        <v>45549</v>
      </c>
      <c r="C281" s="114" t="s">
        <v>462</v>
      </c>
      <c r="D281" s="3" t="str">
        <f>VLOOKUP(C281,'Location Summary'!$C$4:$D$602,2,0)</f>
        <v>DA+3</v>
      </c>
      <c r="E281" s="267" t="s">
        <v>403</v>
      </c>
      <c r="F281" s="268" t="s">
        <v>683</v>
      </c>
      <c r="G281" s="158">
        <v>1</v>
      </c>
      <c r="J281" s="158">
        <v>1</v>
      </c>
      <c r="M281" s="158">
        <v>1</v>
      </c>
      <c r="P281" s="158">
        <v>1</v>
      </c>
      <c r="X281" s="35">
        <f t="shared" si="51"/>
        <v>45549</v>
      </c>
      <c r="Y281" s="35">
        <f t="shared" si="52"/>
        <v>45577</v>
      </c>
    </row>
    <row r="282" spans="1:25" ht="20.149999999999999" customHeight="1">
      <c r="A282" s="10">
        <f>SUBTOTAL(103,$B$4:B282)</f>
        <v>279</v>
      </c>
      <c r="B282" s="111">
        <v>45549</v>
      </c>
      <c r="C282" s="114" t="s">
        <v>575</v>
      </c>
      <c r="D282" s="3" t="str">
        <f>VLOOKUP(C282,'Location Summary'!$C$4:$D$602,2,0)</f>
        <v>DA+9</v>
      </c>
      <c r="E282" s="267" t="s">
        <v>403</v>
      </c>
      <c r="F282" s="268" t="s">
        <v>683</v>
      </c>
      <c r="G282" s="158">
        <v>1</v>
      </c>
      <c r="J282" s="158">
        <v>1</v>
      </c>
      <c r="P282" s="158">
        <v>1</v>
      </c>
      <c r="X282" s="35">
        <f t="shared" si="51"/>
        <v>45549</v>
      </c>
      <c r="Y282" s="35">
        <f t="shared" si="52"/>
        <v>45577</v>
      </c>
    </row>
    <row r="283" spans="1:25" ht="20.149999999999999" customHeight="1">
      <c r="A283" s="10">
        <f>SUBTOTAL(103,$B$4:B283)</f>
        <v>280</v>
      </c>
      <c r="B283" s="111">
        <v>45549</v>
      </c>
      <c r="C283" s="114" t="s">
        <v>1070</v>
      </c>
      <c r="D283" s="3" t="str">
        <f>VLOOKUP(C283,'Location Summary'!$C$4:$D$602,2,0)</f>
        <v>DA+3</v>
      </c>
      <c r="E283" s="267" t="s">
        <v>403</v>
      </c>
      <c r="F283" s="268" t="s">
        <v>683</v>
      </c>
      <c r="H283" s="157">
        <v>1</v>
      </c>
      <c r="I283" s="156">
        <v>1</v>
      </c>
      <c r="N283" s="157">
        <v>1</v>
      </c>
      <c r="O283" s="156">
        <v>1</v>
      </c>
      <c r="Q283" s="157">
        <v>1</v>
      </c>
      <c r="R283" s="156">
        <v>1</v>
      </c>
      <c r="X283" s="35">
        <f t="shared" si="51"/>
        <v>45549</v>
      </c>
      <c r="Y283" s="35">
        <f t="shared" si="52"/>
        <v>45577</v>
      </c>
    </row>
    <row r="284" spans="1:25" ht="20.149999999999999" customHeight="1">
      <c r="A284" s="10">
        <f>SUBTOTAL(103,$B$4:B284)</f>
        <v>281</v>
      </c>
      <c r="B284" s="111">
        <v>45549</v>
      </c>
      <c r="C284" s="114" t="s">
        <v>892</v>
      </c>
      <c r="D284" s="3" t="str">
        <f>VLOOKUP(C284,'Location Summary'!$C$4:$D$602,2,0)</f>
        <v>DA+6</v>
      </c>
      <c r="E284" s="267" t="s">
        <v>403</v>
      </c>
      <c r="F284" s="268" t="s">
        <v>683</v>
      </c>
      <c r="J284" s="158">
        <v>1</v>
      </c>
      <c r="M284" s="158">
        <v>1</v>
      </c>
      <c r="X284" s="35">
        <f t="shared" ref="X284:X322" si="53">B284</f>
        <v>45549</v>
      </c>
      <c r="Y284" s="35">
        <f t="shared" ref="Y284:Y322" si="54">B284+28</f>
        <v>45577</v>
      </c>
    </row>
    <row r="285" spans="1:25" ht="20.149999999999999" customHeight="1">
      <c r="A285" s="10">
        <f>SUBTOTAL(103,$B$4:B285)</f>
        <v>282</v>
      </c>
      <c r="B285" s="111">
        <v>45549</v>
      </c>
      <c r="C285" s="114" t="s">
        <v>475</v>
      </c>
      <c r="D285" s="3" t="str">
        <f>VLOOKUP(C285,'Location Summary'!$C$4:$D$602,2,0)</f>
        <v>DA-1.5</v>
      </c>
      <c r="E285" s="267" t="s">
        <v>403</v>
      </c>
      <c r="F285" s="268" t="s">
        <v>683</v>
      </c>
      <c r="J285" s="158">
        <v>1</v>
      </c>
      <c r="K285" s="157">
        <v>1</v>
      </c>
      <c r="L285" s="156">
        <v>1</v>
      </c>
      <c r="X285" s="35">
        <f t="shared" si="53"/>
        <v>45549</v>
      </c>
      <c r="Y285" s="35">
        <f t="shared" si="54"/>
        <v>45577</v>
      </c>
    </row>
    <row r="286" spans="1:25" ht="20.149999999999999" customHeight="1">
      <c r="A286" s="10">
        <f>SUBTOTAL(103,$B$4:B286)</f>
        <v>283</v>
      </c>
      <c r="B286" s="111">
        <v>45550</v>
      </c>
      <c r="C286" s="114" t="s">
        <v>462</v>
      </c>
      <c r="D286" s="3" t="str">
        <f>VLOOKUP(C286,'Location Summary'!$C$4:$D$602,2,0)</f>
        <v>DA+3</v>
      </c>
      <c r="E286" s="267" t="s">
        <v>403</v>
      </c>
      <c r="F286" s="268" t="s">
        <v>683</v>
      </c>
      <c r="H286" s="157">
        <v>1</v>
      </c>
      <c r="I286" s="156">
        <v>1</v>
      </c>
      <c r="K286" s="157">
        <v>1</v>
      </c>
      <c r="L286" s="156">
        <v>1</v>
      </c>
      <c r="N286" s="157">
        <v>1</v>
      </c>
      <c r="O286" s="156">
        <v>1</v>
      </c>
      <c r="Q286" s="157">
        <v>1</v>
      </c>
      <c r="R286" s="156">
        <v>1</v>
      </c>
      <c r="X286" s="35">
        <f t="shared" si="53"/>
        <v>45550</v>
      </c>
      <c r="Y286" s="35">
        <f t="shared" si="54"/>
        <v>45578</v>
      </c>
    </row>
    <row r="287" spans="1:25" ht="20.149999999999999" customHeight="1">
      <c r="A287" s="10">
        <f>SUBTOTAL(103,$B$4:B287)</f>
        <v>284</v>
      </c>
      <c r="B287" s="111">
        <v>45550</v>
      </c>
      <c r="C287" s="114" t="s">
        <v>575</v>
      </c>
      <c r="D287" s="3" t="str">
        <f>VLOOKUP(C287,'Location Summary'!$C$4:$D$602,2,0)</f>
        <v>DA+9</v>
      </c>
      <c r="E287" s="267" t="s">
        <v>403</v>
      </c>
      <c r="F287" s="268" t="s">
        <v>683</v>
      </c>
      <c r="H287" s="157">
        <v>1</v>
      </c>
      <c r="I287" s="156">
        <v>1</v>
      </c>
      <c r="K287" s="157">
        <v>1</v>
      </c>
      <c r="L287" s="156">
        <v>1</v>
      </c>
      <c r="M287" s="158">
        <v>1</v>
      </c>
      <c r="N287" s="157">
        <v>1</v>
      </c>
      <c r="O287" s="156">
        <v>1</v>
      </c>
      <c r="Q287" s="157">
        <v>1</v>
      </c>
      <c r="R287" s="156">
        <v>1</v>
      </c>
      <c r="X287" s="35">
        <f t="shared" si="53"/>
        <v>45550</v>
      </c>
      <c r="Y287" s="35">
        <f t="shared" si="54"/>
        <v>45578</v>
      </c>
    </row>
    <row r="288" spans="1:25" ht="20.149999999999999" customHeight="1">
      <c r="A288" s="10">
        <f>SUBTOTAL(103,$B$4:B288)</f>
        <v>285</v>
      </c>
      <c r="B288" s="111">
        <v>45550</v>
      </c>
      <c r="C288" s="114" t="s">
        <v>1070</v>
      </c>
      <c r="D288" s="3" t="str">
        <f>VLOOKUP(C288,'Location Summary'!$C$4:$D$602,2,0)</f>
        <v>DA+3</v>
      </c>
      <c r="E288" s="267" t="s">
        <v>403</v>
      </c>
      <c r="F288" s="268" t="s">
        <v>683</v>
      </c>
      <c r="J288" s="158">
        <v>1</v>
      </c>
      <c r="K288" s="157">
        <v>1</v>
      </c>
      <c r="L288" s="156">
        <v>1</v>
      </c>
      <c r="X288" s="35">
        <f t="shared" si="53"/>
        <v>45550</v>
      </c>
      <c r="Y288" s="35">
        <f t="shared" si="54"/>
        <v>45578</v>
      </c>
    </row>
    <row r="289" spans="1:25" ht="20.149999999999999" customHeight="1">
      <c r="A289" s="10">
        <f>SUBTOTAL(103,$B$4:B289)</f>
        <v>286</v>
      </c>
      <c r="B289" s="111">
        <v>45550</v>
      </c>
      <c r="C289" s="114" t="s">
        <v>892</v>
      </c>
      <c r="D289" s="3" t="str">
        <f>VLOOKUP(C289,'Location Summary'!$C$4:$D$602,2,0)</f>
        <v>DA+6</v>
      </c>
      <c r="E289" s="267" t="s">
        <v>403</v>
      </c>
      <c r="F289" s="268" t="s">
        <v>683</v>
      </c>
      <c r="G289" s="158">
        <v>1</v>
      </c>
      <c r="K289" s="157">
        <v>1</v>
      </c>
      <c r="L289" s="156">
        <v>1</v>
      </c>
      <c r="N289" s="157">
        <v>1</v>
      </c>
      <c r="O289" s="156">
        <v>1</v>
      </c>
      <c r="P289" s="158">
        <v>1</v>
      </c>
      <c r="X289" s="35">
        <f t="shared" si="53"/>
        <v>45550</v>
      </c>
      <c r="Y289" s="35">
        <f t="shared" si="54"/>
        <v>45578</v>
      </c>
    </row>
    <row r="290" spans="1:25" ht="20.149999999999999" customHeight="1">
      <c r="A290" s="10">
        <f>SUBTOTAL(103,$B$4:B290)</f>
        <v>287</v>
      </c>
      <c r="B290" s="111">
        <v>45550</v>
      </c>
      <c r="C290" s="114" t="s">
        <v>585</v>
      </c>
      <c r="D290" s="3" t="str">
        <f>VLOOKUP(C290,'Location Summary'!$C$4:$D$602,2,0)</f>
        <v>DA+1.5</v>
      </c>
      <c r="E290" s="267" t="s">
        <v>403</v>
      </c>
      <c r="F290" s="268" t="s">
        <v>683</v>
      </c>
      <c r="G290" s="158">
        <v>1</v>
      </c>
      <c r="J290" s="158">
        <v>1</v>
      </c>
      <c r="X290" s="35">
        <f t="shared" si="53"/>
        <v>45550</v>
      </c>
      <c r="Y290" s="35">
        <f t="shared" si="54"/>
        <v>45578</v>
      </c>
    </row>
    <row r="291" spans="1:25" ht="20.149999999999999" customHeight="1">
      <c r="A291" s="10">
        <f>SUBTOTAL(103,$B$4:B291)</f>
        <v>288</v>
      </c>
      <c r="B291" s="111">
        <v>45551</v>
      </c>
      <c r="C291" s="114" t="s">
        <v>62</v>
      </c>
      <c r="D291" s="3" t="str">
        <f>VLOOKUP(C291,'Location Summary'!$C$4:$D$602,2,0)</f>
        <v>DA-1.5</v>
      </c>
      <c r="E291" s="267" t="s">
        <v>403</v>
      </c>
      <c r="F291" s="268" t="s">
        <v>683</v>
      </c>
      <c r="J291" s="158">
        <v>1</v>
      </c>
      <c r="X291" s="35">
        <f t="shared" si="53"/>
        <v>45551</v>
      </c>
      <c r="Y291" s="35">
        <f t="shared" si="54"/>
        <v>45579</v>
      </c>
    </row>
    <row r="292" spans="1:25" ht="20.149999999999999" customHeight="1">
      <c r="A292" s="10">
        <f>SUBTOTAL(103,$B$4:B292)</f>
        <v>289</v>
      </c>
      <c r="B292" s="111">
        <v>45551</v>
      </c>
      <c r="C292" s="114" t="s">
        <v>892</v>
      </c>
      <c r="D292" s="3" t="str">
        <f>VLOOKUP(C292,'Location Summary'!$C$4:$D$602,2,0)</f>
        <v>DA+6</v>
      </c>
      <c r="E292" s="267" t="s">
        <v>403</v>
      </c>
      <c r="F292" s="268" t="s">
        <v>683</v>
      </c>
      <c r="H292" s="157">
        <v>1</v>
      </c>
      <c r="I292" s="156">
        <v>1</v>
      </c>
      <c r="Q292" s="157">
        <v>1</v>
      </c>
      <c r="R292" s="156">
        <v>1</v>
      </c>
      <c r="X292" s="35">
        <f t="shared" si="53"/>
        <v>45551</v>
      </c>
      <c r="Y292" s="35">
        <f t="shared" si="54"/>
        <v>45579</v>
      </c>
    </row>
    <row r="293" spans="1:25" ht="20.149999999999999" customHeight="1">
      <c r="A293" s="10">
        <f>SUBTOTAL(103,$B$4:B293)</f>
        <v>290</v>
      </c>
      <c r="B293" s="111">
        <v>45551</v>
      </c>
      <c r="C293" s="114" t="s">
        <v>585</v>
      </c>
      <c r="D293" s="3" t="str">
        <f>VLOOKUP(C293,'Location Summary'!$C$4:$D$602,2,0)</f>
        <v>DA+1.5</v>
      </c>
      <c r="E293" s="267" t="s">
        <v>403</v>
      </c>
      <c r="F293" s="268" t="s">
        <v>683</v>
      </c>
      <c r="H293" s="157">
        <v>1</v>
      </c>
      <c r="I293" s="156">
        <v>1</v>
      </c>
      <c r="Q293" s="157">
        <v>1</v>
      </c>
      <c r="R293" s="156">
        <v>1</v>
      </c>
      <c r="X293" s="35">
        <f t="shared" si="53"/>
        <v>45551</v>
      </c>
      <c r="Y293" s="35">
        <f t="shared" si="54"/>
        <v>45579</v>
      </c>
    </row>
    <row r="294" spans="1:25" ht="20.149999999999999" customHeight="1">
      <c r="A294" s="10">
        <f>SUBTOTAL(103,$B$4:B294)</f>
        <v>291</v>
      </c>
      <c r="B294" s="111">
        <v>45551</v>
      </c>
      <c r="C294" s="114" t="s">
        <v>1071</v>
      </c>
      <c r="D294" s="3" t="e">
        <f>VLOOKUP(C294,'Location Summary'!$C$4:$D$602,2,0)</f>
        <v>#N/A</v>
      </c>
      <c r="E294" s="267" t="s">
        <v>403</v>
      </c>
      <c r="F294" s="268" t="s">
        <v>683</v>
      </c>
      <c r="J294" s="158">
        <v>1</v>
      </c>
      <c r="M294" s="158">
        <v>1</v>
      </c>
      <c r="X294" s="35">
        <f t="shared" si="53"/>
        <v>45551</v>
      </c>
      <c r="Y294" s="35">
        <f t="shared" si="54"/>
        <v>45579</v>
      </c>
    </row>
    <row r="295" spans="1:25" ht="20.149999999999999" customHeight="1">
      <c r="A295" s="10">
        <f>SUBTOTAL(103,$B$4:B295)</f>
        <v>292</v>
      </c>
      <c r="B295" s="111">
        <v>45552</v>
      </c>
      <c r="C295" s="114" t="s">
        <v>62</v>
      </c>
      <c r="D295" s="3" t="str">
        <f>VLOOKUP(C295,'Location Summary'!$C$4:$D$602,2,0)</f>
        <v>DA-1.5</v>
      </c>
      <c r="E295" s="267" t="s">
        <v>403</v>
      </c>
      <c r="F295" s="268" t="s">
        <v>683</v>
      </c>
      <c r="K295" s="157">
        <v>1</v>
      </c>
      <c r="P295" s="158">
        <v>1</v>
      </c>
      <c r="X295" s="35">
        <f t="shared" si="53"/>
        <v>45552</v>
      </c>
      <c r="Y295" s="35">
        <f t="shared" si="54"/>
        <v>45580</v>
      </c>
    </row>
    <row r="296" spans="1:25" ht="20.149999999999999" customHeight="1">
      <c r="A296" s="10">
        <f>SUBTOTAL(103,$B$4:B296)</f>
        <v>293</v>
      </c>
      <c r="B296" s="111">
        <v>45552</v>
      </c>
      <c r="C296" s="114" t="s">
        <v>577</v>
      </c>
      <c r="D296" s="3" t="str">
        <f>VLOOKUP(C296,'Location Summary'!$C$4:$D$602,2,0)</f>
        <v>DA+1.5</v>
      </c>
      <c r="E296" s="267" t="s">
        <v>403</v>
      </c>
      <c r="F296" s="268" t="s">
        <v>683</v>
      </c>
      <c r="J296" s="158">
        <v>1</v>
      </c>
      <c r="M296" s="158">
        <v>1</v>
      </c>
      <c r="P296" s="158">
        <v>1</v>
      </c>
      <c r="X296" s="35">
        <f t="shared" si="53"/>
        <v>45552</v>
      </c>
      <c r="Y296" s="35">
        <f t="shared" si="54"/>
        <v>45580</v>
      </c>
    </row>
    <row r="297" spans="1:25" ht="20.149999999999999" customHeight="1">
      <c r="A297" s="10">
        <f>SUBTOTAL(103,$B$4:B297)</f>
        <v>294</v>
      </c>
      <c r="B297" s="111">
        <v>45552</v>
      </c>
      <c r="C297" s="114" t="s">
        <v>1071</v>
      </c>
      <c r="D297" s="3" t="e">
        <f>VLOOKUP(C297,'Location Summary'!$C$4:$D$602,2,0)</f>
        <v>#N/A</v>
      </c>
      <c r="E297" s="267" t="s">
        <v>403</v>
      </c>
      <c r="F297" s="268" t="s">
        <v>683</v>
      </c>
      <c r="G297" s="158">
        <v>1</v>
      </c>
      <c r="K297" s="157">
        <v>1</v>
      </c>
      <c r="N297" s="157">
        <v>1</v>
      </c>
      <c r="X297" s="35">
        <f t="shared" si="53"/>
        <v>45552</v>
      </c>
      <c r="Y297" s="35">
        <f t="shared" si="54"/>
        <v>45580</v>
      </c>
    </row>
    <row r="298" spans="1:25" ht="20.149999999999999" customHeight="1">
      <c r="A298" s="10">
        <f>SUBTOTAL(103,$B$4:B298)</f>
        <v>295</v>
      </c>
      <c r="B298" s="111">
        <v>45553</v>
      </c>
      <c r="C298" s="114" t="s">
        <v>468</v>
      </c>
      <c r="D298" s="3" t="str">
        <f>VLOOKUP(C298,'Location Summary'!$C$4:$D$602,2,0)</f>
        <v>DA+9</v>
      </c>
      <c r="E298" s="267" t="s">
        <v>403</v>
      </c>
      <c r="F298" s="268" t="s">
        <v>683</v>
      </c>
      <c r="G298" s="158">
        <v>1</v>
      </c>
      <c r="M298" s="158">
        <v>1</v>
      </c>
      <c r="P298" s="158">
        <v>1</v>
      </c>
      <c r="X298" s="35">
        <f t="shared" si="53"/>
        <v>45553</v>
      </c>
      <c r="Y298" s="35">
        <f t="shared" si="54"/>
        <v>45581</v>
      </c>
    </row>
    <row r="299" spans="1:25" ht="20.149999999999999" customHeight="1">
      <c r="A299" s="10">
        <f>SUBTOTAL(103,$B$4:B299)</f>
        <v>296</v>
      </c>
      <c r="B299" s="111">
        <v>45553</v>
      </c>
      <c r="C299" s="114" t="s">
        <v>62</v>
      </c>
      <c r="D299" s="3" t="str">
        <f>VLOOKUP(C299,'Location Summary'!$C$4:$D$602,2,0)</f>
        <v>DA-1.5</v>
      </c>
      <c r="E299" s="267" t="s">
        <v>403</v>
      </c>
      <c r="F299" s="268" t="s">
        <v>683</v>
      </c>
      <c r="L299" s="156">
        <v>1</v>
      </c>
      <c r="Q299" s="157">
        <v>1</v>
      </c>
      <c r="R299" s="156">
        <v>1</v>
      </c>
      <c r="X299" s="35">
        <f t="shared" si="53"/>
        <v>45553</v>
      </c>
      <c r="Y299" s="35">
        <f t="shared" si="54"/>
        <v>45581</v>
      </c>
    </row>
    <row r="300" spans="1:25" ht="20.149999999999999" customHeight="1">
      <c r="A300" s="10">
        <f>SUBTOTAL(103,$B$4:B300)</f>
        <v>297</v>
      </c>
      <c r="B300" s="111">
        <v>45553</v>
      </c>
      <c r="C300" s="114" t="s">
        <v>577</v>
      </c>
      <c r="D300" s="3" t="str">
        <f>VLOOKUP(C300,'Location Summary'!$C$4:$D$602,2,0)</f>
        <v>DA+1.5</v>
      </c>
      <c r="E300" s="267" t="s">
        <v>403</v>
      </c>
      <c r="F300" s="268" t="s">
        <v>683</v>
      </c>
      <c r="H300" s="157">
        <v>1</v>
      </c>
      <c r="I300" s="156">
        <v>1</v>
      </c>
      <c r="K300" s="157">
        <v>1</v>
      </c>
      <c r="L300" s="156">
        <v>1</v>
      </c>
      <c r="N300" s="157">
        <v>1</v>
      </c>
      <c r="O300" s="156">
        <v>1</v>
      </c>
      <c r="Q300" s="157">
        <v>1</v>
      </c>
      <c r="R300" s="156">
        <v>1</v>
      </c>
      <c r="X300" s="35">
        <f t="shared" si="53"/>
        <v>45553</v>
      </c>
      <c r="Y300" s="35">
        <f t="shared" si="54"/>
        <v>45581</v>
      </c>
    </row>
    <row r="301" spans="1:25" ht="20.149999999999999" customHeight="1">
      <c r="A301" s="10">
        <f>SUBTOTAL(103,$B$4:B301)</f>
        <v>298</v>
      </c>
      <c r="B301" s="111">
        <v>45553</v>
      </c>
      <c r="C301" s="114" t="s">
        <v>1071</v>
      </c>
      <c r="D301" s="3" t="e">
        <f>VLOOKUP(C301,'Location Summary'!$C$4:$D$602,2,0)</f>
        <v>#N/A</v>
      </c>
      <c r="E301" s="267" t="s">
        <v>403</v>
      </c>
      <c r="F301" s="268" t="s">
        <v>683</v>
      </c>
      <c r="H301" s="157">
        <v>1</v>
      </c>
      <c r="I301" s="156">
        <v>1</v>
      </c>
      <c r="L301" s="156">
        <v>1</v>
      </c>
      <c r="O301" s="156">
        <v>1</v>
      </c>
      <c r="P301" s="158">
        <v>1</v>
      </c>
      <c r="X301" s="35">
        <f t="shared" si="53"/>
        <v>45553</v>
      </c>
      <c r="Y301" s="35">
        <f t="shared" si="54"/>
        <v>45581</v>
      </c>
    </row>
    <row r="302" spans="1:25" ht="20.149999999999999" customHeight="1">
      <c r="A302" s="10">
        <f>SUBTOTAL(103,$B$4:B302)</f>
        <v>299</v>
      </c>
      <c r="B302" s="111">
        <v>45553</v>
      </c>
      <c r="C302" s="114" t="s">
        <v>585</v>
      </c>
      <c r="D302" s="3" t="str">
        <f>VLOOKUP(C302,'Location Summary'!$C$4:$D$602,2,0)</f>
        <v>DA+1.5</v>
      </c>
      <c r="E302" s="267" t="s">
        <v>403</v>
      </c>
      <c r="F302" s="268" t="s">
        <v>683</v>
      </c>
      <c r="P302" s="158">
        <v>1</v>
      </c>
      <c r="X302" s="35">
        <f t="shared" si="53"/>
        <v>45553</v>
      </c>
      <c r="Y302" s="35">
        <f t="shared" si="54"/>
        <v>45581</v>
      </c>
    </row>
    <row r="303" spans="1:25" ht="20.149999999999999" customHeight="1">
      <c r="A303" s="10">
        <f>SUBTOTAL(103,$B$4:B303)</f>
        <v>300</v>
      </c>
      <c r="B303" s="111">
        <v>45554</v>
      </c>
      <c r="C303" s="114" t="s">
        <v>468</v>
      </c>
      <c r="D303" s="3" t="str">
        <f>VLOOKUP(C303,'Location Summary'!$C$4:$D$602,2,0)</f>
        <v>DA+9</v>
      </c>
      <c r="E303" s="267" t="s">
        <v>403</v>
      </c>
      <c r="F303" s="268" t="s">
        <v>683</v>
      </c>
      <c r="H303" s="157">
        <v>1</v>
      </c>
      <c r="I303" s="156">
        <v>1</v>
      </c>
      <c r="J303" s="158">
        <v>1</v>
      </c>
      <c r="N303" s="157">
        <v>1</v>
      </c>
      <c r="O303" s="156">
        <v>1</v>
      </c>
      <c r="Q303" s="157">
        <v>1</v>
      </c>
      <c r="R303" s="156">
        <v>1</v>
      </c>
      <c r="X303" s="35">
        <f t="shared" si="53"/>
        <v>45554</v>
      </c>
      <c r="Y303" s="35">
        <f t="shared" si="54"/>
        <v>45582</v>
      </c>
    </row>
    <row r="304" spans="1:25" ht="20.149999999999999" customHeight="1">
      <c r="A304" s="10">
        <f>SUBTOTAL(103,$B$4:B304)</f>
        <v>301</v>
      </c>
      <c r="B304" s="111">
        <v>45554</v>
      </c>
      <c r="C304" s="114" t="s">
        <v>62</v>
      </c>
      <c r="D304" s="3" t="str">
        <f>VLOOKUP(C304,'Location Summary'!$C$4:$D$602,2,0)</f>
        <v>DA-1.5</v>
      </c>
      <c r="E304" s="267" t="s">
        <v>403</v>
      </c>
      <c r="F304" s="268" t="s">
        <v>683</v>
      </c>
      <c r="G304" s="158">
        <v>1</v>
      </c>
      <c r="M304" s="158">
        <v>1</v>
      </c>
      <c r="X304" s="35">
        <f t="shared" si="53"/>
        <v>45554</v>
      </c>
      <c r="Y304" s="35">
        <f t="shared" si="54"/>
        <v>45582</v>
      </c>
    </row>
    <row r="305" spans="1:25" ht="20.149999999999999" customHeight="1">
      <c r="A305" s="10">
        <f>SUBTOTAL(103,$B$4:B305)</f>
        <v>302</v>
      </c>
      <c r="B305" s="111">
        <v>45554</v>
      </c>
      <c r="C305" s="114" t="s">
        <v>1071</v>
      </c>
      <c r="D305" s="3" t="e">
        <f>VLOOKUP(C305,'Location Summary'!$C$4:$D$602,2,0)</f>
        <v>#N/A</v>
      </c>
      <c r="E305" s="267" t="s">
        <v>403</v>
      </c>
      <c r="F305" s="268" t="s">
        <v>683</v>
      </c>
      <c r="Q305" s="157">
        <v>1</v>
      </c>
      <c r="R305" s="156">
        <v>1</v>
      </c>
      <c r="X305" s="35">
        <f t="shared" si="53"/>
        <v>45554</v>
      </c>
      <c r="Y305" s="35">
        <f t="shared" si="54"/>
        <v>45582</v>
      </c>
    </row>
    <row r="306" spans="1:25" ht="20.149999999999999" customHeight="1">
      <c r="A306" s="10">
        <f>SUBTOTAL(103,$B$4:B306)</f>
        <v>303</v>
      </c>
      <c r="B306" s="111">
        <v>45554</v>
      </c>
      <c r="C306" s="114" t="s">
        <v>474</v>
      </c>
      <c r="D306" s="3" t="str">
        <f>VLOOKUP(C306,'Location Summary'!$C$4:$D$602,2,0)</f>
        <v>DA+1.5</v>
      </c>
      <c r="E306" s="267" t="s">
        <v>403</v>
      </c>
      <c r="F306" s="268" t="s">
        <v>683</v>
      </c>
      <c r="M306" s="158">
        <v>1</v>
      </c>
      <c r="X306" s="35">
        <f t="shared" si="53"/>
        <v>45554</v>
      </c>
      <c r="Y306" s="35">
        <f t="shared" si="54"/>
        <v>45582</v>
      </c>
    </row>
    <row r="307" spans="1:25" ht="20.149999999999999" customHeight="1">
      <c r="A307" s="10">
        <f>SUBTOTAL(103,$B$4:B307)</f>
        <v>304</v>
      </c>
      <c r="B307" s="111">
        <v>45554</v>
      </c>
      <c r="C307" s="114" t="s">
        <v>585</v>
      </c>
      <c r="D307" s="3" t="str">
        <f>VLOOKUP(C307,'Location Summary'!$C$4:$D$602,2,0)</f>
        <v>DA+1.5</v>
      </c>
      <c r="E307" s="267" t="s">
        <v>403</v>
      </c>
      <c r="F307" s="268" t="s">
        <v>683</v>
      </c>
      <c r="K307" s="157">
        <v>1</v>
      </c>
      <c r="L307" s="156">
        <v>1</v>
      </c>
      <c r="M307" s="158">
        <v>1</v>
      </c>
      <c r="X307" s="35">
        <f t="shared" si="53"/>
        <v>45554</v>
      </c>
      <c r="Y307" s="35">
        <f t="shared" si="54"/>
        <v>45582</v>
      </c>
    </row>
    <row r="308" spans="1:25" ht="20.149999999999999" customHeight="1">
      <c r="A308" s="10">
        <f>SUBTOTAL(103,$B$4:B308)</f>
        <v>305</v>
      </c>
      <c r="B308" s="111">
        <v>45555</v>
      </c>
      <c r="C308" s="114" t="s">
        <v>468</v>
      </c>
      <c r="D308" s="3" t="str">
        <f>VLOOKUP(C308,'Location Summary'!$C$4:$D$602,2,0)</f>
        <v>DA+9</v>
      </c>
      <c r="E308" s="267" t="s">
        <v>403</v>
      </c>
      <c r="F308" s="268" t="s">
        <v>683</v>
      </c>
      <c r="K308" s="157">
        <v>1</v>
      </c>
      <c r="L308" s="156">
        <v>1</v>
      </c>
      <c r="X308" s="35">
        <f t="shared" si="53"/>
        <v>45555</v>
      </c>
      <c r="Y308" s="35">
        <f t="shared" si="54"/>
        <v>45583</v>
      </c>
    </row>
    <row r="309" spans="1:25" ht="20.149999999999999" customHeight="1">
      <c r="A309" s="10">
        <f>SUBTOTAL(103,$B$4:B309)</f>
        <v>306</v>
      </c>
      <c r="B309" s="111">
        <v>45555</v>
      </c>
      <c r="C309" s="114" t="s">
        <v>62</v>
      </c>
      <c r="D309" s="3" t="str">
        <f>VLOOKUP(C309,'Location Summary'!$C$4:$D$602,2,0)</f>
        <v>DA-1.5</v>
      </c>
      <c r="E309" s="267" t="s">
        <v>403</v>
      </c>
      <c r="F309" s="268" t="s">
        <v>683</v>
      </c>
      <c r="H309" s="157">
        <v>1</v>
      </c>
      <c r="I309" s="156">
        <v>1</v>
      </c>
      <c r="N309" s="157">
        <v>1</v>
      </c>
      <c r="O309" s="156">
        <v>1</v>
      </c>
      <c r="X309" s="35">
        <f t="shared" si="53"/>
        <v>45555</v>
      </c>
      <c r="Y309" s="35">
        <f t="shared" si="54"/>
        <v>45583</v>
      </c>
    </row>
    <row r="310" spans="1:25" ht="20.149999999999999" customHeight="1">
      <c r="A310" s="10">
        <f>SUBTOTAL(103,$B$4:B310)</f>
        <v>307</v>
      </c>
      <c r="B310" s="111">
        <v>45555</v>
      </c>
      <c r="C310" s="114" t="s">
        <v>578</v>
      </c>
      <c r="D310" s="3" t="str">
        <f>VLOOKUP(C310,'Location Summary'!$C$4:$D$602,2,0)</f>
        <v>DA+6</v>
      </c>
      <c r="E310" s="267" t="s">
        <v>403</v>
      </c>
      <c r="F310" s="268" t="s">
        <v>683</v>
      </c>
      <c r="G310" s="158">
        <v>1</v>
      </c>
      <c r="J310" s="158">
        <v>1</v>
      </c>
      <c r="M310" s="158">
        <v>1</v>
      </c>
      <c r="P310" s="158">
        <v>1</v>
      </c>
      <c r="X310" s="35">
        <f t="shared" si="53"/>
        <v>45555</v>
      </c>
      <c r="Y310" s="35">
        <f t="shared" si="54"/>
        <v>45583</v>
      </c>
    </row>
    <row r="311" spans="1:25" ht="20.149999999999999" customHeight="1">
      <c r="A311" s="10">
        <f>SUBTOTAL(103,$B$4:B311)</f>
        <v>308</v>
      </c>
      <c r="B311" s="111">
        <v>45555</v>
      </c>
      <c r="C311" s="114" t="s">
        <v>891</v>
      </c>
      <c r="D311" s="3" t="str">
        <f>VLOOKUP(C311,'Location Summary'!$C$4:$D$602,2,0)</f>
        <v>DA+6</v>
      </c>
      <c r="E311" s="267" t="s">
        <v>403</v>
      </c>
      <c r="F311" s="268" t="s">
        <v>683</v>
      </c>
      <c r="J311" s="158">
        <v>1</v>
      </c>
      <c r="M311" s="158">
        <v>1</v>
      </c>
      <c r="X311" s="35">
        <f t="shared" si="53"/>
        <v>45555</v>
      </c>
      <c r="Y311" s="35">
        <f t="shared" si="54"/>
        <v>45583</v>
      </c>
    </row>
    <row r="312" spans="1:25" ht="20.149999999999999" customHeight="1">
      <c r="A312" s="10">
        <f>SUBTOTAL(103,$B$4:B312)</f>
        <v>309</v>
      </c>
      <c r="B312" s="111">
        <v>45555</v>
      </c>
      <c r="C312" s="114" t="s">
        <v>474</v>
      </c>
      <c r="D312" s="3" t="str">
        <f>VLOOKUP(C312,'Location Summary'!$C$4:$D$602,2,0)</f>
        <v>DA+1.5</v>
      </c>
      <c r="E312" s="267" t="s">
        <v>403</v>
      </c>
      <c r="F312" s="268" t="s">
        <v>683</v>
      </c>
      <c r="J312" s="158">
        <v>1</v>
      </c>
      <c r="K312" s="157">
        <v>1</v>
      </c>
      <c r="N312" s="157">
        <v>1</v>
      </c>
      <c r="X312" s="35">
        <f t="shared" si="53"/>
        <v>45555</v>
      </c>
      <c r="Y312" s="35">
        <f t="shared" si="54"/>
        <v>45583</v>
      </c>
    </row>
    <row r="313" spans="1:25" ht="20.149999999999999" customHeight="1">
      <c r="A313" s="10">
        <f>SUBTOTAL(103,$B$4:B313)</f>
        <v>310</v>
      </c>
      <c r="B313" s="111">
        <v>45555</v>
      </c>
      <c r="C313" s="114" t="s">
        <v>585</v>
      </c>
      <c r="D313" s="3" t="str">
        <f>VLOOKUP(C313,'Location Summary'!$C$4:$D$602,2,0)</f>
        <v>DA+1.5</v>
      </c>
      <c r="E313" s="267" t="s">
        <v>403</v>
      </c>
      <c r="F313" s="268" t="s">
        <v>683</v>
      </c>
      <c r="N313" s="157">
        <v>1</v>
      </c>
      <c r="O313" s="156">
        <v>1</v>
      </c>
      <c r="X313" s="35">
        <f t="shared" si="53"/>
        <v>45555</v>
      </c>
      <c r="Y313" s="35">
        <f t="shared" si="54"/>
        <v>45583</v>
      </c>
    </row>
    <row r="314" spans="1:25" ht="20.149999999999999" customHeight="1">
      <c r="A314" s="10">
        <f>SUBTOTAL(103,$B$4:B314)</f>
        <v>311</v>
      </c>
      <c r="B314" s="111">
        <v>45555</v>
      </c>
      <c r="C314" s="114" t="s">
        <v>458</v>
      </c>
      <c r="D314" s="3" t="str">
        <f>VLOOKUP(C314,'Location Summary'!$C$4:$D$602,2,0)</f>
        <v>DA+9</v>
      </c>
      <c r="E314" s="267" t="s">
        <v>403</v>
      </c>
      <c r="F314" s="268" t="s">
        <v>683</v>
      </c>
      <c r="G314" s="158">
        <v>1</v>
      </c>
      <c r="J314" s="158">
        <v>1</v>
      </c>
      <c r="X314" s="35">
        <f t="shared" si="53"/>
        <v>45555</v>
      </c>
      <c r="Y314" s="35">
        <f t="shared" si="54"/>
        <v>45583</v>
      </c>
    </row>
    <row r="315" spans="1:25" ht="20.149999999999999" customHeight="1">
      <c r="A315" s="10">
        <f>SUBTOTAL(103,$B$4:B315)</f>
        <v>312</v>
      </c>
      <c r="B315" s="111">
        <v>45556</v>
      </c>
      <c r="C315" s="114" t="s">
        <v>470</v>
      </c>
      <c r="D315" s="3" t="str">
        <f>VLOOKUP(C315,'Location Summary'!$C$4:$D$602,2,0)</f>
        <v>DA-3</v>
      </c>
      <c r="E315" s="267" t="s">
        <v>403</v>
      </c>
      <c r="F315" s="268" t="s">
        <v>683</v>
      </c>
      <c r="G315" s="158">
        <v>1</v>
      </c>
      <c r="J315" s="158">
        <v>1</v>
      </c>
      <c r="M315" s="158">
        <v>1</v>
      </c>
      <c r="X315" s="35">
        <f t="shared" si="53"/>
        <v>45556</v>
      </c>
      <c r="Y315" s="35">
        <f t="shared" si="54"/>
        <v>45584</v>
      </c>
    </row>
    <row r="316" spans="1:25" ht="20.149999999999999" customHeight="1">
      <c r="A316" s="10">
        <f>SUBTOTAL(103,$B$4:B316)</f>
        <v>313</v>
      </c>
      <c r="B316" s="111">
        <v>45556</v>
      </c>
      <c r="C316" s="114" t="s">
        <v>578</v>
      </c>
      <c r="D316" s="3" t="str">
        <f>VLOOKUP(C316,'Location Summary'!$C$4:$D$602,2,0)</f>
        <v>DA+6</v>
      </c>
      <c r="E316" s="267" t="s">
        <v>403</v>
      </c>
      <c r="F316" s="268" t="s">
        <v>683</v>
      </c>
      <c r="H316" s="157">
        <v>1</v>
      </c>
      <c r="I316" s="156">
        <v>1</v>
      </c>
      <c r="K316" s="157">
        <v>1</v>
      </c>
      <c r="L316" s="156">
        <v>1</v>
      </c>
      <c r="N316" s="157">
        <v>1</v>
      </c>
      <c r="O316" s="156">
        <v>1</v>
      </c>
      <c r="Q316" s="157">
        <v>1</v>
      </c>
      <c r="R316" s="156">
        <v>1</v>
      </c>
      <c r="X316" s="35">
        <f t="shared" si="53"/>
        <v>45556</v>
      </c>
      <c r="Y316" s="35">
        <f t="shared" si="54"/>
        <v>45584</v>
      </c>
    </row>
    <row r="317" spans="1:25" ht="20.149999999999999" customHeight="1">
      <c r="A317" s="10">
        <f>SUBTOTAL(103,$B$4:B317)</f>
        <v>314</v>
      </c>
      <c r="B317" s="111">
        <v>45556</v>
      </c>
      <c r="C317" s="114" t="s">
        <v>601</v>
      </c>
      <c r="D317" s="3" t="e">
        <f>VLOOKUP(C317,'Location Summary'!$C$4:$D$602,2,0)</f>
        <v>#N/A</v>
      </c>
      <c r="E317" s="267" t="s">
        <v>403</v>
      </c>
      <c r="F317" s="268" t="s">
        <v>683</v>
      </c>
      <c r="G317" s="158">
        <v>1</v>
      </c>
      <c r="J317" s="158">
        <v>1</v>
      </c>
      <c r="M317" s="158">
        <v>1</v>
      </c>
      <c r="P317" s="158">
        <v>1</v>
      </c>
      <c r="X317" s="35">
        <f t="shared" si="53"/>
        <v>45556</v>
      </c>
      <c r="Y317" s="35">
        <f t="shared" si="54"/>
        <v>45584</v>
      </c>
    </row>
    <row r="318" spans="1:25" ht="20.149999999999999" customHeight="1">
      <c r="A318" s="10">
        <f>SUBTOTAL(103,$B$4:B318)</f>
        <v>315</v>
      </c>
      <c r="B318" s="111">
        <v>45556</v>
      </c>
      <c r="C318" s="114" t="s">
        <v>891</v>
      </c>
      <c r="D318" s="3" t="str">
        <f>VLOOKUP(C318,'Location Summary'!$C$4:$D$602,2,0)</f>
        <v>DA+6</v>
      </c>
      <c r="E318" s="267" t="s">
        <v>403</v>
      </c>
      <c r="F318" s="268" t="s">
        <v>683</v>
      </c>
      <c r="G318" s="158">
        <v>1</v>
      </c>
      <c r="H318" s="157">
        <v>1</v>
      </c>
      <c r="I318" s="156">
        <v>1</v>
      </c>
      <c r="K318" s="157">
        <v>1</v>
      </c>
      <c r="L318" s="156">
        <v>1</v>
      </c>
      <c r="N318" s="157">
        <v>1</v>
      </c>
      <c r="O318" s="156">
        <v>1</v>
      </c>
      <c r="P318" s="158">
        <v>1</v>
      </c>
      <c r="Q318" s="157">
        <v>1</v>
      </c>
      <c r="R318" s="156">
        <v>1</v>
      </c>
      <c r="X318" s="35">
        <f t="shared" si="53"/>
        <v>45556</v>
      </c>
      <c r="Y318" s="35">
        <f t="shared" si="54"/>
        <v>45584</v>
      </c>
    </row>
    <row r="319" spans="1:25" ht="20.149999999999999" customHeight="1">
      <c r="A319" s="10">
        <f>SUBTOTAL(103,$B$4:B319)</f>
        <v>316</v>
      </c>
      <c r="B319" s="111">
        <v>45557</v>
      </c>
      <c r="C319" s="114" t="s">
        <v>470</v>
      </c>
      <c r="D319" s="3" t="str">
        <f>VLOOKUP(C319,'Location Summary'!$C$4:$D$602,2,0)</f>
        <v>DA-3</v>
      </c>
      <c r="E319" s="267" t="s">
        <v>403</v>
      </c>
      <c r="F319" s="268" t="s">
        <v>683</v>
      </c>
      <c r="H319" s="157">
        <v>1</v>
      </c>
      <c r="I319" s="156">
        <v>1</v>
      </c>
      <c r="K319" s="157">
        <v>1</v>
      </c>
      <c r="L319" s="156">
        <v>1</v>
      </c>
      <c r="N319" s="157">
        <v>1</v>
      </c>
      <c r="P319" s="158">
        <v>1</v>
      </c>
      <c r="X319" s="35">
        <f t="shared" si="53"/>
        <v>45557</v>
      </c>
      <c r="Y319" s="35">
        <f t="shared" si="54"/>
        <v>45585</v>
      </c>
    </row>
    <row r="320" spans="1:25" ht="20.149999999999999" customHeight="1">
      <c r="A320" s="10">
        <f>SUBTOTAL(103,$B$4:B320)</f>
        <v>317</v>
      </c>
      <c r="B320" s="111">
        <v>45557</v>
      </c>
      <c r="C320" s="114" t="s">
        <v>579</v>
      </c>
      <c r="D320" s="3" t="str">
        <f>VLOOKUP(C320,'Location Summary'!$C$4:$D$602,2,0)</f>
        <v>DA+9</v>
      </c>
      <c r="E320" s="267" t="s">
        <v>403</v>
      </c>
      <c r="F320" s="268" t="s">
        <v>683</v>
      </c>
      <c r="G320" s="158">
        <v>1</v>
      </c>
      <c r="J320" s="158">
        <v>1</v>
      </c>
      <c r="X320" s="35">
        <f t="shared" si="53"/>
        <v>45557</v>
      </c>
      <c r="Y320" s="35">
        <f t="shared" si="54"/>
        <v>45585</v>
      </c>
    </row>
    <row r="321" spans="1:25" ht="20.149999999999999" customHeight="1">
      <c r="A321" s="10">
        <f>SUBTOTAL(103,$B$4:B321)</f>
        <v>318</v>
      </c>
      <c r="B321" s="111">
        <v>45557</v>
      </c>
      <c r="C321" s="114" t="s">
        <v>601</v>
      </c>
      <c r="D321" s="3" t="e">
        <f>VLOOKUP(C321,'Location Summary'!$C$4:$D$602,2,0)</f>
        <v>#N/A</v>
      </c>
      <c r="E321" s="267" t="s">
        <v>403</v>
      </c>
      <c r="F321" s="268" t="s">
        <v>683</v>
      </c>
      <c r="H321" s="157">
        <v>1</v>
      </c>
      <c r="I321" s="156">
        <v>1</v>
      </c>
      <c r="K321" s="157">
        <v>1</v>
      </c>
      <c r="N321" s="157">
        <v>1</v>
      </c>
      <c r="Q321" s="157">
        <v>1</v>
      </c>
      <c r="R321" s="156">
        <v>1</v>
      </c>
      <c r="X321" s="35">
        <f t="shared" si="53"/>
        <v>45557</v>
      </c>
      <c r="Y321" s="35">
        <f t="shared" si="54"/>
        <v>45585</v>
      </c>
    </row>
    <row r="322" spans="1:25" ht="20.149999999999999" customHeight="1">
      <c r="A322" s="10">
        <f>SUBTOTAL(103,$B$4:B322)</f>
        <v>319</v>
      </c>
      <c r="B322" s="111">
        <v>45557</v>
      </c>
      <c r="C322" s="114" t="s">
        <v>474</v>
      </c>
      <c r="D322" s="3" t="str">
        <f>VLOOKUP(C322,'Location Summary'!$C$4:$D$602,2,0)</f>
        <v>DA+1.5</v>
      </c>
      <c r="E322" s="267" t="s">
        <v>403</v>
      </c>
      <c r="F322" s="268" t="s">
        <v>683</v>
      </c>
      <c r="G322" s="158">
        <v>1</v>
      </c>
      <c r="L322" s="156">
        <v>1</v>
      </c>
      <c r="O322" s="156">
        <v>1</v>
      </c>
      <c r="P322" s="158">
        <v>1</v>
      </c>
      <c r="X322" s="35">
        <f t="shared" si="53"/>
        <v>45557</v>
      </c>
      <c r="Y322" s="35">
        <f t="shared" si="54"/>
        <v>45585</v>
      </c>
    </row>
    <row r="323" spans="1:25" ht="20.149999999999999" customHeight="1">
      <c r="A323" s="10">
        <f>SUBTOTAL(103,$B$4:B323)</f>
        <v>320</v>
      </c>
      <c r="B323" s="111">
        <v>45557</v>
      </c>
      <c r="C323" s="114" t="s">
        <v>458</v>
      </c>
      <c r="D323" s="3" t="str">
        <f>VLOOKUP(C323,'Location Summary'!$C$4:$D$602,2,0)</f>
        <v>DA+9</v>
      </c>
      <c r="E323" s="267" t="s">
        <v>403</v>
      </c>
      <c r="F323" s="268" t="s">
        <v>683</v>
      </c>
      <c r="H323" s="157">
        <v>1</v>
      </c>
      <c r="I323" s="156">
        <v>1</v>
      </c>
      <c r="K323" s="157">
        <v>1</v>
      </c>
      <c r="L323" s="156">
        <v>1</v>
      </c>
      <c r="X323" s="35">
        <f t="shared" ref="X323:X329" si="55">B323</f>
        <v>45557</v>
      </c>
      <c r="Y323" s="35">
        <f t="shared" ref="Y323:Y329" si="56">B323+28</f>
        <v>45585</v>
      </c>
    </row>
    <row r="324" spans="1:25" ht="20.149999999999999" customHeight="1">
      <c r="A324" s="10">
        <f>SUBTOTAL(103,$B$4:B324)</f>
        <v>321</v>
      </c>
      <c r="B324" s="111">
        <v>45558</v>
      </c>
      <c r="C324" s="114" t="s">
        <v>470</v>
      </c>
      <c r="D324" s="3" t="str">
        <f>VLOOKUP(C324,'Location Summary'!$C$4:$D$602,2,0)</f>
        <v>DA-3</v>
      </c>
      <c r="E324" s="267" t="s">
        <v>403</v>
      </c>
      <c r="F324" s="268" t="s">
        <v>683</v>
      </c>
      <c r="O324" s="156">
        <v>1</v>
      </c>
      <c r="Q324" s="157">
        <v>1</v>
      </c>
      <c r="R324" s="156">
        <v>1</v>
      </c>
      <c r="X324" s="35">
        <f t="shared" si="55"/>
        <v>45558</v>
      </c>
      <c r="Y324" s="35">
        <f t="shared" si="56"/>
        <v>45586</v>
      </c>
    </row>
    <row r="325" spans="1:25" ht="20.149999999999999" customHeight="1">
      <c r="A325" s="10">
        <f>SUBTOTAL(103,$B$4:B325)</f>
        <v>322</v>
      </c>
      <c r="B325" s="111">
        <v>45558</v>
      </c>
      <c r="C325" s="114" t="s">
        <v>61</v>
      </c>
      <c r="D325" s="3" t="str">
        <f>VLOOKUP(C325,'Location Summary'!$C$4:$D$602,2,0)</f>
        <v>DA+9</v>
      </c>
      <c r="E325" s="267" t="s">
        <v>403</v>
      </c>
      <c r="F325" s="268" t="s">
        <v>683</v>
      </c>
      <c r="M325" s="158">
        <v>1</v>
      </c>
      <c r="X325" s="35">
        <f t="shared" si="55"/>
        <v>45558</v>
      </c>
      <c r="Y325" s="35">
        <f t="shared" si="56"/>
        <v>45586</v>
      </c>
    </row>
    <row r="326" spans="1:25" ht="20.149999999999999" customHeight="1">
      <c r="A326" s="10">
        <f>SUBTOTAL(103,$B$4:B326)</f>
        <v>323</v>
      </c>
      <c r="B326" s="111">
        <v>45558</v>
      </c>
      <c r="C326" s="114" t="s">
        <v>579</v>
      </c>
      <c r="D326" s="3" t="str">
        <f>VLOOKUP(C326,'Location Summary'!$C$4:$D$602,2,0)</f>
        <v>DA+9</v>
      </c>
      <c r="E326" s="267" t="s">
        <v>403</v>
      </c>
      <c r="F326" s="268" t="s">
        <v>683</v>
      </c>
      <c r="H326" s="157">
        <v>1</v>
      </c>
      <c r="K326" s="157">
        <v>1</v>
      </c>
      <c r="X326" s="35">
        <f t="shared" si="55"/>
        <v>45558</v>
      </c>
      <c r="Y326" s="35">
        <f t="shared" si="56"/>
        <v>45586</v>
      </c>
    </row>
    <row r="327" spans="1:25" ht="20.149999999999999" customHeight="1">
      <c r="A327" s="10">
        <f>SUBTOTAL(103,$B$4:B327)</f>
        <v>324</v>
      </c>
      <c r="B327" s="111">
        <v>45558</v>
      </c>
      <c r="C327" s="114" t="s">
        <v>601</v>
      </c>
      <c r="D327" s="3" t="e">
        <f>VLOOKUP(C327,'Location Summary'!$C$4:$D$602,2,0)</f>
        <v>#N/A</v>
      </c>
      <c r="E327" s="267" t="s">
        <v>403</v>
      </c>
      <c r="F327" s="268" t="s">
        <v>683</v>
      </c>
      <c r="L327" s="156">
        <v>1</v>
      </c>
      <c r="O327" s="156">
        <v>1</v>
      </c>
      <c r="X327" s="35">
        <f t="shared" si="55"/>
        <v>45558</v>
      </c>
      <c r="Y327" s="35">
        <f t="shared" si="56"/>
        <v>45586</v>
      </c>
    </row>
    <row r="328" spans="1:25" ht="20.149999999999999" customHeight="1">
      <c r="A328" s="10">
        <f>SUBTOTAL(103,$B$4:B328)</f>
        <v>325</v>
      </c>
      <c r="B328" s="111">
        <v>45558</v>
      </c>
      <c r="C328" s="114" t="s">
        <v>588</v>
      </c>
      <c r="D328" s="3" t="str">
        <f>VLOOKUP(C328,'Location Summary'!$C$4:$D$602,2,0)</f>
        <v>DA+6</v>
      </c>
      <c r="E328" s="267" t="s">
        <v>403</v>
      </c>
      <c r="F328" s="268" t="s">
        <v>683</v>
      </c>
      <c r="G328" s="158">
        <v>1</v>
      </c>
      <c r="H328" s="157">
        <v>1</v>
      </c>
      <c r="P328" s="158">
        <v>1</v>
      </c>
      <c r="Q328" s="157">
        <v>1</v>
      </c>
      <c r="X328" s="35">
        <f t="shared" si="55"/>
        <v>45558</v>
      </c>
      <c r="Y328" s="35">
        <f t="shared" si="56"/>
        <v>45586</v>
      </c>
    </row>
    <row r="329" spans="1:25" ht="20.149999999999999" customHeight="1">
      <c r="A329" s="10">
        <f>SUBTOTAL(103,$B$4:B329)</f>
        <v>326</v>
      </c>
      <c r="B329" s="111">
        <v>45558</v>
      </c>
      <c r="C329" s="114" t="s">
        <v>458</v>
      </c>
      <c r="D329" s="3" t="str">
        <f>VLOOKUP(C329,'Location Summary'!$C$4:$D$602,2,0)</f>
        <v>DA+9</v>
      </c>
      <c r="E329" s="267" t="s">
        <v>403</v>
      </c>
      <c r="F329" s="268" t="s">
        <v>683</v>
      </c>
      <c r="M329" s="158">
        <v>1</v>
      </c>
      <c r="N329" s="157">
        <v>1</v>
      </c>
      <c r="O329" s="156">
        <v>1</v>
      </c>
      <c r="P329" s="158">
        <v>1</v>
      </c>
      <c r="Q329" s="157">
        <v>1</v>
      </c>
      <c r="R329" s="156">
        <v>1</v>
      </c>
      <c r="X329" s="35">
        <f t="shared" si="55"/>
        <v>45558</v>
      </c>
      <c r="Y329" s="35">
        <f t="shared" si="56"/>
        <v>45586</v>
      </c>
    </row>
    <row r="330" spans="1:25" ht="20.149999999999999" customHeight="1">
      <c r="A330" s="10">
        <f>SUBTOTAL(103,$B$4:B330)</f>
        <v>327</v>
      </c>
      <c r="B330" s="111">
        <v>45559</v>
      </c>
      <c r="C330" s="114" t="s">
        <v>61</v>
      </c>
      <c r="D330" s="3" t="str">
        <f>VLOOKUP(C330,'Location Summary'!$C$4:$D$602,2,0)</f>
        <v>DA+9</v>
      </c>
      <c r="E330" s="267" t="s">
        <v>403</v>
      </c>
      <c r="F330" s="268" t="s">
        <v>683</v>
      </c>
      <c r="J330" s="158">
        <v>1</v>
      </c>
      <c r="N330" s="157">
        <v>1</v>
      </c>
      <c r="X330" s="35">
        <f t="shared" ref="X330:X336" si="57">B330</f>
        <v>45559</v>
      </c>
      <c r="Y330" s="35">
        <f t="shared" ref="Y330:Y336" si="58">B330+28</f>
        <v>45587</v>
      </c>
    </row>
    <row r="331" spans="1:25" ht="20.149999999999999" customHeight="1">
      <c r="A331" s="10">
        <f>SUBTOTAL(103,$B$4:B331)</f>
        <v>328</v>
      </c>
      <c r="B331" s="111">
        <v>45559</v>
      </c>
      <c r="C331" s="114" t="s">
        <v>579</v>
      </c>
      <c r="D331" s="3" t="str">
        <f>VLOOKUP(C331,'Location Summary'!$C$4:$D$602,2,0)</f>
        <v>DA+9</v>
      </c>
      <c r="E331" s="267" t="s">
        <v>403</v>
      </c>
      <c r="F331" s="268" t="s">
        <v>683</v>
      </c>
      <c r="I331" s="156">
        <v>1</v>
      </c>
      <c r="J331" s="158">
        <v>1</v>
      </c>
      <c r="L331" s="156">
        <v>1</v>
      </c>
      <c r="M331" s="158">
        <v>1</v>
      </c>
      <c r="X331" s="35">
        <f t="shared" si="57"/>
        <v>45559</v>
      </c>
      <c r="Y331" s="35">
        <f t="shared" si="58"/>
        <v>45587</v>
      </c>
    </row>
    <row r="332" spans="1:25" ht="20.149999999999999" customHeight="1">
      <c r="A332" s="10">
        <f>SUBTOTAL(103,$B$4:B332)</f>
        <v>329</v>
      </c>
      <c r="B332" s="111">
        <v>45559</v>
      </c>
      <c r="C332" s="114" t="s">
        <v>588</v>
      </c>
      <c r="D332" s="3" t="str">
        <f>VLOOKUP(C332,'Location Summary'!$C$4:$D$602,2,0)</f>
        <v>DA+6</v>
      </c>
      <c r="E332" s="267" t="s">
        <v>403</v>
      </c>
      <c r="F332" s="268" t="s">
        <v>683</v>
      </c>
      <c r="I332" s="156">
        <v>1</v>
      </c>
      <c r="J332" s="158">
        <v>1</v>
      </c>
      <c r="R332" s="156">
        <v>1</v>
      </c>
      <c r="X332" s="35">
        <f t="shared" si="57"/>
        <v>45559</v>
      </c>
      <c r="Y332" s="35">
        <f t="shared" si="58"/>
        <v>45587</v>
      </c>
    </row>
    <row r="333" spans="1:25" ht="20.149999999999999" customHeight="1">
      <c r="A333" s="10">
        <f>SUBTOTAL(103,$B$4:B333)</f>
        <v>330</v>
      </c>
      <c r="B333" s="111">
        <v>45560</v>
      </c>
      <c r="C333" s="114" t="s">
        <v>61</v>
      </c>
      <c r="D333" s="3" t="str">
        <f>VLOOKUP(C333,'Location Summary'!$C$4:$D$602,2,0)</f>
        <v>DA+9</v>
      </c>
      <c r="E333" s="267" t="s">
        <v>403</v>
      </c>
      <c r="F333" s="268" t="s">
        <v>683</v>
      </c>
      <c r="K333" s="157">
        <v>1</v>
      </c>
      <c r="O333" s="156">
        <v>1</v>
      </c>
      <c r="P333" s="158">
        <v>1</v>
      </c>
      <c r="X333" s="35">
        <f t="shared" si="57"/>
        <v>45560</v>
      </c>
      <c r="Y333" s="35">
        <f t="shared" si="58"/>
        <v>45588</v>
      </c>
    </row>
    <row r="334" spans="1:25" ht="20.149999999999999" customHeight="1">
      <c r="A334" s="10">
        <f>SUBTOTAL(103,$B$4:B334)</f>
        <v>331</v>
      </c>
      <c r="B334" s="111">
        <v>45560</v>
      </c>
      <c r="C334" s="114" t="s">
        <v>579</v>
      </c>
      <c r="D334" s="3" t="str">
        <f>VLOOKUP(C334,'Location Summary'!$C$4:$D$602,2,0)</f>
        <v>DA+9</v>
      </c>
      <c r="E334" s="267" t="s">
        <v>403</v>
      </c>
      <c r="F334" s="268" t="s">
        <v>683</v>
      </c>
      <c r="O334" s="156">
        <v>1</v>
      </c>
      <c r="R334" s="156">
        <v>1</v>
      </c>
      <c r="X334" s="35">
        <f t="shared" si="57"/>
        <v>45560</v>
      </c>
      <c r="Y334" s="35">
        <f t="shared" si="58"/>
        <v>45588</v>
      </c>
    </row>
    <row r="335" spans="1:25" ht="20.149999999999999" customHeight="1">
      <c r="A335" s="10">
        <f>SUBTOTAL(103,$B$4:B335)</f>
        <v>332</v>
      </c>
      <c r="B335" s="111">
        <v>45560</v>
      </c>
      <c r="C335" s="114" t="s">
        <v>602</v>
      </c>
      <c r="D335" s="3" t="str">
        <f>VLOOKUP(C335,'Location Summary'!$C$4:$D$602,2,0)</f>
        <v>DA+3</v>
      </c>
      <c r="E335" s="267" t="s">
        <v>403</v>
      </c>
      <c r="F335" s="268" t="s">
        <v>683</v>
      </c>
      <c r="G335" s="158">
        <v>1</v>
      </c>
      <c r="J335" s="158">
        <v>1</v>
      </c>
      <c r="P335" s="158">
        <v>1</v>
      </c>
      <c r="X335" s="35">
        <f t="shared" si="57"/>
        <v>45560</v>
      </c>
      <c r="Y335" s="35">
        <f t="shared" si="58"/>
        <v>45588</v>
      </c>
    </row>
    <row r="336" spans="1:25" ht="20.149999999999999" customHeight="1">
      <c r="A336" s="10">
        <f>SUBTOTAL(103,$B$4:B336)</f>
        <v>333</v>
      </c>
      <c r="B336" s="111">
        <v>45560</v>
      </c>
      <c r="C336" s="114" t="s">
        <v>588</v>
      </c>
      <c r="D336" s="3" t="str">
        <f>VLOOKUP(C336,'Location Summary'!$C$4:$D$602,2,0)</f>
        <v>DA+6</v>
      </c>
      <c r="E336" s="267" t="s">
        <v>403</v>
      </c>
      <c r="F336" s="268" t="s">
        <v>683</v>
      </c>
      <c r="K336" s="157">
        <v>1</v>
      </c>
      <c r="L336" s="156">
        <v>1</v>
      </c>
      <c r="X336" s="35">
        <f t="shared" si="57"/>
        <v>45560</v>
      </c>
      <c r="Y336" s="35">
        <f t="shared" si="58"/>
        <v>45588</v>
      </c>
    </row>
    <row r="337" spans="1:25" ht="20.149999999999999" customHeight="1">
      <c r="A337" s="10">
        <f>SUBTOTAL(103,$B$4:B337)</f>
        <v>334</v>
      </c>
      <c r="B337" s="111">
        <v>45561</v>
      </c>
      <c r="C337" s="114" t="s">
        <v>261</v>
      </c>
      <c r="D337" s="3" t="str">
        <f>VLOOKUP(C337,'Location Summary'!$C$4:$D$602,2,0)</f>
        <v>DB2+0</v>
      </c>
      <c r="E337" s="267" t="s">
        <v>403</v>
      </c>
      <c r="F337" s="268" t="s">
        <v>683</v>
      </c>
      <c r="P337" s="158">
        <v>1</v>
      </c>
      <c r="X337" s="35">
        <f t="shared" ref="X337:X365" si="59">B337</f>
        <v>45561</v>
      </c>
      <c r="Y337" s="35">
        <f t="shared" ref="Y337:Y365" si="60">B337+28</f>
        <v>45589</v>
      </c>
    </row>
    <row r="338" spans="1:25" ht="20.149999999999999" customHeight="1">
      <c r="A338" s="10">
        <f>SUBTOTAL(103,$B$4:B338)</f>
        <v>335</v>
      </c>
      <c r="B338" s="111">
        <v>45561</v>
      </c>
      <c r="C338" s="114" t="s">
        <v>61</v>
      </c>
      <c r="D338" s="3" t="str">
        <f>VLOOKUP(C338,'Location Summary'!$C$4:$D$602,2,0)</f>
        <v>DA+9</v>
      </c>
      <c r="E338" s="267" t="s">
        <v>403</v>
      </c>
      <c r="F338" s="268" t="s">
        <v>683</v>
      </c>
      <c r="L338" s="156">
        <v>1</v>
      </c>
      <c r="Q338" s="157">
        <v>1</v>
      </c>
      <c r="R338" s="156">
        <v>1</v>
      </c>
      <c r="X338" s="35">
        <f t="shared" si="59"/>
        <v>45561</v>
      </c>
      <c r="Y338" s="35">
        <f t="shared" si="60"/>
        <v>45589</v>
      </c>
    </row>
    <row r="339" spans="1:25" ht="20.149999999999999" customHeight="1">
      <c r="A339" s="10">
        <f>SUBTOTAL(103,$B$4:B339)</f>
        <v>336</v>
      </c>
      <c r="B339" s="111">
        <v>45561</v>
      </c>
      <c r="C339" s="114" t="s">
        <v>580</v>
      </c>
      <c r="D339" s="3" t="str">
        <f>VLOOKUP(C339,'Location Summary'!$C$4:$D$602,2,0)</f>
        <v>DA+3</v>
      </c>
      <c r="E339" s="267" t="s">
        <v>403</v>
      </c>
      <c r="F339" s="268" t="s">
        <v>683</v>
      </c>
      <c r="G339" s="158">
        <v>1</v>
      </c>
      <c r="J339" s="158">
        <v>1</v>
      </c>
      <c r="P339" s="158">
        <v>1</v>
      </c>
      <c r="X339" s="35">
        <f t="shared" si="59"/>
        <v>45561</v>
      </c>
      <c r="Y339" s="35">
        <f t="shared" si="60"/>
        <v>45589</v>
      </c>
    </row>
    <row r="340" spans="1:25" ht="20.149999999999999" customHeight="1">
      <c r="A340" s="10">
        <f>SUBTOTAL(103,$B$4:B340)</f>
        <v>337</v>
      </c>
      <c r="B340" s="111">
        <v>45561</v>
      </c>
      <c r="C340" s="114" t="s">
        <v>602</v>
      </c>
      <c r="D340" s="3" t="str">
        <f>VLOOKUP(C340,'Location Summary'!$C$4:$D$602,2,0)</f>
        <v>DA+3</v>
      </c>
      <c r="E340" s="267" t="s">
        <v>403</v>
      </c>
      <c r="F340" s="268" t="s">
        <v>683</v>
      </c>
      <c r="H340" s="157">
        <v>1</v>
      </c>
      <c r="K340" s="157">
        <v>1</v>
      </c>
      <c r="M340" s="158">
        <v>1</v>
      </c>
      <c r="N340" s="157">
        <v>1</v>
      </c>
      <c r="Q340" s="157">
        <v>1</v>
      </c>
      <c r="X340" s="35">
        <f t="shared" si="59"/>
        <v>45561</v>
      </c>
      <c r="Y340" s="35">
        <f t="shared" si="60"/>
        <v>45589</v>
      </c>
    </row>
    <row r="341" spans="1:25" ht="20.149999999999999" customHeight="1">
      <c r="A341" s="10">
        <f>SUBTOTAL(103,$B$4:B341)</f>
        <v>338</v>
      </c>
      <c r="B341" s="111">
        <v>45561</v>
      </c>
      <c r="C341" s="114" t="s">
        <v>588</v>
      </c>
      <c r="D341" s="3" t="str">
        <f>VLOOKUP(C341,'Location Summary'!$C$4:$D$602,2,0)</f>
        <v>DA+6</v>
      </c>
      <c r="E341" s="267" t="s">
        <v>403</v>
      </c>
      <c r="F341" s="268" t="s">
        <v>683</v>
      </c>
      <c r="M341" s="158">
        <v>1</v>
      </c>
      <c r="N341" s="157">
        <v>1</v>
      </c>
      <c r="O341" s="156">
        <v>1</v>
      </c>
      <c r="X341" s="35">
        <f t="shared" si="59"/>
        <v>45561</v>
      </c>
      <c r="Y341" s="35">
        <f t="shared" si="60"/>
        <v>45589</v>
      </c>
    </row>
    <row r="342" spans="1:25" ht="20.149999999999999" customHeight="1">
      <c r="A342" s="10">
        <f>SUBTOTAL(103,$B$4:B342)</f>
        <v>339</v>
      </c>
      <c r="B342" s="111">
        <v>45561</v>
      </c>
      <c r="C342" s="114" t="s">
        <v>456</v>
      </c>
      <c r="D342" s="3" t="e">
        <f>VLOOKUP(C342,'Location Summary'!$C$4:$D$602,2,0)</f>
        <v>#N/A</v>
      </c>
      <c r="E342" s="267" t="s">
        <v>403</v>
      </c>
      <c r="F342" s="268" t="s">
        <v>683</v>
      </c>
      <c r="G342" s="158">
        <v>1</v>
      </c>
      <c r="H342" s="157">
        <v>1</v>
      </c>
      <c r="I342" s="156">
        <v>1</v>
      </c>
      <c r="J342" s="158">
        <v>1</v>
      </c>
      <c r="K342" s="157">
        <v>1</v>
      </c>
      <c r="L342" s="156">
        <v>1</v>
      </c>
      <c r="M342" s="158">
        <v>1</v>
      </c>
      <c r="N342" s="157">
        <v>1</v>
      </c>
      <c r="O342" s="156">
        <v>1</v>
      </c>
      <c r="P342" s="158">
        <v>1</v>
      </c>
      <c r="X342" s="35">
        <f t="shared" si="59"/>
        <v>45561</v>
      </c>
      <c r="Y342" s="35">
        <f t="shared" si="60"/>
        <v>45589</v>
      </c>
    </row>
    <row r="343" spans="1:25" ht="20.149999999999999" customHeight="1">
      <c r="A343" s="10">
        <f>SUBTOTAL(103,$B$4:B343)</f>
        <v>340</v>
      </c>
      <c r="B343" s="111">
        <v>45562</v>
      </c>
      <c r="C343" s="114" t="s">
        <v>261</v>
      </c>
      <c r="D343" s="3" t="str">
        <f>VLOOKUP(C343,'Location Summary'!$C$4:$D$602,2,0)</f>
        <v>DB2+0</v>
      </c>
      <c r="E343" s="267" t="s">
        <v>403</v>
      </c>
      <c r="F343" s="268" t="s">
        <v>683</v>
      </c>
      <c r="M343" s="158">
        <v>1</v>
      </c>
      <c r="X343" s="35">
        <f t="shared" si="59"/>
        <v>45562</v>
      </c>
      <c r="Y343" s="35">
        <f t="shared" si="60"/>
        <v>45590</v>
      </c>
    </row>
    <row r="344" spans="1:25" ht="20.149999999999999" customHeight="1">
      <c r="A344" s="10">
        <f>SUBTOTAL(103,$B$4:B344)</f>
        <v>341</v>
      </c>
      <c r="B344" s="111">
        <v>45562</v>
      </c>
      <c r="C344" s="114" t="s">
        <v>61</v>
      </c>
      <c r="D344" s="3" t="str">
        <f>VLOOKUP(C344,'Location Summary'!$C$4:$D$602,2,0)</f>
        <v>DA+9</v>
      </c>
      <c r="E344" s="267" t="s">
        <v>403</v>
      </c>
      <c r="F344" s="268" t="s">
        <v>683</v>
      </c>
      <c r="G344" s="158">
        <v>1</v>
      </c>
      <c r="X344" s="35">
        <f t="shared" si="59"/>
        <v>45562</v>
      </c>
      <c r="Y344" s="35">
        <f t="shared" si="60"/>
        <v>45590</v>
      </c>
    </row>
    <row r="345" spans="1:25" ht="20.149999999999999" customHeight="1">
      <c r="A345" s="10">
        <f>SUBTOTAL(103,$B$4:B345)</f>
        <v>342</v>
      </c>
      <c r="B345" s="111">
        <v>45562</v>
      </c>
      <c r="C345" s="114" t="s">
        <v>580</v>
      </c>
      <c r="D345" s="3" t="str">
        <f>VLOOKUP(C345,'Location Summary'!$C$4:$D$602,2,0)</f>
        <v>DA+3</v>
      </c>
      <c r="E345" s="267" t="s">
        <v>403</v>
      </c>
      <c r="F345" s="268" t="s">
        <v>683</v>
      </c>
      <c r="H345" s="157">
        <v>1</v>
      </c>
      <c r="I345" s="156">
        <v>1</v>
      </c>
      <c r="K345" s="157">
        <v>1</v>
      </c>
      <c r="L345" s="156">
        <v>1</v>
      </c>
      <c r="M345" s="158">
        <v>1</v>
      </c>
      <c r="Q345" s="157">
        <v>1</v>
      </c>
      <c r="X345" s="35">
        <f t="shared" si="59"/>
        <v>45562</v>
      </c>
      <c r="Y345" s="35">
        <f t="shared" si="60"/>
        <v>45590</v>
      </c>
    </row>
    <row r="346" spans="1:25" ht="20.149999999999999" customHeight="1">
      <c r="A346" s="10">
        <f>SUBTOTAL(103,$B$4:B346)</f>
        <v>343</v>
      </c>
      <c r="B346" s="111">
        <v>45562</v>
      </c>
      <c r="C346" s="114" t="s">
        <v>602</v>
      </c>
      <c r="D346" s="3" t="str">
        <f>VLOOKUP(C346,'Location Summary'!$C$4:$D$602,2,0)</f>
        <v>DA+3</v>
      </c>
      <c r="E346" s="267" t="s">
        <v>403</v>
      </c>
      <c r="F346" s="268" t="s">
        <v>683</v>
      </c>
      <c r="I346" s="156">
        <v>1</v>
      </c>
      <c r="L346" s="156">
        <v>1</v>
      </c>
      <c r="O346" s="156">
        <v>1</v>
      </c>
      <c r="R346" s="156">
        <v>1</v>
      </c>
      <c r="X346" s="35">
        <f t="shared" si="59"/>
        <v>45562</v>
      </c>
      <c r="Y346" s="35">
        <f t="shared" si="60"/>
        <v>45590</v>
      </c>
    </row>
    <row r="347" spans="1:25" ht="20.149999999999999" customHeight="1">
      <c r="A347" s="10">
        <f>SUBTOTAL(103,$B$4:B347)</f>
        <v>344</v>
      </c>
      <c r="B347" s="111">
        <v>45562</v>
      </c>
      <c r="C347" s="114" t="s">
        <v>474</v>
      </c>
      <c r="D347" s="3" t="str">
        <f>VLOOKUP(C347,'Location Summary'!$C$4:$D$602,2,0)</f>
        <v>DA+1.5</v>
      </c>
      <c r="E347" s="267" t="s">
        <v>403</v>
      </c>
      <c r="F347" s="268" t="s">
        <v>683</v>
      </c>
      <c r="H347" s="157">
        <v>1</v>
      </c>
      <c r="Q347" s="157">
        <v>1</v>
      </c>
      <c r="X347" s="35">
        <f t="shared" si="59"/>
        <v>45562</v>
      </c>
      <c r="Y347" s="35">
        <f t="shared" si="60"/>
        <v>45590</v>
      </c>
    </row>
    <row r="348" spans="1:25" ht="20.149999999999999" customHeight="1">
      <c r="A348" s="10">
        <f>SUBTOTAL(103,$B$4:B348)</f>
        <v>345</v>
      </c>
      <c r="B348" s="111">
        <v>45562</v>
      </c>
      <c r="C348" s="114" t="s">
        <v>456</v>
      </c>
      <c r="D348" s="3" t="e">
        <f>VLOOKUP(C348,'Location Summary'!$C$4:$D$602,2,0)</f>
        <v>#N/A</v>
      </c>
      <c r="E348" s="267" t="s">
        <v>403</v>
      </c>
      <c r="F348" s="268" t="s">
        <v>683</v>
      </c>
      <c r="Q348" s="157">
        <v>1</v>
      </c>
      <c r="R348" s="156">
        <v>1</v>
      </c>
      <c r="X348" s="35">
        <f t="shared" si="59"/>
        <v>45562</v>
      </c>
      <c r="Y348" s="35">
        <f t="shared" si="60"/>
        <v>45590</v>
      </c>
    </row>
    <row r="349" spans="1:25" ht="20.149999999999999" customHeight="1">
      <c r="A349" s="10">
        <f>SUBTOTAL(103,$B$4:B349)</f>
        <v>346</v>
      </c>
      <c r="B349" s="111">
        <v>45563</v>
      </c>
      <c r="C349" s="114" t="s">
        <v>261</v>
      </c>
      <c r="D349" s="3" t="str">
        <f>VLOOKUP(C349,'Location Summary'!$C$4:$D$602,2,0)</f>
        <v>DB2+0</v>
      </c>
      <c r="E349" s="267" t="s">
        <v>403</v>
      </c>
      <c r="F349" s="268" t="s">
        <v>683</v>
      </c>
      <c r="N349" s="157">
        <v>1</v>
      </c>
      <c r="Q349" s="157">
        <v>1</v>
      </c>
      <c r="X349" s="35">
        <f t="shared" si="59"/>
        <v>45563</v>
      </c>
      <c r="Y349" s="35">
        <f t="shared" si="60"/>
        <v>45591</v>
      </c>
    </row>
    <row r="350" spans="1:25" ht="20.149999999999999" customHeight="1">
      <c r="A350" s="10">
        <f>SUBTOTAL(103,$B$4:B350)</f>
        <v>347</v>
      </c>
      <c r="B350" s="111">
        <v>45563</v>
      </c>
      <c r="C350" s="114" t="s">
        <v>61</v>
      </c>
      <c r="D350" s="3" t="str">
        <f>VLOOKUP(C350,'Location Summary'!$C$4:$D$602,2,0)</f>
        <v>DA+9</v>
      </c>
      <c r="E350" s="267" t="s">
        <v>403</v>
      </c>
      <c r="F350" s="268" t="s">
        <v>683</v>
      </c>
      <c r="H350" s="157">
        <v>1</v>
      </c>
      <c r="I350" s="156">
        <v>1</v>
      </c>
      <c r="X350" s="35">
        <f t="shared" si="59"/>
        <v>45563</v>
      </c>
      <c r="Y350" s="35">
        <f t="shared" si="60"/>
        <v>45591</v>
      </c>
    </row>
    <row r="351" spans="1:25" ht="20.149999999999999" customHeight="1">
      <c r="A351" s="10">
        <f>SUBTOTAL(103,$B$4:B351)</f>
        <v>348</v>
      </c>
      <c r="B351" s="111">
        <v>45563</v>
      </c>
      <c r="C351" s="114" t="s">
        <v>580</v>
      </c>
      <c r="D351" s="3" t="str">
        <f>VLOOKUP(C351,'Location Summary'!$C$4:$D$602,2,0)</f>
        <v>DA+3</v>
      </c>
      <c r="E351" s="267" t="s">
        <v>403</v>
      </c>
      <c r="F351" s="268" t="s">
        <v>683</v>
      </c>
      <c r="N351" s="157">
        <v>1</v>
      </c>
      <c r="O351" s="156">
        <v>1</v>
      </c>
      <c r="R351" s="156">
        <v>1</v>
      </c>
      <c r="X351" s="35">
        <f t="shared" si="59"/>
        <v>45563</v>
      </c>
      <c r="Y351" s="35">
        <f t="shared" si="60"/>
        <v>45591</v>
      </c>
    </row>
    <row r="352" spans="1:25" ht="20.149999999999999" customHeight="1">
      <c r="A352" s="10">
        <f>SUBTOTAL(103,$B$4:B352)</f>
        <v>349</v>
      </c>
      <c r="B352" s="111">
        <v>45563</v>
      </c>
      <c r="C352" s="114" t="s">
        <v>603</v>
      </c>
      <c r="D352" s="3" t="str">
        <f>VLOOKUP(C352,'Location Summary'!$C$4:$D$602,2,0)</f>
        <v>DA-1.5</v>
      </c>
      <c r="E352" s="267" t="s">
        <v>403</v>
      </c>
      <c r="F352" s="268" t="s">
        <v>683</v>
      </c>
      <c r="G352" s="158">
        <v>1</v>
      </c>
      <c r="P352" s="158">
        <v>1</v>
      </c>
      <c r="X352" s="35">
        <f t="shared" si="59"/>
        <v>45563</v>
      </c>
      <c r="Y352" s="35">
        <f t="shared" si="60"/>
        <v>45591</v>
      </c>
    </row>
    <row r="353" spans="1:25" ht="20.149999999999999" customHeight="1">
      <c r="A353" s="10">
        <f>SUBTOTAL(103,$B$4:B353)</f>
        <v>350</v>
      </c>
      <c r="B353" s="111">
        <v>45564</v>
      </c>
      <c r="C353" s="114" t="s">
        <v>261</v>
      </c>
      <c r="D353" s="3" t="str">
        <f>VLOOKUP(C353,'Location Summary'!$C$4:$D$602,2,0)</f>
        <v>DB2+0</v>
      </c>
      <c r="E353" s="267" t="s">
        <v>403</v>
      </c>
      <c r="F353" s="268" t="s">
        <v>683</v>
      </c>
      <c r="J353" s="158">
        <v>1</v>
      </c>
      <c r="O353" s="156">
        <v>1</v>
      </c>
      <c r="R353" s="156">
        <v>1</v>
      </c>
      <c r="X353" s="35">
        <f t="shared" si="59"/>
        <v>45564</v>
      </c>
      <c r="Y353" s="35">
        <f t="shared" si="60"/>
        <v>45592</v>
      </c>
    </row>
    <row r="354" spans="1:25" ht="20.149999999999999" customHeight="1">
      <c r="A354" s="10">
        <f>SUBTOTAL(103,$B$4:B354)</f>
        <v>351</v>
      </c>
      <c r="B354" s="111">
        <v>45564</v>
      </c>
      <c r="C354" s="114" t="s">
        <v>582</v>
      </c>
      <c r="D354" s="3" t="str">
        <f>VLOOKUP(C354,'Location Summary'!$C$4:$D$602,2,0)</f>
        <v>DA+0</v>
      </c>
      <c r="E354" s="267" t="s">
        <v>403</v>
      </c>
      <c r="F354" s="268" t="s">
        <v>683</v>
      </c>
      <c r="G354" s="158">
        <v>1</v>
      </c>
      <c r="J354" s="158">
        <v>1</v>
      </c>
      <c r="M354" s="158">
        <v>1</v>
      </c>
      <c r="P354" s="158">
        <v>1</v>
      </c>
      <c r="X354" s="35">
        <f t="shared" si="59"/>
        <v>45564</v>
      </c>
      <c r="Y354" s="35">
        <f t="shared" si="60"/>
        <v>45592</v>
      </c>
    </row>
    <row r="355" spans="1:25" ht="20.149999999999999" customHeight="1">
      <c r="A355" s="10">
        <f>SUBTOTAL(103,$B$4:B355)</f>
        <v>352</v>
      </c>
      <c r="B355" s="111">
        <v>45564</v>
      </c>
      <c r="C355" s="114" t="s">
        <v>603</v>
      </c>
      <c r="D355" s="3" t="str">
        <f>VLOOKUP(C355,'Location Summary'!$C$4:$D$602,2,0)</f>
        <v>DA-1.5</v>
      </c>
      <c r="E355" s="267" t="s">
        <v>403</v>
      </c>
      <c r="F355" s="268" t="s">
        <v>683</v>
      </c>
      <c r="H355" s="157">
        <v>1</v>
      </c>
      <c r="I355" s="156">
        <v>1</v>
      </c>
      <c r="J355" s="158">
        <v>1</v>
      </c>
      <c r="K355" s="157">
        <v>1</v>
      </c>
      <c r="M355" s="158">
        <v>1</v>
      </c>
      <c r="N355" s="157">
        <v>1</v>
      </c>
      <c r="Q355" s="157">
        <v>1</v>
      </c>
      <c r="R355" s="156">
        <v>1</v>
      </c>
      <c r="X355" s="35">
        <f t="shared" si="59"/>
        <v>45564</v>
      </c>
      <c r="Y355" s="35">
        <f t="shared" si="60"/>
        <v>45592</v>
      </c>
    </row>
    <row r="356" spans="1:25" ht="20.149999999999999" customHeight="1">
      <c r="A356" s="10">
        <f>SUBTOTAL(103,$B$4:B356)</f>
        <v>353</v>
      </c>
      <c r="B356" s="111">
        <v>45564</v>
      </c>
      <c r="C356" s="114" t="s">
        <v>474</v>
      </c>
      <c r="D356" s="3" t="str">
        <f>VLOOKUP(C356,'Location Summary'!$C$4:$D$602,2,0)</f>
        <v>DA+1.5</v>
      </c>
      <c r="E356" s="267" t="s">
        <v>403</v>
      </c>
      <c r="F356" s="268" t="s">
        <v>683</v>
      </c>
      <c r="I356" s="156">
        <v>1</v>
      </c>
      <c r="R356" s="156">
        <v>1</v>
      </c>
      <c r="X356" s="35">
        <f t="shared" si="59"/>
        <v>45564</v>
      </c>
      <c r="Y356" s="35">
        <f t="shared" si="60"/>
        <v>45592</v>
      </c>
    </row>
    <row r="357" spans="1:25" ht="20.149999999999999" customHeight="1">
      <c r="A357" s="10">
        <f>SUBTOTAL(103,$B$4:B357)</f>
        <v>354</v>
      </c>
      <c r="B357" s="111">
        <v>45564</v>
      </c>
      <c r="C357" s="114" t="s">
        <v>890</v>
      </c>
      <c r="D357" s="3" t="str">
        <f>VLOOKUP(C357,'Location Summary'!$C$4:$D$602,2,0)</f>
        <v>DB1+3</v>
      </c>
      <c r="E357" s="267" t="s">
        <v>403</v>
      </c>
      <c r="F357" s="268" t="s">
        <v>683</v>
      </c>
      <c r="M357" s="158">
        <v>1</v>
      </c>
      <c r="X357" s="35">
        <f t="shared" si="59"/>
        <v>45564</v>
      </c>
      <c r="Y357" s="35">
        <f t="shared" si="60"/>
        <v>45592</v>
      </c>
    </row>
    <row r="358" spans="1:25" ht="20.149999999999999" customHeight="1">
      <c r="A358" s="10">
        <f>SUBTOTAL(103,$B$4:B358)</f>
        <v>355</v>
      </c>
      <c r="B358" s="111">
        <v>45564</v>
      </c>
      <c r="C358" s="114" t="s">
        <v>473</v>
      </c>
      <c r="D358" s="3" t="str">
        <f>VLOOKUP(C358,'Location Summary'!$C$4:$D$602,2,0)</f>
        <v>DA+6</v>
      </c>
      <c r="E358" s="267" t="s">
        <v>403</v>
      </c>
      <c r="F358" s="268" t="s">
        <v>683</v>
      </c>
      <c r="M358" s="158">
        <v>1</v>
      </c>
      <c r="P358" s="158">
        <v>1</v>
      </c>
      <c r="X358" s="35">
        <f t="shared" si="59"/>
        <v>45564</v>
      </c>
      <c r="Y358" s="35">
        <f t="shared" si="60"/>
        <v>45592</v>
      </c>
    </row>
    <row r="359" spans="1:25" ht="20.149999999999999" customHeight="1">
      <c r="A359" s="10">
        <f>SUBTOTAL(103,$B$4:B359)</f>
        <v>356</v>
      </c>
      <c r="B359" s="111">
        <v>45565</v>
      </c>
      <c r="C359" s="114" t="s">
        <v>261</v>
      </c>
      <c r="D359" s="3" t="str">
        <f>VLOOKUP(C359,'Location Summary'!$C$4:$D$602,2,0)</f>
        <v>DB2+0</v>
      </c>
      <c r="E359" s="267" t="s">
        <v>403</v>
      </c>
      <c r="F359" s="268" t="s">
        <v>683</v>
      </c>
      <c r="G359" s="158">
        <v>1</v>
      </c>
      <c r="X359" s="35">
        <f t="shared" si="59"/>
        <v>45565</v>
      </c>
      <c r="Y359" s="35">
        <f t="shared" si="60"/>
        <v>45593</v>
      </c>
    </row>
    <row r="360" spans="1:25" ht="20.149999999999999" customHeight="1">
      <c r="A360" s="10">
        <f>SUBTOTAL(103,$B$4:B360)</f>
        <v>357</v>
      </c>
      <c r="B360" s="111">
        <v>45565</v>
      </c>
      <c r="C360" s="114" t="s">
        <v>582</v>
      </c>
      <c r="D360" s="3" t="str">
        <f>VLOOKUP(C360,'Location Summary'!$C$4:$D$602,2,0)</f>
        <v>DA+0</v>
      </c>
      <c r="E360" s="267" t="s">
        <v>403</v>
      </c>
      <c r="F360" s="268" t="s">
        <v>683</v>
      </c>
      <c r="H360" s="157">
        <v>1</v>
      </c>
      <c r="I360" s="156">
        <v>1</v>
      </c>
      <c r="K360" s="157">
        <v>1</v>
      </c>
      <c r="L360" s="156">
        <v>1</v>
      </c>
      <c r="N360" s="157">
        <v>1</v>
      </c>
      <c r="O360" s="156">
        <v>1</v>
      </c>
      <c r="Q360" s="157">
        <v>1</v>
      </c>
      <c r="R360" s="156">
        <v>1</v>
      </c>
      <c r="X360" s="35">
        <f t="shared" si="59"/>
        <v>45565</v>
      </c>
      <c r="Y360" s="35">
        <f t="shared" si="60"/>
        <v>45593</v>
      </c>
    </row>
    <row r="361" spans="1:25" ht="20.149999999999999" customHeight="1">
      <c r="A361" s="10">
        <f>SUBTOTAL(103,$B$4:B361)</f>
        <v>358</v>
      </c>
      <c r="B361" s="111">
        <v>45565</v>
      </c>
      <c r="C361" s="114" t="s">
        <v>603</v>
      </c>
      <c r="D361" s="3" t="str">
        <f>VLOOKUP(C361,'Location Summary'!$C$4:$D$602,2,0)</f>
        <v>DA-1.5</v>
      </c>
      <c r="E361" s="267" t="s">
        <v>403</v>
      </c>
      <c r="F361" s="268" t="s">
        <v>683</v>
      </c>
      <c r="L361" s="156">
        <v>1</v>
      </c>
      <c r="O361" s="156">
        <v>1</v>
      </c>
      <c r="X361" s="35">
        <f t="shared" si="59"/>
        <v>45565</v>
      </c>
      <c r="Y361" s="35">
        <f t="shared" si="60"/>
        <v>45593</v>
      </c>
    </row>
    <row r="362" spans="1:25" ht="20.149999999999999" customHeight="1">
      <c r="A362" s="10">
        <f>SUBTOTAL(103,$B$4:B362)</f>
        <v>359</v>
      </c>
      <c r="B362" s="111">
        <v>45565</v>
      </c>
      <c r="C362" s="114" t="s">
        <v>473</v>
      </c>
      <c r="D362" s="3" t="str">
        <f>VLOOKUP(C362,'Location Summary'!$C$4:$D$602,2,0)</f>
        <v>DA+6</v>
      </c>
      <c r="E362" s="267" t="s">
        <v>403</v>
      </c>
      <c r="F362" s="268" t="s">
        <v>683</v>
      </c>
      <c r="G362" s="158">
        <v>1</v>
      </c>
      <c r="J362" s="158">
        <v>1</v>
      </c>
      <c r="N362" s="157">
        <v>1</v>
      </c>
      <c r="O362" s="156">
        <v>1</v>
      </c>
      <c r="Q362" s="157">
        <v>1</v>
      </c>
      <c r="R362" s="156">
        <v>1</v>
      </c>
      <c r="X362" s="35">
        <f t="shared" si="59"/>
        <v>45565</v>
      </c>
      <c r="Y362" s="35">
        <f t="shared" si="60"/>
        <v>45593</v>
      </c>
    </row>
    <row r="363" spans="1:25" ht="20.149999999999999" customHeight="1">
      <c r="A363" s="10">
        <f>SUBTOTAL(103,$B$4:B363)</f>
        <v>360</v>
      </c>
      <c r="B363" s="111">
        <v>45565</v>
      </c>
      <c r="C363" s="114" t="s">
        <v>592</v>
      </c>
      <c r="D363" s="3" t="str">
        <f>VLOOKUP(C363,'Location Summary'!$C$4:$D$602,2,0)</f>
        <v>DA+9</v>
      </c>
      <c r="E363" s="267" t="s">
        <v>403</v>
      </c>
      <c r="F363" s="268" t="s">
        <v>683</v>
      </c>
      <c r="J363" s="158">
        <v>1</v>
      </c>
      <c r="M363" s="158">
        <v>1</v>
      </c>
      <c r="N363" s="157">
        <v>1</v>
      </c>
      <c r="X363" s="35">
        <f t="shared" si="59"/>
        <v>45565</v>
      </c>
      <c r="Y363" s="35">
        <f t="shared" si="60"/>
        <v>45593</v>
      </c>
    </row>
    <row r="364" spans="1:25" ht="20.149999999999999" customHeight="1">
      <c r="A364" s="10">
        <f>SUBTOTAL(103,$B$4:B364)</f>
        <v>361</v>
      </c>
      <c r="B364" s="111">
        <v>45565</v>
      </c>
      <c r="C364" s="114" t="s">
        <v>890</v>
      </c>
      <c r="D364" s="3" t="str">
        <f>VLOOKUP(C364,'Location Summary'!$C$4:$D$602,2,0)</f>
        <v>DB1+3</v>
      </c>
      <c r="E364" s="267" t="s">
        <v>403</v>
      </c>
      <c r="F364" s="268" t="s">
        <v>683</v>
      </c>
      <c r="J364" s="158">
        <v>1</v>
      </c>
      <c r="N364" s="157">
        <v>1</v>
      </c>
      <c r="O364" s="156">
        <v>1</v>
      </c>
      <c r="P364" s="158">
        <v>1</v>
      </c>
      <c r="Q364" s="157">
        <v>1</v>
      </c>
      <c r="R364" s="156">
        <v>1</v>
      </c>
      <c r="X364" s="35">
        <f t="shared" si="59"/>
        <v>45565</v>
      </c>
      <c r="Y364" s="35">
        <f t="shared" si="60"/>
        <v>45593</v>
      </c>
    </row>
    <row r="365" spans="1:25" ht="20.149999999999999" customHeight="1">
      <c r="A365" s="10">
        <f>SUBTOTAL(103,$B$4:B365)</f>
        <v>362</v>
      </c>
      <c r="B365" s="111">
        <v>45536</v>
      </c>
      <c r="C365" s="114" t="s">
        <v>261</v>
      </c>
      <c r="D365" s="3" t="str">
        <f>VLOOKUP(C365,'Location Summary'!$C$4:$D$602,2,0)</f>
        <v>DB2+0</v>
      </c>
      <c r="E365" s="267" t="s">
        <v>403</v>
      </c>
      <c r="F365" s="268" t="s">
        <v>683</v>
      </c>
      <c r="H365" s="157">
        <v>1</v>
      </c>
      <c r="I365" s="156">
        <v>1</v>
      </c>
      <c r="K365" s="157">
        <v>1</v>
      </c>
      <c r="L365" s="156">
        <v>1</v>
      </c>
      <c r="X365" s="35">
        <f t="shared" si="59"/>
        <v>45536</v>
      </c>
      <c r="Y365" s="35">
        <f t="shared" si="60"/>
        <v>45564</v>
      </c>
    </row>
    <row r="366" spans="1:25" ht="20.149999999999999" customHeight="1">
      <c r="A366" s="10">
        <f>SUBTOTAL(103,$B$4:B366)</f>
        <v>363</v>
      </c>
      <c r="B366" s="111">
        <v>45536</v>
      </c>
      <c r="C366" s="114" t="s">
        <v>473</v>
      </c>
      <c r="D366" s="3" t="str">
        <f>VLOOKUP(C366,'Location Summary'!$C$4:$D$602,2,0)</f>
        <v>DA+6</v>
      </c>
      <c r="E366" s="267" t="s">
        <v>403</v>
      </c>
      <c r="F366" s="268" t="s">
        <v>683</v>
      </c>
      <c r="H366" s="157">
        <v>1</v>
      </c>
      <c r="I366" s="156">
        <v>1</v>
      </c>
      <c r="K366" s="157">
        <v>1</v>
      </c>
      <c r="L366" s="156">
        <v>1</v>
      </c>
      <c r="X366" s="35">
        <f>B366</f>
        <v>45536</v>
      </c>
      <c r="Y366" s="35">
        <f>B366+28</f>
        <v>45564</v>
      </c>
    </row>
    <row r="367" spans="1:25" ht="20.149999999999999" customHeight="1">
      <c r="A367" s="10">
        <f>SUBTOTAL(103,$B$4:B367)</f>
        <v>364</v>
      </c>
      <c r="B367" s="111">
        <v>45536</v>
      </c>
      <c r="C367" s="114" t="s">
        <v>592</v>
      </c>
      <c r="D367" s="3" t="str">
        <f>VLOOKUP(C367,'Location Summary'!$C$4:$D$602,2,0)</f>
        <v>DA+9</v>
      </c>
      <c r="E367" s="267" t="s">
        <v>403</v>
      </c>
      <c r="F367" s="268" t="s">
        <v>683</v>
      </c>
      <c r="K367" s="157">
        <v>1</v>
      </c>
      <c r="L367" s="156">
        <v>1</v>
      </c>
      <c r="O367" s="156">
        <v>1</v>
      </c>
      <c r="P367" s="158">
        <v>1</v>
      </c>
      <c r="X367" s="35">
        <f>B367</f>
        <v>45536</v>
      </c>
      <c r="Y367" s="35">
        <f>B367+28</f>
        <v>45564</v>
      </c>
    </row>
    <row r="368" spans="1:25" ht="20.149999999999999" customHeight="1">
      <c r="A368" s="10">
        <f>SUBTOTAL(103,$B$4:B368)</f>
        <v>365</v>
      </c>
      <c r="B368" s="111">
        <v>45536</v>
      </c>
      <c r="C368" s="114" t="s">
        <v>890</v>
      </c>
      <c r="D368" s="3" t="str">
        <f>VLOOKUP(C368,'Location Summary'!$C$4:$D$602,2,0)</f>
        <v>DB1+3</v>
      </c>
      <c r="E368" s="267" t="s">
        <v>403</v>
      </c>
      <c r="F368" s="268" t="s">
        <v>683</v>
      </c>
      <c r="G368" s="158">
        <v>1</v>
      </c>
      <c r="H368" s="157">
        <v>1</v>
      </c>
      <c r="I368" s="156">
        <v>1</v>
      </c>
      <c r="K368" s="157">
        <v>1</v>
      </c>
      <c r="L368" s="156">
        <v>1</v>
      </c>
      <c r="X368" s="35">
        <f t="shared" ref="X368:X382" si="61">B368</f>
        <v>45536</v>
      </c>
      <c r="Y368" s="35">
        <f t="shared" ref="Y368:Y382" si="62">B368+28</f>
        <v>45564</v>
      </c>
    </row>
    <row r="369" spans="1:25" ht="20.149999999999999" customHeight="1">
      <c r="A369" s="10">
        <f>SUBTOTAL(103,$B$4:B369)</f>
        <v>366</v>
      </c>
      <c r="B369" s="111">
        <v>45538</v>
      </c>
      <c r="C369" s="114" t="s">
        <v>153</v>
      </c>
      <c r="D369" s="3" t="str">
        <f>VLOOKUP(C369,'Location Summary'!$C$4:$D$602,2,0)</f>
        <v>DA+1.5</v>
      </c>
      <c r="E369" s="267" t="s">
        <v>403</v>
      </c>
      <c r="F369" s="268" t="s">
        <v>311</v>
      </c>
      <c r="M369" s="158">
        <v>1</v>
      </c>
      <c r="P369" s="158">
        <v>1</v>
      </c>
      <c r="X369" s="35">
        <f t="shared" si="61"/>
        <v>45538</v>
      </c>
      <c r="Y369" s="35">
        <f t="shared" si="62"/>
        <v>45566</v>
      </c>
    </row>
    <row r="370" spans="1:25" ht="20.149999999999999" customHeight="1">
      <c r="A370" s="10">
        <f>SUBTOTAL(103,$B$4:B370)</f>
        <v>367</v>
      </c>
      <c r="B370" s="111">
        <v>45538</v>
      </c>
      <c r="C370" s="114" t="s">
        <v>581</v>
      </c>
      <c r="D370" s="3" t="str">
        <f>VLOOKUP(C370,'Location Summary'!$C$4:$D$602,2,0)</f>
        <v>DA+0</v>
      </c>
      <c r="E370" s="267" t="s">
        <v>403</v>
      </c>
      <c r="F370" s="268" t="s">
        <v>683</v>
      </c>
      <c r="G370" s="158">
        <v>1</v>
      </c>
      <c r="H370" s="157">
        <v>1</v>
      </c>
      <c r="J370" s="158">
        <v>1</v>
      </c>
      <c r="M370" s="158">
        <v>1</v>
      </c>
      <c r="N370" s="157">
        <v>1</v>
      </c>
      <c r="P370" s="158">
        <v>1</v>
      </c>
      <c r="X370" s="35">
        <f t="shared" si="61"/>
        <v>45538</v>
      </c>
      <c r="Y370" s="35">
        <f t="shared" si="62"/>
        <v>45566</v>
      </c>
    </row>
    <row r="371" spans="1:25" ht="20.149999999999999" customHeight="1">
      <c r="A371" s="10">
        <f>SUBTOTAL(103,$B$4:B371)</f>
        <v>368</v>
      </c>
      <c r="B371" s="111">
        <v>45538</v>
      </c>
      <c r="C371" s="114" t="s">
        <v>1069</v>
      </c>
      <c r="D371" s="3" t="str">
        <f>VLOOKUP(C371,'Location Summary'!$C$4:$D$602,2,0)</f>
        <v>DB1+9</v>
      </c>
      <c r="E371" s="267" t="s">
        <v>403</v>
      </c>
      <c r="F371" s="268" t="s">
        <v>683</v>
      </c>
      <c r="G371" s="158">
        <v>1</v>
      </c>
      <c r="J371" s="158">
        <v>1</v>
      </c>
      <c r="P371" s="158">
        <v>1</v>
      </c>
      <c r="X371" s="35">
        <f t="shared" si="61"/>
        <v>45538</v>
      </c>
      <c r="Y371" s="35">
        <f t="shared" si="62"/>
        <v>45566</v>
      </c>
    </row>
    <row r="372" spans="1:25" ht="20.149999999999999" customHeight="1">
      <c r="A372" s="10">
        <f>SUBTOTAL(103,$B$4:B372)</f>
        <v>369</v>
      </c>
      <c r="B372" s="111">
        <v>45538</v>
      </c>
      <c r="C372" s="114" t="s">
        <v>592</v>
      </c>
      <c r="D372" s="3" t="str">
        <f>VLOOKUP(C372,'Location Summary'!$C$4:$D$602,2,0)</f>
        <v>DA+9</v>
      </c>
      <c r="E372" s="267" t="s">
        <v>403</v>
      </c>
      <c r="F372" s="268" t="s">
        <v>683</v>
      </c>
      <c r="G372" s="158">
        <v>1</v>
      </c>
      <c r="H372" s="157">
        <v>1</v>
      </c>
      <c r="I372" s="156">
        <v>1</v>
      </c>
      <c r="Q372" s="157">
        <v>1</v>
      </c>
      <c r="R372" s="156">
        <v>1</v>
      </c>
      <c r="X372" s="35">
        <f t="shared" si="61"/>
        <v>45538</v>
      </c>
      <c r="Y372" s="35">
        <f t="shared" si="62"/>
        <v>45566</v>
      </c>
    </row>
    <row r="373" spans="1:25" ht="20.149999999999999" customHeight="1">
      <c r="A373" s="10">
        <f>SUBTOTAL(103,$B$4:B373)</f>
        <v>370</v>
      </c>
      <c r="B373" s="111">
        <v>45539</v>
      </c>
      <c r="C373" s="114" t="s">
        <v>153</v>
      </c>
      <c r="D373" s="3" t="str">
        <f>VLOOKUP(C373,'Location Summary'!$C$4:$D$602,2,0)</f>
        <v>DA+1.5</v>
      </c>
      <c r="E373" s="267" t="s">
        <v>403</v>
      </c>
      <c r="F373" s="268" t="s">
        <v>683</v>
      </c>
      <c r="N373" s="157">
        <v>1</v>
      </c>
      <c r="Q373" s="157">
        <v>1</v>
      </c>
      <c r="X373" s="35">
        <f t="shared" si="61"/>
        <v>45539</v>
      </c>
      <c r="Y373" s="35">
        <f t="shared" si="62"/>
        <v>45567</v>
      </c>
    </row>
    <row r="374" spans="1:25" ht="20.149999999999999" customHeight="1">
      <c r="A374" s="10">
        <f>SUBTOTAL(103,$B$4:B374)</f>
        <v>371</v>
      </c>
      <c r="B374" s="111">
        <v>45539</v>
      </c>
      <c r="C374" s="114" t="s">
        <v>581</v>
      </c>
      <c r="D374" s="3" t="str">
        <f>VLOOKUP(C374,'Location Summary'!$C$4:$D$602,2,0)</f>
        <v>DA+0</v>
      </c>
      <c r="E374" s="267" t="s">
        <v>403</v>
      </c>
      <c r="F374" s="268" t="s">
        <v>683</v>
      </c>
      <c r="I374" s="156">
        <v>1</v>
      </c>
      <c r="K374" s="157">
        <v>1</v>
      </c>
      <c r="L374" s="156">
        <v>1</v>
      </c>
      <c r="O374" s="156">
        <v>1</v>
      </c>
      <c r="Q374" s="157">
        <v>1</v>
      </c>
      <c r="R374" s="156">
        <v>1</v>
      </c>
      <c r="X374" s="35">
        <f t="shared" si="61"/>
        <v>45539</v>
      </c>
      <c r="Y374" s="35">
        <f t="shared" si="62"/>
        <v>45567</v>
      </c>
    </row>
    <row r="375" spans="1:25" ht="20.149999999999999" customHeight="1">
      <c r="A375" s="10">
        <f>SUBTOTAL(103,$B$4:B375)</f>
        <v>372</v>
      </c>
      <c r="B375" s="111">
        <v>45539</v>
      </c>
      <c r="C375" s="114" t="s">
        <v>1069</v>
      </c>
      <c r="D375" s="3" t="str">
        <f>VLOOKUP(C375,'Location Summary'!$C$4:$D$602,2,0)</f>
        <v>DB1+9</v>
      </c>
      <c r="E375" s="267" t="s">
        <v>403</v>
      </c>
      <c r="F375" s="268" t="s">
        <v>683</v>
      </c>
      <c r="H375" s="157">
        <v>1</v>
      </c>
      <c r="I375" s="156">
        <v>1</v>
      </c>
      <c r="M375" s="158">
        <v>1</v>
      </c>
      <c r="Q375" s="157">
        <v>1</v>
      </c>
      <c r="R375" s="156">
        <v>1</v>
      </c>
      <c r="X375" s="35">
        <f t="shared" si="61"/>
        <v>45539</v>
      </c>
      <c r="Y375" s="35">
        <f t="shared" si="62"/>
        <v>45567</v>
      </c>
    </row>
    <row r="376" spans="1:25" ht="20.149999999999999" customHeight="1">
      <c r="A376" s="10">
        <f>SUBTOTAL(103,$B$4:B376)</f>
        <v>373</v>
      </c>
      <c r="B376" s="111">
        <v>45539</v>
      </c>
      <c r="C376" s="114" t="s">
        <v>533</v>
      </c>
      <c r="D376" s="3" t="s">
        <v>3</v>
      </c>
      <c r="E376" s="267" t="s">
        <v>403</v>
      </c>
      <c r="F376" s="268" t="s">
        <v>683</v>
      </c>
      <c r="M376" s="158">
        <v>1</v>
      </c>
      <c r="N376" s="157">
        <v>1</v>
      </c>
      <c r="P376" s="158">
        <v>1</v>
      </c>
      <c r="Q376" s="157">
        <v>1</v>
      </c>
      <c r="X376" s="35">
        <f t="shared" si="61"/>
        <v>45539</v>
      </c>
      <c r="Y376" s="35">
        <f t="shared" si="62"/>
        <v>45567</v>
      </c>
    </row>
    <row r="377" spans="1:25" ht="20.149999999999999" customHeight="1">
      <c r="A377" s="10">
        <f>SUBTOTAL(103,$B$4:B377)</f>
        <v>374</v>
      </c>
      <c r="B377" s="111">
        <v>45540</v>
      </c>
      <c r="C377" s="114" t="s">
        <v>153</v>
      </c>
      <c r="D377" s="3" t="str">
        <f>VLOOKUP(C377,'Location Summary'!$C$4:$D$602,2,0)</f>
        <v>DA+1.5</v>
      </c>
      <c r="E377" s="267" t="s">
        <v>403</v>
      </c>
      <c r="F377" s="268" t="s">
        <v>683</v>
      </c>
      <c r="G377" s="158">
        <v>1</v>
      </c>
      <c r="O377" s="156">
        <v>1</v>
      </c>
      <c r="R377" s="156">
        <v>1</v>
      </c>
      <c r="X377" s="35">
        <f t="shared" si="61"/>
        <v>45540</v>
      </c>
      <c r="Y377" s="35">
        <f t="shared" si="62"/>
        <v>45568</v>
      </c>
    </row>
    <row r="378" spans="1:25" ht="20.149999999999999" customHeight="1">
      <c r="A378" s="10">
        <f>SUBTOTAL(103,$B$4:B378)</f>
        <v>375</v>
      </c>
      <c r="B378" s="111">
        <v>45540</v>
      </c>
      <c r="C378" s="114" t="s">
        <v>1069</v>
      </c>
      <c r="D378" s="3" t="str">
        <f>VLOOKUP(C378,'Location Summary'!$C$4:$D$602,2,0)</f>
        <v>DB1+9</v>
      </c>
      <c r="E378" s="267" t="s">
        <v>403</v>
      </c>
      <c r="F378" s="268" t="s">
        <v>683</v>
      </c>
      <c r="K378" s="157">
        <v>1</v>
      </c>
      <c r="L378" s="156">
        <v>1</v>
      </c>
      <c r="N378" s="157">
        <v>1</v>
      </c>
      <c r="O378" s="156">
        <v>1</v>
      </c>
      <c r="X378" s="35">
        <f t="shared" si="61"/>
        <v>45540</v>
      </c>
      <c r="Y378" s="35">
        <f t="shared" si="62"/>
        <v>45568</v>
      </c>
    </row>
    <row r="379" spans="1:25" ht="20.149999999999999" customHeight="1">
      <c r="A379" s="10">
        <f>SUBTOTAL(103,$B$4:B379)</f>
        <v>376</v>
      </c>
      <c r="B379" s="111">
        <v>45540</v>
      </c>
      <c r="C379" s="114" t="s">
        <v>465</v>
      </c>
      <c r="D379" s="3" t="str">
        <f>VLOOKUP(C379,'Location Summary'!$C$4:$D$602,2,0)</f>
        <v>DA+6</v>
      </c>
      <c r="E379" s="267" t="s">
        <v>403</v>
      </c>
      <c r="F379" s="268" t="s">
        <v>683</v>
      </c>
      <c r="J379" s="158">
        <v>1</v>
      </c>
      <c r="M379" s="158">
        <v>1</v>
      </c>
      <c r="X379" s="35">
        <f t="shared" si="61"/>
        <v>45540</v>
      </c>
      <c r="Y379" s="35">
        <f t="shared" si="62"/>
        <v>45568</v>
      </c>
    </row>
    <row r="380" spans="1:25" ht="20.149999999999999" customHeight="1">
      <c r="A380" s="10">
        <f>SUBTOTAL(103,$B$4:B380)</f>
        <v>377</v>
      </c>
      <c r="B380" s="111">
        <v>45540</v>
      </c>
      <c r="C380" s="114" t="s">
        <v>593</v>
      </c>
      <c r="D380" s="3" t="str">
        <f>VLOOKUP(C380,'Location Summary'!$C$4:$D$602,2,0)</f>
        <v>DA+6</v>
      </c>
      <c r="E380" s="267" t="s">
        <v>403</v>
      </c>
      <c r="F380" s="268" t="s">
        <v>683</v>
      </c>
      <c r="M380" s="158">
        <v>1</v>
      </c>
      <c r="P380" s="158">
        <v>1</v>
      </c>
      <c r="X380" s="35">
        <f t="shared" si="61"/>
        <v>45540</v>
      </c>
      <c r="Y380" s="35">
        <f t="shared" si="62"/>
        <v>45568</v>
      </c>
    </row>
    <row r="381" spans="1:25" ht="20.149999999999999" customHeight="1">
      <c r="A381" s="10">
        <f>SUBTOTAL(103,$B$4:B381)</f>
        <v>378</v>
      </c>
      <c r="B381" s="111">
        <v>45540</v>
      </c>
      <c r="C381" s="114" t="s">
        <v>533</v>
      </c>
      <c r="D381" s="3" t="s">
        <v>3</v>
      </c>
      <c r="E381" s="267" t="s">
        <v>403</v>
      </c>
      <c r="F381" s="268" t="s">
        <v>683</v>
      </c>
      <c r="G381" s="158">
        <v>1</v>
      </c>
      <c r="H381" s="157">
        <v>1</v>
      </c>
      <c r="I381" s="156">
        <v>1</v>
      </c>
      <c r="J381" s="158">
        <v>1</v>
      </c>
      <c r="K381" s="157">
        <v>1</v>
      </c>
      <c r="L381" s="156">
        <v>1</v>
      </c>
      <c r="O381" s="156">
        <v>1</v>
      </c>
      <c r="R381" s="156">
        <v>1</v>
      </c>
      <c r="X381" s="35">
        <f t="shared" si="61"/>
        <v>45540</v>
      </c>
      <c r="Y381" s="35">
        <f t="shared" si="62"/>
        <v>45568</v>
      </c>
    </row>
    <row r="382" spans="1:25" ht="20.149999999999999" customHeight="1">
      <c r="A382" s="10">
        <f>SUBTOTAL(103,$B$4:B382)</f>
        <v>379</v>
      </c>
      <c r="B382" s="111">
        <v>45541</v>
      </c>
      <c r="C382" s="114" t="s">
        <v>478</v>
      </c>
      <c r="D382" s="3" t="str">
        <f>VLOOKUP(C382,'Location Summary'!$C$4:$D$602,2,0)</f>
        <v>DA+9</v>
      </c>
      <c r="E382" s="267" t="s">
        <v>403</v>
      </c>
      <c r="F382" s="268" t="s">
        <v>683</v>
      </c>
      <c r="G382" s="158">
        <v>1</v>
      </c>
      <c r="J382" s="158">
        <v>1</v>
      </c>
      <c r="M382" s="158">
        <v>1</v>
      </c>
      <c r="X382" s="35">
        <f t="shared" si="61"/>
        <v>45541</v>
      </c>
      <c r="Y382" s="35">
        <f t="shared" si="62"/>
        <v>45569</v>
      </c>
    </row>
    <row r="383" spans="1:25" ht="20.149999999999999" customHeight="1">
      <c r="A383" s="10">
        <f>SUBTOTAL(103,$B$4:B383)</f>
        <v>380</v>
      </c>
      <c r="B383" s="111">
        <v>45541</v>
      </c>
      <c r="C383" s="114" t="s">
        <v>153</v>
      </c>
      <c r="D383" s="3" t="str">
        <f>VLOOKUP(C383,'Location Summary'!$C$4:$D$602,2,0)</f>
        <v>DA+1.5</v>
      </c>
      <c r="E383" s="267" t="s">
        <v>403</v>
      </c>
      <c r="F383" s="268" t="s">
        <v>683</v>
      </c>
      <c r="J383" s="158">
        <v>1</v>
      </c>
      <c r="X383" s="35">
        <f t="shared" ref="X383:X414" si="63">B383</f>
        <v>45541</v>
      </c>
      <c r="Y383" s="35">
        <f t="shared" ref="Y383:Y414" si="64">B383+28</f>
        <v>45569</v>
      </c>
    </row>
    <row r="384" spans="1:25" ht="20.149999999999999" customHeight="1">
      <c r="A384" s="10">
        <f>SUBTOTAL(103,$B$4:B384)</f>
        <v>381</v>
      </c>
      <c r="B384" s="111">
        <v>45541</v>
      </c>
      <c r="C384" s="114" t="s">
        <v>583</v>
      </c>
      <c r="D384" s="3" t="str">
        <f>VLOOKUP(C384,'Location Summary'!$C$4:$D$602,2,0)</f>
        <v>DA+1.5</v>
      </c>
      <c r="E384" s="267" t="s">
        <v>403</v>
      </c>
      <c r="F384" s="268" t="s">
        <v>683</v>
      </c>
      <c r="G384" s="158">
        <v>1</v>
      </c>
      <c r="J384" s="158">
        <v>1</v>
      </c>
      <c r="M384" s="158">
        <v>1</v>
      </c>
      <c r="P384" s="158">
        <v>1</v>
      </c>
      <c r="X384" s="35">
        <f t="shared" si="63"/>
        <v>45541</v>
      </c>
      <c r="Y384" s="35">
        <f t="shared" si="64"/>
        <v>45569</v>
      </c>
    </row>
    <row r="385" spans="1:25" ht="20.149999999999999" customHeight="1">
      <c r="A385" s="10">
        <f>SUBTOTAL(103,$B$4:B385)</f>
        <v>382</v>
      </c>
      <c r="B385" s="111">
        <v>45541</v>
      </c>
      <c r="C385" s="114" t="s">
        <v>465</v>
      </c>
      <c r="D385" s="3" t="str">
        <f>VLOOKUP(C385,'Location Summary'!$C$4:$D$602,2,0)</f>
        <v>DA+6</v>
      </c>
      <c r="E385" s="267" t="s">
        <v>403</v>
      </c>
      <c r="F385" s="268" t="s">
        <v>683</v>
      </c>
      <c r="G385" s="158">
        <v>1</v>
      </c>
      <c r="K385" s="157">
        <v>1</v>
      </c>
      <c r="L385" s="156">
        <v>1</v>
      </c>
      <c r="N385" s="157">
        <v>1</v>
      </c>
      <c r="O385" s="156">
        <v>1</v>
      </c>
      <c r="P385" s="158">
        <v>1</v>
      </c>
      <c r="X385" s="35">
        <f t="shared" si="63"/>
        <v>45541</v>
      </c>
      <c r="Y385" s="35">
        <f t="shared" si="64"/>
        <v>45569</v>
      </c>
    </row>
    <row r="386" spans="1:25" ht="20.149999999999999" customHeight="1">
      <c r="A386" s="10">
        <f>SUBTOTAL(103,$B$4:B386)</f>
        <v>383</v>
      </c>
      <c r="B386" s="111">
        <v>45541</v>
      </c>
      <c r="C386" s="114" t="s">
        <v>593</v>
      </c>
      <c r="D386" s="3" t="str">
        <f>VLOOKUP(C386,'Location Summary'!$C$4:$D$602,2,0)</f>
        <v>DA+6</v>
      </c>
      <c r="E386" s="267" t="s">
        <v>403</v>
      </c>
      <c r="F386" s="268" t="s">
        <v>683</v>
      </c>
      <c r="N386" s="157">
        <v>1</v>
      </c>
      <c r="O386" s="156">
        <v>1</v>
      </c>
      <c r="Q386" s="157">
        <v>1</v>
      </c>
      <c r="R386" s="156">
        <v>1</v>
      </c>
      <c r="X386" s="35">
        <f t="shared" si="63"/>
        <v>45541</v>
      </c>
      <c r="Y386" s="35">
        <f t="shared" si="64"/>
        <v>45569</v>
      </c>
    </row>
    <row r="387" spans="1:25" ht="20.149999999999999" customHeight="1">
      <c r="A387" s="10">
        <f>SUBTOTAL(103,$B$4:B387)</f>
        <v>384</v>
      </c>
      <c r="B387" s="111">
        <v>45542</v>
      </c>
      <c r="C387" s="114" t="s">
        <v>478</v>
      </c>
      <c r="D387" s="3" t="str">
        <f>VLOOKUP(C387,'Location Summary'!$C$4:$D$602,2,0)</f>
        <v>DA+9</v>
      </c>
      <c r="E387" s="267" t="s">
        <v>403</v>
      </c>
      <c r="F387" s="268" t="s">
        <v>683</v>
      </c>
      <c r="H387" s="157">
        <v>1</v>
      </c>
      <c r="I387" s="156">
        <v>1</v>
      </c>
      <c r="K387" s="157">
        <v>1</v>
      </c>
      <c r="L387" s="156">
        <v>1</v>
      </c>
      <c r="N387" s="157">
        <v>1</v>
      </c>
      <c r="P387" s="158">
        <v>1</v>
      </c>
      <c r="Q387" s="157">
        <v>1</v>
      </c>
      <c r="X387" s="35">
        <f t="shared" si="63"/>
        <v>45542</v>
      </c>
      <c r="Y387" s="35">
        <f t="shared" si="64"/>
        <v>45570</v>
      </c>
    </row>
    <row r="388" spans="1:25" ht="20.149999999999999" customHeight="1">
      <c r="A388" s="10">
        <f>SUBTOTAL(103,$B$4:B388)</f>
        <v>385</v>
      </c>
      <c r="B388" s="111">
        <v>45542</v>
      </c>
      <c r="C388" s="114" t="s">
        <v>583</v>
      </c>
      <c r="D388" s="3" t="str">
        <f>VLOOKUP(C388,'Location Summary'!$C$4:$D$602,2,0)</f>
        <v>DA+1.5</v>
      </c>
      <c r="E388" s="267" t="s">
        <v>403</v>
      </c>
      <c r="F388" s="268" t="s">
        <v>683</v>
      </c>
      <c r="H388" s="157">
        <v>1</v>
      </c>
      <c r="I388" s="156">
        <v>1</v>
      </c>
      <c r="K388" s="157">
        <v>1</v>
      </c>
      <c r="L388" s="156">
        <v>1</v>
      </c>
      <c r="N388" s="157">
        <v>1</v>
      </c>
      <c r="O388" s="156">
        <v>1</v>
      </c>
      <c r="Q388" s="157">
        <v>1</v>
      </c>
      <c r="R388" s="156">
        <v>1</v>
      </c>
      <c r="X388" s="35">
        <f t="shared" si="63"/>
        <v>45542</v>
      </c>
      <c r="Y388" s="35">
        <f t="shared" si="64"/>
        <v>45570</v>
      </c>
    </row>
    <row r="389" spans="1:25" ht="20.149999999999999" customHeight="1">
      <c r="A389" s="10">
        <f>SUBTOTAL(103,$B$4:B389)</f>
        <v>386</v>
      </c>
      <c r="B389" s="111">
        <v>45542</v>
      </c>
      <c r="C389" s="114" t="s">
        <v>465</v>
      </c>
      <c r="D389" s="3" t="str">
        <f>VLOOKUP(C389,'Location Summary'!$C$4:$D$602,2,0)</f>
        <v>DA+6</v>
      </c>
      <c r="E389" s="267" t="s">
        <v>403</v>
      </c>
      <c r="F389" s="268" t="s">
        <v>683</v>
      </c>
      <c r="H389" s="157">
        <v>1</v>
      </c>
      <c r="I389" s="156">
        <v>1</v>
      </c>
      <c r="Q389" s="157">
        <v>1</v>
      </c>
      <c r="R389" s="156">
        <v>1</v>
      </c>
      <c r="X389" s="35">
        <f t="shared" si="63"/>
        <v>45542</v>
      </c>
      <c r="Y389" s="35">
        <f t="shared" si="64"/>
        <v>45570</v>
      </c>
    </row>
    <row r="390" spans="1:25" ht="20.149999999999999" customHeight="1">
      <c r="A390" s="10">
        <f>SUBTOTAL(103,$B$4:B390)</f>
        <v>387</v>
      </c>
      <c r="B390" s="111">
        <v>45542</v>
      </c>
      <c r="C390" s="114" t="s">
        <v>593</v>
      </c>
      <c r="D390" s="3" t="str">
        <f>VLOOKUP(C390,'Location Summary'!$C$4:$D$602,2,0)</f>
        <v>DA+6</v>
      </c>
      <c r="E390" s="267" t="s">
        <v>403</v>
      </c>
      <c r="F390" s="268" t="s">
        <v>683</v>
      </c>
      <c r="G390" s="158">
        <v>1</v>
      </c>
      <c r="X390" s="35">
        <f t="shared" si="63"/>
        <v>45542</v>
      </c>
      <c r="Y390" s="35">
        <f t="shared" si="64"/>
        <v>45570</v>
      </c>
    </row>
    <row r="391" spans="1:25" ht="20.149999999999999" customHeight="1">
      <c r="A391" s="10">
        <f>SUBTOTAL(103,$B$4:B391)</f>
        <v>388</v>
      </c>
      <c r="B391" s="111">
        <v>45542</v>
      </c>
      <c r="C391" s="114" t="s">
        <v>534</v>
      </c>
      <c r="D391" s="3" t="s">
        <v>3</v>
      </c>
      <c r="E391" s="267" t="s">
        <v>403</v>
      </c>
      <c r="F391" s="268" t="s">
        <v>683</v>
      </c>
      <c r="G391" s="158">
        <v>1</v>
      </c>
      <c r="J391" s="158">
        <v>1</v>
      </c>
      <c r="M391" s="158">
        <v>1</v>
      </c>
      <c r="P391" s="158">
        <v>1</v>
      </c>
      <c r="X391" s="35">
        <f t="shared" si="63"/>
        <v>45542</v>
      </c>
      <c r="Y391" s="35">
        <f t="shared" si="64"/>
        <v>45570</v>
      </c>
    </row>
    <row r="392" spans="1:25" ht="20.149999999999999" customHeight="1">
      <c r="A392" s="10">
        <f>SUBTOTAL(103,$B$4:B392)</f>
        <v>389</v>
      </c>
      <c r="B392" s="111">
        <v>45543</v>
      </c>
      <c r="C392" s="114" t="s">
        <v>478</v>
      </c>
      <c r="D392" s="3" t="str">
        <f>VLOOKUP(C392,'Location Summary'!$C$4:$D$602,2,0)</f>
        <v>DA+9</v>
      </c>
      <c r="E392" s="267" t="s">
        <v>403</v>
      </c>
      <c r="F392" s="268" t="s">
        <v>683</v>
      </c>
      <c r="O392" s="156">
        <v>1</v>
      </c>
      <c r="R392" s="156">
        <v>1</v>
      </c>
      <c r="X392" s="35">
        <f t="shared" si="63"/>
        <v>45543</v>
      </c>
      <c r="Y392" s="35">
        <f t="shared" si="64"/>
        <v>45571</v>
      </c>
    </row>
    <row r="393" spans="1:25" ht="20.149999999999999" customHeight="1">
      <c r="A393" s="10">
        <f>SUBTOTAL(103,$B$4:B393)</f>
        <v>390</v>
      </c>
      <c r="B393" s="111">
        <v>45543</v>
      </c>
      <c r="C393" s="114" t="s">
        <v>153</v>
      </c>
      <c r="D393" s="3" t="str">
        <f>VLOOKUP(C393,'Location Summary'!$C$4:$D$602,2,0)</f>
        <v>DA+1.5</v>
      </c>
      <c r="E393" s="267" t="s">
        <v>403</v>
      </c>
      <c r="F393" s="268" t="s">
        <v>683</v>
      </c>
      <c r="H393" s="157">
        <v>1</v>
      </c>
      <c r="I393" s="156">
        <v>1</v>
      </c>
      <c r="K393" s="157">
        <v>1</v>
      </c>
      <c r="L393" s="156">
        <v>1</v>
      </c>
      <c r="X393" s="35">
        <f t="shared" si="63"/>
        <v>45543</v>
      </c>
      <c r="Y393" s="35">
        <f t="shared" si="64"/>
        <v>45571</v>
      </c>
    </row>
    <row r="394" spans="1:25" ht="20.149999999999999" customHeight="1">
      <c r="A394" s="10">
        <f>SUBTOTAL(103,$B$4:B394)</f>
        <v>391</v>
      </c>
      <c r="B394" s="111">
        <v>45543</v>
      </c>
      <c r="C394" s="114" t="s">
        <v>168</v>
      </c>
      <c r="D394" s="3" t="e">
        <f>VLOOKUP(C394,'Location Summary'!$C$4:$D$602,2,0)</f>
        <v>#N/A</v>
      </c>
      <c r="E394" s="267" t="s">
        <v>403</v>
      </c>
      <c r="F394" s="268" t="s">
        <v>683</v>
      </c>
      <c r="J394" s="158">
        <v>1</v>
      </c>
      <c r="X394" s="35">
        <f t="shared" si="63"/>
        <v>45543</v>
      </c>
      <c r="Y394" s="35">
        <f t="shared" si="64"/>
        <v>45571</v>
      </c>
    </row>
    <row r="395" spans="1:25" ht="20.149999999999999" customHeight="1">
      <c r="A395" s="10">
        <f>SUBTOTAL(103,$B$4:B395)</f>
        <v>392</v>
      </c>
      <c r="B395" s="111">
        <v>45543</v>
      </c>
      <c r="C395" s="114" t="s">
        <v>534</v>
      </c>
      <c r="D395" s="3" t="s">
        <v>3</v>
      </c>
      <c r="E395" s="267" t="s">
        <v>403</v>
      </c>
      <c r="F395" s="268" t="s">
        <v>683</v>
      </c>
      <c r="H395" s="157">
        <v>1</v>
      </c>
      <c r="K395" s="157">
        <v>1</v>
      </c>
      <c r="N395" s="157">
        <v>1</v>
      </c>
      <c r="Q395" s="157">
        <v>1</v>
      </c>
      <c r="X395" s="35">
        <f t="shared" si="63"/>
        <v>45543</v>
      </c>
      <c r="Y395" s="35">
        <f t="shared" si="64"/>
        <v>45571</v>
      </c>
    </row>
    <row r="396" spans="1:25" ht="20.149999999999999" customHeight="1">
      <c r="A396" s="10">
        <f>SUBTOTAL(103,$B$4:B396)</f>
        <v>393</v>
      </c>
      <c r="B396" s="111">
        <v>45543</v>
      </c>
      <c r="C396" s="114" t="s">
        <v>593</v>
      </c>
      <c r="D396" s="3" t="str">
        <f>VLOOKUP(C396,'Location Summary'!$C$4:$D$602,2,0)</f>
        <v>DA+6</v>
      </c>
      <c r="E396" s="267" t="s">
        <v>403</v>
      </c>
      <c r="F396" s="268" t="s">
        <v>683</v>
      </c>
      <c r="H396" s="157">
        <v>1</v>
      </c>
      <c r="X396" s="35">
        <f t="shared" si="63"/>
        <v>45543</v>
      </c>
      <c r="Y396" s="35">
        <f t="shared" si="64"/>
        <v>45571</v>
      </c>
    </row>
    <row r="397" spans="1:25" ht="20.149999999999999" customHeight="1">
      <c r="A397" s="10">
        <f>SUBTOTAL(103,$B$4:B397)</f>
        <v>394</v>
      </c>
      <c r="B397" s="111">
        <v>45544</v>
      </c>
      <c r="C397" s="114" t="s">
        <v>479</v>
      </c>
      <c r="D397" s="3" t="str">
        <f>VLOOKUP(C397,'Location Summary'!$C$4:$D$602,2,0)</f>
        <v>DA+6</v>
      </c>
      <c r="E397" s="267" t="s">
        <v>403</v>
      </c>
      <c r="F397" s="268" t="s">
        <v>683</v>
      </c>
      <c r="G397" s="158">
        <v>1</v>
      </c>
      <c r="P397" s="158">
        <v>1</v>
      </c>
      <c r="X397" s="35">
        <f t="shared" si="63"/>
        <v>45544</v>
      </c>
      <c r="Y397" s="35">
        <f t="shared" si="64"/>
        <v>45572</v>
      </c>
    </row>
    <row r="398" spans="1:25" ht="20.149999999999999" customHeight="1">
      <c r="A398" s="10">
        <f>SUBTOTAL(103,$B$4:B398)</f>
        <v>395</v>
      </c>
      <c r="B398" s="111">
        <v>45544</v>
      </c>
      <c r="C398" s="114" t="s">
        <v>584</v>
      </c>
      <c r="D398" s="3" t="str">
        <f>VLOOKUP(C398,'Location Summary'!$C$4:$D$602,2,0)</f>
        <v>DA-3</v>
      </c>
      <c r="E398" s="267" t="s">
        <v>403</v>
      </c>
      <c r="F398" s="268" t="s">
        <v>683</v>
      </c>
      <c r="M398" s="158">
        <v>1</v>
      </c>
      <c r="P398" s="158">
        <v>1</v>
      </c>
      <c r="X398" s="35">
        <f t="shared" si="63"/>
        <v>45544</v>
      </c>
      <c r="Y398" s="35">
        <f t="shared" si="64"/>
        <v>45572</v>
      </c>
    </row>
    <row r="399" spans="1:25" ht="20.149999999999999" customHeight="1">
      <c r="A399" s="10">
        <f>SUBTOTAL(103,$B$4:B399)</f>
        <v>396</v>
      </c>
      <c r="B399" s="111">
        <v>45544</v>
      </c>
      <c r="C399" s="114" t="s">
        <v>168</v>
      </c>
      <c r="D399" s="3" t="e">
        <f>VLOOKUP(C399,'Location Summary'!$C$4:$D$602,2,0)</f>
        <v>#N/A</v>
      </c>
      <c r="E399" s="267" t="s">
        <v>403</v>
      </c>
      <c r="F399" s="268" t="s">
        <v>683</v>
      </c>
      <c r="G399" s="158">
        <v>1</v>
      </c>
      <c r="K399" s="157">
        <v>1</v>
      </c>
      <c r="L399" s="156">
        <v>1</v>
      </c>
      <c r="X399" s="35">
        <f t="shared" si="63"/>
        <v>45544</v>
      </c>
      <c r="Y399" s="35">
        <f t="shared" si="64"/>
        <v>45572</v>
      </c>
    </row>
    <row r="400" spans="1:25" ht="20.149999999999999" customHeight="1">
      <c r="A400" s="10">
        <f>SUBTOTAL(103,$B$4:B400)</f>
        <v>397</v>
      </c>
      <c r="B400" s="111">
        <v>45544</v>
      </c>
      <c r="C400" s="114" t="s">
        <v>593</v>
      </c>
      <c r="D400" s="3" t="str">
        <f>VLOOKUP(C400,'Location Summary'!$C$4:$D$602,2,0)</f>
        <v>DA+6</v>
      </c>
      <c r="E400" s="267" t="s">
        <v>403</v>
      </c>
      <c r="F400" s="268" t="s">
        <v>683</v>
      </c>
      <c r="I400" s="156">
        <v>1</v>
      </c>
      <c r="J400" s="158">
        <v>1</v>
      </c>
      <c r="K400" s="157">
        <v>1</v>
      </c>
      <c r="L400" s="156">
        <v>1</v>
      </c>
      <c r="X400" s="35">
        <f t="shared" si="63"/>
        <v>45544</v>
      </c>
      <c r="Y400" s="35">
        <f t="shared" si="64"/>
        <v>45572</v>
      </c>
    </row>
    <row r="401" spans="1:25" ht="20.149999999999999" customHeight="1">
      <c r="A401" s="10">
        <f>SUBTOTAL(103,$B$4:B401)</f>
        <v>398</v>
      </c>
      <c r="B401" s="111">
        <v>45544</v>
      </c>
      <c r="C401" s="114" t="s">
        <v>534</v>
      </c>
      <c r="D401" s="3" t="s">
        <v>3</v>
      </c>
      <c r="E401" s="267" t="s">
        <v>403</v>
      </c>
      <c r="F401" s="268" t="s">
        <v>683</v>
      </c>
      <c r="I401" s="156">
        <v>1</v>
      </c>
      <c r="L401" s="156">
        <v>1</v>
      </c>
      <c r="O401" s="156">
        <v>1</v>
      </c>
      <c r="R401" s="156">
        <v>1</v>
      </c>
      <c r="X401" s="35">
        <f t="shared" si="63"/>
        <v>45544</v>
      </c>
      <c r="Y401" s="35">
        <f t="shared" si="64"/>
        <v>45572</v>
      </c>
    </row>
    <row r="402" spans="1:25" ht="20.149999999999999" customHeight="1">
      <c r="A402" s="10">
        <f>SUBTOTAL(103,$B$4:B402)</f>
        <v>399</v>
      </c>
      <c r="B402" s="111">
        <v>45545</v>
      </c>
      <c r="C402" s="114" t="s">
        <v>479</v>
      </c>
      <c r="D402" s="3" t="str">
        <f>VLOOKUP(C402,'Location Summary'!$C$4:$D$602,2,0)</f>
        <v>DA+6</v>
      </c>
      <c r="E402" s="267" t="s">
        <v>403</v>
      </c>
      <c r="F402" s="268" t="s">
        <v>683</v>
      </c>
      <c r="H402" s="157">
        <v>1</v>
      </c>
      <c r="M402" s="158">
        <v>1</v>
      </c>
      <c r="Q402" s="157">
        <v>1</v>
      </c>
      <c r="X402" s="35">
        <f t="shared" si="63"/>
        <v>45545</v>
      </c>
      <c r="Y402" s="35">
        <f t="shared" si="64"/>
        <v>45573</v>
      </c>
    </row>
    <row r="403" spans="1:25" ht="20.149999999999999" customHeight="1">
      <c r="A403" s="10">
        <f>SUBTOTAL(103,$B$4:B403)</f>
        <v>400</v>
      </c>
      <c r="B403" s="111">
        <v>45545</v>
      </c>
      <c r="C403" s="114" t="s">
        <v>162</v>
      </c>
      <c r="D403" s="3" t="str">
        <f>VLOOKUP(C403,'Location Summary'!$C$4:$D$602,2,0)</f>
        <v>DA-3</v>
      </c>
      <c r="E403" s="267" t="s">
        <v>403</v>
      </c>
      <c r="F403" s="268" t="s">
        <v>311</v>
      </c>
      <c r="P403" s="158">
        <v>1</v>
      </c>
      <c r="X403" s="35">
        <f t="shared" si="63"/>
        <v>45545</v>
      </c>
      <c r="Y403" s="35">
        <f t="shared" si="64"/>
        <v>45573</v>
      </c>
    </row>
    <row r="404" spans="1:25" ht="20.149999999999999" customHeight="1">
      <c r="A404" s="10">
        <f>SUBTOTAL(103,$B$4:B404)</f>
        <v>401</v>
      </c>
      <c r="B404" s="111">
        <v>45545</v>
      </c>
      <c r="C404" s="114" t="s">
        <v>584</v>
      </c>
      <c r="D404" s="3" t="str">
        <f>VLOOKUP(C404,'Location Summary'!$C$4:$D$602,2,0)</f>
        <v>DA-3</v>
      </c>
      <c r="E404" s="267" t="s">
        <v>403</v>
      </c>
      <c r="F404" s="268" t="s">
        <v>683</v>
      </c>
      <c r="G404" s="158">
        <v>1</v>
      </c>
      <c r="N404" s="157">
        <v>1</v>
      </c>
      <c r="X404" s="35">
        <f t="shared" si="63"/>
        <v>45545</v>
      </c>
      <c r="Y404" s="35">
        <f t="shared" si="64"/>
        <v>45573</v>
      </c>
    </row>
    <row r="405" spans="1:25" ht="20.149999999999999" customHeight="1">
      <c r="A405" s="10">
        <f>SUBTOTAL(103,$B$4:B405)</f>
        <v>402</v>
      </c>
      <c r="B405" s="111">
        <v>45545</v>
      </c>
      <c r="C405" s="114" t="s">
        <v>168</v>
      </c>
      <c r="D405" s="3" t="e">
        <f>VLOOKUP(C405,'Location Summary'!$C$4:$D$602,2,0)</f>
        <v>#N/A</v>
      </c>
      <c r="E405" s="267" t="s">
        <v>403</v>
      </c>
      <c r="F405" s="268" t="s">
        <v>683</v>
      </c>
      <c r="H405" s="157">
        <v>1</v>
      </c>
      <c r="I405" s="156">
        <v>1</v>
      </c>
      <c r="X405" s="35">
        <f t="shared" si="63"/>
        <v>45545</v>
      </c>
      <c r="Y405" s="35">
        <f t="shared" si="64"/>
        <v>45573</v>
      </c>
    </row>
    <row r="406" spans="1:25" ht="20.149999999999999" customHeight="1">
      <c r="A406" s="10">
        <f>SUBTOTAL(103,$B$4:B406)</f>
        <v>403</v>
      </c>
      <c r="B406" s="111">
        <v>45576</v>
      </c>
      <c r="C406" s="114" t="s">
        <v>479</v>
      </c>
      <c r="D406" s="3" t="str">
        <f>VLOOKUP(C406,'Location Summary'!$C$4:$D$602,2,0)</f>
        <v>DA+6</v>
      </c>
      <c r="E406" s="267" t="s">
        <v>403</v>
      </c>
      <c r="F406" s="268" t="s">
        <v>683</v>
      </c>
      <c r="I406" s="156">
        <v>1</v>
      </c>
      <c r="J406" s="158">
        <v>1</v>
      </c>
      <c r="N406" s="157">
        <v>1</v>
      </c>
      <c r="R406" s="156">
        <v>1</v>
      </c>
      <c r="X406" s="35">
        <f t="shared" si="63"/>
        <v>45576</v>
      </c>
      <c r="Y406" s="35">
        <f t="shared" si="64"/>
        <v>45604</v>
      </c>
    </row>
    <row r="407" spans="1:25" ht="20.149999999999999" customHeight="1">
      <c r="A407" s="10">
        <f>SUBTOTAL(103,$B$4:B407)</f>
        <v>404</v>
      </c>
      <c r="B407" s="111">
        <v>45576</v>
      </c>
      <c r="C407" s="114" t="s">
        <v>162</v>
      </c>
      <c r="D407" s="3" t="str">
        <f>VLOOKUP(C407,'Location Summary'!$C$4:$D$602,2,0)</f>
        <v>DA-3</v>
      </c>
      <c r="E407" s="267" t="s">
        <v>403</v>
      </c>
      <c r="F407" s="268" t="s">
        <v>683</v>
      </c>
      <c r="M407" s="158">
        <v>1</v>
      </c>
      <c r="Q407" s="157">
        <v>1</v>
      </c>
      <c r="R407" s="156">
        <v>1</v>
      </c>
      <c r="X407" s="35">
        <f t="shared" si="63"/>
        <v>45576</v>
      </c>
      <c r="Y407" s="35">
        <f t="shared" si="64"/>
        <v>45604</v>
      </c>
    </row>
    <row r="408" spans="1:25" ht="20.149999999999999" customHeight="1">
      <c r="A408" s="10">
        <f>SUBTOTAL(103,$B$4:B408)</f>
        <v>405</v>
      </c>
      <c r="B408" s="111">
        <v>45576</v>
      </c>
      <c r="C408" s="114" t="s">
        <v>584</v>
      </c>
      <c r="D408" s="3" t="str">
        <f>VLOOKUP(C408,'Location Summary'!$C$4:$D$602,2,0)</f>
        <v>DA-3</v>
      </c>
      <c r="E408" s="267" t="s">
        <v>403</v>
      </c>
      <c r="F408" s="268" t="s">
        <v>683</v>
      </c>
      <c r="H408" s="157">
        <v>1</v>
      </c>
      <c r="J408" s="158">
        <v>1</v>
      </c>
      <c r="O408" s="156">
        <v>1</v>
      </c>
      <c r="Q408" s="157">
        <v>1</v>
      </c>
      <c r="R408" s="156">
        <v>1</v>
      </c>
      <c r="X408" s="35">
        <f t="shared" si="63"/>
        <v>45576</v>
      </c>
      <c r="Y408" s="35">
        <f t="shared" si="64"/>
        <v>45604</v>
      </c>
    </row>
    <row r="409" spans="1:25" ht="20.149999999999999" customHeight="1">
      <c r="A409" s="10">
        <f>SUBTOTAL(103,$B$4:B409)</f>
        <v>406</v>
      </c>
      <c r="B409" s="111">
        <v>45576</v>
      </c>
      <c r="C409" s="114" t="s">
        <v>594</v>
      </c>
      <c r="D409" s="3" t="str">
        <f>VLOOKUP(C409,'Location Summary'!$C$4:$D$602,2,0)</f>
        <v>DA+3</v>
      </c>
      <c r="E409" s="267" t="s">
        <v>403</v>
      </c>
      <c r="F409" s="268" t="s">
        <v>683</v>
      </c>
      <c r="G409" s="158">
        <v>1</v>
      </c>
      <c r="X409" s="35">
        <f t="shared" si="63"/>
        <v>45576</v>
      </c>
      <c r="Y409" s="35">
        <f t="shared" si="64"/>
        <v>45604</v>
      </c>
    </row>
    <row r="410" spans="1:25" ht="20.149999999999999" customHeight="1">
      <c r="A410" s="10">
        <f>SUBTOTAL(103,$B$4:B410)</f>
        <v>407</v>
      </c>
      <c r="B410" s="111">
        <v>45576</v>
      </c>
      <c r="C410" s="114" t="s">
        <v>535</v>
      </c>
      <c r="D410" s="3" t="s">
        <v>49</v>
      </c>
      <c r="E410" s="267" t="s">
        <v>403</v>
      </c>
      <c r="F410" s="268" t="s">
        <v>683</v>
      </c>
      <c r="G410" s="158">
        <v>1</v>
      </c>
      <c r="J410" s="158">
        <v>1</v>
      </c>
      <c r="M410" s="158">
        <v>1</v>
      </c>
      <c r="P410" s="158">
        <v>1</v>
      </c>
      <c r="X410" s="35">
        <f t="shared" si="63"/>
        <v>45576</v>
      </c>
      <c r="Y410" s="35">
        <f t="shared" si="64"/>
        <v>45604</v>
      </c>
    </row>
    <row r="411" spans="1:25" ht="20.149999999999999" customHeight="1">
      <c r="A411" s="10">
        <f>SUBTOTAL(103,$B$4:B411)</f>
        <v>408</v>
      </c>
      <c r="B411" s="111">
        <v>45577</v>
      </c>
      <c r="C411" s="114" t="s">
        <v>479</v>
      </c>
      <c r="D411" s="3" t="str">
        <f>VLOOKUP(C411,'Location Summary'!$C$4:$D$602,2,0)</f>
        <v>DA+6</v>
      </c>
      <c r="E411" s="267" t="s">
        <v>403</v>
      </c>
      <c r="F411" s="268" t="s">
        <v>683</v>
      </c>
      <c r="K411" s="157">
        <v>1</v>
      </c>
      <c r="L411" s="156">
        <v>1</v>
      </c>
      <c r="O411" s="156">
        <v>1</v>
      </c>
      <c r="X411" s="35">
        <f t="shared" si="63"/>
        <v>45577</v>
      </c>
      <c r="Y411" s="35">
        <f t="shared" si="64"/>
        <v>45605</v>
      </c>
    </row>
    <row r="412" spans="1:25" ht="20.149999999999999" customHeight="1">
      <c r="A412" s="10">
        <f>SUBTOTAL(103,$B$4:B412)</f>
        <v>409</v>
      </c>
      <c r="B412" s="111">
        <v>45577</v>
      </c>
      <c r="C412" s="114" t="s">
        <v>584</v>
      </c>
      <c r="D412" s="3" t="str">
        <f>VLOOKUP(C412,'Location Summary'!$C$4:$D$602,2,0)</f>
        <v>DA-3</v>
      </c>
      <c r="E412" s="267" t="s">
        <v>403</v>
      </c>
      <c r="F412" s="268" t="s">
        <v>683</v>
      </c>
      <c r="I412" s="156">
        <v>1</v>
      </c>
      <c r="K412" s="157">
        <v>1</v>
      </c>
      <c r="L412" s="156">
        <v>1</v>
      </c>
      <c r="X412" s="35">
        <f t="shared" si="63"/>
        <v>45577</v>
      </c>
      <c r="Y412" s="35">
        <f t="shared" si="64"/>
        <v>45605</v>
      </c>
    </row>
    <row r="413" spans="1:25" ht="20.149999999999999" customHeight="1">
      <c r="A413" s="10">
        <f>SUBTOTAL(103,$B$4:B413)</f>
        <v>410</v>
      </c>
      <c r="B413" s="111">
        <v>45577</v>
      </c>
      <c r="C413" s="114" t="s">
        <v>168</v>
      </c>
      <c r="D413" s="3" t="e">
        <f>VLOOKUP(C413,'Location Summary'!$C$4:$D$602,2,0)</f>
        <v>#N/A</v>
      </c>
      <c r="E413" s="267" t="s">
        <v>403</v>
      </c>
      <c r="F413" s="268" t="s">
        <v>683</v>
      </c>
      <c r="P413" s="158">
        <v>1</v>
      </c>
      <c r="X413" s="35">
        <f t="shared" si="63"/>
        <v>45577</v>
      </c>
      <c r="Y413" s="35">
        <f t="shared" si="64"/>
        <v>45605</v>
      </c>
    </row>
    <row r="414" spans="1:25" ht="20.149999999999999" customHeight="1">
      <c r="A414" s="10">
        <f>SUBTOTAL(103,$B$4:B414)</f>
        <v>411</v>
      </c>
      <c r="B414" s="111">
        <v>45577</v>
      </c>
      <c r="C414" s="114" t="s">
        <v>258</v>
      </c>
      <c r="D414" s="3" t="str">
        <f>VLOOKUP(C414,'Location Summary'!$C$4:$D$602,2,0)</f>
        <v>DB1+9</v>
      </c>
      <c r="E414" s="267" t="s">
        <v>403</v>
      </c>
      <c r="F414" s="268" t="s">
        <v>683</v>
      </c>
      <c r="P414" s="158">
        <v>1</v>
      </c>
      <c r="X414" s="35">
        <f t="shared" si="63"/>
        <v>45577</v>
      </c>
      <c r="Y414" s="35">
        <f t="shared" si="64"/>
        <v>45605</v>
      </c>
    </row>
    <row r="415" spans="1:25" ht="20.149999999999999" customHeight="1">
      <c r="A415" s="10">
        <f>SUBTOTAL(103,$B$4:B415)</f>
        <v>412</v>
      </c>
      <c r="B415" s="111">
        <v>45577</v>
      </c>
      <c r="C415" s="114" t="s">
        <v>594</v>
      </c>
      <c r="D415" s="3" t="str">
        <f>VLOOKUP(C415,'Location Summary'!$C$4:$D$602,2,0)</f>
        <v>DA+3</v>
      </c>
      <c r="E415" s="267" t="s">
        <v>403</v>
      </c>
      <c r="F415" s="268" t="s">
        <v>683</v>
      </c>
      <c r="H415" s="157">
        <v>1</v>
      </c>
      <c r="I415" s="156">
        <v>1</v>
      </c>
      <c r="P415" s="158">
        <v>1</v>
      </c>
      <c r="X415" s="35">
        <f t="shared" ref="X415:X474" si="65">B415</f>
        <v>45577</v>
      </c>
      <c r="Y415" s="35">
        <f t="shared" ref="Y415:Y474" si="66">B415+28</f>
        <v>45605</v>
      </c>
    </row>
    <row r="416" spans="1:25" ht="20.149999999999999" customHeight="1">
      <c r="A416" s="10">
        <f>SUBTOTAL(103,$B$4:B416)</f>
        <v>413</v>
      </c>
      <c r="B416" s="111">
        <v>45577</v>
      </c>
      <c r="C416" s="114" t="s">
        <v>535</v>
      </c>
      <c r="D416" s="3" t="s">
        <v>49</v>
      </c>
      <c r="E416" s="267" t="s">
        <v>403</v>
      </c>
      <c r="F416" s="268" t="s">
        <v>683</v>
      </c>
      <c r="H416" s="157">
        <v>1</v>
      </c>
      <c r="I416" s="156">
        <v>1</v>
      </c>
      <c r="K416" s="157">
        <v>1</v>
      </c>
      <c r="L416" s="156">
        <v>1</v>
      </c>
      <c r="N416" s="157">
        <v>1</v>
      </c>
      <c r="O416" s="156">
        <v>1</v>
      </c>
      <c r="Q416" s="157">
        <v>1</v>
      </c>
      <c r="R416" s="156">
        <v>1</v>
      </c>
      <c r="X416" s="35">
        <f t="shared" si="65"/>
        <v>45577</v>
      </c>
      <c r="Y416" s="35">
        <f t="shared" si="66"/>
        <v>45605</v>
      </c>
    </row>
    <row r="417" spans="1:25" ht="20.149999999999999" customHeight="1">
      <c r="A417" s="10">
        <f>SUBTOTAL(103,$B$4:B417)</f>
        <v>414</v>
      </c>
      <c r="B417" s="111">
        <v>45578</v>
      </c>
      <c r="C417" s="114" t="s">
        <v>162</v>
      </c>
      <c r="D417" s="3" t="str">
        <f>VLOOKUP(C417,'Location Summary'!$C$4:$D$602,2,0)</f>
        <v>DA-3</v>
      </c>
      <c r="E417" s="267" t="s">
        <v>403</v>
      </c>
      <c r="F417" s="268" t="s">
        <v>683</v>
      </c>
      <c r="G417" s="158">
        <v>1</v>
      </c>
      <c r="J417" s="158">
        <v>1</v>
      </c>
      <c r="N417" s="157">
        <v>1</v>
      </c>
      <c r="O417" s="156">
        <v>1</v>
      </c>
      <c r="X417" s="35">
        <f t="shared" si="65"/>
        <v>45578</v>
      </c>
      <c r="Y417" s="35">
        <f t="shared" si="66"/>
        <v>45606</v>
      </c>
    </row>
    <row r="418" spans="1:25" ht="20.149999999999999" customHeight="1">
      <c r="A418" s="10">
        <f>SUBTOTAL(103,$B$4:B418)</f>
        <v>415</v>
      </c>
      <c r="B418" s="111">
        <v>45578</v>
      </c>
      <c r="C418" s="114" t="s">
        <v>168</v>
      </c>
      <c r="D418" s="3" t="e">
        <f>VLOOKUP(C418,'Location Summary'!$C$4:$D$602,2,0)</f>
        <v>#N/A</v>
      </c>
      <c r="E418" s="267" t="s">
        <v>403</v>
      </c>
      <c r="F418" s="268" t="s">
        <v>683</v>
      </c>
      <c r="M418" s="158">
        <v>1</v>
      </c>
      <c r="Q418" s="157">
        <v>1</v>
      </c>
      <c r="X418" s="35">
        <f t="shared" si="65"/>
        <v>45578</v>
      </c>
      <c r="Y418" s="35">
        <f t="shared" si="66"/>
        <v>45606</v>
      </c>
    </row>
    <row r="419" spans="1:25" ht="20.149999999999999" customHeight="1">
      <c r="A419" s="10">
        <f>SUBTOTAL(103,$B$4:B419)</f>
        <v>416</v>
      </c>
      <c r="B419" s="111">
        <v>45578</v>
      </c>
      <c r="C419" s="114" t="s">
        <v>258</v>
      </c>
      <c r="D419" s="3" t="str">
        <f>VLOOKUP(C419,'Location Summary'!$C$4:$D$602,2,0)</f>
        <v>DB1+9</v>
      </c>
      <c r="E419" s="267" t="s">
        <v>403</v>
      </c>
      <c r="F419" s="268" t="s">
        <v>683</v>
      </c>
      <c r="M419" s="158">
        <v>1</v>
      </c>
      <c r="Q419" s="157">
        <v>1</v>
      </c>
      <c r="X419" s="35">
        <f t="shared" si="65"/>
        <v>45578</v>
      </c>
      <c r="Y419" s="35">
        <f t="shared" si="66"/>
        <v>45606</v>
      </c>
    </row>
    <row r="420" spans="1:25" ht="20.149999999999999" customHeight="1">
      <c r="A420" s="10">
        <f>SUBTOTAL(103,$B$4:B420)</f>
        <v>417</v>
      </c>
      <c r="B420" s="111">
        <v>45578</v>
      </c>
      <c r="C420" s="114" t="s">
        <v>594</v>
      </c>
      <c r="D420" s="3" t="str">
        <f>VLOOKUP(C420,'Location Summary'!$C$4:$D$602,2,0)</f>
        <v>DA+3</v>
      </c>
      <c r="E420" s="267" t="s">
        <v>403</v>
      </c>
      <c r="F420" s="268" t="s">
        <v>683</v>
      </c>
      <c r="Q420" s="157">
        <v>1</v>
      </c>
      <c r="R420" s="156">
        <v>1</v>
      </c>
      <c r="X420" s="35">
        <f t="shared" si="65"/>
        <v>45578</v>
      </c>
      <c r="Y420" s="35">
        <f t="shared" si="66"/>
        <v>45606</v>
      </c>
    </row>
    <row r="421" spans="1:25" ht="20.149999999999999" customHeight="1">
      <c r="A421" s="10">
        <f>SUBTOTAL(103,$B$4:B421)</f>
        <v>418</v>
      </c>
      <c r="B421" s="111">
        <v>45579</v>
      </c>
      <c r="C421" s="114" t="s">
        <v>471</v>
      </c>
      <c r="D421" s="3" t="str">
        <f>VLOOKUP(C421,'Location Summary'!$C$4:$D$602,2,0)</f>
        <v>DA+1.5</v>
      </c>
      <c r="E421" s="267" t="s">
        <v>403</v>
      </c>
      <c r="F421" s="268" t="s">
        <v>683</v>
      </c>
      <c r="G421" s="158">
        <v>1</v>
      </c>
      <c r="P421" s="158">
        <v>1</v>
      </c>
      <c r="X421" s="35">
        <f t="shared" si="65"/>
        <v>45579</v>
      </c>
      <c r="Y421" s="35">
        <f t="shared" si="66"/>
        <v>45607</v>
      </c>
    </row>
    <row r="422" spans="1:25" ht="20.149999999999999" customHeight="1">
      <c r="A422" s="10">
        <f>SUBTOTAL(103,$B$4:B422)</f>
        <v>419</v>
      </c>
      <c r="B422" s="111">
        <v>45579</v>
      </c>
      <c r="C422" s="114" t="s">
        <v>162</v>
      </c>
      <c r="D422" s="3" t="str">
        <f>VLOOKUP(C422,'Location Summary'!$C$4:$D$602,2,0)</f>
        <v>DA-3</v>
      </c>
      <c r="E422" s="267" t="s">
        <v>403</v>
      </c>
      <c r="F422" s="268" t="s">
        <v>683</v>
      </c>
      <c r="H422" s="157">
        <v>1</v>
      </c>
      <c r="I422" s="156">
        <v>1</v>
      </c>
      <c r="K422" s="157">
        <v>1</v>
      </c>
      <c r="L422" s="156">
        <v>1</v>
      </c>
      <c r="X422" s="35">
        <f t="shared" si="65"/>
        <v>45579</v>
      </c>
      <c r="Y422" s="35">
        <f t="shared" si="66"/>
        <v>45607</v>
      </c>
    </row>
    <row r="423" spans="1:25" ht="20.149999999999999" customHeight="1">
      <c r="A423" s="10">
        <f>SUBTOTAL(103,$B$4:B423)</f>
        <v>420</v>
      </c>
      <c r="B423" s="111">
        <v>45579</v>
      </c>
      <c r="C423" s="114" t="s">
        <v>576</v>
      </c>
      <c r="D423" s="3" t="str">
        <f>VLOOKUP(C423,'Location Summary'!$C$4:$D$602,2,0)</f>
        <v>DA+9</v>
      </c>
      <c r="E423" s="267" t="s">
        <v>403</v>
      </c>
      <c r="F423" s="268" t="s">
        <v>683</v>
      </c>
      <c r="J423" s="158">
        <v>1</v>
      </c>
      <c r="X423" s="35">
        <f t="shared" si="65"/>
        <v>45579</v>
      </c>
      <c r="Y423" s="35">
        <f t="shared" si="66"/>
        <v>45607</v>
      </c>
    </row>
    <row r="424" spans="1:25" ht="20.149999999999999" customHeight="1">
      <c r="A424" s="10">
        <f>SUBTOTAL(103,$B$4:B424)</f>
        <v>421</v>
      </c>
      <c r="B424" s="111">
        <v>45579</v>
      </c>
      <c r="C424" s="114" t="s">
        <v>168</v>
      </c>
      <c r="D424" s="3" t="e">
        <f>VLOOKUP(C424,'Location Summary'!$C$4:$D$602,2,0)</f>
        <v>#N/A</v>
      </c>
      <c r="E424" s="267" t="s">
        <v>403</v>
      </c>
      <c r="F424" s="268" t="s">
        <v>683</v>
      </c>
      <c r="N424" s="157">
        <v>1</v>
      </c>
      <c r="O424" s="156">
        <v>1</v>
      </c>
      <c r="R424" s="156">
        <v>1</v>
      </c>
      <c r="X424" s="35">
        <f t="shared" si="65"/>
        <v>45579</v>
      </c>
      <c r="Y424" s="35">
        <f t="shared" si="66"/>
        <v>45607</v>
      </c>
    </row>
    <row r="425" spans="1:25" ht="20.149999999999999" customHeight="1">
      <c r="A425" s="10">
        <f>SUBTOTAL(103,$B$4:B425)</f>
        <v>422</v>
      </c>
      <c r="B425" s="111">
        <v>45579</v>
      </c>
      <c r="C425" s="114" t="s">
        <v>594</v>
      </c>
      <c r="D425" s="3" t="str">
        <f>VLOOKUP(C425,'Location Summary'!$C$4:$D$602,2,0)</f>
        <v>DA+3</v>
      </c>
      <c r="E425" s="267" t="s">
        <v>403</v>
      </c>
      <c r="F425" s="268" t="s">
        <v>683</v>
      </c>
      <c r="J425" s="158">
        <v>1</v>
      </c>
      <c r="X425" s="35">
        <f t="shared" si="65"/>
        <v>45579</v>
      </c>
      <c r="Y425" s="35">
        <f t="shared" si="66"/>
        <v>45607</v>
      </c>
    </row>
    <row r="426" spans="1:25" ht="20.149999999999999" customHeight="1">
      <c r="A426" s="10">
        <f>SUBTOTAL(103,$B$4:B426)</f>
        <v>423</v>
      </c>
      <c r="B426" s="111">
        <v>45579</v>
      </c>
      <c r="C426" s="114" t="s">
        <v>536</v>
      </c>
      <c r="D426" s="3" t="s">
        <v>3</v>
      </c>
      <c r="E426" s="267" t="s">
        <v>403</v>
      </c>
      <c r="F426" s="268" t="s">
        <v>683</v>
      </c>
      <c r="J426" s="158">
        <v>1</v>
      </c>
      <c r="M426" s="158">
        <v>1</v>
      </c>
      <c r="X426" s="35">
        <f t="shared" si="65"/>
        <v>45579</v>
      </c>
      <c r="Y426" s="35">
        <f t="shared" si="66"/>
        <v>45607</v>
      </c>
    </row>
    <row r="427" spans="1:25" ht="20.149999999999999" customHeight="1">
      <c r="A427" s="10">
        <f>SUBTOTAL(103,$B$4:B427)</f>
        <v>424</v>
      </c>
      <c r="B427" s="111">
        <v>45580</v>
      </c>
      <c r="C427" s="114" t="s">
        <v>471</v>
      </c>
      <c r="D427" s="3" t="str">
        <f>VLOOKUP(C427,'Location Summary'!$C$4:$D$602,2,0)</f>
        <v>DA+1.5</v>
      </c>
      <c r="E427" s="267" t="s">
        <v>403</v>
      </c>
      <c r="F427" s="268" t="s">
        <v>683</v>
      </c>
      <c r="J427" s="158">
        <v>1</v>
      </c>
      <c r="M427" s="158">
        <v>1</v>
      </c>
      <c r="N427" s="157">
        <v>1</v>
      </c>
      <c r="Q427" s="157">
        <v>1</v>
      </c>
      <c r="X427" s="35">
        <f t="shared" si="65"/>
        <v>45580</v>
      </c>
      <c r="Y427" s="35">
        <f t="shared" si="66"/>
        <v>45608</v>
      </c>
    </row>
    <row r="428" spans="1:25" ht="20.149999999999999" customHeight="1">
      <c r="A428" s="10">
        <f>SUBTOTAL(103,$B$4:B428)</f>
        <v>425</v>
      </c>
      <c r="B428" s="111">
        <v>45580</v>
      </c>
      <c r="C428" s="114" t="s">
        <v>576</v>
      </c>
      <c r="D428" s="3" t="str">
        <f>VLOOKUP(C428,'Location Summary'!$C$4:$D$602,2,0)</f>
        <v>DA+9</v>
      </c>
      <c r="E428" s="267" t="s">
        <v>403</v>
      </c>
      <c r="F428" s="268" t="s">
        <v>683</v>
      </c>
      <c r="G428" s="158">
        <v>1</v>
      </c>
      <c r="M428" s="158">
        <v>1</v>
      </c>
      <c r="P428" s="158">
        <v>1</v>
      </c>
      <c r="X428" s="35">
        <f t="shared" si="65"/>
        <v>45580</v>
      </c>
      <c r="Y428" s="35">
        <f t="shared" si="66"/>
        <v>45608</v>
      </c>
    </row>
    <row r="429" spans="1:25" ht="20.149999999999999" customHeight="1">
      <c r="A429" s="10">
        <f>SUBTOTAL(103,$B$4:B429)</f>
        <v>426</v>
      </c>
      <c r="B429" s="111">
        <v>45580</v>
      </c>
      <c r="C429" s="114" t="s">
        <v>258</v>
      </c>
      <c r="D429" s="3" t="str">
        <f>VLOOKUP(C429,'Location Summary'!$C$4:$D$602,2,0)</f>
        <v>DB1+9</v>
      </c>
      <c r="E429" s="267" t="s">
        <v>403</v>
      </c>
      <c r="F429" s="268" t="s">
        <v>683</v>
      </c>
      <c r="N429" s="157">
        <v>1</v>
      </c>
      <c r="O429" s="156">
        <v>1</v>
      </c>
      <c r="R429" s="156">
        <v>1</v>
      </c>
      <c r="X429" s="35">
        <f t="shared" si="65"/>
        <v>45580</v>
      </c>
      <c r="Y429" s="35">
        <f t="shared" si="66"/>
        <v>45608</v>
      </c>
    </row>
    <row r="430" spans="1:25" ht="20.149999999999999" customHeight="1">
      <c r="A430" s="10">
        <f>SUBTOTAL(103,$B$4:B430)</f>
        <v>427</v>
      </c>
      <c r="B430" s="111">
        <v>45580</v>
      </c>
      <c r="C430" s="114" t="s">
        <v>594</v>
      </c>
      <c r="D430" s="3" t="str">
        <f>VLOOKUP(C430,'Location Summary'!$C$4:$D$602,2,0)</f>
        <v>DA+3</v>
      </c>
      <c r="E430" s="267" t="s">
        <v>403</v>
      </c>
      <c r="F430" s="268" t="s">
        <v>683</v>
      </c>
      <c r="K430" s="157">
        <v>1</v>
      </c>
      <c r="L430" s="156">
        <v>1</v>
      </c>
      <c r="X430" s="35">
        <f t="shared" si="65"/>
        <v>45580</v>
      </c>
      <c r="Y430" s="35">
        <f t="shared" si="66"/>
        <v>45608</v>
      </c>
    </row>
    <row r="431" spans="1:25" ht="20.149999999999999" customHeight="1">
      <c r="A431" s="10">
        <f>SUBTOTAL(103,$B$4:B431)</f>
        <v>428</v>
      </c>
      <c r="B431" s="111">
        <v>45580</v>
      </c>
      <c r="C431" s="114" t="s">
        <v>536</v>
      </c>
      <c r="D431" s="3" t="s">
        <v>3</v>
      </c>
      <c r="E431" s="267" t="s">
        <v>403</v>
      </c>
      <c r="F431" s="268" t="s">
        <v>683</v>
      </c>
      <c r="G431" s="158">
        <v>1</v>
      </c>
      <c r="K431" s="157">
        <v>1</v>
      </c>
      <c r="L431" s="156">
        <v>1</v>
      </c>
      <c r="N431" s="157">
        <v>1</v>
      </c>
      <c r="O431" s="156">
        <v>1</v>
      </c>
      <c r="P431" s="158">
        <v>1</v>
      </c>
      <c r="X431" s="35">
        <f t="shared" si="65"/>
        <v>45580</v>
      </c>
      <c r="Y431" s="35">
        <f t="shared" si="66"/>
        <v>45608</v>
      </c>
    </row>
    <row r="432" spans="1:25" ht="20.149999999999999" customHeight="1">
      <c r="A432" s="10">
        <f>SUBTOTAL(103,$B$4:B432)</f>
        <v>429</v>
      </c>
      <c r="B432" s="111">
        <v>45581</v>
      </c>
      <c r="C432" s="114" t="s">
        <v>471</v>
      </c>
      <c r="D432" s="3" t="str">
        <f>VLOOKUP(C432,'Location Summary'!$C$4:$D$602,2,0)</f>
        <v>DA+1.5</v>
      </c>
      <c r="E432" s="267" t="s">
        <v>403</v>
      </c>
      <c r="F432" s="268" t="s">
        <v>683</v>
      </c>
      <c r="H432" s="157">
        <v>1</v>
      </c>
      <c r="I432" s="156">
        <v>1</v>
      </c>
      <c r="K432" s="157">
        <v>1</v>
      </c>
      <c r="L432" s="156">
        <v>1</v>
      </c>
      <c r="O432" s="156">
        <v>1</v>
      </c>
      <c r="R432" s="156">
        <v>1</v>
      </c>
      <c r="X432" s="35">
        <f t="shared" si="65"/>
        <v>45581</v>
      </c>
      <c r="Y432" s="35">
        <f t="shared" si="66"/>
        <v>45609</v>
      </c>
    </row>
    <row r="433" spans="1:25" ht="20.149999999999999" customHeight="1">
      <c r="A433" s="10">
        <f>SUBTOTAL(103,$B$4:B433)</f>
        <v>430</v>
      </c>
      <c r="B433" s="111">
        <v>45581</v>
      </c>
      <c r="C433" s="114" t="s">
        <v>576</v>
      </c>
      <c r="D433" s="3" t="str">
        <f>VLOOKUP(C433,'Location Summary'!$C$4:$D$602,2,0)</f>
        <v>DA+9</v>
      </c>
      <c r="E433" s="267" t="s">
        <v>403</v>
      </c>
      <c r="F433" s="268" t="s">
        <v>683</v>
      </c>
      <c r="H433" s="157">
        <v>1</v>
      </c>
      <c r="I433" s="156">
        <v>1</v>
      </c>
      <c r="K433" s="157">
        <v>1</v>
      </c>
      <c r="L433" s="156">
        <v>1</v>
      </c>
      <c r="N433" s="157">
        <v>1</v>
      </c>
      <c r="O433" s="156">
        <v>1</v>
      </c>
      <c r="Q433" s="157">
        <v>1</v>
      </c>
      <c r="R433" s="156">
        <v>1</v>
      </c>
      <c r="X433" s="35">
        <f t="shared" si="65"/>
        <v>45581</v>
      </c>
      <c r="Y433" s="35">
        <f t="shared" si="66"/>
        <v>45609</v>
      </c>
    </row>
    <row r="434" spans="1:25" ht="20.149999999999999" customHeight="1">
      <c r="A434" s="10">
        <f>SUBTOTAL(103,$B$4:B434)</f>
        <v>431</v>
      </c>
      <c r="B434" s="111">
        <v>45581</v>
      </c>
      <c r="C434" s="114" t="s">
        <v>258</v>
      </c>
      <c r="D434" s="3" t="str">
        <f>VLOOKUP(C434,'Location Summary'!$C$4:$D$602,2,0)</f>
        <v>DB1+9</v>
      </c>
      <c r="E434" s="267" t="s">
        <v>403</v>
      </c>
      <c r="F434" s="268" t="s">
        <v>683</v>
      </c>
      <c r="J434" s="158">
        <v>1</v>
      </c>
      <c r="X434" s="35">
        <f t="shared" si="65"/>
        <v>45581</v>
      </c>
      <c r="Y434" s="35">
        <f t="shared" si="66"/>
        <v>45609</v>
      </c>
    </row>
    <row r="435" spans="1:25" ht="20.149999999999999" customHeight="1">
      <c r="A435" s="10">
        <f>SUBTOTAL(103,$B$4:B435)</f>
        <v>432</v>
      </c>
      <c r="B435" s="111">
        <v>45581</v>
      </c>
      <c r="C435" s="114" t="s">
        <v>536</v>
      </c>
      <c r="D435" s="3" t="s">
        <v>3</v>
      </c>
      <c r="E435" s="267" t="s">
        <v>403</v>
      </c>
      <c r="F435" s="268" t="s">
        <v>683</v>
      </c>
      <c r="H435" s="157">
        <v>1</v>
      </c>
      <c r="I435" s="156">
        <v>1</v>
      </c>
      <c r="Q435" s="157">
        <v>1</v>
      </c>
      <c r="R435" s="156">
        <v>1</v>
      </c>
      <c r="X435" s="35">
        <f t="shared" si="65"/>
        <v>45581</v>
      </c>
      <c r="Y435" s="35">
        <f t="shared" si="66"/>
        <v>45609</v>
      </c>
    </row>
    <row r="436" spans="1:25" ht="20.149999999999999" customHeight="1">
      <c r="A436" s="10">
        <f>SUBTOTAL(103,$B$4:B436)</f>
        <v>433</v>
      </c>
      <c r="B436" s="111">
        <v>45582</v>
      </c>
      <c r="C436" s="114" t="s">
        <v>779</v>
      </c>
      <c r="D436" s="3" t="str">
        <f>VLOOKUP(C436,'Location Summary'!$C$4:$D$602,2,0)</f>
        <v>DA+9</v>
      </c>
      <c r="E436" s="267" t="s">
        <v>403</v>
      </c>
      <c r="F436" s="268" t="s">
        <v>683</v>
      </c>
      <c r="J436" s="158">
        <v>1</v>
      </c>
      <c r="P436" s="158">
        <v>1</v>
      </c>
      <c r="X436" s="35">
        <f t="shared" si="65"/>
        <v>45582</v>
      </c>
      <c r="Y436" s="35">
        <f t="shared" si="66"/>
        <v>45610</v>
      </c>
    </row>
    <row r="437" spans="1:25" ht="20.149999999999999" customHeight="1">
      <c r="A437" s="10">
        <f>SUBTOTAL(103,$B$4:B437)</f>
        <v>434</v>
      </c>
      <c r="B437" s="111">
        <v>45582</v>
      </c>
      <c r="C437" s="114" t="s">
        <v>258</v>
      </c>
      <c r="D437" s="3" t="str">
        <f>VLOOKUP(C437,'Location Summary'!$C$4:$D$602,2,0)</f>
        <v>DB1+9</v>
      </c>
      <c r="E437" s="267" t="s">
        <v>403</v>
      </c>
      <c r="F437" s="268" t="s">
        <v>683</v>
      </c>
      <c r="G437" s="158">
        <v>1</v>
      </c>
      <c r="K437" s="157">
        <v>1</v>
      </c>
      <c r="X437" s="35">
        <f t="shared" si="65"/>
        <v>45582</v>
      </c>
      <c r="Y437" s="35">
        <f t="shared" si="66"/>
        <v>45610</v>
      </c>
    </row>
    <row r="438" spans="1:25" ht="20.149999999999999" customHeight="1">
      <c r="A438" s="10">
        <f>SUBTOTAL(103,$B$4:B438)</f>
        <v>435</v>
      </c>
      <c r="B438" s="111">
        <v>45582</v>
      </c>
      <c r="C438" s="114" t="s">
        <v>594</v>
      </c>
      <c r="D438" s="3" t="str">
        <f>VLOOKUP(C438,'Location Summary'!$C$4:$D$602,2,0)</f>
        <v>DA+3</v>
      </c>
      <c r="E438" s="267" t="s">
        <v>403</v>
      </c>
      <c r="F438" s="268" t="s">
        <v>683</v>
      </c>
      <c r="M438" s="158">
        <v>1</v>
      </c>
      <c r="N438" s="157">
        <v>1</v>
      </c>
      <c r="O438" s="156">
        <v>1</v>
      </c>
      <c r="X438" s="35">
        <f t="shared" si="65"/>
        <v>45582</v>
      </c>
      <c r="Y438" s="35">
        <f t="shared" si="66"/>
        <v>45610</v>
      </c>
    </row>
    <row r="439" spans="1:25" ht="20.149999999999999" customHeight="1">
      <c r="A439" s="10">
        <f>SUBTOTAL(103,$B$4:B439)</f>
        <v>436</v>
      </c>
      <c r="B439" s="111">
        <v>45583</v>
      </c>
      <c r="C439" s="114" t="s">
        <v>469</v>
      </c>
      <c r="D439" s="3" t="str">
        <f>VLOOKUP(C439,'Location Summary'!$C$4:$D$602,2,0)</f>
        <v>DA+9</v>
      </c>
      <c r="E439" s="267" t="s">
        <v>403</v>
      </c>
      <c r="F439" s="268" t="s">
        <v>683</v>
      </c>
      <c r="G439" s="158">
        <v>1</v>
      </c>
      <c r="J439" s="158">
        <v>1</v>
      </c>
      <c r="M439" s="158">
        <v>1</v>
      </c>
      <c r="P439" s="158">
        <v>1</v>
      </c>
      <c r="X439" s="35">
        <f t="shared" si="65"/>
        <v>45583</v>
      </c>
      <c r="Y439" s="35">
        <f t="shared" si="66"/>
        <v>45611</v>
      </c>
    </row>
    <row r="440" spans="1:25" ht="20.149999999999999" customHeight="1">
      <c r="A440" s="10">
        <f>SUBTOTAL(103,$B$4:B440)</f>
        <v>437</v>
      </c>
      <c r="B440" s="111">
        <v>45583</v>
      </c>
      <c r="C440" s="114" t="s">
        <v>569</v>
      </c>
      <c r="D440" s="3" t="str">
        <f>VLOOKUP(C440,'Location Summary'!$C$4:$D$602,2,0)</f>
        <v>DA+0</v>
      </c>
      <c r="E440" s="267" t="s">
        <v>403</v>
      </c>
      <c r="F440" s="268" t="s">
        <v>683</v>
      </c>
      <c r="G440" s="158">
        <v>1</v>
      </c>
      <c r="J440" s="158">
        <v>1</v>
      </c>
      <c r="X440" s="35">
        <f t="shared" si="65"/>
        <v>45583</v>
      </c>
      <c r="Y440" s="35">
        <f t="shared" si="66"/>
        <v>45611</v>
      </c>
    </row>
    <row r="441" spans="1:25" ht="20.149999999999999" customHeight="1">
      <c r="A441" s="10">
        <f>SUBTOTAL(103,$B$4:B441)</f>
        <v>438</v>
      </c>
      <c r="B441" s="111">
        <v>45583</v>
      </c>
      <c r="C441" s="114" t="s">
        <v>779</v>
      </c>
      <c r="D441" s="3" t="str">
        <f>VLOOKUP(C441,'Location Summary'!$C$4:$D$602,2,0)</f>
        <v>DA+9</v>
      </c>
      <c r="E441" s="267" t="s">
        <v>403</v>
      </c>
      <c r="F441" s="268" t="s">
        <v>683</v>
      </c>
      <c r="K441" s="157">
        <v>1</v>
      </c>
      <c r="L441" s="156">
        <v>1</v>
      </c>
      <c r="Q441" s="157">
        <v>1</v>
      </c>
      <c r="R441" s="156">
        <v>1</v>
      </c>
      <c r="X441" s="35">
        <f t="shared" si="65"/>
        <v>45583</v>
      </c>
      <c r="Y441" s="35">
        <f t="shared" si="66"/>
        <v>45611</v>
      </c>
    </row>
    <row r="442" spans="1:25" ht="20.149999999999999" customHeight="1">
      <c r="A442" s="10">
        <f>SUBTOTAL(103,$B$4:B442)</f>
        <v>439</v>
      </c>
      <c r="B442" s="111">
        <v>45583</v>
      </c>
      <c r="C442" s="114" t="s">
        <v>258</v>
      </c>
      <c r="D442" s="3" t="str">
        <f>VLOOKUP(C442,'Location Summary'!$C$4:$D$602,2,0)</f>
        <v>DB1+9</v>
      </c>
      <c r="E442" s="267" t="s">
        <v>403</v>
      </c>
      <c r="F442" s="268" t="s">
        <v>683</v>
      </c>
      <c r="H442" s="157">
        <v>1</v>
      </c>
      <c r="I442" s="156">
        <v>1</v>
      </c>
      <c r="L442" s="156">
        <v>1</v>
      </c>
      <c r="X442" s="35">
        <f t="shared" si="65"/>
        <v>45583</v>
      </c>
      <c r="Y442" s="35">
        <f t="shared" si="66"/>
        <v>45611</v>
      </c>
    </row>
    <row r="443" spans="1:25" ht="20.149999999999999" customHeight="1">
      <c r="A443" s="10">
        <f>SUBTOTAL(103,$B$4:B443)</f>
        <v>440</v>
      </c>
      <c r="B443" s="111">
        <v>45583</v>
      </c>
      <c r="C443" s="114" t="s">
        <v>532</v>
      </c>
      <c r="D443" s="3" t="s">
        <v>2</v>
      </c>
      <c r="E443" s="267" t="s">
        <v>403</v>
      </c>
      <c r="F443" s="268" t="s">
        <v>683</v>
      </c>
      <c r="G443" s="158">
        <v>1</v>
      </c>
      <c r="J443" s="158">
        <v>1</v>
      </c>
      <c r="M443" s="158">
        <v>1</v>
      </c>
      <c r="P443" s="158">
        <v>1</v>
      </c>
      <c r="X443" s="35">
        <f t="shared" si="65"/>
        <v>45583</v>
      </c>
      <c r="Y443" s="35">
        <f t="shared" si="66"/>
        <v>45611</v>
      </c>
    </row>
    <row r="444" spans="1:25" ht="20.149999999999999" customHeight="1">
      <c r="A444" s="10">
        <f>SUBTOTAL(103,$B$4:B444)</f>
        <v>441</v>
      </c>
      <c r="B444" s="111">
        <v>45584</v>
      </c>
      <c r="C444" s="114" t="s">
        <v>469</v>
      </c>
      <c r="D444" s="3" t="str">
        <f>VLOOKUP(C444,'Location Summary'!$C$4:$D$602,2,0)</f>
        <v>DA+9</v>
      </c>
      <c r="E444" s="267" t="s">
        <v>403</v>
      </c>
      <c r="F444" s="268" t="s">
        <v>683</v>
      </c>
      <c r="H444" s="157">
        <v>1</v>
      </c>
      <c r="I444" s="156">
        <v>1</v>
      </c>
      <c r="K444" s="157">
        <v>1</v>
      </c>
      <c r="L444" s="156">
        <v>1</v>
      </c>
      <c r="N444" s="157">
        <v>1</v>
      </c>
      <c r="O444" s="156">
        <v>1</v>
      </c>
      <c r="Q444" s="157">
        <v>1</v>
      </c>
      <c r="R444" s="156">
        <v>1</v>
      </c>
      <c r="X444" s="35">
        <f t="shared" si="65"/>
        <v>45584</v>
      </c>
      <c r="Y444" s="35">
        <f t="shared" si="66"/>
        <v>45612</v>
      </c>
    </row>
    <row r="445" spans="1:25" ht="20.149999999999999" customHeight="1">
      <c r="A445" s="10">
        <f>SUBTOTAL(103,$B$4:B445)</f>
        <v>442</v>
      </c>
      <c r="B445" s="111">
        <v>45584</v>
      </c>
      <c r="C445" s="114" t="s">
        <v>431</v>
      </c>
      <c r="D445" s="3" t="str">
        <f>VLOOKUP(C445,'Location Summary'!$C$4:$D$602,2,0)</f>
        <v>DA+0</v>
      </c>
      <c r="E445" s="267" t="s">
        <v>403</v>
      </c>
      <c r="F445" s="268" t="s">
        <v>683</v>
      </c>
      <c r="M445" s="158">
        <v>1</v>
      </c>
      <c r="X445" s="35">
        <f t="shared" si="65"/>
        <v>45584</v>
      </c>
      <c r="Y445" s="35">
        <f t="shared" si="66"/>
        <v>45612</v>
      </c>
    </row>
    <row r="446" spans="1:25" ht="20.149999999999999" customHeight="1">
      <c r="A446" s="10">
        <f>SUBTOTAL(103,$B$4:B446)</f>
        <v>443</v>
      </c>
      <c r="B446" s="111">
        <v>45584</v>
      </c>
      <c r="C446" s="114" t="s">
        <v>569</v>
      </c>
      <c r="D446" s="3" t="str">
        <f>VLOOKUP(C446,'Location Summary'!$C$4:$D$602,2,0)</f>
        <v>DA+0</v>
      </c>
      <c r="E446" s="267" t="s">
        <v>403</v>
      </c>
      <c r="F446" s="268" t="s">
        <v>683</v>
      </c>
      <c r="H446" s="157">
        <v>1</v>
      </c>
      <c r="I446" s="156">
        <v>1</v>
      </c>
      <c r="K446" s="157">
        <v>1</v>
      </c>
      <c r="L446" s="156">
        <v>1</v>
      </c>
      <c r="X446" s="35">
        <f t="shared" si="65"/>
        <v>45584</v>
      </c>
      <c r="Y446" s="35">
        <f t="shared" si="66"/>
        <v>45612</v>
      </c>
    </row>
    <row r="447" spans="1:25" ht="20.149999999999999" customHeight="1">
      <c r="A447" s="10">
        <f>SUBTOTAL(103,$B$4:B447)</f>
        <v>444</v>
      </c>
      <c r="B447" s="111">
        <v>45584</v>
      </c>
      <c r="C447" s="114" t="s">
        <v>779</v>
      </c>
      <c r="D447" s="3" t="str">
        <f>VLOOKUP(C447,'Location Summary'!$C$4:$D$602,2,0)</f>
        <v>DA+9</v>
      </c>
      <c r="E447" s="267" t="s">
        <v>403</v>
      </c>
      <c r="F447" s="268" t="s">
        <v>683</v>
      </c>
      <c r="G447" s="158">
        <v>1</v>
      </c>
      <c r="X447" s="35">
        <f t="shared" si="65"/>
        <v>45584</v>
      </c>
      <c r="Y447" s="35">
        <f t="shared" si="66"/>
        <v>45612</v>
      </c>
    </row>
    <row r="448" spans="1:25" ht="20.149999999999999" customHeight="1">
      <c r="A448" s="10">
        <f>SUBTOTAL(103,$B$4:B448)</f>
        <v>445</v>
      </c>
      <c r="B448" s="111">
        <v>45584</v>
      </c>
      <c r="C448" s="114" t="s">
        <v>595</v>
      </c>
      <c r="D448" s="3" t="str">
        <f>VLOOKUP(C448,'Location Summary'!$C$4:$D$602,2,0)</f>
        <v>DA+6</v>
      </c>
      <c r="E448" s="267" t="s">
        <v>403</v>
      </c>
      <c r="F448" s="268" t="s">
        <v>683</v>
      </c>
      <c r="M448" s="158">
        <v>1</v>
      </c>
      <c r="P448" s="158">
        <v>1</v>
      </c>
      <c r="X448" s="35">
        <f t="shared" si="65"/>
        <v>45584</v>
      </c>
      <c r="Y448" s="35">
        <f t="shared" si="66"/>
        <v>45612</v>
      </c>
    </row>
    <row r="449" spans="1:25" ht="20.149999999999999" customHeight="1">
      <c r="A449" s="10">
        <f>SUBTOTAL(103,$B$4:B449)</f>
        <v>446</v>
      </c>
      <c r="B449" s="111">
        <v>45584</v>
      </c>
      <c r="C449" s="114" t="s">
        <v>532</v>
      </c>
      <c r="D449" s="3" t="s">
        <v>2</v>
      </c>
      <c r="E449" s="267" t="s">
        <v>403</v>
      </c>
      <c r="F449" s="268" t="s">
        <v>683</v>
      </c>
      <c r="H449" s="157">
        <v>1</v>
      </c>
      <c r="I449" s="156">
        <v>1</v>
      </c>
      <c r="K449" s="157">
        <v>1</v>
      </c>
      <c r="L449" s="156">
        <v>1</v>
      </c>
      <c r="N449" s="157">
        <v>1</v>
      </c>
      <c r="O449" s="156">
        <v>1</v>
      </c>
      <c r="Q449" s="157">
        <v>1</v>
      </c>
      <c r="R449" s="156">
        <v>1</v>
      </c>
      <c r="X449" s="35">
        <f t="shared" si="65"/>
        <v>45584</v>
      </c>
      <c r="Y449" s="35">
        <f t="shared" si="66"/>
        <v>45612</v>
      </c>
    </row>
    <row r="450" spans="1:25" ht="20.149999999999999" customHeight="1">
      <c r="A450" s="10">
        <f>SUBTOTAL(103,$B$4:B450)</f>
        <v>447</v>
      </c>
      <c r="B450" s="111">
        <v>45585</v>
      </c>
      <c r="C450" s="114" t="s">
        <v>431</v>
      </c>
      <c r="D450" s="3" t="str">
        <f>VLOOKUP(C450,'Location Summary'!$C$4:$D$602,2,0)</f>
        <v>DA+0</v>
      </c>
      <c r="E450" s="267" t="s">
        <v>403</v>
      </c>
      <c r="F450" s="268" t="s">
        <v>683</v>
      </c>
      <c r="G450" s="158">
        <v>1</v>
      </c>
      <c r="N450" s="157">
        <v>1</v>
      </c>
      <c r="X450" s="35">
        <f t="shared" si="65"/>
        <v>45585</v>
      </c>
      <c r="Y450" s="35">
        <f t="shared" si="66"/>
        <v>45613</v>
      </c>
    </row>
    <row r="451" spans="1:25" ht="20.149999999999999" customHeight="1">
      <c r="A451" s="10">
        <f>SUBTOTAL(103,$B$4:B451)</f>
        <v>448</v>
      </c>
      <c r="B451" s="111">
        <v>45585</v>
      </c>
      <c r="C451" s="114" t="s">
        <v>779</v>
      </c>
      <c r="D451" s="3" t="str">
        <f>VLOOKUP(C451,'Location Summary'!$C$4:$D$602,2,0)</f>
        <v>DA+9</v>
      </c>
      <c r="E451" s="267" t="s">
        <v>403</v>
      </c>
      <c r="F451" s="268" t="s">
        <v>683</v>
      </c>
      <c r="H451" s="157">
        <v>1</v>
      </c>
      <c r="M451" s="158">
        <v>1</v>
      </c>
      <c r="X451" s="35">
        <f t="shared" si="65"/>
        <v>45585</v>
      </c>
      <c r="Y451" s="35">
        <f t="shared" si="66"/>
        <v>45613</v>
      </c>
    </row>
    <row r="452" spans="1:25" ht="20.149999999999999" customHeight="1">
      <c r="A452" s="10">
        <f>SUBTOTAL(103,$B$4:B452)</f>
        <v>449</v>
      </c>
      <c r="B452" s="111">
        <v>45585</v>
      </c>
      <c r="C452" s="114" t="s">
        <v>595</v>
      </c>
      <c r="D452" s="3" t="str">
        <f>VLOOKUP(C452,'Location Summary'!$C$4:$D$602,2,0)</f>
        <v>DA+6</v>
      </c>
      <c r="E452" s="267" t="s">
        <v>403</v>
      </c>
      <c r="F452" s="268" t="s">
        <v>683</v>
      </c>
      <c r="N452" s="157">
        <v>1</v>
      </c>
      <c r="O452" s="156">
        <v>1</v>
      </c>
      <c r="Q452" s="157">
        <v>1</v>
      </c>
      <c r="R452" s="156">
        <v>1</v>
      </c>
      <c r="X452" s="35">
        <f t="shared" si="65"/>
        <v>45585</v>
      </c>
      <c r="Y452" s="35">
        <f t="shared" si="66"/>
        <v>45613</v>
      </c>
    </row>
    <row r="453" spans="1:25" ht="20.149999999999999" customHeight="1">
      <c r="A453" s="10">
        <f>SUBTOTAL(103,$B$4:B453)</f>
        <v>450</v>
      </c>
      <c r="B453" s="111">
        <v>45586</v>
      </c>
      <c r="C453" s="114" t="s">
        <v>431</v>
      </c>
      <c r="D453" s="3" t="str">
        <f>VLOOKUP(C453,'Location Summary'!$C$4:$D$602,2,0)</f>
        <v>DA+0</v>
      </c>
      <c r="E453" s="267" t="s">
        <v>403</v>
      </c>
      <c r="F453" s="268" t="s">
        <v>683</v>
      </c>
      <c r="H453" s="157">
        <v>1</v>
      </c>
      <c r="O453" s="156">
        <v>1</v>
      </c>
      <c r="X453" s="35">
        <f t="shared" si="65"/>
        <v>45586</v>
      </c>
      <c r="Y453" s="35">
        <f t="shared" si="66"/>
        <v>45614</v>
      </c>
    </row>
    <row r="454" spans="1:25" ht="20.149999999999999" customHeight="1">
      <c r="A454" s="10">
        <f>SUBTOTAL(103,$B$4:B454)</f>
        <v>451</v>
      </c>
      <c r="B454" s="111">
        <v>45586</v>
      </c>
      <c r="C454" s="114" t="s">
        <v>569</v>
      </c>
      <c r="D454" s="3" t="str">
        <f>VLOOKUP(C454,'Location Summary'!$C$4:$D$602,2,0)</f>
        <v>DA+0</v>
      </c>
      <c r="E454" s="267" t="s">
        <v>403</v>
      </c>
      <c r="F454" s="268" t="s">
        <v>683</v>
      </c>
      <c r="M454" s="158">
        <v>1</v>
      </c>
      <c r="P454" s="158">
        <v>1</v>
      </c>
      <c r="Q454" s="157">
        <v>1</v>
      </c>
      <c r="X454" s="35">
        <f t="shared" si="65"/>
        <v>45586</v>
      </c>
      <c r="Y454" s="35">
        <f t="shared" si="66"/>
        <v>45614</v>
      </c>
    </row>
    <row r="455" spans="1:25" ht="20.149999999999999" customHeight="1">
      <c r="A455" s="10">
        <f>SUBTOTAL(103,$B$4:B455)</f>
        <v>452</v>
      </c>
      <c r="B455" s="111">
        <v>45586</v>
      </c>
      <c r="C455" s="114" t="s">
        <v>779</v>
      </c>
      <c r="D455" s="3" t="str">
        <f>VLOOKUP(C455,'Location Summary'!$C$4:$D$602,2,0)</f>
        <v>DA+9</v>
      </c>
      <c r="E455" s="267" t="s">
        <v>403</v>
      </c>
      <c r="F455" s="268" t="s">
        <v>683</v>
      </c>
      <c r="I455" s="156">
        <v>1</v>
      </c>
      <c r="N455" s="157">
        <v>1</v>
      </c>
      <c r="O455" s="156">
        <v>1</v>
      </c>
      <c r="X455" s="35">
        <f t="shared" si="65"/>
        <v>45586</v>
      </c>
      <c r="Y455" s="35">
        <f t="shared" si="66"/>
        <v>45614</v>
      </c>
    </row>
    <row r="456" spans="1:25" ht="20.149999999999999" customHeight="1">
      <c r="A456" s="10">
        <f>SUBTOTAL(103,$B$4:B456)</f>
        <v>453</v>
      </c>
      <c r="B456" s="111">
        <v>45586</v>
      </c>
      <c r="C456" s="114" t="s">
        <v>461</v>
      </c>
      <c r="D456" s="3" t="str">
        <f>VLOOKUP(C456,'Location Summary'!$C$4:$D$602,2,0)</f>
        <v>DA+6</v>
      </c>
      <c r="E456" s="267" t="s">
        <v>403</v>
      </c>
      <c r="F456" s="268" t="s">
        <v>683</v>
      </c>
      <c r="G456" s="158">
        <v>1</v>
      </c>
      <c r="P456" s="158">
        <v>1</v>
      </c>
      <c r="X456" s="35">
        <f t="shared" si="65"/>
        <v>45586</v>
      </c>
      <c r="Y456" s="35">
        <f t="shared" si="66"/>
        <v>45614</v>
      </c>
    </row>
    <row r="457" spans="1:25" ht="20.149999999999999" customHeight="1">
      <c r="A457" s="10">
        <f>SUBTOTAL(103,$B$4:B457)</f>
        <v>454</v>
      </c>
      <c r="B457" s="111">
        <v>45586</v>
      </c>
      <c r="C457" s="114" t="s">
        <v>595</v>
      </c>
      <c r="D457" s="3" t="str">
        <f>VLOOKUP(C457,'Location Summary'!$C$4:$D$602,2,0)</f>
        <v>DA+6</v>
      </c>
      <c r="E457" s="267" t="s">
        <v>403</v>
      </c>
      <c r="F457" s="268" t="s">
        <v>683</v>
      </c>
      <c r="G457" s="158">
        <v>1</v>
      </c>
      <c r="H457" s="157">
        <v>1</v>
      </c>
      <c r="X457" s="35">
        <f t="shared" si="65"/>
        <v>45586</v>
      </c>
      <c r="Y457" s="35">
        <f t="shared" si="66"/>
        <v>45614</v>
      </c>
    </row>
    <row r="458" spans="1:25" ht="20.149999999999999" customHeight="1">
      <c r="A458" s="10">
        <f>SUBTOTAL(103,$B$4:B458)</f>
        <v>455</v>
      </c>
      <c r="B458" s="111">
        <v>45586</v>
      </c>
      <c r="C458" s="114" t="s">
        <v>531</v>
      </c>
      <c r="D458" s="3" t="s">
        <v>2</v>
      </c>
      <c r="E458" s="267" t="s">
        <v>403</v>
      </c>
      <c r="F458" s="268" t="s">
        <v>683</v>
      </c>
      <c r="G458" s="158">
        <v>1</v>
      </c>
      <c r="J458" s="158">
        <v>1</v>
      </c>
      <c r="M458" s="158">
        <v>1</v>
      </c>
      <c r="P458" s="158">
        <v>1</v>
      </c>
      <c r="X458" s="35">
        <f t="shared" si="65"/>
        <v>45586</v>
      </c>
      <c r="Y458" s="35">
        <f t="shared" si="66"/>
        <v>45614</v>
      </c>
    </row>
    <row r="459" spans="1:25" ht="20.149999999999999" customHeight="1">
      <c r="A459" s="10">
        <f>SUBTOTAL(103,$B$4:B459)</f>
        <v>456</v>
      </c>
      <c r="B459" s="111">
        <v>45587</v>
      </c>
      <c r="C459" s="114" t="s">
        <v>431</v>
      </c>
      <c r="D459" s="3" t="str">
        <f>VLOOKUP(C459,'Location Summary'!$C$4:$D$602,2,0)</f>
        <v>DA+0</v>
      </c>
      <c r="E459" s="267" t="s">
        <v>403</v>
      </c>
      <c r="F459" s="268" t="s">
        <v>683</v>
      </c>
      <c r="I459" s="156">
        <v>1</v>
      </c>
      <c r="J459" s="158">
        <v>1</v>
      </c>
      <c r="X459" s="35">
        <f t="shared" si="65"/>
        <v>45587</v>
      </c>
      <c r="Y459" s="35">
        <f t="shared" si="66"/>
        <v>45615</v>
      </c>
    </row>
    <row r="460" spans="1:25" ht="20.149999999999999" customHeight="1">
      <c r="A460" s="10">
        <f>SUBTOTAL(103,$B$4:B460)</f>
        <v>457</v>
      </c>
      <c r="B460" s="111">
        <v>45587</v>
      </c>
      <c r="C460" s="114" t="s">
        <v>569</v>
      </c>
      <c r="D460" s="3" t="str">
        <f>VLOOKUP(C460,'Location Summary'!$C$4:$D$602,2,0)</f>
        <v>DA+0</v>
      </c>
      <c r="E460" s="267" t="s">
        <v>403</v>
      </c>
      <c r="F460" s="268" t="s">
        <v>683</v>
      </c>
      <c r="N460" s="157">
        <v>1</v>
      </c>
      <c r="O460" s="156">
        <v>1</v>
      </c>
      <c r="R460" s="156">
        <v>1</v>
      </c>
      <c r="X460" s="35">
        <f t="shared" si="65"/>
        <v>45587</v>
      </c>
      <c r="Y460" s="35">
        <f t="shared" si="66"/>
        <v>45615</v>
      </c>
    </row>
    <row r="461" spans="1:25" ht="20.149999999999999" customHeight="1">
      <c r="A461" s="10">
        <f>SUBTOTAL(103,$B$4:B461)</f>
        <v>458</v>
      </c>
      <c r="B461" s="111">
        <v>45587</v>
      </c>
      <c r="C461" s="114" t="s">
        <v>461</v>
      </c>
      <c r="D461" s="3" t="str">
        <f>VLOOKUP(C461,'Location Summary'!$C$4:$D$602,2,0)</f>
        <v>DA+6</v>
      </c>
      <c r="E461" s="267" t="s">
        <v>403</v>
      </c>
      <c r="F461" s="268" t="s">
        <v>683</v>
      </c>
      <c r="H461" s="157">
        <v>1</v>
      </c>
      <c r="I461" s="156">
        <v>1</v>
      </c>
      <c r="J461" s="158">
        <v>1</v>
      </c>
      <c r="M461" s="158">
        <v>1</v>
      </c>
      <c r="X461" s="35">
        <f t="shared" si="65"/>
        <v>45587</v>
      </c>
      <c r="Y461" s="35">
        <f t="shared" si="66"/>
        <v>45615</v>
      </c>
    </row>
    <row r="462" spans="1:25" ht="20.149999999999999" customHeight="1">
      <c r="A462" s="10">
        <f>SUBTOTAL(103,$B$4:B462)</f>
        <v>459</v>
      </c>
      <c r="B462" s="111">
        <v>45587</v>
      </c>
      <c r="C462" s="114" t="s">
        <v>595</v>
      </c>
      <c r="D462" s="3" t="str">
        <f>VLOOKUP(C462,'Location Summary'!$C$4:$D$602,2,0)</f>
        <v>DA+6</v>
      </c>
      <c r="E462" s="267" t="s">
        <v>403</v>
      </c>
      <c r="F462" s="268" t="s">
        <v>683</v>
      </c>
      <c r="I462" s="156">
        <v>1</v>
      </c>
      <c r="X462" s="35">
        <f t="shared" si="65"/>
        <v>45587</v>
      </c>
      <c r="Y462" s="35">
        <f t="shared" si="66"/>
        <v>45615</v>
      </c>
    </row>
    <row r="463" spans="1:25" ht="20.149999999999999" customHeight="1">
      <c r="A463" s="10">
        <f>SUBTOTAL(103,$B$4:B463)</f>
        <v>460</v>
      </c>
      <c r="B463" s="111">
        <v>45587</v>
      </c>
      <c r="C463" s="114" t="s">
        <v>531</v>
      </c>
      <c r="D463" s="3" t="s">
        <v>2</v>
      </c>
      <c r="E463" s="267" t="s">
        <v>403</v>
      </c>
      <c r="F463" s="268" t="s">
        <v>683</v>
      </c>
      <c r="H463" s="157">
        <v>1</v>
      </c>
      <c r="I463" s="156">
        <v>1</v>
      </c>
      <c r="K463" s="157">
        <v>1</v>
      </c>
      <c r="L463" s="156">
        <v>1</v>
      </c>
      <c r="N463" s="157">
        <v>1</v>
      </c>
      <c r="O463" s="156">
        <v>1</v>
      </c>
      <c r="Q463" s="157">
        <v>1</v>
      </c>
      <c r="R463" s="156">
        <v>1</v>
      </c>
      <c r="X463" s="35">
        <f t="shared" si="65"/>
        <v>45587</v>
      </c>
      <c r="Y463" s="35">
        <f t="shared" si="66"/>
        <v>45615</v>
      </c>
    </row>
    <row r="464" spans="1:25" ht="20.149999999999999" customHeight="1">
      <c r="A464" s="10">
        <f>SUBTOTAL(103,$B$4:B464)</f>
        <v>461</v>
      </c>
      <c r="B464" s="111">
        <v>45588</v>
      </c>
      <c r="C464" s="114" t="s">
        <v>572</v>
      </c>
      <c r="D464" s="3" t="str">
        <f>VLOOKUP(C464,'Location Summary'!$C$4:$D$602,2,0)</f>
        <v>DA+3</v>
      </c>
      <c r="E464" s="267" t="s">
        <v>403</v>
      </c>
      <c r="F464" s="268" t="s">
        <v>311</v>
      </c>
      <c r="J464" s="158">
        <v>1</v>
      </c>
      <c r="M464" s="158">
        <v>1</v>
      </c>
      <c r="X464" s="35">
        <f t="shared" si="65"/>
        <v>45588</v>
      </c>
      <c r="Y464" s="35">
        <f t="shared" si="66"/>
        <v>45616</v>
      </c>
    </row>
    <row r="465" spans="1:25" ht="20.149999999999999" customHeight="1">
      <c r="A465" s="10">
        <f>SUBTOTAL(103,$B$4:B465)</f>
        <v>462</v>
      </c>
      <c r="B465" s="111">
        <v>45588</v>
      </c>
      <c r="C465" s="114" t="s">
        <v>461</v>
      </c>
      <c r="D465" s="3" t="str">
        <f>VLOOKUP(C465,'Location Summary'!$C$4:$D$602,2,0)</f>
        <v>DA+6</v>
      </c>
      <c r="E465" s="267" t="s">
        <v>403</v>
      </c>
      <c r="F465" s="268" t="s">
        <v>683</v>
      </c>
      <c r="K465" s="157">
        <v>1</v>
      </c>
      <c r="L465" s="156">
        <v>1</v>
      </c>
      <c r="N465" s="157">
        <v>1</v>
      </c>
      <c r="O465" s="156">
        <v>1</v>
      </c>
      <c r="Q465" s="157">
        <v>1</v>
      </c>
      <c r="R465" s="156">
        <v>1</v>
      </c>
      <c r="X465" s="35">
        <f t="shared" si="65"/>
        <v>45588</v>
      </c>
      <c r="Y465" s="35">
        <f t="shared" si="66"/>
        <v>45616</v>
      </c>
    </row>
    <row r="466" spans="1:25" ht="20.149999999999999" customHeight="1">
      <c r="A466" s="10">
        <f>SUBTOTAL(103,$B$4:B466)</f>
        <v>463</v>
      </c>
      <c r="B466" s="111">
        <v>45588</v>
      </c>
      <c r="C466" s="114" t="s">
        <v>596</v>
      </c>
      <c r="D466" s="3" t="str">
        <f>VLOOKUP(C466,'Location Summary'!$C$4:$D$602,2,0)</f>
        <v>DA+1.5</v>
      </c>
      <c r="E466" s="267" t="s">
        <v>403</v>
      </c>
      <c r="F466" s="268" t="s">
        <v>683</v>
      </c>
      <c r="G466" s="158">
        <v>1</v>
      </c>
      <c r="X466" s="35">
        <f t="shared" si="65"/>
        <v>45588</v>
      </c>
      <c r="Y466" s="35">
        <f t="shared" si="66"/>
        <v>45616</v>
      </c>
    </row>
    <row r="467" spans="1:25" ht="20.149999999999999" customHeight="1">
      <c r="A467" s="10">
        <f>SUBTOTAL(103,$B$4:B467)</f>
        <v>464</v>
      </c>
      <c r="B467" s="111">
        <v>45588</v>
      </c>
      <c r="C467" s="114" t="s">
        <v>780</v>
      </c>
      <c r="D467" s="3" t="str">
        <f>VLOOKUP(C467,'Location Summary'!$C$4:$D$602,2,0)</f>
        <v>DA+3</v>
      </c>
      <c r="E467" s="267" t="s">
        <v>403</v>
      </c>
      <c r="F467" s="268" t="s">
        <v>683</v>
      </c>
      <c r="G467" s="158">
        <v>1</v>
      </c>
      <c r="J467" s="158">
        <v>1</v>
      </c>
      <c r="M467" s="158">
        <v>1</v>
      </c>
      <c r="N467" s="157">
        <v>1</v>
      </c>
      <c r="X467" s="35">
        <f t="shared" si="65"/>
        <v>45588</v>
      </c>
      <c r="Y467" s="35">
        <f t="shared" si="66"/>
        <v>45616</v>
      </c>
    </row>
    <row r="468" spans="1:25" ht="20.149999999999999" customHeight="1">
      <c r="A468" s="10">
        <f>SUBTOTAL(103,$B$4:B468)</f>
        <v>465</v>
      </c>
      <c r="B468" s="111">
        <v>45589</v>
      </c>
      <c r="C468" s="114" t="s">
        <v>431</v>
      </c>
      <c r="D468" s="3" t="str">
        <f>VLOOKUP(C468,'Location Summary'!$C$4:$D$602,2,0)</f>
        <v>DA+0</v>
      </c>
      <c r="E468" s="267" t="s">
        <v>403</v>
      </c>
      <c r="F468" s="268" t="s">
        <v>683</v>
      </c>
      <c r="K468" s="157">
        <v>1</v>
      </c>
      <c r="L468" s="156">
        <v>1</v>
      </c>
      <c r="P468" s="158">
        <v>1</v>
      </c>
      <c r="Q468" s="157">
        <v>1</v>
      </c>
      <c r="X468" s="35">
        <f t="shared" si="65"/>
        <v>45589</v>
      </c>
      <c r="Y468" s="35">
        <f t="shared" si="66"/>
        <v>45617</v>
      </c>
    </row>
    <row r="469" spans="1:25" ht="20.149999999999999" customHeight="1">
      <c r="A469" s="10">
        <f>SUBTOTAL(103,$B$4:B469)</f>
        <v>466</v>
      </c>
      <c r="B469" s="111">
        <v>45589</v>
      </c>
      <c r="C469" s="114" t="s">
        <v>572</v>
      </c>
      <c r="D469" s="3" t="str">
        <f>VLOOKUP(C469,'Location Summary'!$C$4:$D$602,2,0)</f>
        <v>DA+3</v>
      </c>
      <c r="E469" s="267" t="s">
        <v>403</v>
      </c>
      <c r="F469" s="268" t="s">
        <v>311</v>
      </c>
      <c r="K469" s="157">
        <v>1</v>
      </c>
      <c r="N469" s="157">
        <v>1</v>
      </c>
      <c r="P469" s="158">
        <v>1</v>
      </c>
      <c r="X469" s="35">
        <f t="shared" si="65"/>
        <v>45589</v>
      </c>
      <c r="Y469" s="35">
        <f t="shared" si="66"/>
        <v>45617</v>
      </c>
    </row>
    <row r="470" spans="1:25" ht="20.149999999999999" customHeight="1">
      <c r="A470" s="10">
        <f>SUBTOTAL(103,$B$4:B470)</f>
        <v>467</v>
      </c>
      <c r="B470" s="111">
        <v>45589</v>
      </c>
      <c r="C470" s="114" t="s">
        <v>780</v>
      </c>
      <c r="D470" s="3" t="str">
        <f>VLOOKUP(C470,'Location Summary'!$C$4:$D$602,2,0)</f>
        <v>DA+3</v>
      </c>
      <c r="E470" s="267" t="s">
        <v>403</v>
      </c>
      <c r="F470" s="268" t="s">
        <v>683</v>
      </c>
      <c r="H470" s="157">
        <v>1</v>
      </c>
      <c r="I470" s="156">
        <v>1</v>
      </c>
      <c r="O470" s="156">
        <v>1</v>
      </c>
      <c r="P470" s="158">
        <v>1</v>
      </c>
      <c r="X470" s="35">
        <f t="shared" si="65"/>
        <v>45589</v>
      </c>
      <c r="Y470" s="35">
        <f t="shared" si="66"/>
        <v>45617</v>
      </c>
    </row>
    <row r="471" spans="1:25" ht="20.149999999999999" customHeight="1">
      <c r="A471" s="10">
        <f>SUBTOTAL(103,$B$4:B471)</f>
        <v>468</v>
      </c>
      <c r="B471" s="111">
        <v>45589</v>
      </c>
      <c r="C471" s="114" t="s">
        <v>596</v>
      </c>
      <c r="D471" s="3" t="str">
        <f>VLOOKUP(C471,'Location Summary'!$C$4:$D$602,2,0)</f>
        <v>DA+1.5</v>
      </c>
      <c r="E471" s="267" t="s">
        <v>403</v>
      </c>
      <c r="F471" s="268" t="s">
        <v>683</v>
      </c>
      <c r="H471" s="157">
        <v>1</v>
      </c>
      <c r="I471" s="156">
        <v>1</v>
      </c>
      <c r="J471" s="158">
        <v>1</v>
      </c>
      <c r="X471" s="35">
        <f t="shared" si="65"/>
        <v>45589</v>
      </c>
      <c r="Y471" s="35">
        <f t="shared" si="66"/>
        <v>45617</v>
      </c>
    </row>
    <row r="472" spans="1:25" ht="20.149999999999999" customHeight="1">
      <c r="A472" s="10">
        <f>SUBTOTAL(103,$B$4:B472)</f>
        <v>469</v>
      </c>
      <c r="B472" s="111">
        <v>45590</v>
      </c>
      <c r="C472" s="114" t="s">
        <v>431</v>
      </c>
      <c r="D472" s="3" t="str">
        <f>VLOOKUP(C472,'Location Summary'!$C$4:$D$602,2,0)</f>
        <v>DA+0</v>
      </c>
      <c r="E472" s="267" t="s">
        <v>403</v>
      </c>
      <c r="F472" s="268" t="s">
        <v>683</v>
      </c>
      <c r="R472" s="156">
        <v>1</v>
      </c>
      <c r="X472" s="35">
        <f t="shared" si="65"/>
        <v>45590</v>
      </c>
      <c r="Y472" s="35">
        <f t="shared" si="66"/>
        <v>45618</v>
      </c>
    </row>
    <row r="473" spans="1:25" ht="20.149999999999999" customHeight="1">
      <c r="A473" s="10">
        <f>SUBTOTAL(103,$B$4:B473)</f>
        <v>470</v>
      </c>
      <c r="B473" s="111">
        <v>45590</v>
      </c>
      <c r="C473" s="114" t="s">
        <v>572</v>
      </c>
      <c r="D473" s="3" t="str">
        <f>VLOOKUP(C473,'Location Summary'!$C$4:$D$602,2,0)</f>
        <v>DA+3</v>
      </c>
      <c r="E473" s="267" t="s">
        <v>403</v>
      </c>
      <c r="F473" s="268" t="s">
        <v>683</v>
      </c>
      <c r="G473" s="158">
        <v>1</v>
      </c>
      <c r="H473" s="157">
        <v>1</v>
      </c>
      <c r="I473" s="156">
        <v>1</v>
      </c>
      <c r="L473" s="156">
        <v>1</v>
      </c>
      <c r="O473" s="156">
        <v>1</v>
      </c>
      <c r="R473" s="156">
        <v>1</v>
      </c>
      <c r="X473" s="35">
        <f t="shared" si="65"/>
        <v>45590</v>
      </c>
      <c r="Y473" s="35">
        <f t="shared" si="66"/>
        <v>45618</v>
      </c>
    </row>
    <row r="474" spans="1:25" ht="20.149999999999999" customHeight="1">
      <c r="A474" s="10">
        <f>SUBTOTAL(103,$B$4:B474)</f>
        <v>471</v>
      </c>
      <c r="B474" s="111">
        <v>45590</v>
      </c>
      <c r="C474" s="114" t="s">
        <v>780</v>
      </c>
      <c r="D474" s="3" t="str">
        <f>VLOOKUP(C474,'Location Summary'!$C$4:$D$602,2,0)</f>
        <v>DA+3</v>
      </c>
      <c r="E474" s="267" t="s">
        <v>403</v>
      </c>
      <c r="F474" s="268" t="s">
        <v>683</v>
      </c>
      <c r="L474" s="156">
        <v>1</v>
      </c>
      <c r="Q474" s="157">
        <v>1</v>
      </c>
      <c r="R474" s="156">
        <v>1</v>
      </c>
      <c r="X474" s="35">
        <f t="shared" si="65"/>
        <v>45590</v>
      </c>
      <c r="Y474" s="35">
        <f t="shared" si="66"/>
        <v>45618</v>
      </c>
    </row>
    <row r="475" spans="1:25" ht="20.149999999999999" customHeight="1">
      <c r="A475" s="10">
        <f>SUBTOTAL(103,$B$4:B475)</f>
        <v>472</v>
      </c>
      <c r="B475" s="111">
        <v>45590</v>
      </c>
      <c r="C475" s="114" t="s">
        <v>596</v>
      </c>
      <c r="D475" s="3" t="str">
        <f>VLOOKUP(C475,'Location Summary'!$C$4:$D$602,2,0)</f>
        <v>DA+1.5</v>
      </c>
      <c r="E475" s="267" t="s">
        <v>403</v>
      </c>
      <c r="F475" s="268" t="s">
        <v>683</v>
      </c>
      <c r="K475" s="157">
        <v>1</v>
      </c>
      <c r="L475" s="156">
        <v>1</v>
      </c>
      <c r="P475" s="158">
        <v>1</v>
      </c>
      <c r="X475" s="35">
        <f t="shared" ref="X475:X481" si="67">B475</f>
        <v>45590</v>
      </c>
      <c r="Y475" s="35">
        <f t="shared" ref="Y475:Y481" si="68">B475+28</f>
        <v>45618</v>
      </c>
    </row>
    <row r="476" spans="1:25" ht="20.149999999999999" customHeight="1">
      <c r="A476" s="10">
        <f>SUBTOTAL(103,$B$4:B476)</f>
        <v>473</v>
      </c>
      <c r="B476" s="111">
        <v>45591</v>
      </c>
      <c r="C476" s="114" t="s">
        <v>778</v>
      </c>
      <c r="D476" s="3" t="str">
        <f>VLOOKUP(C476,'Location Summary'!$C$4:$D$602,2,0)</f>
        <v>DA+3</v>
      </c>
      <c r="E476" s="267" t="s">
        <v>403</v>
      </c>
      <c r="F476" s="268" t="s">
        <v>683</v>
      </c>
      <c r="P476" s="158">
        <v>1</v>
      </c>
      <c r="X476" s="35">
        <f t="shared" si="67"/>
        <v>45591</v>
      </c>
      <c r="Y476" s="35">
        <f t="shared" si="68"/>
        <v>45619</v>
      </c>
    </row>
    <row r="477" spans="1:25" ht="20.149999999999999" customHeight="1">
      <c r="A477" s="10">
        <f>SUBTOTAL(103,$B$4:B477)</f>
        <v>474</v>
      </c>
      <c r="B477" s="111">
        <v>45591</v>
      </c>
      <c r="C477" s="114" t="s">
        <v>596</v>
      </c>
      <c r="D477" s="3" t="str">
        <f>VLOOKUP(C477,'Location Summary'!$C$4:$D$602,2,0)</f>
        <v>DA+1.5</v>
      </c>
      <c r="E477" s="267" t="s">
        <v>403</v>
      </c>
      <c r="F477" s="268" t="s">
        <v>683</v>
      </c>
      <c r="M477" s="158">
        <v>1</v>
      </c>
      <c r="Q477" s="157">
        <v>1</v>
      </c>
      <c r="R477" s="156">
        <v>1</v>
      </c>
      <c r="X477" s="35">
        <f t="shared" si="67"/>
        <v>45591</v>
      </c>
      <c r="Y477" s="35">
        <f t="shared" si="68"/>
        <v>45619</v>
      </c>
    </row>
    <row r="478" spans="1:25" ht="20.149999999999999" customHeight="1">
      <c r="A478" s="10">
        <f>SUBTOTAL(103,$B$4:B478)</f>
        <v>475</v>
      </c>
      <c r="B478" s="111">
        <v>45591</v>
      </c>
      <c r="C478" s="114" t="s">
        <v>529</v>
      </c>
      <c r="D478" s="3" t="s">
        <v>79</v>
      </c>
      <c r="E478" s="267" t="s">
        <v>403</v>
      </c>
      <c r="F478" s="268" t="s">
        <v>683</v>
      </c>
      <c r="M478" s="158">
        <v>1</v>
      </c>
      <c r="P478" s="158">
        <v>1</v>
      </c>
      <c r="X478" s="35">
        <f t="shared" si="67"/>
        <v>45591</v>
      </c>
      <c r="Y478" s="35">
        <f t="shared" si="68"/>
        <v>45619</v>
      </c>
    </row>
    <row r="479" spans="1:25" ht="20.149999999999999" customHeight="1">
      <c r="A479" s="10">
        <f>SUBTOTAL(103,$B$4:B479)</f>
        <v>476</v>
      </c>
      <c r="B479" s="111">
        <v>45592</v>
      </c>
      <c r="C479" s="114" t="s">
        <v>898</v>
      </c>
      <c r="D479" s="3" t="str">
        <f>VLOOKUP(C479,'Location Summary'!$C$4:$D$602,2,0)</f>
        <v>DB1+0</v>
      </c>
      <c r="E479" s="267" t="s">
        <v>403</v>
      </c>
      <c r="F479" s="268" t="s">
        <v>683</v>
      </c>
      <c r="G479" s="158">
        <v>1</v>
      </c>
      <c r="X479" s="35">
        <f t="shared" si="67"/>
        <v>45592</v>
      </c>
      <c r="Y479" s="35">
        <f t="shared" si="68"/>
        <v>45620</v>
      </c>
    </row>
    <row r="480" spans="1:25" ht="20.149999999999999" customHeight="1">
      <c r="A480" s="10">
        <f>SUBTOTAL(103,$B$4:B480)</f>
        <v>477</v>
      </c>
      <c r="B480" s="111">
        <v>45592</v>
      </c>
      <c r="C480" s="114" t="s">
        <v>778</v>
      </c>
      <c r="D480" s="3" t="str">
        <f>VLOOKUP(C480,'Location Summary'!$C$4:$D$602,2,0)</f>
        <v>DA+3</v>
      </c>
      <c r="E480" s="267" t="s">
        <v>403</v>
      </c>
      <c r="F480" s="268" t="s">
        <v>683</v>
      </c>
      <c r="G480" s="158">
        <v>1</v>
      </c>
      <c r="Q480" s="157">
        <v>1</v>
      </c>
      <c r="R480" s="156">
        <v>1</v>
      </c>
      <c r="X480" s="35">
        <f t="shared" si="67"/>
        <v>45592</v>
      </c>
      <c r="Y480" s="35">
        <f t="shared" si="68"/>
        <v>45620</v>
      </c>
    </row>
    <row r="481" spans="1:25" ht="20.149999999999999" customHeight="1">
      <c r="A481" s="10">
        <f>SUBTOTAL(103,$B$4:B481)</f>
        <v>478</v>
      </c>
      <c r="B481" s="111">
        <v>45592</v>
      </c>
      <c r="C481" s="114" t="s">
        <v>596</v>
      </c>
      <c r="D481" s="3" t="str">
        <f>VLOOKUP(C481,'Location Summary'!$C$4:$D$602,2,0)</f>
        <v>DA+1.5</v>
      </c>
      <c r="E481" s="267" t="s">
        <v>403</v>
      </c>
      <c r="F481" s="268" t="s">
        <v>683</v>
      </c>
      <c r="N481" s="157">
        <v>1</v>
      </c>
      <c r="O481" s="156">
        <v>1</v>
      </c>
      <c r="X481" s="35">
        <f t="shared" si="67"/>
        <v>45592</v>
      </c>
      <c r="Y481" s="35">
        <f t="shared" si="68"/>
        <v>45620</v>
      </c>
    </row>
    <row r="482" spans="1:25" ht="20.149999999999999" customHeight="1">
      <c r="A482" s="10">
        <f>SUBTOTAL(103,$B$4:B482)</f>
        <v>479</v>
      </c>
      <c r="B482" s="111">
        <v>45593</v>
      </c>
      <c r="C482" s="114" t="s">
        <v>898</v>
      </c>
      <c r="D482" s="3" t="str">
        <f>VLOOKUP(C482,'Location Summary'!$C$4:$D$602,2,0)</f>
        <v>DB1+0</v>
      </c>
      <c r="E482" s="267" t="s">
        <v>403</v>
      </c>
      <c r="F482" s="268" t="s">
        <v>683</v>
      </c>
      <c r="H482" s="157">
        <v>1</v>
      </c>
      <c r="X482" s="35">
        <f t="shared" ref="X482:X499" si="69">B482</f>
        <v>45593</v>
      </c>
      <c r="Y482" s="35">
        <f t="shared" ref="Y482:Y499" si="70">B482+28</f>
        <v>45621</v>
      </c>
    </row>
    <row r="483" spans="1:25" ht="20.149999999999999" customHeight="1">
      <c r="A483" s="10">
        <f>SUBTOTAL(103,$B$4:B483)</f>
        <v>480</v>
      </c>
      <c r="B483" s="111">
        <v>45593</v>
      </c>
      <c r="C483" s="114" t="s">
        <v>778</v>
      </c>
      <c r="D483" s="3" t="str">
        <f>VLOOKUP(C483,'Location Summary'!$C$4:$D$602,2,0)</f>
        <v>DA+3</v>
      </c>
      <c r="E483" s="267" t="s">
        <v>403</v>
      </c>
      <c r="F483" s="268" t="s">
        <v>683</v>
      </c>
      <c r="H483" s="157">
        <v>1</v>
      </c>
      <c r="I483" s="156">
        <v>1</v>
      </c>
      <c r="M483" s="158">
        <v>1</v>
      </c>
      <c r="X483" s="35">
        <f t="shared" si="69"/>
        <v>45593</v>
      </c>
      <c r="Y483" s="35">
        <f t="shared" si="70"/>
        <v>45621</v>
      </c>
    </row>
    <row r="484" spans="1:25" ht="20.149999999999999" customHeight="1">
      <c r="A484" s="10">
        <f>SUBTOTAL(103,$B$4:B484)</f>
        <v>481</v>
      </c>
      <c r="B484" s="111">
        <v>45593</v>
      </c>
      <c r="C484" s="114" t="s">
        <v>472</v>
      </c>
      <c r="D484" s="3" t="str">
        <f>VLOOKUP(C484,'Location Summary'!$C$4:$D$602,2,0)</f>
        <v>DA+3</v>
      </c>
      <c r="E484" s="267" t="s">
        <v>403</v>
      </c>
      <c r="F484" s="268" t="s">
        <v>683</v>
      </c>
      <c r="M484" s="158">
        <v>1</v>
      </c>
      <c r="P484" s="158">
        <v>1</v>
      </c>
      <c r="X484" s="35">
        <f t="shared" si="69"/>
        <v>45593</v>
      </c>
      <c r="Y484" s="35">
        <f t="shared" si="70"/>
        <v>45621</v>
      </c>
    </row>
    <row r="485" spans="1:25" ht="20.149999999999999" customHeight="1">
      <c r="A485" s="10">
        <f>SUBTOTAL(103,$B$4:B485)</f>
        <v>482</v>
      </c>
      <c r="B485" s="111">
        <v>45593</v>
      </c>
      <c r="C485" s="114" t="s">
        <v>529</v>
      </c>
      <c r="D485" s="3" t="s">
        <v>79</v>
      </c>
      <c r="E485" s="267" t="s">
        <v>403</v>
      </c>
      <c r="F485" s="268" t="s">
        <v>683</v>
      </c>
      <c r="G485" s="158">
        <v>1</v>
      </c>
      <c r="J485" s="158">
        <v>1</v>
      </c>
      <c r="X485" s="35">
        <f t="shared" si="69"/>
        <v>45593</v>
      </c>
      <c r="Y485" s="35">
        <f t="shared" si="70"/>
        <v>45621</v>
      </c>
    </row>
    <row r="486" spans="1:25" ht="20.149999999999999" customHeight="1">
      <c r="A486" s="10">
        <f>SUBTOTAL(103,$B$4:B486)</f>
        <v>483</v>
      </c>
      <c r="B486" s="111">
        <v>45593</v>
      </c>
      <c r="C486" s="114" t="s">
        <v>595</v>
      </c>
      <c r="D486" s="3" t="str">
        <f>VLOOKUP(C486,'Location Summary'!$C$4:$D$602,2,0)</f>
        <v>DA+6</v>
      </c>
      <c r="E486" s="267" t="s">
        <v>403</v>
      </c>
      <c r="F486" s="268" t="s">
        <v>683</v>
      </c>
      <c r="J486" s="158">
        <v>1</v>
      </c>
      <c r="K486" s="157">
        <v>1</v>
      </c>
      <c r="X486" s="35">
        <f t="shared" si="69"/>
        <v>45593</v>
      </c>
      <c r="Y486" s="35">
        <f t="shared" si="70"/>
        <v>45621</v>
      </c>
    </row>
    <row r="487" spans="1:25" ht="20.149999999999999" customHeight="1">
      <c r="A487" s="10">
        <f>SUBTOTAL(103,$B$4:B487)</f>
        <v>484</v>
      </c>
      <c r="B487" s="111">
        <v>45594</v>
      </c>
      <c r="C487" s="114" t="s">
        <v>898</v>
      </c>
      <c r="D487" s="3" t="str">
        <f>VLOOKUP(C487,'Location Summary'!$C$4:$D$602,2,0)</f>
        <v>DB1+0</v>
      </c>
      <c r="E487" s="267" t="s">
        <v>403</v>
      </c>
      <c r="F487" s="268" t="s">
        <v>683</v>
      </c>
      <c r="I487" s="156">
        <v>1</v>
      </c>
      <c r="P487" s="158">
        <v>1</v>
      </c>
      <c r="X487" s="35">
        <f t="shared" si="69"/>
        <v>45594</v>
      </c>
      <c r="Y487" s="35">
        <f t="shared" si="70"/>
        <v>45622</v>
      </c>
    </row>
    <row r="488" spans="1:25" ht="20.149999999999999" customHeight="1">
      <c r="A488" s="10">
        <f>SUBTOTAL(103,$B$4:B488)</f>
        <v>485</v>
      </c>
      <c r="B488" s="111">
        <v>45594</v>
      </c>
      <c r="C488" s="114" t="s">
        <v>778</v>
      </c>
      <c r="D488" s="3" t="str">
        <f>VLOOKUP(C488,'Location Summary'!$C$4:$D$602,2,0)</f>
        <v>DA+3</v>
      </c>
      <c r="E488" s="267" t="s">
        <v>403</v>
      </c>
      <c r="F488" s="268" t="s">
        <v>683</v>
      </c>
      <c r="J488" s="158">
        <v>1</v>
      </c>
      <c r="N488" s="157">
        <v>1</v>
      </c>
      <c r="O488" s="156">
        <v>1</v>
      </c>
      <c r="X488" s="35">
        <f t="shared" si="69"/>
        <v>45594</v>
      </c>
      <c r="Y488" s="35">
        <f t="shared" si="70"/>
        <v>45622</v>
      </c>
    </row>
    <row r="489" spans="1:25" ht="20.149999999999999" customHeight="1">
      <c r="A489" s="10">
        <f>SUBTOTAL(103,$B$4:B489)</f>
        <v>486</v>
      </c>
      <c r="B489" s="111">
        <v>45594</v>
      </c>
      <c r="C489" s="114" t="s">
        <v>472</v>
      </c>
      <c r="D489" s="3" t="str">
        <f>VLOOKUP(C489,'Location Summary'!$C$4:$D$602,2,0)</f>
        <v>DA+3</v>
      </c>
      <c r="E489" s="267" t="s">
        <v>403</v>
      </c>
      <c r="F489" s="268" t="s">
        <v>683</v>
      </c>
      <c r="N489" s="157">
        <v>1</v>
      </c>
      <c r="O489" s="156">
        <v>1</v>
      </c>
      <c r="Q489" s="157">
        <v>1</v>
      </c>
      <c r="R489" s="156">
        <v>1</v>
      </c>
      <c r="X489" s="35">
        <f t="shared" si="69"/>
        <v>45594</v>
      </c>
      <c r="Y489" s="35">
        <f t="shared" si="70"/>
        <v>45622</v>
      </c>
    </row>
    <row r="490" spans="1:25" ht="20.149999999999999" customHeight="1">
      <c r="A490" s="10">
        <f>SUBTOTAL(103,$B$4:B490)</f>
        <v>487</v>
      </c>
      <c r="B490" s="111">
        <v>45594</v>
      </c>
      <c r="C490" s="114" t="s">
        <v>595</v>
      </c>
      <c r="D490" s="3" t="str">
        <f>VLOOKUP(C490,'Location Summary'!$C$4:$D$602,2,0)</f>
        <v>DA+6</v>
      </c>
      <c r="E490" s="267" t="s">
        <v>403</v>
      </c>
      <c r="F490" s="268" t="s">
        <v>683</v>
      </c>
      <c r="L490" s="156">
        <v>1</v>
      </c>
      <c r="X490" s="35">
        <f t="shared" si="69"/>
        <v>45594</v>
      </c>
      <c r="Y490" s="35">
        <f t="shared" si="70"/>
        <v>45622</v>
      </c>
    </row>
    <row r="491" spans="1:25" ht="20.149999999999999" customHeight="1">
      <c r="A491" s="10">
        <f>SUBTOTAL(103,$B$4:B491)</f>
        <v>488</v>
      </c>
      <c r="B491" s="111">
        <v>45594</v>
      </c>
      <c r="C491" s="114" t="s">
        <v>529</v>
      </c>
      <c r="D491" s="3" t="s">
        <v>79</v>
      </c>
      <c r="E491" s="267" t="s">
        <v>403</v>
      </c>
      <c r="F491" s="268" t="s">
        <v>683</v>
      </c>
      <c r="H491" s="157">
        <v>1</v>
      </c>
      <c r="I491" s="156">
        <v>1</v>
      </c>
      <c r="K491" s="157">
        <v>1</v>
      </c>
      <c r="L491" s="156">
        <v>1</v>
      </c>
      <c r="N491" s="157">
        <v>1</v>
      </c>
      <c r="O491" s="156">
        <v>1</v>
      </c>
      <c r="Q491" s="157">
        <v>1</v>
      </c>
      <c r="R491" s="156">
        <v>1</v>
      </c>
      <c r="X491" s="35">
        <f t="shared" si="69"/>
        <v>45594</v>
      </c>
      <c r="Y491" s="35">
        <f t="shared" si="70"/>
        <v>45622</v>
      </c>
    </row>
    <row r="492" spans="1:25" ht="20.149999999999999" customHeight="1">
      <c r="A492" s="10">
        <f>SUBTOTAL(103,$B$4:B492)</f>
        <v>489</v>
      </c>
      <c r="B492" s="111">
        <v>45595</v>
      </c>
      <c r="C492" s="114" t="s">
        <v>898</v>
      </c>
      <c r="D492" s="3" t="str">
        <f>VLOOKUP(C492,'Location Summary'!$C$4:$D$602,2,0)</f>
        <v>DB1+0</v>
      </c>
      <c r="E492" s="267" t="s">
        <v>403</v>
      </c>
      <c r="F492" s="268" t="s">
        <v>683</v>
      </c>
      <c r="M492" s="158">
        <v>1</v>
      </c>
      <c r="X492" s="35">
        <f t="shared" si="69"/>
        <v>45595</v>
      </c>
      <c r="Y492" s="35">
        <f t="shared" si="70"/>
        <v>45623</v>
      </c>
    </row>
    <row r="493" spans="1:25" ht="20.149999999999999" customHeight="1">
      <c r="A493" s="10">
        <f>SUBTOTAL(103,$B$4:B493)</f>
        <v>490</v>
      </c>
      <c r="B493" s="111">
        <v>45595</v>
      </c>
      <c r="C493" s="114" t="s">
        <v>778</v>
      </c>
      <c r="D493" s="3" t="str">
        <f>VLOOKUP(C493,'Location Summary'!$C$4:$D$602,2,0)</f>
        <v>DA+3</v>
      </c>
      <c r="E493" s="267" t="s">
        <v>403</v>
      </c>
      <c r="F493" s="268" t="s">
        <v>683</v>
      </c>
      <c r="K493" s="157">
        <v>1</v>
      </c>
      <c r="L493" s="156">
        <v>1</v>
      </c>
      <c r="X493" s="35">
        <f t="shared" si="69"/>
        <v>45595</v>
      </c>
      <c r="Y493" s="35">
        <f t="shared" si="70"/>
        <v>45623</v>
      </c>
    </row>
    <row r="494" spans="1:25" ht="20.149999999999999" customHeight="1">
      <c r="A494" s="10">
        <f>SUBTOTAL(103,$B$4:B494)</f>
        <v>491</v>
      </c>
      <c r="B494" s="111">
        <v>45600</v>
      </c>
      <c r="C494" s="114" t="s">
        <v>898</v>
      </c>
      <c r="D494" s="3" t="str">
        <f>VLOOKUP(C494,'Location Summary'!$C$4:$D$602,2,0)</f>
        <v>DB1+0</v>
      </c>
      <c r="E494" s="267" t="s">
        <v>403</v>
      </c>
      <c r="F494" s="268" t="s">
        <v>683</v>
      </c>
      <c r="Q494" s="157">
        <v>1</v>
      </c>
      <c r="R494" s="156">
        <v>1</v>
      </c>
      <c r="X494" s="35">
        <f t="shared" si="69"/>
        <v>45600</v>
      </c>
      <c r="Y494" s="35">
        <f t="shared" si="70"/>
        <v>45628</v>
      </c>
    </row>
    <row r="495" spans="1:25" ht="20.149999999999999" customHeight="1">
      <c r="A495" s="10">
        <f>SUBTOTAL(103,$B$4:B495)</f>
        <v>492</v>
      </c>
      <c r="B495" s="111">
        <v>45600</v>
      </c>
      <c r="C495" s="114" t="s">
        <v>598</v>
      </c>
      <c r="D495" s="3" t="str">
        <f>VLOOKUP(C495,'Location Summary'!$C$4:$D$602,2,0)</f>
        <v>DA+3</v>
      </c>
      <c r="E495" s="267" t="s">
        <v>403</v>
      </c>
      <c r="F495" s="268" t="s">
        <v>311</v>
      </c>
      <c r="J495" s="158">
        <v>1</v>
      </c>
      <c r="X495" s="35">
        <f t="shared" si="69"/>
        <v>45600</v>
      </c>
      <c r="Y495" s="35">
        <f t="shared" si="70"/>
        <v>45628</v>
      </c>
    </row>
    <row r="496" spans="1:25" ht="20.149999999999999" customHeight="1">
      <c r="A496" s="10">
        <f>SUBTOTAL(103,$B$4:B496)</f>
        <v>493</v>
      </c>
      <c r="B496" s="111">
        <v>45601</v>
      </c>
      <c r="C496" s="114" t="s">
        <v>898</v>
      </c>
      <c r="D496" s="3" t="str">
        <f>VLOOKUP(C496,'Location Summary'!$C$4:$D$602,2,0)</f>
        <v>DB1+0</v>
      </c>
      <c r="E496" s="267" t="s">
        <v>403</v>
      </c>
      <c r="F496" s="268" t="s">
        <v>683</v>
      </c>
      <c r="J496" s="158">
        <v>1</v>
      </c>
      <c r="X496" s="35">
        <f t="shared" si="69"/>
        <v>45601</v>
      </c>
      <c r="Y496" s="35">
        <f t="shared" si="70"/>
        <v>45629</v>
      </c>
    </row>
    <row r="497" spans="1:25" ht="20.149999999999999" customHeight="1">
      <c r="A497" s="10">
        <f>SUBTOTAL(103,$B$4:B497)</f>
        <v>494</v>
      </c>
      <c r="B497" s="111">
        <v>45601</v>
      </c>
      <c r="C497" s="114" t="s">
        <v>777</v>
      </c>
      <c r="D497" s="3" t="str">
        <f>VLOOKUP(C497,'Location Summary'!$C$4:$D$602,2,0)</f>
        <v>DA+1.5</v>
      </c>
      <c r="E497" s="267" t="s">
        <v>403</v>
      </c>
      <c r="F497" s="268" t="s">
        <v>683</v>
      </c>
      <c r="G497" s="158">
        <v>1</v>
      </c>
      <c r="J497" s="158">
        <v>1</v>
      </c>
      <c r="X497" s="35">
        <f t="shared" si="69"/>
        <v>45601</v>
      </c>
      <c r="Y497" s="35">
        <f t="shared" si="70"/>
        <v>45629</v>
      </c>
    </row>
    <row r="498" spans="1:25" ht="20.149999999999999" customHeight="1">
      <c r="A498" s="10">
        <f>SUBTOTAL(103,$B$4:B498)</f>
        <v>495</v>
      </c>
      <c r="B498" s="111">
        <v>45601</v>
      </c>
      <c r="C498" s="114" t="s">
        <v>598</v>
      </c>
      <c r="D498" s="3" t="str">
        <f>VLOOKUP(C498,'Location Summary'!$C$4:$D$602,2,0)</f>
        <v>DA+3</v>
      </c>
      <c r="E498" s="267" t="s">
        <v>403</v>
      </c>
      <c r="F498" s="268" t="s">
        <v>683</v>
      </c>
      <c r="G498" s="158">
        <v>1</v>
      </c>
      <c r="K498" s="157">
        <v>1</v>
      </c>
      <c r="L498" s="156">
        <v>1</v>
      </c>
      <c r="X498" s="35">
        <f t="shared" si="69"/>
        <v>45601</v>
      </c>
      <c r="Y498" s="35">
        <f t="shared" si="70"/>
        <v>45629</v>
      </c>
    </row>
    <row r="499" spans="1:25" ht="20.149999999999999" customHeight="1">
      <c r="A499" s="10">
        <f>SUBTOTAL(103,$B$4:B499)</f>
        <v>496</v>
      </c>
      <c r="B499" s="111">
        <v>45602</v>
      </c>
      <c r="C499" s="114" t="s">
        <v>898</v>
      </c>
      <c r="D499" s="3" t="str">
        <f>VLOOKUP(C499,'Location Summary'!$C$4:$D$602,2,0)</f>
        <v>DB1+0</v>
      </c>
      <c r="E499" s="267" t="s">
        <v>403</v>
      </c>
      <c r="F499" s="268" t="s">
        <v>683</v>
      </c>
      <c r="N499" s="157">
        <v>1</v>
      </c>
      <c r="O499" s="156">
        <v>1</v>
      </c>
      <c r="X499" s="35">
        <f t="shared" si="69"/>
        <v>45602</v>
      </c>
      <c r="Y499" s="35">
        <f t="shared" si="70"/>
        <v>45630</v>
      </c>
    </row>
    <row r="500" spans="1:25" ht="20.149999999999999" customHeight="1">
      <c r="A500" s="10">
        <f>SUBTOTAL(103,$B$4:B500)</f>
        <v>497</v>
      </c>
      <c r="B500" s="111">
        <v>45602</v>
      </c>
      <c r="C500" s="114" t="s">
        <v>777</v>
      </c>
      <c r="D500" s="3" t="str">
        <f>VLOOKUP(C500,'Location Summary'!$C$4:$D$602,2,0)</f>
        <v>DA+1.5</v>
      </c>
      <c r="E500" s="267" t="s">
        <v>403</v>
      </c>
      <c r="F500" s="268" t="s">
        <v>683</v>
      </c>
      <c r="M500" s="158">
        <v>1</v>
      </c>
      <c r="P500" s="158">
        <v>1</v>
      </c>
      <c r="X500" s="35">
        <f t="shared" ref="X500:X522" si="71">B500</f>
        <v>45602</v>
      </c>
      <c r="Y500" s="35">
        <f t="shared" ref="Y500:Y522" si="72">B500+28</f>
        <v>45630</v>
      </c>
    </row>
    <row r="501" spans="1:25" ht="20.149999999999999" customHeight="1">
      <c r="A501" s="10">
        <f>SUBTOTAL(103,$B$4:B501)</f>
        <v>498</v>
      </c>
      <c r="B501" s="111">
        <v>45602</v>
      </c>
      <c r="C501" s="114" t="s">
        <v>472</v>
      </c>
      <c r="D501" s="3" t="str">
        <f>VLOOKUP(C501,'Location Summary'!$C$4:$D$602,2,0)</f>
        <v>DA+3</v>
      </c>
      <c r="E501" s="267" t="s">
        <v>403</v>
      </c>
      <c r="F501" s="268" t="s">
        <v>683</v>
      </c>
      <c r="G501" s="158">
        <v>1</v>
      </c>
      <c r="H501" s="157">
        <v>1</v>
      </c>
      <c r="X501" s="35">
        <f t="shared" si="71"/>
        <v>45602</v>
      </c>
      <c r="Y501" s="35">
        <f t="shared" si="72"/>
        <v>45630</v>
      </c>
    </row>
    <row r="502" spans="1:25" ht="20.149999999999999" customHeight="1">
      <c r="A502" s="10">
        <f>SUBTOTAL(103,$B$4:B502)</f>
        <v>499</v>
      </c>
      <c r="B502" s="111">
        <v>45602</v>
      </c>
      <c r="C502" s="114" t="s">
        <v>598</v>
      </c>
      <c r="D502" s="3" t="str">
        <f>VLOOKUP(C502,'Location Summary'!$C$4:$D$602,2,0)</f>
        <v>DA+3</v>
      </c>
      <c r="E502" s="267" t="s">
        <v>403</v>
      </c>
      <c r="F502" s="268" t="s">
        <v>683</v>
      </c>
      <c r="H502" s="157">
        <v>1</v>
      </c>
      <c r="I502" s="156">
        <v>1</v>
      </c>
      <c r="X502" s="35">
        <f t="shared" si="71"/>
        <v>45602</v>
      </c>
      <c r="Y502" s="35">
        <f t="shared" si="72"/>
        <v>45630</v>
      </c>
    </row>
    <row r="503" spans="1:25" ht="20.149999999999999" customHeight="1">
      <c r="A503" s="10">
        <f>SUBTOTAL(103,$B$4:B503)</f>
        <v>500</v>
      </c>
      <c r="B503" s="111">
        <v>45603</v>
      </c>
      <c r="C503" s="114" t="s">
        <v>898</v>
      </c>
      <c r="D503" s="3" t="str">
        <f>VLOOKUP(C503,'Location Summary'!$C$4:$D$602,2,0)</f>
        <v>DB1+0</v>
      </c>
      <c r="E503" s="267" t="s">
        <v>403</v>
      </c>
      <c r="F503" s="268" t="s">
        <v>683</v>
      </c>
      <c r="K503" s="157">
        <v>1</v>
      </c>
      <c r="L503" s="156">
        <v>1</v>
      </c>
      <c r="X503" s="35">
        <f t="shared" si="71"/>
        <v>45603</v>
      </c>
      <c r="Y503" s="35">
        <f t="shared" si="72"/>
        <v>45631</v>
      </c>
    </row>
    <row r="504" spans="1:25" ht="20.149999999999999" customHeight="1">
      <c r="A504" s="10">
        <f>SUBTOTAL(103,$B$4:B504)</f>
        <v>501</v>
      </c>
      <c r="B504" s="111">
        <v>45603</v>
      </c>
      <c r="C504" s="114" t="s">
        <v>777</v>
      </c>
      <c r="D504" s="3" t="str">
        <f>VLOOKUP(C504,'Location Summary'!$C$4:$D$602,2,0)</f>
        <v>DA+1.5</v>
      </c>
      <c r="E504" s="267" t="s">
        <v>403</v>
      </c>
      <c r="F504" s="268" t="s">
        <v>683</v>
      </c>
      <c r="H504" s="157">
        <v>1</v>
      </c>
      <c r="K504" s="157">
        <v>1</v>
      </c>
      <c r="L504" s="156">
        <v>1</v>
      </c>
      <c r="X504" s="35">
        <f t="shared" si="71"/>
        <v>45603</v>
      </c>
      <c r="Y504" s="35">
        <f t="shared" si="72"/>
        <v>45631</v>
      </c>
    </row>
    <row r="505" spans="1:25" ht="20.149999999999999" customHeight="1">
      <c r="A505" s="10">
        <f>SUBTOTAL(103,$B$4:B505)</f>
        <v>502</v>
      </c>
      <c r="B505" s="111">
        <v>45603</v>
      </c>
      <c r="C505" s="114" t="s">
        <v>472</v>
      </c>
      <c r="D505" s="3" t="str">
        <f>VLOOKUP(C505,'Location Summary'!$C$4:$D$602,2,0)</f>
        <v>DA+3</v>
      </c>
      <c r="E505" s="267" t="s">
        <v>403</v>
      </c>
      <c r="F505" s="268" t="s">
        <v>683</v>
      </c>
      <c r="I505" s="156">
        <v>1</v>
      </c>
      <c r="J505" s="158">
        <v>1</v>
      </c>
      <c r="X505" s="35">
        <f t="shared" si="71"/>
        <v>45603</v>
      </c>
      <c r="Y505" s="35">
        <f t="shared" si="72"/>
        <v>45631</v>
      </c>
    </row>
    <row r="506" spans="1:25" ht="20.149999999999999" customHeight="1">
      <c r="A506" s="10">
        <f>SUBTOTAL(103,$B$4:B506)</f>
        <v>503</v>
      </c>
      <c r="B506" s="111">
        <v>45603</v>
      </c>
      <c r="C506" s="114" t="s">
        <v>51</v>
      </c>
      <c r="D506" s="3" t="str">
        <f>VLOOKUP(C506,'Location Summary'!$C$4:$D$602,2,0)</f>
        <v>DB2+6</v>
      </c>
      <c r="E506" s="267" t="s">
        <v>403</v>
      </c>
      <c r="F506" s="268" t="s">
        <v>683</v>
      </c>
      <c r="M506" s="158">
        <v>1</v>
      </c>
      <c r="P506" s="158">
        <v>1</v>
      </c>
      <c r="X506" s="35">
        <f t="shared" si="71"/>
        <v>45603</v>
      </c>
      <c r="Y506" s="35">
        <f t="shared" si="72"/>
        <v>45631</v>
      </c>
    </row>
    <row r="507" spans="1:25" ht="20.149999999999999" customHeight="1">
      <c r="A507" s="10">
        <f>SUBTOTAL(103,$B$4:B507)</f>
        <v>504</v>
      </c>
      <c r="B507" s="111">
        <v>45604</v>
      </c>
      <c r="C507" s="114" t="s">
        <v>777</v>
      </c>
      <c r="D507" s="3" t="str">
        <f>VLOOKUP(C507,'Location Summary'!$C$4:$D$602,2,0)</f>
        <v>DA+1.5</v>
      </c>
      <c r="E507" s="267" t="s">
        <v>403</v>
      </c>
      <c r="F507" s="268" t="s">
        <v>683</v>
      </c>
      <c r="I507" s="156">
        <v>1</v>
      </c>
      <c r="N507" s="157">
        <v>1</v>
      </c>
      <c r="O507" s="156">
        <v>1</v>
      </c>
      <c r="Q507" s="157">
        <v>1</v>
      </c>
      <c r="R507" s="156">
        <v>1</v>
      </c>
      <c r="X507" s="35">
        <f t="shared" si="71"/>
        <v>45604</v>
      </c>
      <c r="Y507" s="35">
        <f t="shared" si="72"/>
        <v>45632</v>
      </c>
    </row>
    <row r="508" spans="1:25" ht="20.149999999999999" customHeight="1">
      <c r="A508" s="10">
        <f>SUBTOTAL(103,$B$4:B508)</f>
        <v>505</v>
      </c>
      <c r="B508" s="111">
        <v>45604</v>
      </c>
      <c r="C508" s="114" t="s">
        <v>472</v>
      </c>
      <c r="D508" s="3" t="str">
        <f>VLOOKUP(C508,'Location Summary'!$C$4:$D$602,2,0)</f>
        <v>DA+3</v>
      </c>
      <c r="E508" s="267" t="s">
        <v>403</v>
      </c>
      <c r="F508" s="268" t="s">
        <v>683</v>
      </c>
      <c r="K508" s="157">
        <v>1</v>
      </c>
      <c r="L508" s="156">
        <v>1</v>
      </c>
      <c r="X508" s="35">
        <f t="shared" si="71"/>
        <v>45604</v>
      </c>
      <c r="Y508" s="35">
        <f t="shared" si="72"/>
        <v>45632</v>
      </c>
    </row>
    <row r="509" spans="1:25" ht="20.149999999999999" customHeight="1">
      <c r="A509" s="10">
        <f>SUBTOTAL(103,$B$4:B509)</f>
        <v>506</v>
      </c>
      <c r="B509" s="111">
        <v>45604</v>
      </c>
      <c r="C509" s="114" t="s">
        <v>598</v>
      </c>
      <c r="D509" s="3" t="str">
        <f>VLOOKUP(C509,'Location Summary'!$C$4:$D$602,2,0)</f>
        <v>DA+3</v>
      </c>
      <c r="E509" s="267" t="s">
        <v>403</v>
      </c>
      <c r="F509" s="268" t="s">
        <v>683</v>
      </c>
      <c r="M509" s="158">
        <v>1</v>
      </c>
      <c r="P509" s="158">
        <v>1</v>
      </c>
      <c r="X509" s="35">
        <f t="shared" si="71"/>
        <v>45604</v>
      </c>
      <c r="Y509" s="35">
        <f t="shared" si="72"/>
        <v>45632</v>
      </c>
    </row>
    <row r="510" spans="1:25" ht="20.149999999999999" customHeight="1">
      <c r="A510" s="10">
        <f>SUBTOTAL(103,$B$4:B510)</f>
        <v>507</v>
      </c>
      <c r="B510" s="111">
        <v>45604</v>
      </c>
      <c r="C510" s="114" t="s">
        <v>573</v>
      </c>
      <c r="D510" s="3" t="str">
        <f>VLOOKUP(C510,'Location Summary'!$C$4:$D$602,2,0)</f>
        <v>DA+1.5</v>
      </c>
      <c r="E510" s="267" t="s">
        <v>403</v>
      </c>
      <c r="F510" s="268" t="s">
        <v>683</v>
      </c>
      <c r="P510" s="158">
        <v>1</v>
      </c>
      <c r="X510" s="35">
        <f t="shared" si="71"/>
        <v>45604</v>
      </c>
      <c r="Y510" s="35">
        <f t="shared" si="72"/>
        <v>45632</v>
      </c>
    </row>
    <row r="511" spans="1:25" ht="20.149999999999999" customHeight="1">
      <c r="A511" s="10">
        <f>SUBTOTAL(103,$B$4:B511)</f>
        <v>508</v>
      </c>
      <c r="B511" s="111">
        <v>45605</v>
      </c>
      <c r="C511" s="114" t="s">
        <v>598</v>
      </c>
      <c r="D511" s="3" t="str">
        <f>VLOOKUP(C511,'Location Summary'!$C$4:$D$602,2,0)</f>
        <v>DA+3</v>
      </c>
      <c r="E511" s="267" t="s">
        <v>403</v>
      </c>
      <c r="F511" s="268" t="s">
        <v>683</v>
      </c>
      <c r="N511" s="157">
        <v>1</v>
      </c>
      <c r="O511" s="156">
        <v>1</v>
      </c>
      <c r="Q511" s="157">
        <v>1</v>
      </c>
      <c r="R511" s="156">
        <v>1</v>
      </c>
      <c r="X511" s="35">
        <f t="shared" si="71"/>
        <v>45605</v>
      </c>
      <c r="Y511" s="35">
        <f t="shared" si="72"/>
        <v>45633</v>
      </c>
    </row>
    <row r="512" spans="1:25" ht="20.149999999999999" customHeight="1">
      <c r="A512" s="10">
        <f>SUBTOTAL(103,$B$4:B512)</f>
        <v>509</v>
      </c>
      <c r="B512" s="111">
        <v>45605</v>
      </c>
      <c r="C512" s="114" t="s">
        <v>51</v>
      </c>
      <c r="D512" s="3" t="str">
        <f>VLOOKUP(C512,'Location Summary'!$C$4:$D$602,2,0)</f>
        <v>DB2+6</v>
      </c>
      <c r="E512" s="267" t="s">
        <v>403</v>
      </c>
      <c r="F512" s="268" t="s">
        <v>683</v>
      </c>
      <c r="G512" s="158">
        <v>1</v>
      </c>
      <c r="Q512" s="157">
        <v>1</v>
      </c>
      <c r="X512" s="35">
        <f t="shared" si="71"/>
        <v>45605</v>
      </c>
      <c r="Y512" s="35">
        <f t="shared" si="72"/>
        <v>45633</v>
      </c>
    </row>
    <row r="513" spans="1:25" ht="20.149999999999999" customHeight="1">
      <c r="A513" s="10">
        <f>SUBTOTAL(103,$B$4:B513)</f>
        <v>510</v>
      </c>
      <c r="B513" s="111">
        <v>45605</v>
      </c>
      <c r="C513" s="114" t="s">
        <v>573</v>
      </c>
      <c r="D513" s="3" t="str">
        <f>VLOOKUP(C513,'Location Summary'!$C$4:$D$602,2,0)</f>
        <v>DA+1.5</v>
      </c>
      <c r="E513" s="267" t="s">
        <v>403</v>
      </c>
      <c r="F513" s="268" t="s">
        <v>683</v>
      </c>
      <c r="G513" s="158">
        <v>1</v>
      </c>
      <c r="X513" s="35">
        <f t="shared" si="71"/>
        <v>45605</v>
      </c>
      <c r="Y513" s="35">
        <f t="shared" si="72"/>
        <v>45633</v>
      </c>
    </row>
    <row r="514" spans="1:25" ht="20.149999999999999" customHeight="1">
      <c r="A514" s="10">
        <f>SUBTOTAL(103,$B$4:B514)</f>
        <v>511</v>
      </c>
      <c r="B514" s="111">
        <v>45606</v>
      </c>
      <c r="C514" s="114" t="s">
        <v>776</v>
      </c>
      <c r="D514" s="3" t="str">
        <f>VLOOKUP(C514,'Location Summary'!$C$4:$D$602,2,0)</f>
        <v>DA+3</v>
      </c>
      <c r="E514" s="267" t="s">
        <v>403</v>
      </c>
      <c r="F514" s="268" t="s">
        <v>683</v>
      </c>
      <c r="J514" s="158">
        <v>1</v>
      </c>
      <c r="M514" s="158">
        <v>1</v>
      </c>
      <c r="P514" s="158">
        <v>1</v>
      </c>
      <c r="X514" s="35">
        <f t="shared" si="71"/>
        <v>45606</v>
      </c>
      <c r="Y514" s="35">
        <f t="shared" si="72"/>
        <v>45634</v>
      </c>
    </row>
    <row r="515" spans="1:25" ht="20.149999999999999" customHeight="1">
      <c r="A515" s="10">
        <f>SUBTOTAL(103,$B$4:B515)</f>
        <v>512</v>
      </c>
      <c r="B515" s="111">
        <v>45606</v>
      </c>
      <c r="C515" s="114" t="s">
        <v>51</v>
      </c>
      <c r="D515" s="3" t="str">
        <f>VLOOKUP(C515,'Location Summary'!$C$4:$D$602,2,0)</f>
        <v>DB2+6</v>
      </c>
      <c r="E515" s="267" t="s">
        <v>403</v>
      </c>
      <c r="F515" s="268" t="s">
        <v>683</v>
      </c>
      <c r="N515" s="157">
        <v>1</v>
      </c>
      <c r="O515" s="156">
        <v>1</v>
      </c>
      <c r="R515" s="156">
        <v>1</v>
      </c>
      <c r="X515" s="35">
        <f t="shared" si="71"/>
        <v>45606</v>
      </c>
      <c r="Y515" s="35">
        <f t="shared" si="72"/>
        <v>45634</v>
      </c>
    </row>
    <row r="516" spans="1:25" ht="20.149999999999999" customHeight="1">
      <c r="A516" s="10">
        <f>SUBTOTAL(103,$B$4:B516)</f>
        <v>513</v>
      </c>
      <c r="B516" s="111">
        <v>45606</v>
      </c>
      <c r="C516" s="114" t="s">
        <v>573</v>
      </c>
      <c r="D516" s="3" t="str">
        <f>VLOOKUP(C516,'Location Summary'!$C$4:$D$602,2,0)</f>
        <v>DA+1.5</v>
      </c>
      <c r="E516" s="267" t="s">
        <v>403</v>
      </c>
      <c r="F516" s="268" t="s">
        <v>683</v>
      </c>
      <c r="H516" s="157">
        <v>1</v>
      </c>
      <c r="J516" s="158">
        <v>1</v>
      </c>
      <c r="M516" s="158">
        <v>1</v>
      </c>
      <c r="Q516" s="157">
        <v>1</v>
      </c>
      <c r="X516" s="35">
        <f t="shared" si="71"/>
        <v>45606</v>
      </c>
      <c r="Y516" s="35">
        <f t="shared" si="72"/>
        <v>45634</v>
      </c>
    </row>
    <row r="517" spans="1:25" ht="20.149999999999999" customHeight="1">
      <c r="A517" s="10">
        <f>SUBTOTAL(103,$B$4:B517)</f>
        <v>514</v>
      </c>
      <c r="B517" s="111">
        <v>45607</v>
      </c>
      <c r="C517" s="114" t="s">
        <v>776</v>
      </c>
      <c r="D517" s="3" t="str">
        <f>VLOOKUP(C517,'Location Summary'!$C$4:$D$602,2,0)</f>
        <v>DA+3</v>
      </c>
      <c r="E517" s="267" t="s">
        <v>403</v>
      </c>
      <c r="F517" s="268" t="s">
        <v>683</v>
      </c>
      <c r="G517" s="158">
        <v>1</v>
      </c>
      <c r="N517" s="157">
        <v>1</v>
      </c>
      <c r="O517" s="156">
        <v>1</v>
      </c>
      <c r="Q517" s="157">
        <v>1</v>
      </c>
      <c r="R517" s="156">
        <v>1</v>
      </c>
      <c r="X517" s="35">
        <f t="shared" si="71"/>
        <v>45607</v>
      </c>
      <c r="Y517" s="35">
        <f t="shared" si="72"/>
        <v>45635</v>
      </c>
    </row>
    <row r="518" spans="1:25" ht="20.149999999999999" customHeight="1">
      <c r="A518" s="10">
        <f>SUBTOTAL(103,$B$4:B518)</f>
        <v>515</v>
      </c>
      <c r="B518" s="111">
        <v>45607</v>
      </c>
      <c r="C518" s="114" t="s">
        <v>51</v>
      </c>
      <c r="D518" s="3" t="str">
        <f>VLOOKUP(C518,'Location Summary'!$C$4:$D$602,2,0)</f>
        <v>DB2+6</v>
      </c>
      <c r="E518" s="267" t="s">
        <v>403</v>
      </c>
      <c r="F518" s="268" t="s">
        <v>683</v>
      </c>
      <c r="H518" s="157">
        <v>1</v>
      </c>
      <c r="I518" s="156">
        <v>1</v>
      </c>
      <c r="J518" s="158">
        <v>1</v>
      </c>
      <c r="X518" s="35">
        <f t="shared" si="71"/>
        <v>45607</v>
      </c>
      <c r="Y518" s="35">
        <f t="shared" si="72"/>
        <v>45635</v>
      </c>
    </row>
    <row r="519" spans="1:25" ht="20.149999999999999" customHeight="1">
      <c r="A519" s="10">
        <f>SUBTOTAL(103,$B$4:B519)</f>
        <v>516</v>
      </c>
      <c r="B519" s="111">
        <v>45607</v>
      </c>
      <c r="C519" s="114" t="s">
        <v>573</v>
      </c>
      <c r="D519" s="3" t="str">
        <f>VLOOKUP(C519,'Location Summary'!$C$4:$D$602,2,0)</f>
        <v>DA+1.5</v>
      </c>
      <c r="E519" s="267" t="s">
        <v>403</v>
      </c>
      <c r="F519" s="268" t="s">
        <v>683</v>
      </c>
      <c r="I519" s="156">
        <v>1</v>
      </c>
      <c r="K519" s="157">
        <v>1</v>
      </c>
      <c r="L519" s="156">
        <v>1</v>
      </c>
      <c r="N519" s="157">
        <v>1</v>
      </c>
      <c r="O519" s="156">
        <v>1</v>
      </c>
      <c r="R519" s="156">
        <v>1</v>
      </c>
      <c r="X519" s="35">
        <f t="shared" si="71"/>
        <v>45607</v>
      </c>
      <c r="Y519" s="35">
        <f t="shared" si="72"/>
        <v>45635</v>
      </c>
    </row>
    <row r="520" spans="1:25" ht="20.149999999999999" customHeight="1">
      <c r="A520" s="10">
        <f>SUBTOTAL(103,$B$4:B520)</f>
        <v>517</v>
      </c>
      <c r="B520" s="111">
        <v>45608</v>
      </c>
      <c r="C520" s="114" t="s">
        <v>776</v>
      </c>
      <c r="D520" s="3" t="str">
        <f>VLOOKUP(C520,'Location Summary'!$C$4:$D$602,2,0)</f>
        <v>DA+3</v>
      </c>
      <c r="E520" s="267" t="s">
        <v>403</v>
      </c>
      <c r="F520" s="268" t="s">
        <v>683</v>
      </c>
      <c r="H520" s="157">
        <v>1</v>
      </c>
      <c r="I520" s="156">
        <v>1</v>
      </c>
      <c r="K520" s="157">
        <v>1</v>
      </c>
      <c r="L520" s="156">
        <v>1</v>
      </c>
      <c r="X520" s="35">
        <f t="shared" si="71"/>
        <v>45608</v>
      </c>
      <c r="Y520" s="35">
        <f t="shared" si="72"/>
        <v>45636</v>
      </c>
    </row>
    <row r="521" spans="1:25" ht="20.149999999999999" customHeight="1">
      <c r="A521" s="10">
        <f>SUBTOTAL(103,$B$4:B521)</f>
        <v>518</v>
      </c>
      <c r="B521" s="111">
        <v>45608</v>
      </c>
      <c r="C521" s="114" t="s">
        <v>491</v>
      </c>
      <c r="D521" s="3" t="str">
        <f>VLOOKUP(C521,'Location Summary'!$C$4:$D$602,2,0)</f>
        <v>DB1+6</v>
      </c>
      <c r="E521" s="267" t="s">
        <v>403</v>
      </c>
      <c r="F521" s="268" t="s">
        <v>683</v>
      </c>
      <c r="P521" s="158">
        <v>1</v>
      </c>
      <c r="X521" s="35">
        <f t="shared" si="71"/>
        <v>45608</v>
      </c>
      <c r="Y521" s="35">
        <f t="shared" si="72"/>
        <v>45636</v>
      </c>
    </row>
    <row r="522" spans="1:25" ht="20.149999999999999" customHeight="1">
      <c r="A522" s="10">
        <f>SUBTOTAL(103,$B$4:B522)</f>
        <v>519</v>
      </c>
      <c r="B522" s="111">
        <v>45608</v>
      </c>
      <c r="C522" s="114" t="s">
        <v>8</v>
      </c>
      <c r="D522" s="3" t="str">
        <f>VLOOKUP(C522,'Location Summary'!$C$4:$D$602,2,0)</f>
        <v>DB2+3</v>
      </c>
      <c r="E522" s="267" t="s">
        <v>403</v>
      </c>
      <c r="F522" s="268" t="s">
        <v>683</v>
      </c>
      <c r="J522" s="158">
        <v>1</v>
      </c>
      <c r="X522" s="35">
        <f t="shared" si="71"/>
        <v>45608</v>
      </c>
      <c r="Y522" s="35">
        <f t="shared" si="72"/>
        <v>45636</v>
      </c>
    </row>
    <row r="523" spans="1:25" ht="20.149999999999999" customHeight="1">
      <c r="A523" s="10">
        <f>SUBTOTAL(103,$B$4:B523)</f>
        <v>520</v>
      </c>
      <c r="B523" s="111">
        <v>45608</v>
      </c>
      <c r="C523" s="114" t="s">
        <v>51</v>
      </c>
      <c r="D523" s="3" t="str">
        <f>VLOOKUP(C523,'Location Summary'!$C$4:$D$602,2,0)</f>
        <v>DB2+6</v>
      </c>
      <c r="E523" s="267" t="s">
        <v>403</v>
      </c>
      <c r="F523" s="268" t="s">
        <v>683</v>
      </c>
      <c r="K523" s="157">
        <v>1</v>
      </c>
      <c r="L523" s="156">
        <v>1</v>
      </c>
      <c r="X523" s="35">
        <f t="shared" ref="X523:X572" si="73">B523</f>
        <v>45608</v>
      </c>
      <c r="Y523" s="35">
        <f t="shared" ref="Y523:Y572" si="74">B523+28</f>
        <v>45636</v>
      </c>
    </row>
    <row r="524" spans="1:25" ht="20.149999999999999" customHeight="1">
      <c r="A524" s="10">
        <f>SUBTOTAL(103,$B$4:B524)</f>
        <v>521</v>
      </c>
      <c r="B524" s="111">
        <v>45610</v>
      </c>
      <c r="C524" s="114" t="s">
        <v>614</v>
      </c>
      <c r="D524" s="3" t="str">
        <f>VLOOKUP(C524,'Location Summary'!$C$4:$D$602,2,0)</f>
        <v>DA+1.5</v>
      </c>
      <c r="E524" s="267" t="s">
        <v>403</v>
      </c>
      <c r="F524" s="268" t="s">
        <v>683</v>
      </c>
      <c r="J524" s="158">
        <v>1</v>
      </c>
      <c r="X524" s="35">
        <f t="shared" si="73"/>
        <v>45610</v>
      </c>
      <c r="Y524" s="35">
        <f t="shared" si="74"/>
        <v>45638</v>
      </c>
    </row>
    <row r="525" spans="1:25" ht="20.149999999999999" customHeight="1">
      <c r="A525" s="10">
        <f>SUBTOTAL(103,$B$4:B525)</f>
        <v>522</v>
      </c>
      <c r="B525" s="111">
        <v>45610</v>
      </c>
      <c r="C525" s="114" t="s">
        <v>604</v>
      </c>
      <c r="D525" s="3" t="str">
        <f>VLOOKUP(C525,'Location Summary'!$C$4:$D$602,2,0)</f>
        <v>DA+9</v>
      </c>
      <c r="E525" s="267" t="s">
        <v>403</v>
      </c>
      <c r="F525" s="268" t="s">
        <v>683</v>
      </c>
      <c r="G525" s="158">
        <v>1</v>
      </c>
      <c r="P525" s="158">
        <v>1</v>
      </c>
      <c r="X525" s="35">
        <f t="shared" si="73"/>
        <v>45610</v>
      </c>
      <c r="Y525" s="35">
        <f t="shared" si="74"/>
        <v>45638</v>
      </c>
    </row>
    <row r="526" spans="1:25" ht="20.149999999999999" customHeight="1">
      <c r="A526" s="10">
        <f>SUBTOTAL(103,$B$4:B526)</f>
        <v>523</v>
      </c>
      <c r="B526" s="111">
        <v>45610</v>
      </c>
      <c r="C526" s="114" t="s">
        <v>491</v>
      </c>
      <c r="D526" s="3" t="str">
        <f>VLOOKUP(C526,'Location Summary'!$C$4:$D$602,2,0)</f>
        <v>DB1+6</v>
      </c>
      <c r="E526" s="267" t="s">
        <v>403</v>
      </c>
      <c r="F526" s="268" t="s">
        <v>683</v>
      </c>
      <c r="M526" s="158">
        <v>1</v>
      </c>
      <c r="X526" s="35">
        <f t="shared" si="73"/>
        <v>45610</v>
      </c>
      <c r="Y526" s="35">
        <f t="shared" si="74"/>
        <v>45638</v>
      </c>
    </row>
    <row r="527" spans="1:25" ht="20.149999999999999" customHeight="1">
      <c r="A527" s="10">
        <f>SUBTOTAL(103,$B$4:B527)</f>
        <v>524</v>
      </c>
      <c r="B527" s="111">
        <v>45610</v>
      </c>
      <c r="C527" s="114" t="s">
        <v>8</v>
      </c>
      <c r="D527" s="3" t="str">
        <f>VLOOKUP(C527,'Location Summary'!$C$4:$D$602,2,0)</f>
        <v>DB2+3</v>
      </c>
      <c r="E527" s="267" t="s">
        <v>403</v>
      </c>
      <c r="F527" s="268" t="s">
        <v>683</v>
      </c>
      <c r="G527" s="158">
        <v>1</v>
      </c>
      <c r="X527" s="35">
        <f t="shared" si="73"/>
        <v>45610</v>
      </c>
      <c r="Y527" s="35">
        <f t="shared" si="74"/>
        <v>45638</v>
      </c>
    </row>
    <row r="528" spans="1:25" ht="20.149999999999999" customHeight="1">
      <c r="A528" s="10">
        <f>SUBTOTAL(103,$B$4:B528)</f>
        <v>525</v>
      </c>
      <c r="B528" s="111">
        <v>45610</v>
      </c>
      <c r="C528" s="114" t="s">
        <v>192</v>
      </c>
      <c r="D528" s="3" t="str">
        <f>VLOOKUP(C528,'Location Summary'!$C$4:$D$602,2,0)</f>
        <v>DA+3</v>
      </c>
      <c r="E528" s="267" t="s">
        <v>403</v>
      </c>
      <c r="F528" s="268" t="s">
        <v>683</v>
      </c>
      <c r="J528" s="158">
        <v>1</v>
      </c>
      <c r="M528" s="158">
        <v>1</v>
      </c>
      <c r="P528" s="158">
        <v>1</v>
      </c>
      <c r="X528" s="35">
        <f t="shared" si="73"/>
        <v>45610</v>
      </c>
      <c r="Y528" s="35">
        <f t="shared" si="74"/>
        <v>45638</v>
      </c>
    </row>
    <row r="529" spans="1:25" ht="20.149999999999999" customHeight="1">
      <c r="A529" s="10">
        <f>SUBTOTAL(103,$B$4:B529)</f>
        <v>526</v>
      </c>
      <c r="B529" s="111">
        <v>45611</v>
      </c>
      <c r="C529" s="114" t="s">
        <v>614</v>
      </c>
      <c r="D529" s="3" t="str">
        <f>VLOOKUP(C529,'Location Summary'!$C$4:$D$602,2,0)</f>
        <v>DA+1.5</v>
      </c>
      <c r="E529" s="267" t="s">
        <v>403</v>
      </c>
      <c r="F529" s="268" t="s">
        <v>683</v>
      </c>
      <c r="K529" s="157">
        <v>1</v>
      </c>
      <c r="P529" s="158">
        <v>1</v>
      </c>
      <c r="X529" s="35">
        <f t="shared" si="73"/>
        <v>45611</v>
      </c>
      <c r="Y529" s="35">
        <f t="shared" si="74"/>
        <v>45639</v>
      </c>
    </row>
    <row r="530" spans="1:25" ht="20.149999999999999" customHeight="1">
      <c r="A530" s="10">
        <f>SUBTOTAL(103,$B$4:B530)</f>
        <v>527</v>
      </c>
      <c r="B530" s="111">
        <v>45611</v>
      </c>
      <c r="C530" s="114" t="s">
        <v>604</v>
      </c>
      <c r="D530" s="3" t="str">
        <f>VLOOKUP(C530,'Location Summary'!$C$4:$D$602,2,0)</f>
        <v>DA+9</v>
      </c>
      <c r="E530" s="267" t="s">
        <v>403</v>
      </c>
      <c r="F530" s="268" t="s">
        <v>683</v>
      </c>
      <c r="Q530" s="157">
        <v>1</v>
      </c>
      <c r="X530" s="35">
        <f t="shared" si="73"/>
        <v>45611</v>
      </c>
      <c r="Y530" s="35">
        <f t="shared" si="74"/>
        <v>45639</v>
      </c>
    </row>
    <row r="531" spans="1:25" ht="20.149999999999999" customHeight="1">
      <c r="A531" s="10">
        <f>SUBTOTAL(103,$B$4:B531)</f>
        <v>528</v>
      </c>
      <c r="B531" s="111">
        <v>45611</v>
      </c>
      <c r="C531" s="114" t="s">
        <v>8</v>
      </c>
      <c r="D531" s="3" t="str">
        <f>VLOOKUP(C531,'Location Summary'!$C$4:$D$602,2,0)</f>
        <v>DB2+3</v>
      </c>
      <c r="E531" s="267" t="s">
        <v>403</v>
      </c>
      <c r="F531" s="268" t="s">
        <v>683</v>
      </c>
      <c r="K531" s="157">
        <v>1</v>
      </c>
      <c r="X531" s="35">
        <f t="shared" si="73"/>
        <v>45611</v>
      </c>
      <c r="Y531" s="35">
        <f t="shared" si="74"/>
        <v>45639</v>
      </c>
    </row>
    <row r="532" spans="1:25" ht="20.149999999999999" customHeight="1">
      <c r="A532" s="10">
        <f>SUBTOTAL(103,$B$4:B532)</f>
        <v>529</v>
      </c>
      <c r="B532" s="111">
        <v>45611</v>
      </c>
      <c r="C532" s="114" t="s">
        <v>192</v>
      </c>
      <c r="D532" s="3" t="str">
        <f>VLOOKUP(C532,'Location Summary'!$C$4:$D$602,2,0)</f>
        <v>DA+3</v>
      </c>
      <c r="E532" s="267" t="s">
        <v>403</v>
      </c>
      <c r="F532" s="268" t="s">
        <v>683</v>
      </c>
      <c r="G532" s="158">
        <v>1</v>
      </c>
      <c r="K532" s="157">
        <v>1</v>
      </c>
      <c r="L532" s="156">
        <v>1</v>
      </c>
      <c r="N532" s="157">
        <v>1</v>
      </c>
      <c r="O532" s="156">
        <v>1</v>
      </c>
      <c r="Q532" s="157">
        <v>1</v>
      </c>
      <c r="R532" s="156">
        <v>1</v>
      </c>
      <c r="X532" s="35">
        <f t="shared" si="73"/>
        <v>45611</v>
      </c>
      <c r="Y532" s="35">
        <f t="shared" si="74"/>
        <v>45639</v>
      </c>
    </row>
    <row r="533" spans="1:25" ht="20.149999999999999" customHeight="1">
      <c r="A533" s="10">
        <f>SUBTOTAL(103,$B$4:B533)</f>
        <v>530</v>
      </c>
      <c r="B533" s="111">
        <v>45612</v>
      </c>
      <c r="C533" s="114" t="s">
        <v>614</v>
      </c>
      <c r="D533" s="3" t="str">
        <f>VLOOKUP(C533,'Location Summary'!$C$4:$D$602,2,0)</f>
        <v>DA+1.5</v>
      </c>
      <c r="E533" s="267" t="s">
        <v>403</v>
      </c>
      <c r="F533" s="268" t="s">
        <v>683</v>
      </c>
      <c r="M533" s="158">
        <v>1</v>
      </c>
      <c r="Q533" s="157">
        <v>1</v>
      </c>
      <c r="X533" s="35">
        <f t="shared" si="73"/>
        <v>45612</v>
      </c>
      <c r="Y533" s="35">
        <f t="shared" si="74"/>
        <v>45640</v>
      </c>
    </row>
    <row r="534" spans="1:25" ht="20.149999999999999" customHeight="1">
      <c r="A534" s="10">
        <f>SUBTOTAL(103,$B$4:B534)</f>
        <v>531</v>
      </c>
      <c r="B534" s="111">
        <v>45612</v>
      </c>
      <c r="C534" s="114" t="s">
        <v>604</v>
      </c>
      <c r="D534" s="3" t="str">
        <f>VLOOKUP(C534,'Location Summary'!$C$4:$D$602,2,0)</f>
        <v>DA+9</v>
      </c>
      <c r="E534" s="267" t="s">
        <v>403</v>
      </c>
      <c r="F534" s="268" t="s">
        <v>683</v>
      </c>
      <c r="H534" s="157">
        <v>1</v>
      </c>
      <c r="I534" s="156">
        <v>1</v>
      </c>
      <c r="J534" s="158">
        <v>1</v>
      </c>
      <c r="M534" s="158">
        <v>1</v>
      </c>
      <c r="R534" s="156">
        <v>1</v>
      </c>
      <c r="X534" s="35">
        <f t="shared" si="73"/>
        <v>45612</v>
      </c>
      <c r="Y534" s="35">
        <f t="shared" si="74"/>
        <v>45640</v>
      </c>
    </row>
    <row r="535" spans="1:25" ht="20.149999999999999" customHeight="1">
      <c r="A535" s="10">
        <f>SUBTOTAL(103,$B$4:B535)</f>
        <v>532</v>
      </c>
      <c r="B535" s="111">
        <v>45612</v>
      </c>
      <c r="C535" s="114" t="s">
        <v>491</v>
      </c>
      <c r="D535" s="3" t="str">
        <f>VLOOKUP(C535,'Location Summary'!$C$4:$D$602,2,0)</f>
        <v>DB1+6</v>
      </c>
      <c r="E535" s="267" t="s">
        <v>403</v>
      </c>
      <c r="F535" s="268" t="s">
        <v>683</v>
      </c>
      <c r="G535" s="158">
        <v>1</v>
      </c>
      <c r="N535" s="157">
        <v>1</v>
      </c>
      <c r="Q535" s="157">
        <v>1</v>
      </c>
      <c r="X535" s="35">
        <f t="shared" si="73"/>
        <v>45612</v>
      </c>
      <c r="Y535" s="35">
        <f t="shared" si="74"/>
        <v>45640</v>
      </c>
    </row>
    <row r="536" spans="1:25" ht="20.149999999999999" customHeight="1">
      <c r="A536" s="10">
        <f>SUBTOTAL(103,$B$4:B536)</f>
        <v>533</v>
      </c>
      <c r="B536" s="111">
        <v>45612</v>
      </c>
      <c r="C536" s="114" t="s">
        <v>8</v>
      </c>
      <c r="D536" s="3" t="str">
        <f>VLOOKUP(C536,'Location Summary'!$C$4:$D$602,2,0)</f>
        <v>DB2+3</v>
      </c>
      <c r="E536" s="267" t="s">
        <v>403</v>
      </c>
      <c r="F536" s="268" t="s">
        <v>683</v>
      </c>
      <c r="L536" s="156">
        <v>1</v>
      </c>
      <c r="P536" s="158">
        <v>1</v>
      </c>
      <c r="X536" s="35">
        <f t="shared" si="73"/>
        <v>45612</v>
      </c>
      <c r="Y536" s="35">
        <f t="shared" si="74"/>
        <v>45640</v>
      </c>
    </row>
    <row r="537" spans="1:25" ht="20.149999999999999" customHeight="1">
      <c r="A537" s="10">
        <f>SUBTOTAL(103,$B$4:B537)</f>
        <v>534</v>
      </c>
      <c r="B537" s="111">
        <v>45612</v>
      </c>
      <c r="C537" s="114" t="s">
        <v>192</v>
      </c>
      <c r="D537" s="3" t="str">
        <f>VLOOKUP(C537,'Location Summary'!$C$4:$D$602,2,0)</f>
        <v>DA+3</v>
      </c>
      <c r="E537" s="267" t="s">
        <v>403</v>
      </c>
      <c r="F537" s="268" t="s">
        <v>683</v>
      </c>
      <c r="H537" s="157">
        <v>1</v>
      </c>
      <c r="I537" s="156">
        <v>1</v>
      </c>
      <c r="X537" s="35">
        <f t="shared" si="73"/>
        <v>45612</v>
      </c>
      <c r="Y537" s="35">
        <f t="shared" si="74"/>
        <v>45640</v>
      </c>
    </row>
    <row r="538" spans="1:25" ht="20.149999999999999" customHeight="1">
      <c r="A538" s="10">
        <f>SUBTOTAL(103,$B$4:B538)</f>
        <v>535</v>
      </c>
      <c r="B538" s="111">
        <v>45612</v>
      </c>
      <c r="C538" s="114" t="s">
        <v>166</v>
      </c>
      <c r="D538" s="3" t="str">
        <f>VLOOKUP(C538,'Location Summary'!$C$4:$D$602,2,0)</f>
        <v>DB1+6</v>
      </c>
      <c r="E538" s="267" t="s">
        <v>403</v>
      </c>
      <c r="F538" s="268" t="s">
        <v>683</v>
      </c>
      <c r="M538" s="158">
        <v>1</v>
      </c>
      <c r="X538" s="35">
        <f t="shared" si="73"/>
        <v>45612</v>
      </c>
      <c r="Y538" s="35">
        <f t="shared" si="74"/>
        <v>45640</v>
      </c>
    </row>
    <row r="539" spans="1:25" ht="20.149999999999999" customHeight="1">
      <c r="A539" s="10">
        <f>SUBTOTAL(103,$B$4:B539)</f>
        <v>536</v>
      </c>
      <c r="B539" s="111">
        <v>45613</v>
      </c>
      <c r="C539" s="114" t="s">
        <v>614</v>
      </c>
      <c r="D539" s="3" t="str">
        <f>VLOOKUP(C539,'Location Summary'!$C$4:$D$602,2,0)</f>
        <v>DA+1.5</v>
      </c>
      <c r="E539" s="267" t="s">
        <v>403</v>
      </c>
      <c r="F539" s="268" t="s">
        <v>683</v>
      </c>
      <c r="G539" s="158">
        <v>1</v>
      </c>
      <c r="X539" s="35">
        <f t="shared" si="73"/>
        <v>45613</v>
      </c>
      <c r="Y539" s="35">
        <f t="shared" si="74"/>
        <v>45641</v>
      </c>
    </row>
    <row r="540" spans="1:25" ht="20.149999999999999" customHeight="1">
      <c r="A540" s="10">
        <f>SUBTOTAL(103,$B$4:B540)</f>
        <v>537</v>
      </c>
      <c r="B540" s="111">
        <v>45613</v>
      </c>
      <c r="C540" s="114" t="s">
        <v>604</v>
      </c>
      <c r="D540" s="3" t="str">
        <f>VLOOKUP(C540,'Location Summary'!$C$4:$D$602,2,0)</f>
        <v>DA+9</v>
      </c>
      <c r="E540" s="267" t="s">
        <v>403</v>
      </c>
      <c r="F540" s="268" t="s">
        <v>683</v>
      </c>
      <c r="K540" s="157">
        <v>1</v>
      </c>
      <c r="L540" s="156">
        <v>1</v>
      </c>
      <c r="N540" s="157">
        <v>1</v>
      </c>
      <c r="O540" s="156">
        <v>1</v>
      </c>
      <c r="X540" s="35">
        <f t="shared" si="73"/>
        <v>45613</v>
      </c>
      <c r="Y540" s="35">
        <f t="shared" si="74"/>
        <v>45641</v>
      </c>
    </row>
    <row r="541" spans="1:25" ht="20.149999999999999" customHeight="1">
      <c r="A541" s="10">
        <f>SUBTOTAL(103,$B$4:B541)</f>
        <v>538</v>
      </c>
      <c r="B541" s="111">
        <v>45613</v>
      </c>
      <c r="C541" s="114" t="s">
        <v>491</v>
      </c>
      <c r="D541" s="3" t="str">
        <f>VLOOKUP(C541,'Location Summary'!$C$4:$D$602,2,0)</f>
        <v>DB1+6</v>
      </c>
      <c r="E541" s="267" t="s">
        <v>403</v>
      </c>
      <c r="F541" s="268" t="s">
        <v>683</v>
      </c>
      <c r="O541" s="156">
        <v>1</v>
      </c>
      <c r="R541" s="156">
        <v>1</v>
      </c>
      <c r="X541" s="35">
        <f t="shared" si="73"/>
        <v>45613</v>
      </c>
      <c r="Y541" s="35">
        <f t="shared" si="74"/>
        <v>45641</v>
      </c>
    </row>
    <row r="542" spans="1:25" ht="20.149999999999999" customHeight="1">
      <c r="A542" s="10">
        <f>SUBTOTAL(103,$B$4:B542)</f>
        <v>539</v>
      </c>
      <c r="B542" s="111">
        <v>45613</v>
      </c>
      <c r="C542" s="114" t="s">
        <v>8</v>
      </c>
      <c r="D542" s="3" t="str">
        <f>VLOOKUP(C542,'Location Summary'!$C$4:$D$602,2,0)</f>
        <v>DB2+3</v>
      </c>
      <c r="E542" s="267" t="s">
        <v>403</v>
      </c>
      <c r="F542" s="268" t="s">
        <v>683</v>
      </c>
      <c r="H542" s="157">
        <v>1</v>
      </c>
      <c r="I542" s="156">
        <v>1</v>
      </c>
      <c r="X542" s="35">
        <f t="shared" si="73"/>
        <v>45613</v>
      </c>
      <c r="Y542" s="35">
        <f t="shared" si="74"/>
        <v>45641</v>
      </c>
    </row>
    <row r="543" spans="1:25" ht="20.149999999999999" customHeight="1">
      <c r="A543" s="10">
        <f>SUBTOTAL(103,$B$4:B543)</f>
        <v>540</v>
      </c>
      <c r="B543" s="111">
        <v>45613</v>
      </c>
      <c r="C543" s="114" t="s">
        <v>193</v>
      </c>
      <c r="D543" s="3" t="str">
        <f>VLOOKUP(C543,'Location Summary'!$C$4:$D$602,2,0)</f>
        <v>DA+1.5</v>
      </c>
      <c r="E543" s="267" t="s">
        <v>403</v>
      </c>
      <c r="F543" s="268" t="s">
        <v>683</v>
      </c>
      <c r="G543" s="158">
        <v>1</v>
      </c>
      <c r="J543" s="158">
        <v>1</v>
      </c>
      <c r="X543" s="35">
        <f t="shared" si="73"/>
        <v>45613</v>
      </c>
      <c r="Y543" s="35">
        <f t="shared" si="74"/>
        <v>45641</v>
      </c>
    </row>
    <row r="544" spans="1:25" ht="20.149999999999999" customHeight="1">
      <c r="A544" s="10">
        <f>SUBTOTAL(103,$B$4:B544)</f>
        <v>541</v>
      </c>
      <c r="B544" s="111">
        <v>45613</v>
      </c>
      <c r="C544" s="114" t="s">
        <v>166</v>
      </c>
      <c r="D544" s="3" t="str">
        <f>VLOOKUP(C544,'Location Summary'!$C$4:$D$602,2,0)</f>
        <v>DB1+6</v>
      </c>
      <c r="E544" s="267" t="s">
        <v>403</v>
      </c>
      <c r="F544" s="268" t="s">
        <v>683</v>
      </c>
      <c r="G544" s="158">
        <v>1</v>
      </c>
      <c r="N544" s="157">
        <v>1</v>
      </c>
      <c r="X544" s="35">
        <f t="shared" si="73"/>
        <v>45613</v>
      </c>
      <c r="Y544" s="35">
        <f t="shared" si="74"/>
        <v>45641</v>
      </c>
    </row>
    <row r="545" spans="1:25" ht="20.149999999999999" customHeight="1">
      <c r="A545" s="10">
        <f>SUBTOTAL(103,$B$4:B545)</f>
        <v>542</v>
      </c>
      <c r="B545" s="111">
        <v>45614</v>
      </c>
      <c r="C545" s="114" t="s">
        <v>605</v>
      </c>
      <c r="D545" s="3" t="str">
        <f>VLOOKUP(C545,'Location Summary'!$C$4:$D$602,2,0)</f>
        <v>DA+3</v>
      </c>
      <c r="E545" s="267" t="s">
        <v>403</v>
      </c>
      <c r="F545" s="268" t="s">
        <v>683</v>
      </c>
      <c r="M545" s="158">
        <v>1</v>
      </c>
      <c r="P545" s="158">
        <v>1</v>
      </c>
      <c r="X545" s="35">
        <f t="shared" si="73"/>
        <v>45614</v>
      </c>
      <c r="Y545" s="35">
        <f t="shared" si="74"/>
        <v>45642</v>
      </c>
    </row>
    <row r="546" spans="1:25" ht="20.149999999999999" customHeight="1">
      <c r="A546" s="10">
        <f>SUBTOTAL(103,$B$4:B546)</f>
        <v>543</v>
      </c>
      <c r="B546" s="111">
        <v>45614</v>
      </c>
      <c r="C546" s="114" t="s">
        <v>491</v>
      </c>
      <c r="D546" s="3" t="str">
        <f>VLOOKUP(C546,'Location Summary'!$C$4:$D$602,2,0)</f>
        <v>DB1+6</v>
      </c>
      <c r="E546" s="267" t="s">
        <v>403</v>
      </c>
      <c r="F546" s="268" t="s">
        <v>683</v>
      </c>
      <c r="H546" s="157">
        <v>1</v>
      </c>
      <c r="I546" s="156">
        <v>1</v>
      </c>
      <c r="X546" s="35">
        <f t="shared" si="73"/>
        <v>45614</v>
      </c>
      <c r="Y546" s="35">
        <f t="shared" si="74"/>
        <v>45642</v>
      </c>
    </row>
    <row r="547" spans="1:25" ht="20.149999999999999" customHeight="1">
      <c r="A547" s="10">
        <f>SUBTOTAL(103,$B$4:B547)</f>
        <v>544</v>
      </c>
      <c r="B547" s="111">
        <v>45614</v>
      </c>
      <c r="C547" s="114" t="s">
        <v>8</v>
      </c>
      <c r="D547" s="3" t="str">
        <f>VLOOKUP(C547,'Location Summary'!$C$4:$D$602,2,0)</f>
        <v>DB2+3</v>
      </c>
      <c r="E547" s="267" t="s">
        <v>403</v>
      </c>
      <c r="F547" s="268" t="s">
        <v>683</v>
      </c>
      <c r="Q547" s="157">
        <v>1</v>
      </c>
      <c r="R547" s="156">
        <v>1</v>
      </c>
      <c r="X547" s="35">
        <f t="shared" si="73"/>
        <v>45614</v>
      </c>
      <c r="Y547" s="35">
        <f t="shared" si="74"/>
        <v>45642</v>
      </c>
    </row>
    <row r="548" spans="1:25" ht="20.149999999999999" customHeight="1">
      <c r="A548" s="10">
        <f>SUBTOTAL(103,$B$4:B548)</f>
        <v>545</v>
      </c>
      <c r="B548" s="111">
        <v>45614</v>
      </c>
      <c r="C548" s="114" t="s">
        <v>193</v>
      </c>
      <c r="D548" s="3" t="str">
        <f>VLOOKUP(C548,'Location Summary'!$C$4:$D$602,2,0)</f>
        <v>DA+1.5</v>
      </c>
      <c r="E548" s="267" t="s">
        <v>403</v>
      </c>
      <c r="F548" s="268" t="s">
        <v>683</v>
      </c>
      <c r="H548" s="157">
        <v>1</v>
      </c>
      <c r="K548" s="157">
        <v>1</v>
      </c>
      <c r="M548" s="158">
        <v>1</v>
      </c>
      <c r="P548" s="158">
        <v>1</v>
      </c>
      <c r="X548" s="35">
        <f t="shared" si="73"/>
        <v>45614</v>
      </c>
      <c r="Y548" s="35">
        <f t="shared" si="74"/>
        <v>45642</v>
      </c>
    </row>
    <row r="549" spans="1:25" ht="20.149999999999999" customHeight="1">
      <c r="A549" s="10">
        <f>SUBTOTAL(103,$B$4:B549)</f>
        <v>546</v>
      </c>
      <c r="B549" s="111">
        <v>45614</v>
      </c>
      <c r="C549" s="114" t="s">
        <v>166</v>
      </c>
      <c r="D549" s="3" t="str">
        <f>VLOOKUP(C549,'Location Summary'!$C$4:$D$602,2,0)</f>
        <v>DB1+6</v>
      </c>
      <c r="E549" s="267" t="s">
        <v>403</v>
      </c>
      <c r="F549" s="268" t="s">
        <v>683</v>
      </c>
      <c r="O549" s="156">
        <v>1</v>
      </c>
      <c r="X549" s="35">
        <f t="shared" si="73"/>
        <v>45614</v>
      </c>
      <c r="Y549" s="35">
        <f t="shared" si="74"/>
        <v>45642</v>
      </c>
    </row>
    <row r="550" spans="1:25" ht="20.149999999999999" customHeight="1">
      <c r="A550" s="10">
        <f>SUBTOTAL(103,$B$4:B550)</f>
        <v>547</v>
      </c>
      <c r="B550" s="111">
        <v>45614</v>
      </c>
      <c r="C550" s="114" t="s">
        <v>615</v>
      </c>
      <c r="D550" s="3" t="str">
        <f>VLOOKUP(C550,'Location Summary'!$C$4:$D$602,2,0)</f>
        <v>DA+0</v>
      </c>
      <c r="E550" s="267" t="s">
        <v>403</v>
      </c>
      <c r="F550" s="268" t="s">
        <v>683</v>
      </c>
      <c r="G550" s="158">
        <v>1</v>
      </c>
      <c r="P550" s="158">
        <v>1</v>
      </c>
      <c r="X550" s="35">
        <f t="shared" si="73"/>
        <v>45614</v>
      </c>
      <c r="Y550" s="35">
        <f t="shared" si="74"/>
        <v>45642</v>
      </c>
    </row>
    <row r="551" spans="1:25" ht="20.149999999999999" customHeight="1">
      <c r="A551" s="10">
        <f>SUBTOTAL(103,$B$4:B551)</f>
        <v>548</v>
      </c>
      <c r="B551" s="111">
        <v>45615</v>
      </c>
      <c r="C551" s="114" t="s">
        <v>614</v>
      </c>
      <c r="D551" s="3" t="str">
        <f>VLOOKUP(C551,'Location Summary'!$C$4:$D$602,2,0)</f>
        <v>DA+1.5</v>
      </c>
      <c r="E551" s="267" t="s">
        <v>403</v>
      </c>
      <c r="F551" s="268" t="s">
        <v>683</v>
      </c>
      <c r="H551" s="157">
        <v>1</v>
      </c>
      <c r="L551" s="156">
        <v>1</v>
      </c>
      <c r="N551" s="157">
        <v>1</v>
      </c>
      <c r="R551" s="156">
        <v>1</v>
      </c>
      <c r="X551" s="35">
        <f t="shared" si="73"/>
        <v>45615</v>
      </c>
      <c r="Y551" s="35">
        <f t="shared" si="74"/>
        <v>45643</v>
      </c>
    </row>
    <row r="552" spans="1:25" ht="20.149999999999999" customHeight="1">
      <c r="A552" s="10">
        <f>SUBTOTAL(103,$B$4:B552)</f>
        <v>549</v>
      </c>
      <c r="B552" s="111">
        <v>45615</v>
      </c>
      <c r="C552" s="114" t="s">
        <v>605</v>
      </c>
      <c r="D552" s="3" t="str">
        <f>VLOOKUP(C552,'Location Summary'!$C$4:$D$602,2,0)</f>
        <v>DA+3</v>
      </c>
      <c r="E552" s="267" t="s">
        <v>403</v>
      </c>
      <c r="F552" s="268" t="s">
        <v>683</v>
      </c>
      <c r="N552" s="157">
        <v>1</v>
      </c>
      <c r="O552" s="156">
        <v>1</v>
      </c>
      <c r="Q552" s="157">
        <v>1</v>
      </c>
      <c r="R552" s="156">
        <v>1</v>
      </c>
      <c r="X552" s="35">
        <f t="shared" si="73"/>
        <v>45615</v>
      </c>
      <c r="Y552" s="35">
        <f t="shared" si="74"/>
        <v>45643</v>
      </c>
    </row>
    <row r="553" spans="1:25" ht="20.149999999999999" customHeight="1">
      <c r="A553" s="10">
        <f>SUBTOTAL(103,$B$4:B553)</f>
        <v>550</v>
      </c>
      <c r="B553" s="111">
        <v>45615</v>
      </c>
      <c r="C553" s="114" t="s">
        <v>8</v>
      </c>
      <c r="D553" s="3" t="str">
        <f>VLOOKUP(C553,'Location Summary'!$C$4:$D$602,2,0)</f>
        <v>DB2+3</v>
      </c>
      <c r="E553" s="267" t="s">
        <v>403</v>
      </c>
      <c r="F553" s="268" t="s">
        <v>683</v>
      </c>
      <c r="M553" s="158">
        <v>1</v>
      </c>
      <c r="N553" s="157">
        <v>1</v>
      </c>
      <c r="X553" s="35">
        <f t="shared" si="73"/>
        <v>45615</v>
      </c>
      <c r="Y553" s="35">
        <f t="shared" si="74"/>
        <v>45643</v>
      </c>
    </row>
    <row r="554" spans="1:25" ht="20.149999999999999" customHeight="1">
      <c r="A554" s="10">
        <f>SUBTOTAL(103,$B$4:B554)</f>
        <v>551</v>
      </c>
      <c r="B554" s="111">
        <v>45615</v>
      </c>
      <c r="C554" s="114" t="s">
        <v>193</v>
      </c>
      <c r="D554" s="3" t="str">
        <f>VLOOKUP(C554,'Location Summary'!$C$4:$D$602,2,0)</f>
        <v>DA+1.5</v>
      </c>
      <c r="E554" s="267" t="s">
        <v>403</v>
      </c>
      <c r="F554" s="268" t="s">
        <v>683</v>
      </c>
      <c r="I554" s="156">
        <v>1</v>
      </c>
      <c r="L554" s="156">
        <v>1</v>
      </c>
      <c r="N554" s="157">
        <v>1</v>
      </c>
      <c r="O554" s="156">
        <v>1</v>
      </c>
      <c r="Q554" s="157">
        <v>1</v>
      </c>
      <c r="R554" s="156">
        <v>1</v>
      </c>
      <c r="X554" s="35">
        <f t="shared" si="73"/>
        <v>45615</v>
      </c>
      <c r="Y554" s="35">
        <f t="shared" si="74"/>
        <v>45643</v>
      </c>
    </row>
    <row r="555" spans="1:25" ht="20.149999999999999" customHeight="1">
      <c r="A555" s="10">
        <f>SUBTOTAL(103,$B$4:B555)</f>
        <v>552</v>
      </c>
      <c r="B555" s="111">
        <v>45615</v>
      </c>
      <c r="C555" s="114" t="s">
        <v>166</v>
      </c>
      <c r="D555" s="3" t="str">
        <f>VLOOKUP(C555,'Location Summary'!$C$4:$D$602,2,0)</f>
        <v>DB1+6</v>
      </c>
      <c r="E555" s="267" t="s">
        <v>403</v>
      </c>
      <c r="F555" s="268" t="s">
        <v>683</v>
      </c>
      <c r="H555" s="157">
        <v>1</v>
      </c>
      <c r="I555" s="156">
        <v>1</v>
      </c>
      <c r="X555" s="35">
        <f t="shared" si="73"/>
        <v>45615</v>
      </c>
      <c r="Y555" s="35">
        <f t="shared" si="74"/>
        <v>45643</v>
      </c>
    </row>
    <row r="556" spans="1:25" ht="20.149999999999999" customHeight="1">
      <c r="A556" s="10">
        <f>SUBTOTAL(103,$B$4:B556)</f>
        <v>553</v>
      </c>
      <c r="B556" s="111">
        <v>45615</v>
      </c>
      <c r="C556" s="114" t="s">
        <v>615</v>
      </c>
      <c r="D556" s="3" t="str">
        <f>VLOOKUP(C556,'Location Summary'!$C$4:$D$602,2,0)</f>
        <v>DA+0</v>
      </c>
      <c r="E556" s="267" t="s">
        <v>403</v>
      </c>
      <c r="F556" s="268" t="s">
        <v>683</v>
      </c>
      <c r="H556" s="157">
        <v>1</v>
      </c>
      <c r="J556" s="158">
        <v>1</v>
      </c>
      <c r="M556" s="158">
        <v>1</v>
      </c>
      <c r="Q556" s="157">
        <v>1</v>
      </c>
      <c r="X556" s="35">
        <f t="shared" si="73"/>
        <v>45615</v>
      </c>
      <c r="Y556" s="35">
        <f t="shared" si="74"/>
        <v>45643</v>
      </c>
    </row>
    <row r="557" spans="1:25" ht="20.149999999999999" customHeight="1">
      <c r="A557" s="10">
        <f>SUBTOTAL(103,$B$4:B557)</f>
        <v>554</v>
      </c>
      <c r="B557" s="111">
        <v>45616</v>
      </c>
      <c r="C557" s="114" t="s">
        <v>614</v>
      </c>
      <c r="D557" s="3" t="str">
        <f>VLOOKUP(C557,'Location Summary'!$C$4:$D$602,2,0)</f>
        <v>DA+1.5</v>
      </c>
      <c r="E557" s="267" t="s">
        <v>403</v>
      </c>
      <c r="F557" s="268" t="s">
        <v>683</v>
      </c>
      <c r="I557" s="156">
        <v>1</v>
      </c>
      <c r="O557" s="156">
        <v>1</v>
      </c>
      <c r="X557" s="35">
        <f t="shared" si="73"/>
        <v>45616</v>
      </c>
      <c r="Y557" s="35">
        <f t="shared" si="74"/>
        <v>45644</v>
      </c>
    </row>
    <row r="558" spans="1:25" ht="20.149999999999999" customHeight="1">
      <c r="A558" s="10">
        <f>SUBTOTAL(103,$B$4:B558)</f>
        <v>555</v>
      </c>
      <c r="B558" s="111">
        <v>45616</v>
      </c>
      <c r="C558" s="114" t="s">
        <v>605</v>
      </c>
      <c r="D558" s="3" t="str">
        <f>VLOOKUP(C558,'Location Summary'!$C$4:$D$602,2,0)</f>
        <v>DA+3</v>
      </c>
      <c r="E558" s="267" t="s">
        <v>403</v>
      </c>
      <c r="F558" s="268" t="s">
        <v>683</v>
      </c>
      <c r="G558" s="158">
        <v>1</v>
      </c>
      <c r="J558" s="158">
        <v>1</v>
      </c>
      <c r="X558" s="35">
        <f t="shared" si="73"/>
        <v>45616</v>
      </c>
      <c r="Y558" s="35">
        <f t="shared" si="74"/>
        <v>45644</v>
      </c>
    </row>
    <row r="559" spans="1:25" ht="20.149999999999999" customHeight="1">
      <c r="A559" s="10">
        <f>SUBTOTAL(103,$B$4:B559)</f>
        <v>556</v>
      </c>
      <c r="B559" s="111">
        <v>45616</v>
      </c>
      <c r="C559" s="114" t="s">
        <v>8</v>
      </c>
      <c r="D559" s="3" t="str">
        <f>VLOOKUP(C559,'Location Summary'!$C$4:$D$602,2,0)</f>
        <v>DB2+3</v>
      </c>
      <c r="E559" s="267" t="s">
        <v>403</v>
      </c>
      <c r="F559" s="268" t="s">
        <v>683</v>
      </c>
      <c r="O559" s="156">
        <v>1</v>
      </c>
      <c r="X559" s="35">
        <f t="shared" si="73"/>
        <v>45616</v>
      </c>
      <c r="Y559" s="35">
        <f t="shared" si="74"/>
        <v>45644</v>
      </c>
    </row>
    <row r="560" spans="1:25" ht="20.149999999999999" customHeight="1">
      <c r="A560" s="10">
        <f>SUBTOTAL(103,$B$4:B560)</f>
        <v>557</v>
      </c>
      <c r="B560" s="111">
        <v>45616</v>
      </c>
      <c r="C560" s="114" t="s">
        <v>166</v>
      </c>
      <c r="D560" s="3" t="str">
        <f>VLOOKUP(C560,'Location Summary'!$C$4:$D$602,2,0)</f>
        <v>DB1+6</v>
      </c>
      <c r="E560" s="267" t="s">
        <v>403</v>
      </c>
      <c r="F560" s="268" t="s">
        <v>683</v>
      </c>
      <c r="P560" s="158">
        <v>1</v>
      </c>
      <c r="X560" s="35">
        <f t="shared" si="73"/>
        <v>45616</v>
      </c>
      <c r="Y560" s="35">
        <f t="shared" si="74"/>
        <v>45644</v>
      </c>
    </row>
    <row r="561" spans="1:25" ht="20.149999999999999" customHeight="1">
      <c r="A561" s="10">
        <f>SUBTOTAL(103,$B$4:B561)</f>
        <v>558</v>
      </c>
      <c r="B561" s="111">
        <v>45616</v>
      </c>
      <c r="C561" s="114" t="s">
        <v>615</v>
      </c>
      <c r="D561" s="3" t="str">
        <f>VLOOKUP(C561,'Location Summary'!$C$4:$D$602,2,0)</f>
        <v>DA+0</v>
      </c>
      <c r="E561" s="267" t="s">
        <v>403</v>
      </c>
      <c r="F561" s="268" t="s">
        <v>683</v>
      </c>
      <c r="K561" s="157">
        <v>1</v>
      </c>
      <c r="N561" s="157">
        <v>1</v>
      </c>
      <c r="R561" s="156">
        <v>1</v>
      </c>
      <c r="X561" s="35">
        <f t="shared" si="73"/>
        <v>45616</v>
      </c>
      <c r="Y561" s="35">
        <f t="shared" si="74"/>
        <v>45644</v>
      </c>
    </row>
    <row r="562" spans="1:25" ht="20.149999999999999" customHeight="1">
      <c r="A562" s="10">
        <f>SUBTOTAL(103,$B$4:B562)</f>
        <v>559</v>
      </c>
      <c r="B562" s="111">
        <v>45617</v>
      </c>
      <c r="C562" s="114" t="s">
        <v>605</v>
      </c>
      <c r="D562" s="3" t="str">
        <f>VLOOKUP(C562,'Location Summary'!$C$4:$D$602,2,0)</f>
        <v>DA+3</v>
      </c>
      <c r="E562" s="267" t="s">
        <v>403</v>
      </c>
      <c r="F562" s="268" t="s">
        <v>683</v>
      </c>
      <c r="H562" s="157">
        <v>1</v>
      </c>
      <c r="I562" s="156">
        <v>1</v>
      </c>
      <c r="K562" s="157">
        <v>1</v>
      </c>
      <c r="L562" s="156">
        <v>1</v>
      </c>
      <c r="X562" s="35">
        <f t="shared" si="73"/>
        <v>45617</v>
      </c>
      <c r="Y562" s="35">
        <f t="shared" si="74"/>
        <v>45645</v>
      </c>
    </row>
    <row r="563" spans="1:25" ht="20.149999999999999" customHeight="1">
      <c r="A563" s="10">
        <f>SUBTOTAL(103,$B$4:B563)</f>
        <v>560</v>
      </c>
      <c r="B563" s="111">
        <v>45617</v>
      </c>
      <c r="C563" s="114" t="s">
        <v>491</v>
      </c>
      <c r="D563" s="3" t="str">
        <f>VLOOKUP(C563,'Location Summary'!$C$4:$D$602,2,0)</f>
        <v>DB1+6</v>
      </c>
      <c r="E563" s="267" t="s">
        <v>403</v>
      </c>
      <c r="F563" s="268" t="s">
        <v>683</v>
      </c>
      <c r="J563" s="158">
        <v>1</v>
      </c>
      <c r="X563" s="35">
        <f>B563</f>
        <v>45617</v>
      </c>
      <c r="Y563" s="35">
        <f>B563+28</f>
        <v>45645</v>
      </c>
    </row>
    <row r="564" spans="1:25" ht="20.149999999999999" customHeight="1">
      <c r="A564" s="10">
        <f>SUBTOTAL(103,$B$4:B564)</f>
        <v>561</v>
      </c>
      <c r="B564" s="111">
        <v>45617</v>
      </c>
      <c r="C564" s="114" t="s">
        <v>254</v>
      </c>
      <c r="D564" s="3" t="str">
        <f>VLOOKUP(C564,'Location Summary'!$C$4:$D$602,2,0)</f>
        <v>DA+6</v>
      </c>
      <c r="E564" s="267" t="s">
        <v>403</v>
      </c>
      <c r="F564" s="268" t="s">
        <v>683</v>
      </c>
      <c r="G564" s="158">
        <v>1</v>
      </c>
      <c r="X564" s="35">
        <f t="shared" si="73"/>
        <v>45617</v>
      </c>
      <c r="Y564" s="35">
        <f t="shared" si="74"/>
        <v>45645</v>
      </c>
    </row>
    <row r="565" spans="1:25" ht="20.149999999999999" customHeight="1">
      <c r="A565" s="10">
        <f>SUBTOTAL(103,$B$4:B565)</f>
        <v>562</v>
      </c>
      <c r="B565" s="111">
        <v>45617</v>
      </c>
      <c r="C565" s="114" t="s">
        <v>166</v>
      </c>
      <c r="D565" s="3" t="str">
        <f>VLOOKUP(C565,'Location Summary'!$C$4:$D$602,2,0)</f>
        <v>DB1+6</v>
      </c>
      <c r="E565" s="267" t="s">
        <v>403</v>
      </c>
      <c r="F565" s="268" t="s">
        <v>683</v>
      </c>
      <c r="Q565" s="157">
        <v>1</v>
      </c>
      <c r="X565" s="35">
        <f t="shared" si="73"/>
        <v>45617</v>
      </c>
      <c r="Y565" s="35">
        <f t="shared" si="74"/>
        <v>45645</v>
      </c>
    </row>
    <row r="566" spans="1:25" ht="20.149999999999999" customHeight="1">
      <c r="A566" s="10">
        <f>SUBTOTAL(103,$B$4:B566)</f>
        <v>563</v>
      </c>
      <c r="B566" s="111">
        <v>45617</v>
      </c>
      <c r="C566" s="114" t="s">
        <v>615</v>
      </c>
      <c r="D566" s="3" t="str">
        <f>VLOOKUP(C566,'Location Summary'!$C$4:$D$602,2,0)</f>
        <v>DA+0</v>
      </c>
      <c r="E566" s="267" t="s">
        <v>403</v>
      </c>
      <c r="F566" s="268" t="s">
        <v>683</v>
      </c>
      <c r="I566" s="156">
        <v>1</v>
      </c>
      <c r="L566" s="156">
        <v>1</v>
      </c>
      <c r="O566" s="156">
        <v>1</v>
      </c>
      <c r="X566" s="35">
        <f t="shared" si="73"/>
        <v>45617</v>
      </c>
      <c r="Y566" s="35">
        <f t="shared" si="74"/>
        <v>45645</v>
      </c>
    </row>
    <row r="567" spans="1:25" ht="20.149999999999999" customHeight="1">
      <c r="A567" s="10">
        <f>SUBTOTAL(103,$B$4:B567)</f>
        <v>564</v>
      </c>
      <c r="B567" s="111">
        <v>45617</v>
      </c>
      <c r="C567" s="114" t="s">
        <v>616</v>
      </c>
      <c r="D567" s="3" t="str">
        <f>VLOOKUP(C567,'Location Summary'!$C$4:$D$602,2,0)</f>
        <v>DA+3</v>
      </c>
      <c r="E567" s="267" t="s">
        <v>403</v>
      </c>
      <c r="F567" s="268" t="s">
        <v>683</v>
      </c>
      <c r="J567" s="158">
        <v>1</v>
      </c>
      <c r="M567" s="158">
        <v>1</v>
      </c>
      <c r="X567" s="35">
        <f t="shared" si="73"/>
        <v>45617</v>
      </c>
      <c r="Y567" s="35">
        <f t="shared" si="74"/>
        <v>45645</v>
      </c>
    </row>
    <row r="568" spans="1:25" ht="20.149999999999999" customHeight="1">
      <c r="A568" s="10">
        <f>SUBTOTAL(103,$B$4:B568)</f>
        <v>565</v>
      </c>
      <c r="B568" s="111">
        <v>45618</v>
      </c>
      <c r="C568" s="114" t="s">
        <v>616</v>
      </c>
      <c r="D568" s="3" t="str">
        <f>VLOOKUP(C568,'Location Summary'!$C$4:$D$602,2,0)</f>
        <v>DA+3</v>
      </c>
      <c r="E568" s="267" t="s">
        <v>403</v>
      </c>
      <c r="F568" s="268" t="s">
        <v>683</v>
      </c>
      <c r="G568" s="158">
        <v>1</v>
      </c>
      <c r="K568" s="157">
        <v>1</v>
      </c>
      <c r="L568" s="156">
        <v>1</v>
      </c>
      <c r="N568" s="157">
        <v>1</v>
      </c>
      <c r="O568" s="156">
        <v>1</v>
      </c>
      <c r="P568" s="158">
        <v>1</v>
      </c>
      <c r="X568" s="35">
        <f t="shared" si="73"/>
        <v>45618</v>
      </c>
      <c r="Y568" s="35">
        <f t="shared" si="74"/>
        <v>45646</v>
      </c>
    </row>
    <row r="569" spans="1:25" ht="20.149999999999999" customHeight="1">
      <c r="A569" s="10">
        <f>SUBTOTAL(103,$B$4:B569)</f>
        <v>566</v>
      </c>
      <c r="B569" s="111">
        <v>45618</v>
      </c>
      <c r="C569" s="114" t="s">
        <v>775</v>
      </c>
      <c r="D569" s="3" t="str">
        <f>VLOOKUP(C569,'Location Summary'!$C$4:$D$602,2,0)</f>
        <v>DB1+0</v>
      </c>
      <c r="E569" s="267" t="s">
        <v>403</v>
      </c>
      <c r="F569" s="268" t="s">
        <v>683</v>
      </c>
      <c r="P569" s="158">
        <v>1</v>
      </c>
      <c r="X569" s="35">
        <f t="shared" si="73"/>
        <v>45618</v>
      </c>
      <c r="Y569" s="35">
        <f t="shared" si="74"/>
        <v>45646</v>
      </c>
    </row>
    <row r="570" spans="1:25" ht="20.149999999999999" customHeight="1">
      <c r="A570" s="10">
        <f>SUBTOTAL(103,$B$4:B570)</f>
        <v>567</v>
      </c>
      <c r="B570" s="111">
        <v>45618</v>
      </c>
      <c r="C570" s="114" t="s">
        <v>491</v>
      </c>
      <c r="D570" s="3" t="str">
        <f>VLOOKUP(C570,'Location Summary'!$C$4:$D$602,2,0)</f>
        <v>DB1+6</v>
      </c>
      <c r="E570" s="267" t="s">
        <v>403</v>
      </c>
      <c r="F570" s="268" t="s">
        <v>683</v>
      </c>
      <c r="K570" s="157">
        <v>1</v>
      </c>
      <c r="L570" s="156">
        <v>1</v>
      </c>
      <c r="X570" s="35">
        <f t="shared" si="73"/>
        <v>45618</v>
      </c>
      <c r="Y570" s="35">
        <f t="shared" si="74"/>
        <v>45646</v>
      </c>
    </row>
    <row r="571" spans="1:25" ht="20.149999999999999" customHeight="1">
      <c r="A571" s="10">
        <f>SUBTOTAL(103,$B$4:B571)</f>
        <v>568</v>
      </c>
      <c r="B571" s="111">
        <v>45618</v>
      </c>
      <c r="C571" s="114" t="s">
        <v>254</v>
      </c>
      <c r="D571" s="3" t="str">
        <f>VLOOKUP(C571,'Location Summary'!$C$4:$D$602,2,0)</f>
        <v>DA+6</v>
      </c>
      <c r="E571" s="267" t="s">
        <v>403</v>
      </c>
      <c r="F571" s="268" t="s">
        <v>683</v>
      </c>
      <c r="H571" s="157">
        <v>1</v>
      </c>
      <c r="J571" s="158">
        <v>1</v>
      </c>
      <c r="M571" s="158">
        <v>1</v>
      </c>
      <c r="X571" s="35">
        <f t="shared" si="73"/>
        <v>45618</v>
      </c>
      <c r="Y571" s="35">
        <f t="shared" si="74"/>
        <v>45646</v>
      </c>
    </row>
    <row r="572" spans="1:25" ht="20.149999999999999" customHeight="1">
      <c r="A572" s="10">
        <f>SUBTOTAL(103,$B$4:B572)</f>
        <v>569</v>
      </c>
      <c r="B572" s="111">
        <v>45618</v>
      </c>
      <c r="C572" s="114" t="s">
        <v>166</v>
      </c>
      <c r="D572" s="3" t="str">
        <f>VLOOKUP(C572,'Location Summary'!$C$4:$D$602,2,0)</f>
        <v>DB1+6</v>
      </c>
      <c r="E572" s="267" t="s">
        <v>403</v>
      </c>
      <c r="F572" s="268" t="s">
        <v>683</v>
      </c>
      <c r="J572" s="158">
        <v>1</v>
      </c>
      <c r="R572" s="156">
        <v>1</v>
      </c>
      <c r="X572" s="35">
        <f t="shared" si="73"/>
        <v>45618</v>
      </c>
      <c r="Y572" s="35">
        <f t="shared" si="74"/>
        <v>45646</v>
      </c>
    </row>
    <row r="573" spans="1:25" ht="20.149999999999999" customHeight="1">
      <c r="A573" s="10">
        <f>SUBTOTAL(103,$B$4:B573)</f>
        <v>570</v>
      </c>
      <c r="B573" s="111">
        <v>45619</v>
      </c>
      <c r="C573" s="114" t="s">
        <v>166</v>
      </c>
      <c r="D573" s="3" t="str">
        <f>VLOOKUP(C573,'Location Summary'!$C$4:$D$602,2,0)</f>
        <v>DB1+6</v>
      </c>
      <c r="E573" s="267" t="s">
        <v>403</v>
      </c>
      <c r="F573" s="268" t="s">
        <v>683</v>
      </c>
      <c r="K573" s="157">
        <v>1</v>
      </c>
      <c r="L573" s="156">
        <v>1</v>
      </c>
      <c r="X573" s="35">
        <f t="shared" ref="X573:X582" si="75">B573</f>
        <v>45619</v>
      </c>
      <c r="Y573" s="35">
        <f t="shared" ref="Y573:Y582" si="76">B573+28</f>
        <v>45647</v>
      </c>
    </row>
    <row r="574" spans="1:25" ht="20.149999999999999" customHeight="1">
      <c r="A574" s="10">
        <f>SUBTOTAL(103,$B$4:B574)</f>
        <v>571</v>
      </c>
      <c r="B574" s="111">
        <v>45619</v>
      </c>
      <c r="C574" s="114" t="s">
        <v>591</v>
      </c>
      <c r="D574" s="3" t="str">
        <f>VLOOKUP(C574,'Location Summary'!$C$4:$D$602,2,0)</f>
        <v>DA+9</v>
      </c>
      <c r="E574" s="267" t="s">
        <v>403</v>
      </c>
      <c r="F574" s="268" t="s">
        <v>683</v>
      </c>
      <c r="G574" s="158">
        <v>1</v>
      </c>
      <c r="J574" s="158">
        <v>1</v>
      </c>
      <c r="P574" s="158">
        <v>1</v>
      </c>
      <c r="X574" s="35">
        <f t="shared" si="75"/>
        <v>45619</v>
      </c>
      <c r="Y574" s="35">
        <f t="shared" si="76"/>
        <v>45647</v>
      </c>
    </row>
    <row r="575" spans="1:25" ht="20.149999999999999" customHeight="1">
      <c r="A575" s="10">
        <f>SUBTOTAL(103,$B$4:B575)</f>
        <v>572</v>
      </c>
      <c r="B575" s="111">
        <v>45619</v>
      </c>
      <c r="C575" s="114" t="s">
        <v>775</v>
      </c>
      <c r="D575" s="3" t="str">
        <f>VLOOKUP(C575,'Location Summary'!$C$4:$D$602,2,0)</f>
        <v>DB1+0</v>
      </c>
      <c r="E575" s="267" t="s">
        <v>403</v>
      </c>
      <c r="F575" s="268" t="s">
        <v>683</v>
      </c>
      <c r="M575" s="158">
        <v>1</v>
      </c>
      <c r="Q575" s="157">
        <v>1</v>
      </c>
      <c r="R575" s="156">
        <v>1</v>
      </c>
      <c r="X575" s="35">
        <f t="shared" si="75"/>
        <v>45619</v>
      </c>
      <c r="Y575" s="35">
        <f t="shared" si="76"/>
        <v>45647</v>
      </c>
    </row>
    <row r="576" spans="1:25" ht="20.149999999999999" customHeight="1">
      <c r="A576" s="10">
        <f>SUBTOTAL(103,$B$4:B576)</f>
        <v>573</v>
      </c>
      <c r="B576" s="111">
        <v>45619</v>
      </c>
      <c r="C576" s="114" t="s">
        <v>616</v>
      </c>
      <c r="D576" s="3" t="str">
        <f>VLOOKUP(C576,'Location Summary'!$C$4:$D$602,2,0)</f>
        <v>DA+3</v>
      </c>
      <c r="E576" s="267" t="s">
        <v>403</v>
      </c>
      <c r="F576" s="268" t="s">
        <v>683</v>
      </c>
      <c r="H576" s="157">
        <v>1</v>
      </c>
      <c r="I576" s="156">
        <v>1</v>
      </c>
      <c r="Q576" s="157">
        <v>1</v>
      </c>
      <c r="R576" s="156">
        <v>1</v>
      </c>
      <c r="X576" s="35">
        <f t="shared" si="75"/>
        <v>45619</v>
      </c>
      <c r="Y576" s="35">
        <f t="shared" si="76"/>
        <v>45647</v>
      </c>
    </row>
    <row r="577" spans="1:25" ht="20.149999999999999" customHeight="1">
      <c r="A577" s="10">
        <f>SUBTOTAL(103,$B$4:B577)</f>
        <v>574</v>
      </c>
      <c r="B577" s="111">
        <v>45619</v>
      </c>
      <c r="C577" s="114" t="s">
        <v>254</v>
      </c>
      <c r="D577" s="3" t="str">
        <f>VLOOKUP(C577,'Location Summary'!$C$4:$D$602,2,0)</f>
        <v>DA+6</v>
      </c>
      <c r="E577" s="267" t="s">
        <v>403</v>
      </c>
      <c r="F577" s="268" t="s">
        <v>683</v>
      </c>
      <c r="I577" s="156">
        <v>1</v>
      </c>
      <c r="K577" s="157">
        <v>1</v>
      </c>
      <c r="L577" s="156">
        <v>1</v>
      </c>
      <c r="N577" s="157">
        <v>1</v>
      </c>
      <c r="O577" s="156">
        <v>1</v>
      </c>
      <c r="P577" s="158">
        <v>1</v>
      </c>
      <c r="Q577" s="157">
        <v>1</v>
      </c>
      <c r="X577" s="35">
        <f t="shared" si="75"/>
        <v>45619</v>
      </c>
      <c r="Y577" s="35">
        <f t="shared" si="76"/>
        <v>45647</v>
      </c>
    </row>
    <row r="578" spans="1:25" ht="20.149999999999999" customHeight="1">
      <c r="A578" s="10">
        <f>SUBTOTAL(103,$B$4:B578)</f>
        <v>575</v>
      </c>
      <c r="B578" s="111">
        <v>45620</v>
      </c>
      <c r="C578" s="114" t="s">
        <v>775</v>
      </c>
      <c r="D578" s="3" t="str">
        <f>VLOOKUP(C578,'Location Summary'!$C$4:$D$602,2,0)</f>
        <v>DB1+0</v>
      </c>
      <c r="E578" s="267" t="s">
        <v>403</v>
      </c>
      <c r="F578" s="268" t="s">
        <v>683</v>
      </c>
      <c r="G578" s="158">
        <v>1</v>
      </c>
      <c r="N578" s="157">
        <v>1</v>
      </c>
      <c r="O578" s="156">
        <v>1</v>
      </c>
      <c r="X578" s="35">
        <f t="shared" si="75"/>
        <v>45620</v>
      </c>
      <c r="Y578" s="35">
        <f t="shared" si="76"/>
        <v>45648</v>
      </c>
    </row>
    <row r="579" spans="1:25" ht="20.149999999999999" customHeight="1">
      <c r="A579" s="10">
        <f>SUBTOTAL(103,$B$4:B579)</f>
        <v>576</v>
      </c>
      <c r="B579" s="111">
        <v>45620</v>
      </c>
      <c r="C579" s="114" t="s">
        <v>591</v>
      </c>
      <c r="D579" s="3" t="str">
        <f>VLOOKUP(C579,'Location Summary'!$C$4:$D$602,2,0)</f>
        <v>DA+9</v>
      </c>
      <c r="E579" s="267" t="s">
        <v>403</v>
      </c>
      <c r="F579" s="268" t="s">
        <v>683</v>
      </c>
      <c r="H579" s="157">
        <v>1</v>
      </c>
      <c r="X579" s="35">
        <f t="shared" si="75"/>
        <v>45620</v>
      </c>
      <c r="Y579" s="35">
        <f t="shared" si="76"/>
        <v>45648</v>
      </c>
    </row>
    <row r="580" spans="1:25" ht="20.149999999999999" customHeight="1">
      <c r="A580" s="10">
        <f>SUBTOTAL(103,$B$4:B580)</f>
        <v>577</v>
      </c>
      <c r="B580" s="111">
        <v>45620</v>
      </c>
      <c r="C580" s="114" t="s">
        <v>254</v>
      </c>
      <c r="D580" s="3" t="str">
        <f>VLOOKUP(C580,'Location Summary'!$C$4:$D$602,2,0)</f>
        <v>DA+6</v>
      </c>
      <c r="E580" s="267" t="s">
        <v>403</v>
      </c>
      <c r="F580" s="268" t="s">
        <v>683</v>
      </c>
      <c r="R580" s="156">
        <v>1</v>
      </c>
      <c r="X580" s="35">
        <f t="shared" si="75"/>
        <v>45620</v>
      </c>
      <c r="Y580" s="35">
        <f t="shared" si="76"/>
        <v>45648</v>
      </c>
    </row>
    <row r="581" spans="1:25" ht="20.149999999999999" customHeight="1">
      <c r="A581" s="10">
        <f>SUBTOTAL(103,$B$4:B581)</f>
        <v>578</v>
      </c>
      <c r="B581" s="111">
        <v>45620</v>
      </c>
      <c r="C581" s="114" t="s">
        <v>613</v>
      </c>
      <c r="D581" s="3" t="str">
        <f>VLOOKUP(C581,'Location Summary'!$C$4:$D$602,2,0)</f>
        <v>DA+9</v>
      </c>
      <c r="E581" s="267" t="s">
        <v>403</v>
      </c>
      <c r="F581" s="268" t="s">
        <v>683</v>
      </c>
      <c r="G581" s="158">
        <v>1</v>
      </c>
      <c r="P581" s="158">
        <v>1</v>
      </c>
      <c r="X581" s="35">
        <f t="shared" si="75"/>
        <v>45620</v>
      </c>
      <c r="Y581" s="35">
        <f t="shared" si="76"/>
        <v>45648</v>
      </c>
    </row>
    <row r="582" spans="1:25" ht="20.149999999999999" customHeight="1">
      <c r="A582" s="10">
        <f>SUBTOTAL(103,$B$4:B582)</f>
        <v>579</v>
      </c>
      <c r="B582" s="111">
        <v>45621</v>
      </c>
      <c r="C582" s="114" t="s">
        <v>775</v>
      </c>
      <c r="D582" s="3" t="str">
        <f>VLOOKUP(C582,'Location Summary'!$C$4:$D$602,2,0)</f>
        <v>DB1+0</v>
      </c>
      <c r="E582" s="267" t="s">
        <v>403</v>
      </c>
      <c r="F582" s="268" t="s">
        <v>683</v>
      </c>
      <c r="H582" s="157">
        <v>1</v>
      </c>
      <c r="I582" s="156">
        <v>1</v>
      </c>
      <c r="X582" s="35">
        <f t="shared" si="75"/>
        <v>45621</v>
      </c>
      <c r="Y582" s="35">
        <f t="shared" si="76"/>
        <v>45649</v>
      </c>
    </row>
    <row r="583" spans="1:25" ht="20.149999999999999" customHeight="1">
      <c r="A583" s="10">
        <f>SUBTOTAL(103,$B$4:B583)</f>
        <v>580</v>
      </c>
      <c r="B583" s="111">
        <v>45621</v>
      </c>
      <c r="C583" s="114" t="s">
        <v>477</v>
      </c>
      <c r="D583" s="3" t="str">
        <f>VLOOKUP(C583,'Location Summary'!$C$4:$D$602,2,0)</f>
        <v>DA+6</v>
      </c>
      <c r="E583" s="267" t="s">
        <v>403</v>
      </c>
      <c r="F583" s="268" t="s">
        <v>683</v>
      </c>
      <c r="M583" s="158">
        <v>1</v>
      </c>
      <c r="X583" s="35">
        <f t="shared" ref="X583:X597" si="77">B583</f>
        <v>45621</v>
      </c>
      <c r="Y583" s="35">
        <f t="shared" ref="Y583:Y606" si="78">B583+28</f>
        <v>45649</v>
      </c>
    </row>
    <row r="584" spans="1:25" ht="20.149999999999999" customHeight="1">
      <c r="A584" s="10">
        <f>SUBTOTAL(103,$B$4:B584)</f>
        <v>581</v>
      </c>
      <c r="B584" s="111">
        <v>45621</v>
      </c>
      <c r="C584" s="114" t="s">
        <v>591</v>
      </c>
      <c r="D584" s="3" t="str">
        <f>VLOOKUP(C584,'Location Summary'!$C$4:$D$602,2,0)</f>
        <v>DA+9</v>
      </c>
      <c r="E584" s="267" t="s">
        <v>403</v>
      </c>
      <c r="F584" s="268" t="s">
        <v>683</v>
      </c>
      <c r="I584" s="156">
        <v>1</v>
      </c>
      <c r="Q584" s="157">
        <v>1</v>
      </c>
      <c r="R584" s="156">
        <v>1</v>
      </c>
      <c r="X584" s="35">
        <f t="shared" si="77"/>
        <v>45621</v>
      </c>
      <c r="Y584" s="35">
        <f t="shared" si="78"/>
        <v>45649</v>
      </c>
    </row>
    <row r="585" spans="1:25" ht="20.149999999999999" customHeight="1">
      <c r="A585" s="10">
        <f>SUBTOTAL(103,$B$4:B585)</f>
        <v>582</v>
      </c>
      <c r="B585" s="111">
        <v>45621</v>
      </c>
      <c r="C585" s="114" t="s">
        <v>253</v>
      </c>
      <c r="D585" s="3" t="str">
        <f>VLOOKUP(C585,'Location Summary'!$C$4:$D$602,2,0)</f>
        <v>DA-3</v>
      </c>
      <c r="E585" s="267" t="s">
        <v>403</v>
      </c>
      <c r="F585" s="268" t="s">
        <v>683</v>
      </c>
      <c r="G585" s="158">
        <v>1</v>
      </c>
      <c r="X585" s="35">
        <f t="shared" si="77"/>
        <v>45621</v>
      </c>
      <c r="Y585" s="35">
        <f t="shared" si="78"/>
        <v>45649</v>
      </c>
    </row>
    <row r="586" spans="1:25" ht="20.149999999999999" customHeight="1">
      <c r="A586" s="10">
        <f>SUBTOTAL(103,$B$4:B586)</f>
        <v>583</v>
      </c>
      <c r="B586" s="111">
        <v>45621</v>
      </c>
      <c r="C586" s="114" t="s">
        <v>613</v>
      </c>
      <c r="D586" s="3" t="str">
        <f>VLOOKUP(C586,'Location Summary'!$C$4:$D$602,2,0)</f>
        <v>DA+9</v>
      </c>
      <c r="E586" s="267" t="s">
        <v>403</v>
      </c>
      <c r="F586" s="268" t="s">
        <v>683</v>
      </c>
      <c r="H586" s="157">
        <v>1</v>
      </c>
      <c r="J586" s="158">
        <v>1</v>
      </c>
      <c r="M586" s="158">
        <v>1</v>
      </c>
      <c r="Q586" s="157">
        <v>1</v>
      </c>
      <c r="X586" s="35">
        <f t="shared" si="77"/>
        <v>45621</v>
      </c>
      <c r="Y586" s="35">
        <f t="shared" si="78"/>
        <v>45649</v>
      </c>
    </row>
    <row r="587" spans="1:25" ht="20.149999999999999" customHeight="1">
      <c r="A587" s="10">
        <f>SUBTOTAL(103,$B$4:B587)</f>
        <v>584</v>
      </c>
      <c r="B587" s="111">
        <v>45622</v>
      </c>
      <c r="C587" s="114" t="s">
        <v>775</v>
      </c>
      <c r="D587" s="3" t="str">
        <f>VLOOKUP(C587,'Location Summary'!$C$4:$D$602,2,0)</f>
        <v>DB1+0</v>
      </c>
      <c r="E587" s="267" t="s">
        <v>403</v>
      </c>
      <c r="F587" s="268" t="s">
        <v>683</v>
      </c>
      <c r="J587" s="158">
        <v>1</v>
      </c>
      <c r="X587" s="35">
        <f t="shared" si="77"/>
        <v>45622</v>
      </c>
      <c r="Y587" s="35">
        <f t="shared" si="78"/>
        <v>45650</v>
      </c>
    </row>
    <row r="588" spans="1:25" ht="20.149999999999999" customHeight="1">
      <c r="A588" s="10">
        <f>SUBTOTAL(103,$B$4:B588)</f>
        <v>585</v>
      </c>
      <c r="B588" s="111">
        <v>45622</v>
      </c>
      <c r="C588" s="114" t="s">
        <v>477</v>
      </c>
      <c r="D588" s="3" t="str">
        <f>VLOOKUP(C588,'Location Summary'!$C$4:$D$602,2,0)</f>
        <v>DA+6</v>
      </c>
      <c r="E588" s="267" t="s">
        <v>403</v>
      </c>
      <c r="F588" s="268" t="s">
        <v>683</v>
      </c>
      <c r="H588" s="157">
        <v>1</v>
      </c>
      <c r="I588" s="156">
        <v>1</v>
      </c>
      <c r="X588" s="35">
        <f t="shared" si="77"/>
        <v>45622</v>
      </c>
      <c r="Y588" s="35">
        <f t="shared" si="78"/>
        <v>45650</v>
      </c>
    </row>
    <row r="589" spans="1:25" ht="20.149999999999999" customHeight="1">
      <c r="A589" s="10">
        <f>SUBTOTAL(103,$B$4:B589)</f>
        <v>586</v>
      </c>
      <c r="B589" s="111">
        <v>45622</v>
      </c>
      <c r="C589" s="114" t="s">
        <v>591</v>
      </c>
      <c r="D589" s="3" t="str">
        <f>VLOOKUP(C589,'Location Summary'!$C$4:$D$602,2,0)</f>
        <v>DA+9</v>
      </c>
      <c r="E589" s="267" t="s">
        <v>403</v>
      </c>
      <c r="F589" s="268" t="s">
        <v>683</v>
      </c>
      <c r="K589" s="157">
        <v>1</v>
      </c>
      <c r="L589" s="156">
        <v>1</v>
      </c>
      <c r="M589" s="158">
        <v>1</v>
      </c>
      <c r="X589" s="35">
        <f t="shared" si="77"/>
        <v>45622</v>
      </c>
      <c r="Y589" s="35">
        <f t="shared" si="78"/>
        <v>45650</v>
      </c>
    </row>
    <row r="590" spans="1:25" ht="20.149999999999999" customHeight="1">
      <c r="A590" s="10">
        <f>SUBTOTAL(103,$B$4:B590)</f>
        <v>587</v>
      </c>
      <c r="B590" s="111">
        <v>45622</v>
      </c>
      <c r="C590" s="114" t="s">
        <v>253</v>
      </c>
      <c r="D590" s="3" t="str">
        <f>VLOOKUP(C590,'Location Summary'!$C$4:$D$602,2,0)</f>
        <v>DA-3</v>
      </c>
      <c r="E590" s="267" t="s">
        <v>403</v>
      </c>
      <c r="F590" s="268" t="s">
        <v>683</v>
      </c>
      <c r="J590" s="158">
        <v>1</v>
      </c>
      <c r="P590" s="158">
        <v>1</v>
      </c>
      <c r="X590" s="35">
        <f t="shared" si="77"/>
        <v>45622</v>
      </c>
      <c r="Y590" s="35">
        <f t="shared" si="78"/>
        <v>45650</v>
      </c>
    </row>
    <row r="591" spans="1:25" ht="20.149999999999999" customHeight="1">
      <c r="A591" s="10">
        <f>SUBTOTAL(103,$B$4:B591)</f>
        <v>588</v>
      </c>
      <c r="B591" s="111">
        <v>45622</v>
      </c>
      <c r="C591" s="114" t="s">
        <v>613</v>
      </c>
      <c r="D591" s="3" t="str">
        <f>VLOOKUP(C591,'Location Summary'!$C$4:$D$602,2,0)</f>
        <v>DA+9</v>
      </c>
      <c r="E591" s="267" t="s">
        <v>403</v>
      </c>
      <c r="F591" s="268" t="s">
        <v>683</v>
      </c>
      <c r="I591" s="156">
        <v>1</v>
      </c>
      <c r="K591" s="157">
        <v>1</v>
      </c>
      <c r="L591" s="156">
        <v>1</v>
      </c>
      <c r="N591" s="157">
        <v>1</v>
      </c>
      <c r="O591" s="156">
        <v>1</v>
      </c>
      <c r="R591" s="156">
        <v>1</v>
      </c>
      <c r="X591" s="35">
        <f t="shared" si="77"/>
        <v>45622</v>
      </c>
      <c r="Y591" s="35">
        <f t="shared" si="78"/>
        <v>45650</v>
      </c>
    </row>
    <row r="592" spans="1:25" ht="20.149999999999999" customHeight="1">
      <c r="A592" s="10">
        <f>SUBTOTAL(103,$B$4:B592)</f>
        <v>589</v>
      </c>
      <c r="B592" s="111">
        <v>45623</v>
      </c>
      <c r="C592" s="114" t="s">
        <v>775</v>
      </c>
      <c r="D592" s="3" t="str">
        <f>VLOOKUP(C592,'Location Summary'!$C$4:$D$602,2,0)</f>
        <v>DB1+0</v>
      </c>
      <c r="E592" s="267" t="s">
        <v>403</v>
      </c>
      <c r="F592" s="268" t="s">
        <v>683</v>
      </c>
      <c r="K592" s="157">
        <v>1</v>
      </c>
      <c r="L592" s="156">
        <v>1</v>
      </c>
      <c r="X592" s="35">
        <f t="shared" si="77"/>
        <v>45623</v>
      </c>
      <c r="Y592" s="35">
        <f t="shared" si="78"/>
        <v>45651</v>
      </c>
    </row>
    <row r="593" spans="1:25" ht="20.149999999999999" customHeight="1">
      <c r="A593" s="10">
        <f>SUBTOTAL(103,$B$4:B593)</f>
        <v>590</v>
      </c>
      <c r="B593" s="111">
        <v>45623</v>
      </c>
      <c r="C593" s="114" t="s">
        <v>477</v>
      </c>
      <c r="D593" s="3" t="str">
        <f>VLOOKUP(C593,'Location Summary'!$C$4:$D$602,2,0)</f>
        <v>DA+6</v>
      </c>
      <c r="E593" s="267" t="s">
        <v>403</v>
      </c>
      <c r="F593" s="268" t="s">
        <v>683</v>
      </c>
      <c r="J593" s="158">
        <v>1</v>
      </c>
      <c r="X593" s="35">
        <f t="shared" si="77"/>
        <v>45623</v>
      </c>
      <c r="Y593" s="35">
        <f t="shared" si="78"/>
        <v>45651</v>
      </c>
    </row>
    <row r="594" spans="1:25" ht="20.149999999999999" customHeight="1">
      <c r="A594" s="10">
        <f>SUBTOTAL(103,$B$4:B594)</f>
        <v>591</v>
      </c>
      <c r="B594" s="111">
        <v>45623</v>
      </c>
      <c r="C594" s="114" t="s">
        <v>591</v>
      </c>
      <c r="D594" s="3" t="str">
        <f>VLOOKUP(C594,'Location Summary'!$C$4:$D$602,2,0)</f>
        <v>DA+9</v>
      </c>
      <c r="E594" s="267" t="s">
        <v>403</v>
      </c>
      <c r="F594" s="268" t="s">
        <v>683</v>
      </c>
      <c r="N594" s="157">
        <v>1</v>
      </c>
      <c r="O594" s="156">
        <v>1</v>
      </c>
      <c r="X594" s="35">
        <f t="shared" si="77"/>
        <v>45623</v>
      </c>
      <c r="Y594" s="35">
        <f t="shared" si="78"/>
        <v>45651</v>
      </c>
    </row>
    <row r="595" spans="1:25" ht="20.149999999999999" customHeight="1">
      <c r="A595" s="10">
        <f>SUBTOTAL(103,$B$4:B595)</f>
        <v>592</v>
      </c>
      <c r="B595" s="111">
        <v>45623</v>
      </c>
      <c r="C595" s="114" t="s">
        <v>253</v>
      </c>
      <c r="D595" s="3" t="str">
        <f>VLOOKUP(C595,'Location Summary'!$C$4:$D$602,2,0)</f>
        <v>DA-3</v>
      </c>
      <c r="E595" s="267" t="s">
        <v>403</v>
      </c>
      <c r="F595" s="268" t="s">
        <v>683</v>
      </c>
      <c r="Q595" s="157">
        <v>1</v>
      </c>
      <c r="X595" s="35">
        <f t="shared" si="77"/>
        <v>45623</v>
      </c>
      <c r="Y595" s="35">
        <f t="shared" si="78"/>
        <v>45651</v>
      </c>
    </row>
    <row r="596" spans="1:25" ht="20.149999999999999" customHeight="1">
      <c r="A596" s="10">
        <f>SUBTOTAL(103,$B$4:B596)</f>
        <v>593</v>
      </c>
      <c r="B596" s="111">
        <v>45623</v>
      </c>
      <c r="C596" s="114" t="s">
        <v>612</v>
      </c>
      <c r="D596" s="3" t="str">
        <f>VLOOKUP(C596,'Location Summary'!$C$4:$D$602,2,0)</f>
        <v>DA+6</v>
      </c>
      <c r="E596" s="267" t="s">
        <v>403</v>
      </c>
      <c r="F596" s="268" t="s">
        <v>683</v>
      </c>
      <c r="G596" s="158">
        <v>1</v>
      </c>
      <c r="M596" s="158">
        <v>1</v>
      </c>
      <c r="P596" s="158">
        <v>1</v>
      </c>
      <c r="X596" s="35">
        <f t="shared" si="77"/>
        <v>45623</v>
      </c>
      <c r="Y596" s="35">
        <f t="shared" si="78"/>
        <v>45651</v>
      </c>
    </row>
    <row r="597" spans="1:25" ht="20.149999999999999" customHeight="1">
      <c r="A597" s="10">
        <f>SUBTOTAL(103,$B$4:B597)</f>
        <v>594</v>
      </c>
      <c r="B597" s="111">
        <v>45624</v>
      </c>
      <c r="C597" s="114" t="s">
        <v>72</v>
      </c>
      <c r="D597" s="3" t="str">
        <f>VLOOKUP(C597,'Location Summary'!$C$4:$D$602,2,0)</f>
        <v>DB1+3</v>
      </c>
      <c r="E597" s="267" t="s">
        <v>403</v>
      </c>
      <c r="F597" s="268" t="s">
        <v>683</v>
      </c>
      <c r="J597" s="158">
        <v>1</v>
      </c>
      <c r="X597" s="35">
        <f t="shared" si="77"/>
        <v>45624</v>
      </c>
      <c r="Y597" s="35">
        <f t="shared" si="78"/>
        <v>45652</v>
      </c>
    </row>
    <row r="598" spans="1:25" ht="20.149999999999999" customHeight="1">
      <c r="A598" s="10">
        <f>SUBTOTAL(103,$B$4:B598)</f>
        <v>595</v>
      </c>
      <c r="B598" s="111">
        <v>45624</v>
      </c>
      <c r="C598" s="114" t="s">
        <v>477</v>
      </c>
      <c r="D598" s="3" t="str">
        <f>VLOOKUP(C598,'Location Summary'!$C$4:$D$602,2,0)</f>
        <v>DA+6</v>
      </c>
      <c r="E598" s="267" t="s">
        <v>403</v>
      </c>
      <c r="F598" s="268" t="s">
        <v>683</v>
      </c>
      <c r="K598" s="157">
        <v>1</v>
      </c>
      <c r="L598" s="156">
        <v>1</v>
      </c>
      <c r="P598" s="158">
        <v>1</v>
      </c>
      <c r="X598" s="35">
        <f t="shared" ref="X598:X606" si="79">B598</f>
        <v>45624</v>
      </c>
      <c r="Y598" s="35">
        <f t="shared" si="78"/>
        <v>45652</v>
      </c>
    </row>
    <row r="599" spans="1:25" ht="20.149999999999999" customHeight="1">
      <c r="A599" s="10">
        <f>SUBTOTAL(103,$B$4:B599)</f>
        <v>596</v>
      </c>
      <c r="B599" s="111">
        <v>45624</v>
      </c>
      <c r="C599" s="114" t="s">
        <v>253</v>
      </c>
      <c r="D599" s="3" t="str">
        <f>VLOOKUP(C599,'Location Summary'!$C$4:$D$602,2,0)</f>
        <v>DA-3</v>
      </c>
      <c r="E599" s="267" t="s">
        <v>403</v>
      </c>
      <c r="F599" s="268" t="s">
        <v>683</v>
      </c>
      <c r="H599" s="157">
        <v>1</v>
      </c>
      <c r="I599" s="156">
        <v>1</v>
      </c>
      <c r="K599" s="157">
        <v>1</v>
      </c>
      <c r="L599" s="156">
        <v>1</v>
      </c>
      <c r="M599" s="158">
        <v>1</v>
      </c>
      <c r="R599" s="156">
        <v>1</v>
      </c>
      <c r="X599" s="35">
        <f t="shared" si="79"/>
        <v>45624</v>
      </c>
      <c r="Y599" s="35">
        <f t="shared" si="78"/>
        <v>45652</v>
      </c>
    </row>
    <row r="600" spans="1:25" ht="20.149999999999999" customHeight="1">
      <c r="A600" s="10">
        <f>SUBTOTAL(103,$B$4:B600)</f>
        <v>597</v>
      </c>
      <c r="B600" s="111">
        <v>45624</v>
      </c>
      <c r="C600" s="114" t="s">
        <v>612</v>
      </c>
      <c r="D600" s="3" t="str">
        <f>VLOOKUP(C600,'Location Summary'!$C$4:$D$602,2,0)</f>
        <v>DA+6</v>
      </c>
      <c r="E600" s="267" t="s">
        <v>403</v>
      </c>
      <c r="F600" s="268" t="s">
        <v>683</v>
      </c>
      <c r="H600" s="157">
        <v>1</v>
      </c>
      <c r="J600" s="158">
        <v>1</v>
      </c>
      <c r="N600" s="157">
        <v>1</v>
      </c>
      <c r="Q600" s="157">
        <v>1</v>
      </c>
      <c r="X600" s="35">
        <f t="shared" si="79"/>
        <v>45624</v>
      </c>
      <c r="Y600" s="35">
        <f t="shared" si="78"/>
        <v>45652</v>
      </c>
    </row>
    <row r="601" spans="1:25" ht="20.149999999999999" customHeight="1">
      <c r="A601" s="10">
        <f>SUBTOTAL(103,$B$4:B601)</f>
        <v>598</v>
      </c>
      <c r="B601" s="111">
        <v>45625</v>
      </c>
      <c r="C601" s="114" t="s">
        <v>253</v>
      </c>
      <c r="D601" s="3" t="str">
        <f>VLOOKUP(C601,'Location Summary'!$C$4:$D$602,2,0)</f>
        <v>DA-3</v>
      </c>
      <c r="E601" s="267" t="s">
        <v>403</v>
      </c>
      <c r="F601" s="268" t="s">
        <v>683</v>
      </c>
      <c r="N601" s="157">
        <v>1</v>
      </c>
      <c r="O601" s="156">
        <v>1</v>
      </c>
      <c r="X601" s="35">
        <f t="shared" si="79"/>
        <v>45625</v>
      </c>
      <c r="Y601" s="35">
        <f t="shared" si="78"/>
        <v>45653</v>
      </c>
    </row>
    <row r="602" spans="1:25" ht="20.149999999999999" customHeight="1">
      <c r="A602" s="10">
        <f>SUBTOTAL(103,$B$4:B602)</f>
        <v>599</v>
      </c>
      <c r="B602" s="111">
        <v>45625</v>
      </c>
      <c r="C602" s="114" t="s">
        <v>612</v>
      </c>
      <c r="D602" s="3" t="str">
        <f>VLOOKUP(C602,'Location Summary'!$C$4:$D$602,2,0)</f>
        <v>DA+6</v>
      </c>
      <c r="E602" s="267" t="s">
        <v>403</v>
      </c>
      <c r="F602" s="268" t="s">
        <v>683</v>
      </c>
      <c r="I602" s="156">
        <v>1</v>
      </c>
      <c r="K602" s="157">
        <v>1</v>
      </c>
      <c r="L602" s="156">
        <v>1</v>
      </c>
      <c r="O602" s="156">
        <v>1</v>
      </c>
      <c r="R602" s="156">
        <v>1</v>
      </c>
      <c r="X602" s="35">
        <f t="shared" si="79"/>
        <v>45625</v>
      </c>
      <c r="Y602" s="35">
        <f t="shared" si="78"/>
        <v>45653</v>
      </c>
    </row>
    <row r="603" spans="1:25" ht="20.149999999999999" customHeight="1">
      <c r="A603" s="10">
        <f>SUBTOTAL(103,$B$4:B603)</f>
        <v>600</v>
      </c>
      <c r="B603" s="111">
        <v>45625</v>
      </c>
      <c r="C603" s="114" t="s">
        <v>611</v>
      </c>
      <c r="D603" s="3" t="str">
        <f>VLOOKUP(C603,'Location Summary'!$C$4:$D$602,2,0)</f>
        <v>DA+3</v>
      </c>
      <c r="E603" s="267" t="s">
        <v>403</v>
      </c>
      <c r="F603" s="268" t="s">
        <v>683</v>
      </c>
      <c r="G603" s="158">
        <v>1</v>
      </c>
      <c r="P603" s="158">
        <v>1</v>
      </c>
      <c r="X603" s="35">
        <f t="shared" si="79"/>
        <v>45625</v>
      </c>
      <c r="Y603" s="35">
        <f t="shared" si="78"/>
        <v>45653</v>
      </c>
    </row>
    <row r="604" spans="1:25" ht="20.149999999999999" customHeight="1">
      <c r="A604" s="10">
        <f>SUBTOTAL(103,$B$4:B604)</f>
        <v>601</v>
      </c>
      <c r="B604" s="111">
        <v>45626</v>
      </c>
      <c r="C604" s="114" t="s">
        <v>72</v>
      </c>
      <c r="D604" s="3" t="str">
        <f>VLOOKUP(C604,'Location Summary'!$C$4:$D$602,2,0)</f>
        <v>DB1+3</v>
      </c>
      <c r="E604" s="267" t="s">
        <v>403</v>
      </c>
      <c r="F604" s="268" t="s">
        <v>683</v>
      </c>
      <c r="K604" s="157">
        <v>1</v>
      </c>
      <c r="L604" s="156">
        <v>1</v>
      </c>
      <c r="M604" s="158">
        <v>1</v>
      </c>
      <c r="X604" s="35">
        <f t="shared" si="79"/>
        <v>45626</v>
      </c>
      <c r="Y604" s="35">
        <f t="shared" si="78"/>
        <v>45654</v>
      </c>
    </row>
    <row r="605" spans="1:25" ht="20.149999999999999" customHeight="1">
      <c r="A605" s="10">
        <f>SUBTOTAL(103,$B$4:B605)</f>
        <v>602</v>
      </c>
      <c r="B605" s="111">
        <v>45626</v>
      </c>
      <c r="C605" s="114" t="s">
        <v>477</v>
      </c>
      <c r="D605" s="3" t="str">
        <f>VLOOKUP(C605,'Location Summary'!$C$4:$D$602,2,0)</f>
        <v>DA+6</v>
      </c>
      <c r="E605" s="267" t="s">
        <v>403</v>
      </c>
      <c r="F605" s="268" t="s">
        <v>683</v>
      </c>
      <c r="G605" s="158">
        <v>1</v>
      </c>
      <c r="Q605" s="157">
        <v>1</v>
      </c>
      <c r="R605" s="156">
        <v>1</v>
      </c>
      <c r="X605" s="35">
        <f t="shared" si="79"/>
        <v>45626</v>
      </c>
      <c r="Y605" s="35">
        <f t="shared" si="78"/>
        <v>45654</v>
      </c>
    </row>
    <row r="606" spans="1:25" ht="20.149999999999999" customHeight="1">
      <c r="A606" s="10">
        <f>SUBTOTAL(103,$B$4:B606)</f>
        <v>603</v>
      </c>
      <c r="B606" s="111">
        <v>45626</v>
      </c>
      <c r="C606" s="114" t="s">
        <v>71</v>
      </c>
      <c r="D606" s="3" t="str">
        <f>VLOOKUP(C606,'Location Summary'!$C$4:$D$602,2,0)</f>
        <v>DB2+0</v>
      </c>
      <c r="E606" s="267" t="s">
        <v>403</v>
      </c>
      <c r="F606" s="268" t="s">
        <v>683</v>
      </c>
      <c r="G606" s="158">
        <v>1</v>
      </c>
      <c r="X606" s="35">
        <f t="shared" si="79"/>
        <v>45626</v>
      </c>
      <c r="Y606" s="35">
        <f t="shared" si="78"/>
        <v>45654</v>
      </c>
    </row>
    <row r="607" spans="1:25" ht="20.149999999999999" customHeight="1">
      <c r="A607" s="10">
        <f>SUBTOTAL(103,$B$4:B607)</f>
        <v>604</v>
      </c>
      <c r="B607" s="111">
        <v>45626</v>
      </c>
      <c r="C607" s="114" t="s">
        <v>611</v>
      </c>
      <c r="D607" s="3" t="str">
        <f>VLOOKUP(C607,'Location Summary'!$C$4:$D$602,2,0)</f>
        <v>DA+3</v>
      </c>
      <c r="E607" s="267" t="s">
        <v>403</v>
      </c>
      <c r="F607" s="268" t="s">
        <v>683</v>
      </c>
      <c r="H607" s="157">
        <v>1</v>
      </c>
      <c r="I607" s="156">
        <v>1</v>
      </c>
      <c r="J607" s="158">
        <v>1</v>
      </c>
      <c r="K607" s="157">
        <v>1</v>
      </c>
      <c r="L607" s="156">
        <v>1</v>
      </c>
      <c r="M607" s="158">
        <v>1</v>
      </c>
      <c r="N607" s="157">
        <v>1</v>
      </c>
      <c r="O607" s="156">
        <v>1</v>
      </c>
      <c r="Q607" s="157">
        <v>1</v>
      </c>
      <c r="R607" s="156">
        <v>1</v>
      </c>
      <c r="X607" s="35">
        <f t="shared" ref="X607:X730" si="80">B607</f>
        <v>45626</v>
      </c>
      <c r="Y607" s="35">
        <f t="shared" ref="Y607:Y730" si="81">B607+28</f>
        <v>45654</v>
      </c>
    </row>
    <row r="608" spans="1:25" ht="20.149999999999999" customHeight="1">
      <c r="A608" s="10">
        <f>SUBTOTAL(103,$B$4:B608)</f>
        <v>605</v>
      </c>
      <c r="B608" s="111">
        <v>45627</v>
      </c>
      <c r="C608" s="114" t="s">
        <v>72</v>
      </c>
      <c r="D608" s="3" t="str">
        <f>VLOOKUP(C608,'Location Summary'!$C$4:$D$602,2,0)</f>
        <v>DB1+3</v>
      </c>
      <c r="E608" s="267" t="s">
        <v>403</v>
      </c>
      <c r="F608" s="268" t="s">
        <v>683</v>
      </c>
      <c r="N608" s="157">
        <v>1</v>
      </c>
      <c r="O608" s="156">
        <v>1</v>
      </c>
      <c r="P608" s="158">
        <v>1</v>
      </c>
      <c r="X608" s="35">
        <f t="shared" si="80"/>
        <v>45627</v>
      </c>
      <c r="Y608" s="35">
        <f t="shared" si="81"/>
        <v>45655</v>
      </c>
    </row>
    <row r="609" spans="1:25" ht="20.149999999999999" customHeight="1">
      <c r="A609" s="10">
        <f>SUBTOTAL(103,$B$4:B609)</f>
        <v>606</v>
      </c>
      <c r="B609" s="111">
        <v>45627</v>
      </c>
      <c r="C609" s="114" t="s">
        <v>477</v>
      </c>
      <c r="D609" s="3" t="str">
        <f>VLOOKUP(C609,'Location Summary'!$C$4:$D$602,2,0)</f>
        <v>DA+6</v>
      </c>
      <c r="E609" s="267" t="s">
        <v>403</v>
      </c>
      <c r="F609" s="268" t="s">
        <v>683</v>
      </c>
      <c r="N609" s="157">
        <v>1</v>
      </c>
      <c r="O609" s="156">
        <v>1</v>
      </c>
      <c r="X609" s="35">
        <f t="shared" si="80"/>
        <v>45627</v>
      </c>
      <c r="Y609" s="35">
        <f t="shared" si="81"/>
        <v>45655</v>
      </c>
    </row>
    <row r="610" spans="1:25" ht="20.149999999999999" customHeight="1">
      <c r="A610" s="10">
        <f>SUBTOTAL(103,$B$4:B610)</f>
        <v>607</v>
      </c>
      <c r="B610" s="111">
        <v>45627</v>
      </c>
      <c r="C610" s="114" t="s">
        <v>71</v>
      </c>
      <c r="D610" s="3" t="str">
        <f>VLOOKUP(C610,'Location Summary'!$C$4:$D$602,2,0)</f>
        <v>DB2+0</v>
      </c>
      <c r="E610" s="267" t="s">
        <v>403</v>
      </c>
      <c r="F610" s="268" t="s">
        <v>683</v>
      </c>
      <c r="H610" s="157">
        <v>1</v>
      </c>
      <c r="I610" s="156">
        <v>1</v>
      </c>
      <c r="X610" s="35">
        <f t="shared" si="80"/>
        <v>45627</v>
      </c>
      <c r="Y610" s="35">
        <f t="shared" si="81"/>
        <v>45655</v>
      </c>
    </row>
    <row r="611" spans="1:25" ht="20.149999999999999" customHeight="1">
      <c r="A611" s="10">
        <f>SUBTOTAL(103,$B$4:B611)</f>
        <v>608</v>
      </c>
      <c r="B611" s="111">
        <v>45627</v>
      </c>
      <c r="C611" s="114" t="s">
        <v>251</v>
      </c>
      <c r="D611" s="3" t="str">
        <f>VLOOKUP(C611,'Location Summary'!$C$4:$D$602,2,0)</f>
        <v>DA+9</v>
      </c>
      <c r="E611" s="267" t="s">
        <v>403</v>
      </c>
      <c r="F611" s="268" t="s">
        <v>683</v>
      </c>
      <c r="M611" s="158">
        <v>1</v>
      </c>
      <c r="P611" s="158">
        <v>1</v>
      </c>
      <c r="X611" s="35">
        <f t="shared" si="80"/>
        <v>45627</v>
      </c>
      <c r="Y611" s="35">
        <f t="shared" si="81"/>
        <v>45655</v>
      </c>
    </row>
    <row r="612" spans="1:25" ht="20.149999999999999" customHeight="1">
      <c r="A612" s="10">
        <f>SUBTOTAL(103,$B$4:B612)</f>
        <v>609</v>
      </c>
      <c r="B612" s="111">
        <v>45628</v>
      </c>
      <c r="C612" s="114" t="s">
        <v>72</v>
      </c>
      <c r="D612" s="3" t="str">
        <f>VLOOKUP(C612,'Location Summary'!$C$4:$D$602,2,0)</f>
        <v>DB1+3</v>
      </c>
      <c r="E612" s="267" t="s">
        <v>403</v>
      </c>
      <c r="F612" s="268" t="s">
        <v>683</v>
      </c>
      <c r="Q612" s="157">
        <v>1</v>
      </c>
      <c r="R612" s="156">
        <v>1</v>
      </c>
      <c r="X612" s="35">
        <f t="shared" si="80"/>
        <v>45628</v>
      </c>
      <c r="Y612" s="35">
        <f t="shared" si="81"/>
        <v>45656</v>
      </c>
    </row>
    <row r="613" spans="1:25" ht="20.149999999999999" customHeight="1">
      <c r="A613" s="10">
        <f>SUBTOTAL(103,$B$4:B613)</f>
        <v>610</v>
      </c>
      <c r="B613" s="111">
        <v>45628</v>
      </c>
      <c r="C613" s="114" t="s">
        <v>71</v>
      </c>
      <c r="D613" s="3" t="str">
        <f>VLOOKUP(C613,'Location Summary'!$C$4:$D$602,2,0)</f>
        <v>DB2+0</v>
      </c>
      <c r="E613" s="267" t="s">
        <v>403</v>
      </c>
      <c r="F613" s="268" t="s">
        <v>683</v>
      </c>
      <c r="M613" s="158">
        <v>1</v>
      </c>
      <c r="X613" s="35">
        <f t="shared" si="80"/>
        <v>45628</v>
      </c>
      <c r="Y613" s="35">
        <f t="shared" si="81"/>
        <v>45656</v>
      </c>
    </row>
    <row r="614" spans="1:25" ht="20.149999999999999" customHeight="1">
      <c r="A614" s="10">
        <f>SUBTOTAL(103,$B$4:B614)</f>
        <v>611</v>
      </c>
      <c r="B614" s="111">
        <v>45628</v>
      </c>
      <c r="C614" s="114" t="s">
        <v>251</v>
      </c>
      <c r="D614" s="3" t="str">
        <f>VLOOKUP(C614,'Location Summary'!$C$4:$D$602,2,0)</f>
        <v>DA+9</v>
      </c>
      <c r="E614" s="267" t="s">
        <v>403</v>
      </c>
      <c r="F614" s="268" t="s">
        <v>683</v>
      </c>
      <c r="J614" s="158">
        <v>1</v>
      </c>
      <c r="N614" s="157">
        <v>1</v>
      </c>
      <c r="O614" s="156">
        <v>1</v>
      </c>
      <c r="Q614" s="157">
        <v>1</v>
      </c>
      <c r="R614" s="156">
        <v>1</v>
      </c>
      <c r="X614" s="35">
        <f t="shared" si="80"/>
        <v>45628</v>
      </c>
      <c r="Y614" s="35">
        <f t="shared" si="81"/>
        <v>45656</v>
      </c>
    </row>
    <row r="615" spans="1:25" ht="20.149999999999999" customHeight="1">
      <c r="A615" s="10">
        <f>SUBTOTAL(103,$B$4:B615)</f>
        <v>612</v>
      </c>
      <c r="B615" s="111">
        <v>45629</v>
      </c>
      <c r="C615" s="114" t="s">
        <v>72</v>
      </c>
      <c r="D615" s="3" t="str">
        <f>VLOOKUP(C615,'Location Summary'!$C$4:$D$602,2,0)</f>
        <v>DB1+3</v>
      </c>
      <c r="E615" s="267" t="s">
        <v>403</v>
      </c>
      <c r="F615" s="268" t="s">
        <v>683</v>
      </c>
      <c r="G615" s="158">
        <v>1</v>
      </c>
      <c r="X615" s="35">
        <f t="shared" si="80"/>
        <v>45629</v>
      </c>
      <c r="Y615" s="35">
        <f t="shared" si="81"/>
        <v>45657</v>
      </c>
    </row>
    <row r="616" spans="1:25" ht="20.149999999999999" customHeight="1">
      <c r="A616" s="10">
        <f>SUBTOTAL(103,$B$4:B616)</f>
        <v>613</v>
      </c>
      <c r="B616" s="111">
        <v>45629</v>
      </c>
      <c r="C616" s="114" t="s">
        <v>71</v>
      </c>
      <c r="D616" s="3" t="str">
        <f>VLOOKUP(C616,'Location Summary'!$C$4:$D$602,2,0)</f>
        <v>DB2+0</v>
      </c>
      <c r="E616" s="267" t="s">
        <v>403</v>
      </c>
      <c r="F616" s="268" t="s">
        <v>683</v>
      </c>
      <c r="N616" s="157">
        <v>1</v>
      </c>
      <c r="P616" s="158">
        <v>1</v>
      </c>
      <c r="X616" s="35">
        <f t="shared" si="80"/>
        <v>45629</v>
      </c>
      <c r="Y616" s="35">
        <f t="shared" si="81"/>
        <v>45657</v>
      </c>
    </row>
    <row r="617" spans="1:25" ht="20.149999999999999" customHeight="1">
      <c r="A617" s="10">
        <f>SUBTOTAL(103,$B$4:B617)</f>
        <v>614</v>
      </c>
      <c r="B617" s="111">
        <v>45629</v>
      </c>
      <c r="C617" s="114" t="s">
        <v>251</v>
      </c>
      <c r="D617" s="3" t="str">
        <f>VLOOKUP(C617,'Location Summary'!$C$4:$D$602,2,0)</f>
        <v>DA+9</v>
      </c>
      <c r="E617" s="267" t="s">
        <v>403</v>
      </c>
      <c r="F617" s="268" t="s">
        <v>683</v>
      </c>
      <c r="G617" s="158">
        <v>1</v>
      </c>
      <c r="K617" s="157">
        <v>1</v>
      </c>
      <c r="X617" s="35">
        <f t="shared" si="80"/>
        <v>45629</v>
      </c>
      <c r="Y617" s="35">
        <f t="shared" si="81"/>
        <v>45657</v>
      </c>
    </row>
    <row r="618" spans="1:25" ht="20.149999999999999" customHeight="1">
      <c r="A618" s="10">
        <f>SUBTOTAL(103,$B$4:B618)</f>
        <v>615</v>
      </c>
      <c r="B618" s="111">
        <v>45629</v>
      </c>
      <c r="C618" s="114" t="s">
        <v>610</v>
      </c>
      <c r="D618" s="3" t="str">
        <f>VLOOKUP(C618,'Location Summary'!$C$4:$D$602,2,0)</f>
        <v>DA+1.5</v>
      </c>
      <c r="E618" s="267" t="s">
        <v>403</v>
      </c>
      <c r="F618" s="268" t="s">
        <v>683</v>
      </c>
      <c r="G618" s="158">
        <v>1</v>
      </c>
      <c r="H618" s="157">
        <v>1</v>
      </c>
      <c r="J618" s="158">
        <v>1</v>
      </c>
      <c r="K618" s="157">
        <v>1</v>
      </c>
      <c r="X618" s="35">
        <f t="shared" si="80"/>
        <v>45629</v>
      </c>
      <c r="Y618" s="35">
        <f t="shared" si="81"/>
        <v>45657</v>
      </c>
    </row>
    <row r="619" spans="1:25" ht="20.149999999999999" customHeight="1">
      <c r="A619" s="10">
        <f>SUBTOTAL(103,$B$4:B619)</f>
        <v>616</v>
      </c>
      <c r="B619" s="111">
        <v>45630</v>
      </c>
      <c r="C619" s="114" t="s">
        <v>72</v>
      </c>
      <c r="D619" s="3" t="str">
        <f>VLOOKUP(C619,'Location Summary'!$C$4:$D$602,2,0)</f>
        <v>DB1+3</v>
      </c>
      <c r="E619" s="267" t="s">
        <v>403</v>
      </c>
      <c r="F619" s="268" t="s">
        <v>683</v>
      </c>
      <c r="H619" s="157">
        <v>1</v>
      </c>
      <c r="I619" s="156">
        <v>1</v>
      </c>
      <c r="X619" s="35">
        <f t="shared" si="80"/>
        <v>45630</v>
      </c>
      <c r="Y619" s="35">
        <f t="shared" si="81"/>
        <v>45658</v>
      </c>
    </row>
    <row r="620" spans="1:25" ht="20.149999999999999" customHeight="1">
      <c r="A620" s="10">
        <f>SUBTOTAL(103,$B$4:B620)</f>
        <v>617</v>
      </c>
      <c r="B620" s="111">
        <v>45630</v>
      </c>
      <c r="C620" s="114" t="s">
        <v>71</v>
      </c>
      <c r="D620" s="3" t="str">
        <f>VLOOKUP(C620,'Location Summary'!$C$4:$D$602,2,0)</f>
        <v>DB2+0</v>
      </c>
      <c r="E620" s="267" t="s">
        <v>403</v>
      </c>
      <c r="F620" s="268" t="s">
        <v>683</v>
      </c>
      <c r="O620" s="156">
        <v>1</v>
      </c>
      <c r="Q620" s="157">
        <v>1</v>
      </c>
      <c r="R620" s="156">
        <v>1</v>
      </c>
      <c r="X620" s="35">
        <f t="shared" si="80"/>
        <v>45630</v>
      </c>
      <c r="Y620" s="35">
        <f t="shared" si="81"/>
        <v>45658</v>
      </c>
    </row>
    <row r="621" spans="1:25" ht="20.149999999999999" customHeight="1">
      <c r="A621" s="10">
        <f>SUBTOTAL(103,$B$4:B621)</f>
        <v>618</v>
      </c>
      <c r="B621" s="111">
        <v>45630</v>
      </c>
      <c r="C621" s="114" t="s">
        <v>251</v>
      </c>
      <c r="D621" s="3" t="str">
        <f>VLOOKUP(C621,'Location Summary'!$C$4:$D$602,2,0)</f>
        <v>DA+9</v>
      </c>
      <c r="E621" s="267" t="s">
        <v>403</v>
      </c>
      <c r="F621" s="268" t="s">
        <v>683</v>
      </c>
      <c r="H621" s="157">
        <v>1</v>
      </c>
      <c r="I621" s="156">
        <v>1</v>
      </c>
      <c r="L621" s="156">
        <v>1</v>
      </c>
      <c r="X621" s="35">
        <f t="shared" si="80"/>
        <v>45630</v>
      </c>
      <c r="Y621" s="35">
        <f t="shared" si="81"/>
        <v>45658</v>
      </c>
    </row>
    <row r="622" spans="1:25" ht="20.149999999999999" customHeight="1">
      <c r="A622" s="10">
        <f>SUBTOTAL(103,$B$4:B622)</f>
        <v>619</v>
      </c>
      <c r="B622" s="111">
        <v>45630</v>
      </c>
      <c r="C622" s="114" t="s">
        <v>610</v>
      </c>
      <c r="D622" s="3" t="str">
        <f>VLOOKUP(C622,'Location Summary'!$C$4:$D$602,2,0)</f>
        <v>DA+1.5</v>
      </c>
      <c r="E622" s="267" t="s">
        <v>403</v>
      </c>
      <c r="F622" s="268" t="s">
        <v>683</v>
      </c>
      <c r="I622" s="156">
        <v>1</v>
      </c>
      <c r="L622" s="156">
        <v>1</v>
      </c>
      <c r="X622" s="35">
        <f t="shared" si="80"/>
        <v>45630</v>
      </c>
      <c r="Y622" s="35">
        <f t="shared" si="81"/>
        <v>45658</v>
      </c>
    </row>
    <row r="623" spans="1:25" ht="20.149999999999999" customHeight="1">
      <c r="A623" s="10">
        <f>SUBTOTAL(103,$B$4:B623)</f>
        <v>620</v>
      </c>
      <c r="B623" s="111">
        <v>45630</v>
      </c>
      <c r="C623" s="114" t="s">
        <v>609</v>
      </c>
      <c r="D623" s="3" t="str">
        <f>VLOOKUP(C623,'Location Summary'!$C$4:$D$602,2,0)</f>
        <v>DA+3</v>
      </c>
      <c r="E623" s="267" t="s">
        <v>403</v>
      </c>
      <c r="F623" s="268" t="s">
        <v>683</v>
      </c>
      <c r="J623" s="158">
        <v>1</v>
      </c>
      <c r="P623" s="158">
        <v>1</v>
      </c>
      <c r="X623" s="35">
        <f t="shared" si="80"/>
        <v>45630</v>
      </c>
      <c r="Y623" s="35">
        <f t="shared" si="81"/>
        <v>45658</v>
      </c>
    </row>
    <row r="624" spans="1:25" ht="20.149999999999999" customHeight="1">
      <c r="A624" s="10">
        <f>SUBTOTAL(103,$B$4:B624)</f>
        <v>621</v>
      </c>
      <c r="B624" s="111">
        <v>45631</v>
      </c>
      <c r="C624" s="114" t="s">
        <v>781</v>
      </c>
      <c r="D624" s="3" t="str">
        <f>VLOOKUP(C624,'Location Summary'!$C$4:$D$602,2,0)</f>
        <v>DA+3</v>
      </c>
      <c r="E624" s="267" t="s">
        <v>403</v>
      </c>
      <c r="F624" s="268" t="s">
        <v>683</v>
      </c>
      <c r="G624" s="158">
        <v>1</v>
      </c>
      <c r="J624" s="158">
        <v>1</v>
      </c>
      <c r="X624" s="35">
        <f t="shared" si="80"/>
        <v>45631</v>
      </c>
      <c r="Y624" s="35">
        <f t="shared" si="81"/>
        <v>45659</v>
      </c>
    </row>
    <row r="625" spans="1:25" ht="20.149999999999999" customHeight="1">
      <c r="A625" s="10">
        <f>SUBTOTAL(103,$B$4:B625)</f>
        <v>622</v>
      </c>
      <c r="B625" s="111">
        <v>45631</v>
      </c>
      <c r="C625" s="114" t="s">
        <v>71</v>
      </c>
      <c r="D625" s="3" t="str">
        <f>VLOOKUP(C625,'Location Summary'!$C$4:$D$602,2,0)</f>
        <v>DB2+0</v>
      </c>
      <c r="E625" s="267" t="s">
        <v>403</v>
      </c>
      <c r="F625" s="268" t="s">
        <v>683</v>
      </c>
      <c r="J625" s="158">
        <v>1</v>
      </c>
      <c r="X625" s="35">
        <f t="shared" si="80"/>
        <v>45631</v>
      </c>
      <c r="Y625" s="35">
        <f t="shared" si="81"/>
        <v>45659</v>
      </c>
    </row>
    <row r="626" spans="1:25" ht="20.149999999999999" customHeight="1">
      <c r="A626" s="10">
        <f>SUBTOTAL(103,$B$4:B626)</f>
        <v>623</v>
      </c>
      <c r="B626" s="111">
        <v>45631</v>
      </c>
      <c r="C626" s="114" t="s">
        <v>609</v>
      </c>
      <c r="D626" s="3" t="str">
        <f>VLOOKUP(C626,'Location Summary'!$C$4:$D$602,2,0)</f>
        <v>DA+3</v>
      </c>
      <c r="E626" s="267" t="s">
        <v>403</v>
      </c>
      <c r="F626" s="268" t="s">
        <v>683</v>
      </c>
      <c r="G626" s="158">
        <v>1</v>
      </c>
      <c r="K626" s="157">
        <v>1</v>
      </c>
      <c r="M626" s="158">
        <v>1</v>
      </c>
      <c r="Q626" s="157">
        <v>1</v>
      </c>
      <c r="X626" s="35">
        <f t="shared" si="80"/>
        <v>45631</v>
      </c>
      <c r="Y626" s="35">
        <f t="shared" si="81"/>
        <v>45659</v>
      </c>
    </row>
    <row r="627" spans="1:25" ht="20.149999999999999" customHeight="1">
      <c r="A627" s="10">
        <f>SUBTOTAL(103,$B$4:B627)</f>
        <v>624</v>
      </c>
      <c r="B627" s="111">
        <v>45632</v>
      </c>
      <c r="C627" s="114" t="s">
        <v>781</v>
      </c>
      <c r="D627" s="3" t="str">
        <f>VLOOKUP(C627,'Location Summary'!$C$4:$D$602,2,0)</f>
        <v>DA+3</v>
      </c>
      <c r="E627" s="267" t="s">
        <v>403</v>
      </c>
      <c r="F627" s="268" t="s">
        <v>683</v>
      </c>
      <c r="H627" s="157">
        <v>1</v>
      </c>
      <c r="I627" s="156">
        <v>1</v>
      </c>
      <c r="K627" s="157">
        <v>1</v>
      </c>
      <c r="L627" s="156">
        <v>1</v>
      </c>
      <c r="M627" s="158">
        <v>1</v>
      </c>
      <c r="X627" s="35">
        <f t="shared" si="80"/>
        <v>45632</v>
      </c>
      <c r="Y627" s="35">
        <f t="shared" si="81"/>
        <v>45660</v>
      </c>
    </row>
    <row r="628" spans="1:25" ht="20.149999999999999" customHeight="1">
      <c r="A628" s="10">
        <f>SUBTOTAL(103,$B$4:B628)</f>
        <v>625</v>
      </c>
      <c r="B628" s="111">
        <v>45632</v>
      </c>
      <c r="C628" s="114" t="s">
        <v>71</v>
      </c>
      <c r="D628" s="3" t="str">
        <f>VLOOKUP(C628,'Location Summary'!$C$4:$D$602,2,0)</f>
        <v>DB2+0</v>
      </c>
      <c r="E628" s="267" t="s">
        <v>403</v>
      </c>
      <c r="F628" s="268" t="s">
        <v>683</v>
      </c>
      <c r="K628" s="157">
        <v>1</v>
      </c>
      <c r="L628" s="156">
        <v>1</v>
      </c>
      <c r="X628" s="35">
        <f t="shared" si="80"/>
        <v>45632</v>
      </c>
      <c r="Y628" s="35">
        <f t="shared" si="81"/>
        <v>45660</v>
      </c>
    </row>
    <row r="629" spans="1:25" ht="20.149999999999999" customHeight="1">
      <c r="A629" s="10">
        <f>SUBTOTAL(103,$B$4:B629)</f>
        <v>626</v>
      </c>
      <c r="B629" s="111">
        <v>45632</v>
      </c>
      <c r="C629" s="114" t="s">
        <v>252</v>
      </c>
      <c r="D629" s="3" t="str">
        <f>VLOOKUP(C629,'Location Summary'!$C$4:$D$602,2,0)</f>
        <v>DA+0</v>
      </c>
      <c r="E629" s="267" t="s">
        <v>403</v>
      </c>
      <c r="F629" s="268" t="s">
        <v>683</v>
      </c>
      <c r="G629" s="158">
        <v>1</v>
      </c>
      <c r="J629" s="158">
        <v>1</v>
      </c>
      <c r="M629" s="158">
        <v>1</v>
      </c>
      <c r="P629" s="158">
        <v>1</v>
      </c>
      <c r="X629" s="35">
        <f t="shared" si="80"/>
        <v>45632</v>
      </c>
      <c r="Y629" s="35">
        <f t="shared" si="81"/>
        <v>45660</v>
      </c>
    </row>
    <row r="630" spans="1:25" ht="20.149999999999999" customHeight="1">
      <c r="A630" s="10">
        <f>SUBTOTAL(103,$B$4:B630)</f>
        <v>627</v>
      </c>
      <c r="B630" s="111">
        <v>45632</v>
      </c>
      <c r="C630" s="114" t="s">
        <v>609</v>
      </c>
      <c r="D630" s="3" t="str">
        <f>VLOOKUP(C630,'Location Summary'!$C$4:$D$602,2,0)</f>
        <v>DA+3</v>
      </c>
      <c r="E630" s="267" t="s">
        <v>403</v>
      </c>
      <c r="F630" s="268" t="s">
        <v>683</v>
      </c>
      <c r="H630" s="157">
        <v>1</v>
      </c>
      <c r="I630" s="156">
        <v>1</v>
      </c>
      <c r="L630" s="156">
        <v>1</v>
      </c>
      <c r="N630" s="157">
        <v>1</v>
      </c>
      <c r="O630" s="156">
        <v>1</v>
      </c>
      <c r="R630" s="156">
        <v>1</v>
      </c>
      <c r="X630" s="35">
        <f t="shared" si="80"/>
        <v>45632</v>
      </c>
      <c r="Y630" s="35">
        <f t="shared" si="81"/>
        <v>45660</v>
      </c>
    </row>
    <row r="631" spans="1:25" ht="20.149999999999999" customHeight="1">
      <c r="A631" s="10">
        <f>SUBTOTAL(103,$B$4:B631)</f>
        <v>628</v>
      </c>
      <c r="B631" s="111">
        <v>45633</v>
      </c>
      <c r="C631" s="114" t="s">
        <v>781</v>
      </c>
      <c r="D631" s="3" t="str">
        <f>VLOOKUP(C631,'Location Summary'!$C$4:$D$602,2,0)</f>
        <v>DA+3</v>
      </c>
      <c r="E631" s="267" t="s">
        <v>403</v>
      </c>
      <c r="F631" s="268" t="s">
        <v>683</v>
      </c>
      <c r="P631" s="158">
        <v>1</v>
      </c>
      <c r="Q631" s="157">
        <v>1</v>
      </c>
      <c r="R631" s="156">
        <v>1</v>
      </c>
      <c r="X631" s="35">
        <f t="shared" si="80"/>
        <v>45633</v>
      </c>
      <c r="Y631" s="35">
        <f t="shared" si="81"/>
        <v>45661</v>
      </c>
    </row>
    <row r="632" spans="1:25" ht="20.149999999999999" customHeight="1">
      <c r="A632" s="10">
        <f>SUBTOTAL(103,$B$4:B632)</f>
        <v>629</v>
      </c>
      <c r="B632" s="111">
        <v>45633</v>
      </c>
      <c r="C632" s="114" t="s">
        <v>436</v>
      </c>
      <c r="D632" s="3" t="str">
        <f>VLOOKUP(C632,'Location Summary'!$C$4:$D$602,2,0)</f>
        <v>DA+3</v>
      </c>
      <c r="E632" s="267" t="s">
        <v>403</v>
      </c>
      <c r="F632" s="268" t="s">
        <v>683</v>
      </c>
      <c r="J632" s="158">
        <v>1</v>
      </c>
      <c r="X632" s="35">
        <f t="shared" si="80"/>
        <v>45633</v>
      </c>
      <c r="Y632" s="35">
        <f t="shared" si="81"/>
        <v>45661</v>
      </c>
    </row>
    <row r="633" spans="1:25" ht="20.149999999999999" customHeight="1">
      <c r="A633" s="10">
        <f>SUBTOTAL(103,$B$4:B633)</f>
        <v>630</v>
      </c>
      <c r="B633" s="111">
        <v>45633</v>
      </c>
      <c r="C633" s="114" t="s">
        <v>252</v>
      </c>
      <c r="D633" s="3" t="str">
        <f>VLOOKUP(C633,'Location Summary'!$C$4:$D$602,2,0)</f>
        <v>DA+0</v>
      </c>
      <c r="E633" s="267" t="s">
        <v>403</v>
      </c>
      <c r="F633" s="268" t="s">
        <v>683</v>
      </c>
      <c r="H633" s="157">
        <v>1</v>
      </c>
      <c r="I633" s="156">
        <v>1</v>
      </c>
      <c r="K633" s="157">
        <v>1</v>
      </c>
      <c r="L633" s="156">
        <v>1</v>
      </c>
      <c r="N633" s="157">
        <v>1</v>
      </c>
      <c r="O633" s="156">
        <v>1</v>
      </c>
      <c r="Q633" s="157">
        <v>1</v>
      </c>
      <c r="R633" s="156">
        <v>1</v>
      </c>
      <c r="X633" s="35">
        <f t="shared" si="80"/>
        <v>45633</v>
      </c>
      <c r="Y633" s="35">
        <f t="shared" si="81"/>
        <v>45661</v>
      </c>
    </row>
    <row r="634" spans="1:25" ht="20.149999999999999" customHeight="1">
      <c r="A634" s="10">
        <f>SUBTOTAL(103,$B$4:B634)</f>
        <v>631</v>
      </c>
      <c r="B634" s="111">
        <v>45633</v>
      </c>
      <c r="C634" s="114" t="s">
        <v>610</v>
      </c>
      <c r="D634" s="3" t="str">
        <f>VLOOKUP(C634,'Location Summary'!$C$4:$D$602,2,0)</f>
        <v>DA+1.5</v>
      </c>
      <c r="E634" s="267" t="s">
        <v>403</v>
      </c>
      <c r="F634" s="268" t="s">
        <v>683</v>
      </c>
      <c r="M634" s="158">
        <v>1</v>
      </c>
      <c r="P634" s="158">
        <v>1</v>
      </c>
      <c r="X634" s="35">
        <f t="shared" si="80"/>
        <v>45633</v>
      </c>
      <c r="Y634" s="35">
        <f t="shared" si="81"/>
        <v>45661</v>
      </c>
    </row>
    <row r="635" spans="1:25" ht="20.149999999999999" customHeight="1">
      <c r="A635" s="10">
        <f>SUBTOTAL(103,$B$4:B635)</f>
        <v>632</v>
      </c>
      <c r="B635" s="111">
        <v>45634</v>
      </c>
      <c r="C635" s="114" t="s">
        <v>781</v>
      </c>
      <c r="D635" s="3" t="str">
        <f>VLOOKUP(C635,'Location Summary'!$C$4:$D$602,2,0)</f>
        <v>DA+3</v>
      </c>
      <c r="E635" s="267" t="s">
        <v>403</v>
      </c>
      <c r="F635" s="268" t="s">
        <v>683</v>
      </c>
      <c r="N635" s="157">
        <v>1</v>
      </c>
      <c r="O635" s="156">
        <v>1</v>
      </c>
      <c r="X635" s="35">
        <f t="shared" si="80"/>
        <v>45634</v>
      </c>
      <c r="Y635" s="35">
        <f t="shared" si="81"/>
        <v>45662</v>
      </c>
    </row>
    <row r="636" spans="1:25" ht="20.149999999999999" customHeight="1">
      <c r="A636" s="10">
        <f>SUBTOTAL(103,$B$4:B636)</f>
        <v>633</v>
      </c>
      <c r="B636" s="111">
        <v>45634</v>
      </c>
      <c r="C636" s="114" t="s">
        <v>480</v>
      </c>
      <c r="D636" s="3" t="str">
        <f>VLOOKUP(C636,'Location Summary'!$C$4:$D$602,2,0)</f>
        <v>DA+6</v>
      </c>
      <c r="E636" s="267" t="s">
        <v>403</v>
      </c>
      <c r="F636" s="268" t="s">
        <v>683</v>
      </c>
      <c r="M636" s="158">
        <v>1</v>
      </c>
      <c r="P636" s="158">
        <v>1</v>
      </c>
      <c r="X636" s="35">
        <f t="shared" si="80"/>
        <v>45634</v>
      </c>
      <c r="Y636" s="35">
        <f t="shared" si="81"/>
        <v>45662</v>
      </c>
    </row>
    <row r="637" spans="1:25" ht="20.149999999999999" customHeight="1">
      <c r="A637" s="10">
        <f>SUBTOTAL(103,$B$4:B637)</f>
        <v>634</v>
      </c>
      <c r="B637" s="111">
        <v>45634</v>
      </c>
      <c r="C637" s="114" t="s">
        <v>436</v>
      </c>
      <c r="D637" s="3" t="str">
        <f>VLOOKUP(C637,'Location Summary'!$C$4:$D$602,2,0)</f>
        <v>DA+3</v>
      </c>
      <c r="E637" s="267" t="s">
        <v>403</v>
      </c>
      <c r="F637" s="268" t="s">
        <v>683</v>
      </c>
      <c r="G637" s="158">
        <v>1</v>
      </c>
      <c r="K637" s="157">
        <v>1</v>
      </c>
      <c r="L637" s="156">
        <v>1</v>
      </c>
      <c r="P637" s="158">
        <v>1</v>
      </c>
      <c r="X637" s="35">
        <f t="shared" si="80"/>
        <v>45634</v>
      </c>
      <c r="Y637" s="35">
        <f t="shared" si="81"/>
        <v>45662</v>
      </c>
    </row>
    <row r="638" spans="1:25" ht="20.149999999999999" customHeight="1">
      <c r="A638" s="10">
        <f>SUBTOTAL(103,$B$4:B638)</f>
        <v>635</v>
      </c>
      <c r="B638" s="111">
        <v>45634</v>
      </c>
      <c r="C638" s="114" t="s">
        <v>610</v>
      </c>
      <c r="D638" s="3" t="str">
        <f>VLOOKUP(C638,'Location Summary'!$C$4:$D$602,2,0)</f>
        <v>DA+1.5</v>
      </c>
      <c r="E638" s="267" t="s">
        <v>403</v>
      </c>
      <c r="F638" s="268" t="s">
        <v>683</v>
      </c>
      <c r="N638" s="157">
        <v>1</v>
      </c>
      <c r="O638" s="156">
        <v>1</v>
      </c>
      <c r="Q638" s="157">
        <v>1</v>
      </c>
      <c r="R638" s="156">
        <v>1</v>
      </c>
      <c r="X638" s="35">
        <f t="shared" si="80"/>
        <v>45634</v>
      </c>
      <c r="Y638" s="35">
        <f t="shared" si="81"/>
        <v>45662</v>
      </c>
    </row>
    <row r="639" spans="1:25" ht="20.149999999999999" customHeight="1">
      <c r="A639" s="10">
        <f>SUBTOTAL(103,$B$4:B639)</f>
        <v>636</v>
      </c>
      <c r="B639" s="111">
        <v>45634</v>
      </c>
      <c r="C639" s="114" t="s">
        <v>608</v>
      </c>
      <c r="D639" s="3" t="str">
        <f>VLOOKUP(C639,'Location Summary'!$C$4:$D$602,2,0)</f>
        <v>DA+0</v>
      </c>
      <c r="E639" s="267" t="s">
        <v>403</v>
      </c>
      <c r="F639" s="268" t="s">
        <v>683</v>
      </c>
      <c r="G639" s="158">
        <v>1</v>
      </c>
      <c r="M639" s="158">
        <v>1</v>
      </c>
      <c r="X639" s="35">
        <f t="shared" si="80"/>
        <v>45634</v>
      </c>
      <c r="Y639" s="35">
        <f t="shared" si="81"/>
        <v>45662</v>
      </c>
    </row>
    <row r="640" spans="1:25" ht="20.149999999999999" customHeight="1">
      <c r="A640" s="10">
        <f>SUBTOTAL(103,$B$4:B640)</f>
        <v>637</v>
      </c>
      <c r="B640" s="111">
        <v>45635</v>
      </c>
      <c r="C640" s="114" t="s">
        <v>480</v>
      </c>
      <c r="D640" s="3" t="str">
        <f>VLOOKUP(C640,'Location Summary'!$C$4:$D$602,2,0)</f>
        <v>DA+6</v>
      </c>
      <c r="E640" s="267" t="s">
        <v>403</v>
      </c>
      <c r="F640" s="268" t="s">
        <v>683</v>
      </c>
      <c r="N640" s="157">
        <v>1</v>
      </c>
      <c r="Q640" s="157">
        <v>1</v>
      </c>
      <c r="X640" s="35">
        <f t="shared" si="80"/>
        <v>45635</v>
      </c>
      <c r="Y640" s="35">
        <f t="shared" si="81"/>
        <v>45663</v>
      </c>
    </row>
    <row r="641" spans="1:25" ht="20.149999999999999" customHeight="1">
      <c r="A641" s="10">
        <f>SUBTOTAL(103,$B$4:B641)</f>
        <v>638</v>
      </c>
      <c r="B641" s="111">
        <v>45635</v>
      </c>
      <c r="C641" s="114" t="s">
        <v>436</v>
      </c>
      <c r="D641" s="3" t="str">
        <f>VLOOKUP(C641,'Location Summary'!$C$4:$D$602,2,0)</f>
        <v>DA+3</v>
      </c>
      <c r="E641" s="267" t="s">
        <v>403</v>
      </c>
      <c r="F641" s="268" t="s">
        <v>683</v>
      </c>
      <c r="H641" s="157">
        <v>1</v>
      </c>
      <c r="I641" s="156">
        <v>1</v>
      </c>
      <c r="M641" s="158">
        <v>1</v>
      </c>
      <c r="Q641" s="157">
        <v>1</v>
      </c>
      <c r="R641" s="156">
        <v>1</v>
      </c>
      <c r="X641" s="35">
        <f t="shared" si="80"/>
        <v>45635</v>
      </c>
      <c r="Y641" s="35">
        <f t="shared" si="81"/>
        <v>45663</v>
      </c>
    </row>
    <row r="642" spans="1:25" ht="20.149999999999999" customHeight="1">
      <c r="A642" s="10">
        <f>SUBTOTAL(103,$B$4:B642)</f>
        <v>639</v>
      </c>
      <c r="B642" s="111">
        <v>45635</v>
      </c>
      <c r="C642" s="114" t="s">
        <v>608</v>
      </c>
      <c r="D642" s="3" t="str">
        <f>VLOOKUP(C642,'Location Summary'!$C$4:$D$602,2,0)</f>
        <v>DA+0</v>
      </c>
      <c r="E642" s="267" t="s">
        <v>403</v>
      </c>
      <c r="F642" s="268" t="s">
        <v>683</v>
      </c>
      <c r="H642" s="157">
        <v>1</v>
      </c>
      <c r="J642" s="158">
        <v>1</v>
      </c>
      <c r="P642" s="158">
        <v>1</v>
      </c>
      <c r="X642" s="35">
        <f t="shared" si="80"/>
        <v>45635</v>
      </c>
      <c r="Y642" s="35">
        <f t="shared" si="81"/>
        <v>45663</v>
      </c>
    </row>
    <row r="643" spans="1:25" ht="20.149999999999999" customHeight="1">
      <c r="A643" s="10">
        <f>SUBTOTAL(103,$B$4:B643)</f>
        <v>640</v>
      </c>
      <c r="B643" s="111">
        <v>45635</v>
      </c>
      <c r="C643" s="114" t="s">
        <v>618</v>
      </c>
      <c r="D643" s="3" t="str">
        <f>VLOOKUP(C643,'Location Summary'!$C$4:$D$602,2,0)</f>
        <v>DA-1.5</v>
      </c>
      <c r="E643" s="267" t="s">
        <v>403</v>
      </c>
      <c r="F643" s="268" t="s">
        <v>683</v>
      </c>
      <c r="P643" s="158">
        <v>1</v>
      </c>
      <c r="X643" s="35">
        <f t="shared" si="80"/>
        <v>45635</v>
      </c>
      <c r="Y643" s="35">
        <f t="shared" si="81"/>
        <v>45663</v>
      </c>
    </row>
    <row r="644" spans="1:25" ht="20.149999999999999" customHeight="1">
      <c r="A644" s="10">
        <f>SUBTOTAL(103,$B$4:B644)</f>
        <v>641</v>
      </c>
      <c r="B644" s="111">
        <v>45636</v>
      </c>
      <c r="C644" s="114" t="s">
        <v>207</v>
      </c>
      <c r="D644" s="3" t="str">
        <f>VLOOKUP(C644,'Location Summary'!$C$4:$D$602,2,0)</f>
        <v>DA+6</v>
      </c>
      <c r="E644" s="267" t="s">
        <v>403</v>
      </c>
      <c r="F644" s="268" t="s">
        <v>683</v>
      </c>
      <c r="G644" s="158">
        <v>1</v>
      </c>
      <c r="J644" s="158">
        <v>1</v>
      </c>
      <c r="M644" s="158">
        <v>1</v>
      </c>
      <c r="X644" s="35">
        <f t="shared" si="80"/>
        <v>45636</v>
      </c>
      <c r="Y644" s="35">
        <f t="shared" si="81"/>
        <v>45664</v>
      </c>
    </row>
    <row r="645" spans="1:25" ht="20.149999999999999" customHeight="1">
      <c r="A645" s="10">
        <f>SUBTOTAL(103,$B$4:B645)</f>
        <v>642</v>
      </c>
      <c r="B645" s="111">
        <v>45636</v>
      </c>
      <c r="C645" s="114" t="s">
        <v>480</v>
      </c>
      <c r="D645" s="3" t="str">
        <f>VLOOKUP(C645,'Location Summary'!$C$4:$D$602,2,0)</f>
        <v>DA+6</v>
      </c>
      <c r="E645" s="267" t="s">
        <v>403</v>
      </c>
      <c r="F645" s="268" t="s">
        <v>683</v>
      </c>
      <c r="O645" s="156">
        <v>1</v>
      </c>
      <c r="R645" s="156">
        <v>1</v>
      </c>
      <c r="X645" s="35">
        <f t="shared" si="80"/>
        <v>45636</v>
      </c>
      <c r="Y645" s="35">
        <f t="shared" si="81"/>
        <v>45664</v>
      </c>
    </row>
    <row r="646" spans="1:25" ht="20.149999999999999" customHeight="1">
      <c r="A646" s="10">
        <f>SUBTOTAL(103,$B$4:B646)</f>
        <v>643</v>
      </c>
      <c r="B646" s="111">
        <v>45636</v>
      </c>
      <c r="C646" s="114" t="s">
        <v>436</v>
      </c>
      <c r="D646" s="3" t="str">
        <f>VLOOKUP(C646,'Location Summary'!$C$4:$D$602,2,0)</f>
        <v>DA+3</v>
      </c>
      <c r="E646" s="267" t="s">
        <v>403</v>
      </c>
      <c r="F646" s="268" t="s">
        <v>683</v>
      </c>
      <c r="N646" s="157">
        <v>1</v>
      </c>
      <c r="O646" s="156">
        <v>1</v>
      </c>
      <c r="X646" s="35">
        <f t="shared" si="80"/>
        <v>45636</v>
      </c>
      <c r="Y646" s="35">
        <f t="shared" si="81"/>
        <v>45664</v>
      </c>
    </row>
    <row r="647" spans="1:25" ht="20.149999999999999" customHeight="1">
      <c r="A647" s="10">
        <f>SUBTOTAL(103,$B$4:B647)</f>
        <v>644</v>
      </c>
      <c r="B647" s="111">
        <v>45636</v>
      </c>
      <c r="C647" s="114" t="s">
        <v>607</v>
      </c>
      <c r="D647" s="3" t="str">
        <f>VLOOKUP(C647,'Location Summary'!$C$4:$D$602,2,0)</f>
        <v>DA+0</v>
      </c>
      <c r="E647" s="267" t="s">
        <v>403</v>
      </c>
      <c r="F647" s="268" t="s">
        <v>683</v>
      </c>
      <c r="J647" s="158">
        <v>1</v>
      </c>
      <c r="X647" s="35">
        <f t="shared" si="80"/>
        <v>45636</v>
      </c>
      <c r="Y647" s="35">
        <f t="shared" si="81"/>
        <v>45664</v>
      </c>
    </row>
    <row r="648" spans="1:25" ht="20.149999999999999" customHeight="1">
      <c r="A648" s="10">
        <f>SUBTOTAL(103,$B$4:B648)</f>
        <v>645</v>
      </c>
      <c r="B648" s="111">
        <v>45636</v>
      </c>
      <c r="C648" s="114" t="s">
        <v>608</v>
      </c>
      <c r="D648" s="3" t="str">
        <f>VLOOKUP(C648,'Location Summary'!$C$4:$D$602,2,0)</f>
        <v>DA+0</v>
      </c>
      <c r="E648" s="267" t="s">
        <v>403</v>
      </c>
      <c r="F648" s="268" t="s">
        <v>683</v>
      </c>
      <c r="I648" s="156">
        <v>1</v>
      </c>
      <c r="N648" s="157">
        <v>1</v>
      </c>
      <c r="O648" s="156">
        <v>1</v>
      </c>
      <c r="Q648" s="157">
        <v>1</v>
      </c>
      <c r="R648" s="156">
        <v>1</v>
      </c>
      <c r="X648" s="35">
        <f t="shared" si="80"/>
        <v>45636</v>
      </c>
      <c r="Y648" s="35">
        <f t="shared" si="81"/>
        <v>45664</v>
      </c>
    </row>
    <row r="649" spans="1:25" ht="20.149999999999999" customHeight="1">
      <c r="A649" s="10">
        <f>SUBTOTAL(103,$B$4:B649)</f>
        <v>646</v>
      </c>
      <c r="B649" s="111">
        <v>45636</v>
      </c>
      <c r="C649" s="114" t="s">
        <v>618</v>
      </c>
      <c r="D649" s="3" t="str">
        <f>VLOOKUP(C649,'Location Summary'!$C$4:$D$602,2,0)</f>
        <v>DA-1.5</v>
      </c>
      <c r="E649" s="267" t="s">
        <v>403</v>
      </c>
      <c r="F649" s="268" t="s">
        <v>683</v>
      </c>
      <c r="M649" s="158">
        <v>1</v>
      </c>
      <c r="X649" s="35">
        <f t="shared" si="80"/>
        <v>45636</v>
      </c>
      <c r="Y649" s="35">
        <f t="shared" si="81"/>
        <v>45664</v>
      </c>
    </row>
    <row r="650" spans="1:25" ht="20.149999999999999" customHeight="1">
      <c r="A650" s="10">
        <f>SUBTOTAL(103,$B$4:B650)</f>
        <v>647</v>
      </c>
      <c r="B650" s="111">
        <v>45637</v>
      </c>
      <c r="C650" s="114" t="s">
        <v>207</v>
      </c>
      <c r="D650" s="3" t="str">
        <f>VLOOKUP(C650,'Location Summary'!$C$4:$D$602,2,0)</f>
        <v>DA+6</v>
      </c>
      <c r="E650" s="267" t="s">
        <v>403</v>
      </c>
      <c r="F650" s="268" t="s">
        <v>683</v>
      </c>
      <c r="H650" s="157">
        <v>1</v>
      </c>
      <c r="I650" s="156">
        <v>1</v>
      </c>
      <c r="K650" s="157">
        <v>1</v>
      </c>
      <c r="L650" s="156">
        <v>1</v>
      </c>
      <c r="P650" s="158">
        <v>1</v>
      </c>
      <c r="X650" s="35">
        <f t="shared" si="80"/>
        <v>45637</v>
      </c>
      <c r="Y650" s="35">
        <f t="shared" si="81"/>
        <v>45665</v>
      </c>
    </row>
    <row r="651" spans="1:25" ht="20.149999999999999" customHeight="1">
      <c r="A651" s="10">
        <f>SUBTOTAL(103,$B$4:B651)</f>
        <v>648</v>
      </c>
      <c r="B651" s="111">
        <v>45637</v>
      </c>
      <c r="C651" s="114" t="s">
        <v>65</v>
      </c>
      <c r="D651" s="3" t="str">
        <f>VLOOKUP(C651,'Location Summary'!$C$4:$D$602,2,0)</f>
        <v>DB1+0</v>
      </c>
      <c r="E651" s="267" t="s">
        <v>403</v>
      </c>
      <c r="F651" s="268" t="s">
        <v>683</v>
      </c>
      <c r="M651" s="158">
        <v>1</v>
      </c>
      <c r="X651" s="35">
        <f t="shared" si="80"/>
        <v>45637</v>
      </c>
      <c r="Y651" s="35">
        <f t="shared" si="81"/>
        <v>45665</v>
      </c>
    </row>
    <row r="652" spans="1:25" ht="20.149999999999999" customHeight="1">
      <c r="A652" s="10">
        <f>SUBTOTAL(103,$B$4:B652)</f>
        <v>649</v>
      </c>
      <c r="B652" s="111">
        <v>45637</v>
      </c>
      <c r="C652" s="114" t="s">
        <v>607</v>
      </c>
      <c r="D652" s="3" t="str">
        <f>VLOOKUP(C652,'Location Summary'!$C$4:$D$602,2,0)</f>
        <v>DA+0</v>
      </c>
      <c r="E652" s="267" t="s">
        <v>403</v>
      </c>
      <c r="F652" s="268" t="s">
        <v>683</v>
      </c>
      <c r="G652" s="158">
        <v>1</v>
      </c>
      <c r="M652" s="158">
        <v>1</v>
      </c>
      <c r="P652" s="158">
        <v>1</v>
      </c>
      <c r="X652" s="35">
        <f t="shared" si="80"/>
        <v>45637</v>
      </c>
      <c r="Y652" s="35">
        <f t="shared" si="81"/>
        <v>45665</v>
      </c>
    </row>
    <row r="653" spans="1:25" ht="20.149999999999999" customHeight="1">
      <c r="A653" s="10">
        <f>SUBTOTAL(103,$B$4:B653)</f>
        <v>650</v>
      </c>
      <c r="B653" s="111">
        <v>45637</v>
      </c>
      <c r="C653" s="114" t="s">
        <v>608</v>
      </c>
      <c r="D653" s="3" t="str">
        <f>VLOOKUP(C653,'Location Summary'!$C$4:$D$602,2,0)</f>
        <v>DA+0</v>
      </c>
      <c r="E653" s="267" t="s">
        <v>403</v>
      </c>
      <c r="F653" s="268" t="s">
        <v>683</v>
      </c>
      <c r="K653" s="157">
        <v>1</v>
      </c>
      <c r="X653" s="35">
        <f t="shared" si="80"/>
        <v>45637</v>
      </c>
      <c r="Y653" s="35">
        <f t="shared" si="81"/>
        <v>45665</v>
      </c>
    </row>
    <row r="654" spans="1:25" ht="20.149999999999999" customHeight="1">
      <c r="A654" s="10">
        <f>SUBTOTAL(103,$B$4:B654)</f>
        <v>651</v>
      </c>
      <c r="B654" s="111">
        <v>45637</v>
      </c>
      <c r="C654" s="114" t="s">
        <v>618</v>
      </c>
      <c r="D654" s="3" t="str">
        <f>VLOOKUP(C654,'Location Summary'!$C$4:$D$602,2,0)</f>
        <v>DA-1.5</v>
      </c>
      <c r="E654" s="267" t="s">
        <v>403</v>
      </c>
      <c r="F654" s="268" t="s">
        <v>683</v>
      </c>
      <c r="N654" s="157">
        <v>1</v>
      </c>
      <c r="Q654" s="157">
        <v>1</v>
      </c>
      <c r="X654" s="35">
        <f t="shared" si="80"/>
        <v>45637</v>
      </c>
      <c r="Y654" s="35">
        <f t="shared" si="81"/>
        <v>45665</v>
      </c>
    </row>
    <row r="655" spans="1:25" ht="20.149999999999999" customHeight="1">
      <c r="A655" s="10">
        <f>SUBTOTAL(103,$B$4:B655)</f>
        <v>652</v>
      </c>
      <c r="B655" s="111">
        <v>45638</v>
      </c>
      <c r="C655" s="114" t="s">
        <v>207</v>
      </c>
      <c r="D655" s="3" t="str">
        <f>VLOOKUP(C655,'Location Summary'!$C$4:$D$602,2,0)</f>
        <v>DA+6</v>
      </c>
      <c r="E655" s="267" t="s">
        <v>403</v>
      </c>
      <c r="F655" s="268" t="s">
        <v>683</v>
      </c>
      <c r="N655" s="157">
        <v>1</v>
      </c>
      <c r="O655" s="156">
        <v>1</v>
      </c>
      <c r="Q655" s="157">
        <v>1</v>
      </c>
      <c r="R655" s="156">
        <v>1</v>
      </c>
      <c r="X655" s="35">
        <f t="shared" si="80"/>
        <v>45638</v>
      </c>
      <c r="Y655" s="35">
        <f t="shared" si="81"/>
        <v>45666</v>
      </c>
    </row>
    <row r="656" spans="1:25" ht="20.149999999999999" customHeight="1">
      <c r="A656" s="10">
        <f>SUBTOTAL(103,$B$4:B656)</f>
        <v>653</v>
      </c>
      <c r="B656" s="111">
        <v>45638</v>
      </c>
      <c r="C656" s="114" t="s">
        <v>65</v>
      </c>
      <c r="D656" s="3" t="str">
        <f>VLOOKUP(C656,'Location Summary'!$C$4:$D$602,2,0)</f>
        <v>DB1+0</v>
      </c>
      <c r="E656" s="267" t="s">
        <v>403</v>
      </c>
      <c r="F656" s="268" t="s">
        <v>683</v>
      </c>
      <c r="N656" s="157">
        <v>1</v>
      </c>
      <c r="O656" s="156">
        <v>1</v>
      </c>
      <c r="X656" s="35">
        <f t="shared" si="80"/>
        <v>45638</v>
      </c>
      <c r="Y656" s="35">
        <f t="shared" si="81"/>
        <v>45666</v>
      </c>
    </row>
    <row r="657" spans="1:25" ht="20.149999999999999" customHeight="1">
      <c r="A657" s="10">
        <f>SUBTOTAL(103,$B$4:B657)</f>
        <v>654</v>
      </c>
      <c r="B657" s="111">
        <v>45638</v>
      </c>
      <c r="C657" s="114" t="s">
        <v>607</v>
      </c>
      <c r="D657" s="3" t="str">
        <f>VLOOKUP(C657,'Location Summary'!$C$4:$D$602,2,0)</f>
        <v>DA+0</v>
      </c>
      <c r="E657" s="267" t="s">
        <v>403</v>
      </c>
      <c r="F657" s="268" t="s">
        <v>683</v>
      </c>
      <c r="K657" s="157">
        <v>1</v>
      </c>
      <c r="L657" s="156">
        <v>1</v>
      </c>
      <c r="N657" s="157">
        <v>1</v>
      </c>
      <c r="O657" s="156">
        <v>1</v>
      </c>
      <c r="X657" s="35">
        <f t="shared" si="80"/>
        <v>45638</v>
      </c>
      <c r="Y657" s="35">
        <f t="shared" si="81"/>
        <v>45666</v>
      </c>
    </row>
    <row r="658" spans="1:25" ht="20.149999999999999" customHeight="1">
      <c r="A658" s="10">
        <f>SUBTOTAL(103,$B$4:B658)</f>
        <v>655</v>
      </c>
      <c r="B658" s="111">
        <v>45638</v>
      </c>
      <c r="C658" s="114" t="s">
        <v>608</v>
      </c>
      <c r="D658" s="3" t="str">
        <f>VLOOKUP(C658,'Location Summary'!$C$4:$D$602,2,0)</f>
        <v>DA+0</v>
      </c>
      <c r="E658" s="267" t="s">
        <v>403</v>
      </c>
      <c r="F658" s="268" t="s">
        <v>683</v>
      </c>
      <c r="L658" s="156">
        <v>1</v>
      </c>
      <c r="X658" s="35">
        <f t="shared" si="80"/>
        <v>45638</v>
      </c>
      <c r="Y658" s="35">
        <f t="shared" si="81"/>
        <v>45666</v>
      </c>
    </row>
    <row r="659" spans="1:25" ht="20.149999999999999" customHeight="1">
      <c r="A659" s="10">
        <f>SUBTOTAL(103,$B$4:B659)</f>
        <v>656</v>
      </c>
      <c r="B659" s="111">
        <v>45638</v>
      </c>
      <c r="C659" s="114" t="s">
        <v>618</v>
      </c>
      <c r="D659" s="3" t="str">
        <f>VLOOKUP(C659,'Location Summary'!$C$4:$D$602,2,0)</f>
        <v>DA-1.5</v>
      </c>
      <c r="E659" s="267" t="s">
        <v>403</v>
      </c>
      <c r="F659" s="268" t="s">
        <v>683</v>
      </c>
      <c r="O659" s="156">
        <v>1</v>
      </c>
      <c r="R659" s="156">
        <v>1</v>
      </c>
      <c r="X659" s="35">
        <f t="shared" si="80"/>
        <v>45638</v>
      </c>
      <c r="Y659" s="35">
        <f t="shared" si="81"/>
        <v>45666</v>
      </c>
    </row>
    <row r="660" spans="1:25" ht="20.149999999999999" customHeight="1">
      <c r="A660" s="10">
        <f>SUBTOTAL(103,$B$4:B660)</f>
        <v>657</v>
      </c>
      <c r="B660" s="111">
        <v>45638</v>
      </c>
      <c r="C660" s="114" t="s">
        <v>5</v>
      </c>
      <c r="D660" s="3" t="str">
        <f>VLOOKUP(C660,'Location Summary'!$C$4:$D$602,2,0)</f>
        <v>DA+3</v>
      </c>
      <c r="E660" s="267" t="s">
        <v>403</v>
      </c>
      <c r="F660" s="268" t="s">
        <v>683</v>
      </c>
      <c r="J660" s="158">
        <v>1</v>
      </c>
      <c r="M660" s="158">
        <v>1</v>
      </c>
      <c r="X660" s="35">
        <f t="shared" si="80"/>
        <v>45638</v>
      </c>
      <c r="Y660" s="35">
        <f t="shared" si="81"/>
        <v>45666</v>
      </c>
    </row>
    <row r="661" spans="1:25" ht="20.149999999999999" customHeight="1">
      <c r="A661" s="10">
        <f>SUBTOTAL(103,$B$4:B661)</f>
        <v>658</v>
      </c>
      <c r="B661" s="111">
        <v>45639</v>
      </c>
      <c r="C661" s="114" t="s">
        <v>5</v>
      </c>
      <c r="D661" s="3" t="str">
        <f>VLOOKUP(C661,'Location Summary'!$C$4:$D$602,2,0)</f>
        <v>DA+3</v>
      </c>
      <c r="E661" s="267" t="s">
        <v>403</v>
      </c>
      <c r="F661" s="268" t="s">
        <v>683</v>
      </c>
      <c r="G661" s="158">
        <v>1</v>
      </c>
      <c r="K661" s="157">
        <v>1</v>
      </c>
      <c r="L661" s="156">
        <v>1</v>
      </c>
      <c r="N661" s="157">
        <v>1</v>
      </c>
      <c r="O661" s="156">
        <v>1</v>
      </c>
      <c r="P661" s="158">
        <v>1</v>
      </c>
      <c r="X661" s="35">
        <f t="shared" si="80"/>
        <v>45639</v>
      </c>
      <c r="Y661" s="35">
        <f t="shared" si="81"/>
        <v>45667</v>
      </c>
    </row>
    <row r="662" spans="1:25" ht="20.149999999999999" customHeight="1">
      <c r="A662" s="10">
        <f>SUBTOTAL(103,$B$4:B662)</f>
        <v>659</v>
      </c>
      <c r="B662" s="111">
        <v>45639</v>
      </c>
      <c r="C662" s="114" t="s">
        <v>480</v>
      </c>
      <c r="D662" s="3" t="str">
        <f>VLOOKUP(C662,'Location Summary'!$C$4:$D$602,2,0)</f>
        <v>DA+6</v>
      </c>
      <c r="E662" s="267" t="s">
        <v>403</v>
      </c>
      <c r="F662" s="268" t="s">
        <v>683</v>
      </c>
      <c r="G662" s="158">
        <v>1</v>
      </c>
      <c r="X662" s="35">
        <f t="shared" si="80"/>
        <v>45639</v>
      </c>
      <c r="Y662" s="35">
        <f t="shared" si="81"/>
        <v>45667</v>
      </c>
    </row>
    <row r="663" spans="1:25" ht="20.149999999999999" customHeight="1">
      <c r="A663" s="10">
        <f>SUBTOTAL(103,$B$4:B663)</f>
        <v>660</v>
      </c>
      <c r="B663" s="111">
        <v>45639</v>
      </c>
      <c r="C663" s="114" t="s">
        <v>65</v>
      </c>
      <c r="D663" s="3" t="str">
        <f>VLOOKUP(C663,'Location Summary'!$C$4:$D$602,2,0)</f>
        <v>DB1+0</v>
      </c>
      <c r="E663" s="267" t="s">
        <v>403</v>
      </c>
      <c r="F663" s="268" t="s">
        <v>683</v>
      </c>
      <c r="P663" s="158">
        <v>1</v>
      </c>
      <c r="X663" s="35">
        <f t="shared" si="80"/>
        <v>45639</v>
      </c>
      <c r="Y663" s="35">
        <f t="shared" si="81"/>
        <v>45667</v>
      </c>
    </row>
    <row r="664" spans="1:25" ht="20.149999999999999" customHeight="1">
      <c r="A664" s="10">
        <f>SUBTOTAL(103,$B$4:B664)</f>
        <v>661</v>
      </c>
      <c r="B664" s="111">
        <v>45639</v>
      </c>
      <c r="C664" s="114" t="s">
        <v>13</v>
      </c>
      <c r="D664" s="3" t="str">
        <f>VLOOKUP(C664,'Location Summary'!$C$4:$D$602,2,0)</f>
        <v>DC1+3</v>
      </c>
      <c r="E664" s="267" t="s">
        <v>403</v>
      </c>
      <c r="F664" s="268" t="s">
        <v>683</v>
      </c>
      <c r="J664" s="158">
        <v>1</v>
      </c>
      <c r="X664" s="35">
        <f t="shared" si="80"/>
        <v>45639</v>
      </c>
      <c r="Y664" s="35">
        <f t="shared" si="81"/>
        <v>45667</v>
      </c>
    </row>
    <row r="665" spans="1:25" ht="20.149999999999999" customHeight="1">
      <c r="A665" s="10">
        <f>SUBTOTAL(103,$B$4:B665)</f>
        <v>662</v>
      </c>
      <c r="B665" s="111">
        <v>45639</v>
      </c>
      <c r="C665" s="114" t="s">
        <v>607</v>
      </c>
      <c r="D665" s="3" t="str">
        <f>VLOOKUP(C665,'Location Summary'!$C$4:$D$602,2,0)</f>
        <v>DA+0</v>
      </c>
      <c r="E665" s="267" t="s">
        <v>403</v>
      </c>
      <c r="F665" s="268" t="s">
        <v>683</v>
      </c>
      <c r="H665" s="157">
        <v>1</v>
      </c>
      <c r="I665" s="156">
        <v>1</v>
      </c>
      <c r="Q665" s="157">
        <v>1</v>
      </c>
      <c r="R665" s="156">
        <v>1</v>
      </c>
      <c r="X665" s="35">
        <f t="shared" si="80"/>
        <v>45639</v>
      </c>
      <c r="Y665" s="35">
        <f t="shared" si="81"/>
        <v>45667</v>
      </c>
    </row>
    <row r="666" spans="1:25" ht="20.149999999999999" customHeight="1">
      <c r="A666" s="10">
        <f>SUBTOTAL(103,$B$4:B666)</f>
        <v>663</v>
      </c>
      <c r="B666" s="111">
        <v>45639</v>
      </c>
      <c r="C666" s="114" t="s">
        <v>618</v>
      </c>
      <c r="D666" s="3" t="str">
        <f>VLOOKUP(C666,'Location Summary'!$C$4:$D$602,2,0)</f>
        <v>DA-1.5</v>
      </c>
      <c r="E666" s="267" t="s">
        <v>403</v>
      </c>
      <c r="F666" s="268" t="s">
        <v>683</v>
      </c>
      <c r="G666" s="158">
        <v>1</v>
      </c>
      <c r="X666" s="35">
        <f t="shared" si="80"/>
        <v>45639</v>
      </c>
      <c r="Y666" s="35">
        <f t="shared" si="81"/>
        <v>45667</v>
      </c>
    </row>
    <row r="667" spans="1:25" ht="20.149999999999999" customHeight="1">
      <c r="A667" s="10">
        <f>SUBTOTAL(103,$B$4:B667)</f>
        <v>664</v>
      </c>
      <c r="B667" s="111">
        <v>45640</v>
      </c>
      <c r="C667" s="114" t="s">
        <v>5</v>
      </c>
      <c r="D667" s="3" t="str">
        <f>VLOOKUP(C667,'Location Summary'!$C$4:$D$602,2,0)</f>
        <v>DA+3</v>
      </c>
      <c r="E667" s="267" t="s">
        <v>403</v>
      </c>
      <c r="F667" s="268" t="s">
        <v>683</v>
      </c>
      <c r="H667" s="157">
        <v>1</v>
      </c>
      <c r="I667" s="156">
        <v>1</v>
      </c>
      <c r="Q667" s="157">
        <v>1</v>
      </c>
      <c r="R667" s="156">
        <v>1</v>
      </c>
      <c r="X667" s="35">
        <f t="shared" si="80"/>
        <v>45640</v>
      </c>
      <c r="Y667" s="35">
        <f t="shared" si="81"/>
        <v>45668</v>
      </c>
    </row>
    <row r="668" spans="1:25" ht="20.149999999999999" customHeight="1">
      <c r="A668" s="10">
        <f>SUBTOTAL(103,$B$4:B668)</f>
        <v>665</v>
      </c>
      <c r="B668" s="111">
        <v>45640</v>
      </c>
      <c r="C668" s="114" t="s">
        <v>480</v>
      </c>
      <c r="D668" s="3" t="str">
        <f>VLOOKUP(C668,'Location Summary'!$C$4:$D$602,2,0)</f>
        <v>DA+6</v>
      </c>
      <c r="E668" s="267" t="s">
        <v>403</v>
      </c>
      <c r="F668" s="268" t="s">
        <v>683</v>
      </c>
      <c r="H668" s="157">
        <v>1</v>
      </c>
      <c r="X668" s="35">
        <f t="shared" si="80"/>
        <v>45640</v>
      </c>
      <c r="Y668" s="35">
        <f t="shared" si="81"/>
        <v>45668</v>
      </c>
    </row>
    <row r="669" spans="1:25" ht="20.149999999999999" customHeight="1">
      <c r="A669" s="10">
        <f>SUBTOTAL(103,$B$4:B669)</f>
        <v>666</v>
      </c>
      <c r="B669" s="111">
        <v>45640</v>
      </c>
      <c r="C669" s="114" t="s">
        <v>65</v>
      </c>
      <c r="D669" s="3" t="str">
        <f>VLOOKUP(C669,'Location Summary'!$C$4:$D$602,2,0)</f>
        <v>DB1+0</v>
      </c>
      <c r="E669" s="267" t="s">
        <v>403</v>
      </c>
      <c r="F669" s="268" t="s">
        <v>683</v>
      </c>
      <c r="G669" s="158">
        <v>1</v>
      </c>
      <c r="Q669" s="157">
        <v>1</v>
      </c>
      <c r="R669" s="156">
        <v>1</v>
      </c>
      <c r="X669" s="35">
        <f t="shared" si="80"/>
        <v>45640</v>
      </c>
      <c r="Y669" s="35">
        <f t="shared" si="81"/>
        <v>45668</v>
      </c>
    </row>
    <row r="670" spans="1:25" ht="20.149999999999999" customHeight="1">
      <c r="A670" s="10">
        <f>SUBTOTAL(103,$B$4:B670)</f>
        <v>667</v>
      </c>
      <c r="B670" s="111">
        <v>45640</v>
      </c>
      <c r="C670" s="114" t="s">
        <v>13</v>
      </c>
      <c r="D670" s="3" t="str">
        <f>VLOOKUP(C670,'Location Summary'!$C$4:$D$602,2,0)</f>
        <v>DC1+3</v>
      </c>
      <c r="E670" s="267" t="s">
        <v>403</v>
      </c>
      <c r="F670" s="268" t="s">
        <v>683</v>
      </c>
      <c r="K670" s="157">
        <v>1</v>
      </c>
      <c r="P670" s="158">
        <v>1</v>
      </c>
      <c r="X670" s="35">
        <f t="shared" si="80"/>
        <v>45640</v>
      </c>
      <c r="Y670" s="35">
        <f t="shared" si="81"/>
        <v>45668</v>
      </c>
    </row>
    <row r="671" spans="1:25" ht="20.149999999999999" customHeight="1">
      <c r="A671" s="10">
        <f>SUBTOTAL(103,$B$4:B671)</f>
        <v>668</v>
      </c>
      <c r="B671" s="111">
        <v>45640</v>
      </c>
      <c r="C671" s="114" t="s">
        <v>618</v>
      </c>
      <c r="D671" s="3" t="str">
        <f>VLOOKUP(C671,'Location Summary'!$C$4:$D$602,2,0)</f>
        <v>DA-1.5</v>
      </c>
      <c r="E671" s="267" t="s">
        <v>403</v>
      </c>
      <c r="F671" s="268" t="s">
        <v>683</v>
      </c>
      <c r="J671" s="158">
        <v>1</v>
      </c>
      <c r="X671" s="35">
        <f t="shared" si="80"/>
        <v>45640</v>
      </c>
      <c r="Y671" s="35">
        <f t="shared" si="81"/>
        <v>45668</v>
      </c>
    </row>
    <row r="672" spans="1:25" ht="20.149999999999999" customHeight="1">
      <c r="A672" s="10">
        <f>SUBTOTAL(103,$B$4:B672)</f>
        <v>669</v>
      </c>
      <c r="B672" s="111">
        <v>45641</v>
      </c>
      <c r="C672" s="114" t="s">
        <v>632</v>
      </c>
      <c r="D672" s="3" t="str">
        <f>VLOOKUP(C672,'Location Summary'!$C$4:$D$602,2,0)</f>
        <v>DA+3</v>
      </c>
      <c r="E672" s="267" t="s">
        <v>403</v>
      </c>
      <c r="F672" s="268" t="s">
        <v>683</v>
      </c>
      <c r="G672" s="158">
        <v>1</v>
      </c>
      <c r="P672" s="158">
        <v>1</v>
      </c>
      <c r="X672" s="35">
        <f t="shared" si="80"/>
        <v>45641</v>
      </c>
      <c r="Y672" s="35">
        <f t="shared" si="81"/>
        <v>45669</v>
      </c>
    </row>
    <row r="673" spans="1:25" ht="20.149999999999999" customHeight="1">
      <c r="A673" s="10">
        <f>SUBTOTAL(103,$B$4:B673)</f>
        <v>670</v>
      </c>
      <c r="B673" s="111">
        <v>45641</v>
      </c>
      <c r="C673" s="114" t="s">
        <v>65</v>
      </c>
      <c r="D673" s="3" t="str">
        <f>VLOOKUP(C673,'Location Summary'!$C$4:$D$602,2,0)</f>
        <v>DB1+0</v>
      </c>
      <c r="E673" s="267" t="s">
        <v>403</v>
      </c>
      <c r="F673" s="268" t="s">
        <v>683</v>
      </c>
      <c r="H673" s="157">
        <v>1</v>
      </c>
      <c r="I673" s="156">
        <v>1</v>
      </c>
      <c r="X673" s="35">
        <f t="shared" si="80"/>
        <v>45641</v>
      </c>
      <c r="Y673" s="35">
        <f t="shared" si="81"/>
        <v>45669</v>
      </c>
    </row>
    <row r="674" spans="1:25" ht="20.149999999999999" customHeight="1">
      <c r="A674" s="10">
        <f>SUBTOTAL(103,$B$4:B674)</f>
        <v>671</v>
      </c>
      <c r="B674" s="111">
        <v>45641</v>
      </c>
      <c r="C674" s="114" t="s">
        <v>13</v>
      </c>
      <c r="D674" s="3" t="str">
        <f>VLOOKUP(C674,'Location Summary'!$C$4:$D$602,2,0)</f>
        <v>DC1+3</v>
      </c>
      <c r="E674" s="267" t="s">
        <v>403</v>
      </c>
      <c r="F674" s="268" t="s">
        <v>683</v>
      </c>
      <c r="L674" s="156">
        <v>1</v>
      </c>
      <c r="Q674" s="157">
        <v>1</v>
      </c>
      <c r="X674" s="35">
        <f t="shared" si="80"/>
        <v>45641</v>
      </c>
      <c r="Y674" s="35">
        <f t="shared" si="81"/>
        <v>45669</v>
      </c>
    </row>
    <row r="675" spans="1:25" ht="20.149999999999999" customHeight="1">
      <c r="A675" s="10">
        <f>SUBTOTAL(103,$B$4:B675)</f>
        <v>672</v>
      </c>
      <c r="B675" s="111">
        <v>45641</v>
      </c>
      <c r="C675" s="114" t="s">
        <v>73</v>
      </c>
      <c r="D675" s="3" t="str">
        <f>VLOOKUP(C675,'Location Summary'!$C$4:$D$602,2,0)</f>
        <v>DB2+0</v>
      </c>
      <c r="E675" s="267" t="s">
        <v>403</v>
      </c>
      <c r="F675" s="268" t="s">
        <v>683</v>
      </c>
      <c r="G675" s="158">
        <v>1</v>
      </c>
      <c r="X675" s="35">
        <f t="shared" si="80"/>
        <v>45641</v>
      </c>
      <c r="Y675" s="35">
        <f t="shared" si="81"/>
        <v>45669</v>
      </c>
    </row>
    <row r="676" spans="1:25" ht="20.149999999999999" customHeight="1">
      <c r="A676" s="10">
        <f>SUBTOTAL(103,$B$4:B676)</f>
        <v>673</v>
      </c>
      <c r="B676" s="111">
        <v>45641</v>
      </c>
      <c r="C676" s="114" t="s">
        <v>618</v>
      </c>
      <c r="D676" s="3" t="str">
        <f>VLOOKUP(C676,'Location Summary'!$C$4:$D$602,2,0)</f>
        <v>DA-1.5</v>
      </c>
      <c r="E676" s="267" t="s">
        <v>403</v>
      </c>
      <c r="F676" s="268" t="s">
        <v>683</v>
      </c>
      <c r="H676" s="157">
        <v>1</v>
      </c>
      <c r="I676" s="156">
        <v>1</v>
      </c>
      <c r="K676" s="157">
        <v>1</v>
      </c>
      <c r="L676" s="156">
        <v>1</v>
      </c>
      <c r="X676" s="35">
        <f t="shared" si="80"/>
        <v>45641</v>
      </c>
      <c r="Y676" s="35">
        <f t="shared" si="81"/>
        <v>45669</v>
      </c>
    </row>
    <row r="677" spans="1:25" ht="20.149999999999999" customHeight="1">
      <c r="A677" s="10">
        <f>SUBTOTAL(103,$B$4:B677)</f>
        <v>674</v>
      </c>
      <c r="B677" s="111">
        <v>45642</v>
      </c>
      <c r="C677" s="114" t="s">
        <v>632</v>
      </c>
      <c r="D677" s="3" t="str">
        <f>VLOOKUP(C677,'Location Summary'!$C$4:$D$602,2,0)</f>
        <v>DA+3</v>
      </c>
      <c r="E677" s="267" t="s">
        <v>403</v>
      </c>
      <c r="F677" s="268" t="s">
        <v>683</v>
      </c>
      <c r="H677" s="157">
        <v>1</v>
      </c>
      <c r="I677" s="156">
        <v>1</v>
      </c>
      <c r="Q677" s="157">
        <v>1</v>
      </c>
      <c r="R677" s="156">
        <v>1</v>
      </c>
      <c r="X677" s="35">
        <f t="shared" si="80"/>
        <v>45642</v>
      </c>
      <c r="Y677" s="35">
        <f t="shared" si="81"/>
        <v>45670</v>
      </c>
    </row>
    <row r="678" spans="1:25" ht="20.149999999999999" customHeight="1">
      <c r="A678" s="10">
        <f>SUBTOTAL(103,$B$4:B678)</f>
        <v>675</v>
      </c>
      <c r="B678" s="111">
        <v>45642</v>
      </c>
      <c r="C678" s="114" t="s">
        <v>480</v>
      </c>
      <c r="D678" s="3" t="str">
        <f>VLOOKUP(C678,'Location Summary'!$C$4:$D$602,2,0)</f>
        <v>DA+6</v>
      </c>
      <c r="E678" s="267" t="s">
        <v>403</v>
      </c>
      <c r="F678" s="268" t="s">
        <v>683</v>
      </c>
      <c r="J678" s="158">
        <v>1</v>
      </c>
      <c r="X678" s="35">
        <f t="shared" si="80"/>
        <v>45642</v>
      </c>
      <c r="Y678" s="35">
        <f t="shared" si="81"/>
        <v>45670</v>
      </c>
    </row>
    <row r="679" spans="1:25" ht="20.149999999999999" customHeight="1">
      <c r="A679" s="10">
        <f>SUBTOTAL(103,$B$4:B679)</f>
        <v>676</v>
      </c>
      <c r="B679" s="111">
        <v>45642</v>
      </c>
      <c r="C679" s="114" t="s">
        <v>65</v>
      </c>
      <c r="D679" s="3" t="str">
        <f>VLOOKUP(C679,'Location Summary'!$C$4:$D$602,2,0)</f>
        <v>DB1+0</v>
      </c>
      <c r="E679" s="267" t="s">
        <v>403</v>
      </c>
      <c r="F679" s="268" t="s">
        <v>683</v>
      </c>
      <c r="J679" s="158">
        <v>1</v>
      </c>
      <c r="X679" s="35">
        <f t="shared" si="80"/>
        <v>45642</v>
      </c>
      <c r="Y679" s="35">
        <f t="shared" si="81"/>
        <v>45670</v>
      </c>
    </row>
    <row r="680" spans="1:25" ht="20.149999999999999" customHeight="1">
      <c r="A680" s="10">
        <f>SUBTOTAL(103,$B$4:B680)</f>
        <v>677</v>
      </c>
      <c r="B680" s="111">
        <v>45642</v>
      </c>
      <c r="C680" s="114" t="s">
        <v>13</v>
      </c>
      <c r="D680" s="3" t="str">
        <f>VLOOKUP(C680,'Location Summary'!$C$4:$D$602,2,0)</f>
        <v>DC1+3</v>
      </c>
      <c r="E680" s="267" t="s">
        <v>403</v>
      </c>
      <c r="F680" s="268" t="s">
        <v>683</v>
      </c>
      <c r="G680" s="158">
        <v>1</v>
      </c>
      <c r="R680" s="156">
        <v>1</v>
      </c>
      <c r="X680" s="35">
        <f t="shared" si="80"/>
        <v>45642</v>
      </c>
      <c r="Y680" s="35">
        <f t="shared" si="81"/>
        <v>45670</v>
      </c>
    </row>
    <row r="681" spans="1:25" ht="20.149999999999999" customHeight="1">
      <c r="A681" s="10">
        <f>SUBTOTAL(103,$B$4:B681)</f>
        <v>678</v>
      </c>
      <c r="B681" s="111">
        <v>45642</v>
      </c>
      <c r="C681" s="114" t="s">
        <v>73</v>
      </c>
      <c r="D681" s="3" t="str">
        <f>VLOOKUP(C681,'Location Summary'!$C$4:$D$602,2,0)</f>
        <v>DB2+0</v>
      </c>
      <c r="E681" s="267" t="s">
        <v>403</v>
      </c>
      <c r="F681" s="268" t="s">
        <v>683</v>
      </c>
      <c r="H681" s="157">
        <v>1</v>
      </c>
      <c r="X681" s="35">
        <f t="shared" si="80"/>
        <v>45642</v>
      </c>
      <c r="Y681" s="35">
        <f t="shared" si="81"/>
        <v>45670</v>
      </c>
    </row>
    <row r="682" spans="1:25" ht="20.149999999999999" customHeight="1">
      <c r="A682" s="10">
        <f>SUBTOTAL(103,$B$4:B682)</f>
        <v>679</v>
      </c>
      <c r="B682" s="111">
        <v>45643</v>
      </c>
      <c r="C682" s="114" t="s">
        <v>632</v>
      </c>
      <c r="D682" s="3" t="str">
        <f>VLOOKUP(C682,'Location Summary'!$C$4:$D$602,2,0)</f>
        <v>DA+3</v>
      </c>
      <c r="E682" s="267" t="s">
        <v>403</v>
      </c>
      <c r="F682" s="268" t="s">
        <v>683</v>
      </c>
      <c r="J682" s="158">
        <v>1</v>
      </c>
      <c r="M682" s="158">
        <v>1</v>
      </c>
      <c r="X682" s="35">
        <f t="shared" si="80"/>
        <v>45643</v>
      </c>
      <c r="Y682" s="35">
        <f t="shared" si="81"/>
        <v>45671</v>
      </c>
    </row>
    <row r="683" spans="1:25" ht="20.149999999999999" customHeight="1">
      <c r="A683" s="10">
        <f>SUBTOTAL(103,$B$4:B683)</f>
        <v>680</v>
      </c>
      <c r="B683" s="111">
        <v>45643</v>
      </c>
      <c r="C683" s="114" t="s">
        <v>480</v>
      </c>
      <c r="D683" s="3" t="str">
        <f>VLOOKUP(C683,'Location Summary'!$C$4:$D$602,2,0)</f>
        <v>DA+6</v>
      </c>
      <c r="E683" s="267" t="s">
        <v>403</v>
      </c>
      <c r="F683" s="268" t="s">
        <v>683</v>
      </c>
      <c r="I683" s="156">
        <v>1</v>
      </c>
      <c r="K683" s="157">
        <v>1</v>
      </c>
      <c r="L683" s="156">
        <v>1</v>
      </c>
      <c r="X683" s="35">
        <f t="shared" si="80"/>
        <v>45643</v>
      </c>
      <c r="Y683" s="35">
        <f t="shared" si="81"/>
        <v>45671</v>
      </c>
    </row>
    <row r="684" spans="1:25" ht="20.149999999999999" customHeight="1">
      <c r="A684" s="10">
        <f>SUBTOTAL(103,$B$4:B684)</f>
        <v>681</v>
      </c>
      <c r="B684" s="111">
        <v>45643</v>
      </c>
      <c r="C684" s="114" t="s">
        <v>13</v>
      </c>
      <c r="D684" s="3" t="str">
        <f>VLOOKUP(C684,'Location Summary'!$C$4:$D$602,2,0)</f>
        <v>DC1+3</v>
      </c>
      <c r="E684" s="267" t="s">
        <v>403</v>
      </c>
      <c r="F684" s="268" t="s">
        <v>683</v>
      </c>
      <c r="H684" s="157">
        <v>1</v>
      </c>
      <c r="X684" s="35">
        <f t="shared" si="80"/>
        <v>45643</v>
      </c>
      <c r="Y684" s="35">
        <f t="shared" si="81"/>
        <v>45671</v>
      </c>
    </row>
    <row r="685" spans="1:25" ht="20.149999999999999" customHeight="1">
      <c r="A685" s="10">
        <f>SUBTOTAL(103,$B$4:B685)</f>
        <v>682</v>
      </c>
      <c r="B685" s="111">
        <v>45643</v>
      </c>
      <c r="C685" s="114" t="s">
        <v>73</v>
      </c>
      <c r="D685" s="3" t="str">
        <f>VLOOKUP(C685,'Location Summary'!$C$4:$D$602,2,0)</f>
        <v>DB2+0</v>
      </c>
      <c r="E685" s="267" t="s">
        <v>403</v>
      </c>
      <c r="F685" s="268" t="s">
        <v>683</v>
      </c>
      <c r="I685" s="156">
        <v>1</v>
      </c>
      <c r="J685" s="158">
        <v>1</v>
      </c>
      <c r="M685" s="158">
        <v>1</v>
      </c>
      <c r="X685" s="35">
        <f t="shared" si="80"/>
        <v>45643</v>
      </c>
      <c r="Y685" s="35">
        <f t="shared" si="81"/>
        <v>45671</v>
      </c>
    </row>
    <row r="686" spans="1:25" ht="20.149999999999999" customHeight="1">
      <c r="A686" s="10">
        <f>SUBTOTAL(103,$B$4:B686)</f>
        <v>683</v>
      </c>
      <c r="B686" s="111">
        <v>45644</v>
      </c>
      <c r="C686" s="114" t="s">
        <v>632</v>
      </c>
      <c r="D686" s="3" t="str">
        <f>VLOOKUP(C686,'Location Summary'!$C$4:$D$602,2,0)</f>
        <v>DA+3</v>
      </c>
      <c r="E686" s="267" t="s">
        <v>403</v>
      </c>
      <c r="F686" s="268" t="s">
        <v>683</v>
      </c>
      <c r="K686" s="157">
        <v>1</v>
      </c>
      <c r="N686" s="157">
        <v>1</v>
      </c>
      <c r="X686" s="35">
        <f t="shared" si="80"/>
        <v>45644</v>
      </c>
      <c r="Y686" s="35">
        <f t="shared" si="81"/>
        <v>45672</v>
      </c>
    </row>
    <row r="687" spans="1:25" ht="20.149999999999999" customHeight="1">
      <c r="A687" s="10">
        <f>SUBTOTAL(103,$B$4:B687)</f>
        <v>684</v>
      </c>
      <c r="B687" s="111">
        <v>45644</v>
      </c>
      <c r="C687" s="114" t="s">
        <v>65</v>
      </c>
      <c r="D687" s="3" t="str">
        <f>VLOOKUP(C687,'Location Summary'!$C$4:$D$602,2,0)</f>
        <v>DB1+0</v>
      </c>
      <c r="E687" s="267" t="s">
        <v>403</v>
      </c>
      <c r="F687" s="268" t="s">
        <v>683</v>
      </c>
      <c r="K687" s="157">
        <v>1</v>
      </c>
      <c r="L687" s="156">
        <v>1</v>
      </c>
      <c r="X687" s="35">
        <f t="shared" si="80"/>
        <v>45644</v>
      </c>
      <c r="Y687" s="35">
        <f t="shared" si="81"/>
        <v>45672</v>
      </c>
    </row>
    <row r="688" spans="1:25" ht="20.149999999999999" customHeight="1">
      <c r="A688" s="10">
        <f>SUBTOTAL(103,$B$4:B688)</f>
        <v>685</v>
      </c>
      <c r="B688" s="111">
        <v>45644</v>
      </c>
      <c r="C688" s="114" t="s">
        <v>13</v>
      </c>
      <c r="D688" s="3" t="str">
        <f>VLOOKUP(C688,'Location Summary'!$C$4:$D$602,2,0)</f>
        <v>DC1+3</v>
      </c>
      <c r="E688" s="267" t="s">
        <v>403</v>
      </c>
      <c r="F688" s="268" t="s">
        <v>683</v>
      </c>
      <c r="I688" s="156">
        <v>1</v>
      </c>
      <c r="M688" s="158">
        <v>1</v>
      </c>
      <c r="X688" s="35">
        <f t="shared" si="80"/>
        <v>45644</v>
      </c>
      <c r="Y688" s="35">
        <f t="shared" si="81"/>
        <v>45672</v>
      </c>
    </row>
    <row r="689" spans="1:25" ht="20.149999999999999" customHeight="1">
      <c r="A689" s="10">
        <f>SUBTOTAL(103,$B$4:B689)</f>
        <v>686</v>
      </c>
      <c r="B689" s="111">
        <v>45644</v>
      </c>
      <c r="C689" s="114" t="s">
        <v>73</v>
      </c>
      <c r="D689" s="3" t="str">
        <f>VLOOKUP(C689,'Location Summary'!$C$4:$D$602,2,0)</f>
        <v>DB2+0</v>
      </c>
      <c r="E689" s="267" t="s">
        <v>403</v>
      </c>
      <c r="F689" s="268" t="s">
        <v>683</v>
      </c>
      <c r="K689" s="157">
        <v>1</v>
      </c>
      <c r="L689" s="156">
        <v>1</v>
      </c>
      <c r="P689" s="158">
        <v>1</v>
      </c>
      <c r="X689" s="35">
        <f t="shared" si="80"/>
        <v>45644</v>
      </c>
      <c r="Y689" s="35">
        <f t="shared" si="81"/>
        <v>45672</v>
      </c>
    </row>
    <row r="690" spans="1:25" ht="20.149999999999999" customHeight="1">
      <c r="A690" s="10">
        <f>SUBTOTAL(103,$B$4:B690)</f>
        <v>687</v>
      </c>
      <c r="B690" s="111">
        <v>45644</v>
      </c>
      <c r="C690" s="114" t="s">
        <v>619</v>
      </c>
      <c r="D690" s="3" t="str">
        <f>VLOOKUP(C690,'Location Summary'!$C$4:$D$602,2,0)</f>
        <v>DA+3</v>
      </c>
      <c r="E690" s="267" t="s">
        <v>403</v>
      </c>
      <c r="F690" s="268" t="s">
        <v>683</v>
      </c>
      <c r="G690" s="158">
        <v>1</v>
      </c>
      <c r="P690" s="158">
        <v>1</v>
      </c>
      <c r="X690" s="35">
        <f t="shared" si="80"/>
        <v>45644</v>
      </c>
      <c r="Y690" s="35">
        <f t="shared" si="81"/>
        <v>45672</v>
      </c>
    </row>
    <row r="691" spans="1:25" ht="20.149999999999999" customHeight="1">
      <c r="A691" s="10">
        <f>SUBTOTAL(103,$B$4:B691)</f>
        <v>688</v>
      </c>
      <c r="B691" s="111">
        <v>45645</v>
      </c>
      <c r="C691" s="114" t="s">
        <v>632</v>
      </c>
      <c r="D691" s="3" t="str">
        <f>VLOOKUP(C691,'Location Summary'!$C$4:$D$602,2,0)</f>
        <v>DA+3</v>
      </c>
      <c r="E691" s="267" t="s">
        <v>403</v>
      </c>
      <c r="F691" s="268" t="s">
        <v>683</v>
      </c>
      <c r="L691" s="156">
        <v>1</v>
      </c>
      <c r="O691" s="156">
        <v>1</v>
      </c>
      <c r="X691" s="35">
        <f t="shared" si="80"/>
        <v>45645</v>
      </c>
      <c r="Y691" s="35">
        <f t="shared" si="81"/>
        <v>45673</v>
      </c>
    </row>
    <row r="692" spans="1:25" ht="20.149999999999999" customHeight="1">
      <c r="A692" s="10">
        <f>SUBTOTAL(103,$B$4:B692)</f>
        <v>689</v>
      </c>
      <c r="B692" s="111">
        <v>45645</v>
      </c>
      <c r="C692" s="114" t="s">
        <v>435</v>
      </c>
      <c r="D692" s="3" t="str">
        <f>VLOOKUP(C692,'Location Summary'!$C$4:$D$602,2,0)</f>
        <v>DA+9</v>
      </c>
      <c r="E692" s="267" t="s">
        <v>403</v>
      </c>
      <c r="F692" s="268" t="s">
        <v>683</v>
      </c>
      <c r="G692" s="158">
        <v>1</v>
      </c>
      <c r="M692" s="158">
        <v>1</v>
      </c>
      <c r="X692" s="35">
        <f t="shared" si="80"/>
        <v>45645</v>
      </c>
      <c r="Y692" s="35">
        <f t="shared" si="81"/>
        <v>45673</v>
      </c>
    </row>
    <row r="693" spans="1:25" ht="20.149999999999999" customHeight="1">
      <c r="A693" s="10">
        <f>SUBTOTAL(103,$B$4:B693)</f>
        <v>690</v>
      </c>
      <c r="B693" s="111">
        <v>45645</v>
      </c>
      <c r="C693" s="114" t="s">
        <v>13</v>
      </c>
      <c r="D693" s="3" t="str">
        <f>VLOOKUP(C693,'Location Summary'!$C$4:$D$602,2,0)</f>
        <v>DC1+3</v>
      </c>
      <c r="E693" s="267" t="s">
        <v>403</v>
      </c>
      <c r="F693" s="268" t="s">
        <v>683</v>
      </c>
      <c r="N693" s="157">
        <v>1</v>
      </c>
      <c r="O693" s="156">
        <v>1</v>
      </c>
      <c r="X693" s="35">
        <f t="shared" si="80"/>
        <v>45645</v>
      </c>
      <c r="Y693" s="35">
        <f t="shared" si="81"/>
        <v>45673</v>
      </c>
    </row>
    <row r="694" spans="1:25" ht="20.149999999999999" customHeight="1">
      <c r="A694" s="10">
        <f>SUBTOTAL(103,$B$4:B694)</f>
        <v>691</v>
      </c>
      <c r="B694" s="111">
        <v>45645</v>
      </c>
      <c r="C694" s="114" t="s">
        <v>73</v>
      </c>
      <c r="D694" s="3" t="str">
        <f>VLOOKUP(C694,'Location Summary'!$C$4:$D$602,2,0)</f>
        <v>DB2+0</v>
      </c>
      <c r="E694" s="267" t="s">
        <v>403</v>
      </c>
      <c r="F694" s="268" t="s">
        <v>683</v>
      </c>
      <c r="N694" s="157">
        <v>1</v>
      </c>
      <c r="O694" s="156">
        <v>1</v>
      </c>
      <c r="X694" s="35">
        <f t="shared" si="80"/>
        <v>45645</v>
      </c>
      <c r="Y694" s="35">
        <f t="shared" si="81"/>
        <v>45673</v>
      </c>
    </row>
    <row r="695" spans="1:25" ht="20.149999999999999" customHeight="1">
      <c r="A695" s="10">
        <f>SUBTOTAL(103,$B$4:B695)</f>
        <v>692</v>
      </c>
      <c r="B695" s="111">
        <v>45645</v>
      </c>
      <c r="C695" s="114" t="s">
        <v>619</v>
      </c>
      <c r="D695" s="3" t="str">
        <f>VLOOKUP(C695,'Location Summary'!$C$4:$D$602,2,0)</f>
        <v>DA+3</v>
      </c>
      <c r="E695" s="267" t="s">
        <v>403</v>
      </c>
      <c r="F695" s="268" t="s">
        <v>683</v>
      </c>
      <c r="H695" s="157">
        <v>1</v>
      </c>
      <c r="J695" s="158">
        <v>1</v>
      </c>
      <c r="X695" s="35">
        <f t="shared" si="80"/>
        <v>45645</v>
      </c>
      <c r="Y695" s="35">
        <f t="shared" si="81"/>
        <v>45673</v>
      </c>
    </row>
    <row r="696" spans="1:25" ht="20.149999999999999" customHeight="1">
      <c r="A696" s="10">
        <f>SUBTOTAL(103,$B$4:B696)</f>
        <v>693</v>
      </c>
      <c r="B696" s="111">
        <v>45645</v>
      </c>
      <c r="C696" s="114" t="s">
        <v>631</v>
      </c>
      <c r="D696" s="3" t="str">
        <f>VLOOKUP(C696,'Location Summary'!$C$4:$D$602,2,0)</f>
        <v>DA+9</v>
      </c>
      <c r="E696" s="267" t="s">
        <v>403</v>
      </c>
      <c r="F696" s="268" t="s">
        <v>683</v>
      </c>
      <c r="G696" s="158">
        <v>1</v>
      </c>
      <c r="J696" s="158">
        <v>1</v>
      </c>
      <c r="X696" s="35">
        <f t="shared" si="80"/>
        <v>45645</v>
      </c>
      <c r="Y696" s="35">
        <f t="shared" si="81"/>
        <v>45673</v>
      </c>
    </row>
    <row r="697" spans="1:25" ht="20.149999999999999" customHeight="1">
      <c r="A697" s="10">
        <f>SUBTOTAL(103,$B$4:B697)</f>
        <v>694</v>
      </c>
      <c r="B697" s="111">
        <v>45646</v>
      </c>
      <c r="C697" s="114" t="s">
        <v>631</v>
      </c>
      <c r="D697" s="3" t="str">
        <f>VLOOKUP(C697,'Location Summary'!$C$4:$D$602,2,0)</f>
        <v>DA+9</v>
      </c>
      <c r="E697" s="267" t="s">
        <v>403</v>
      </c>
      <c r="F697" s="268" t="s">
        <v>683</v>
      </c>
      <c r="H697" s="157">
        <v>1</v>
      </c>
      <c r="K697" s="157">
        <v>1</v>
      </c>
      <c r="M697" s="158">
        <v>1</v>
      </c>
      <c r="P697" s="158">
        <v>1</v>
      </c>
      <c r="X697" s="35">
        <f t="shared" si="80"/>
        <v>45646</v>
      </c>
      <c r="Y697" s="35">
        <f t="shared" si="81"/>
        <v>45674</v>
      </c>
    </row>
    <row r="698" spans="1:25" ht="20.149999999999999" customHeight="1">
      <c r="A698" s="10">
        <f>SUBTOTAL(103,$B$4:B698)</f>
        <v>695</v>
      </c>
      <c r="B698" s="111">
        <v>45646</v>
      </c>
      <c r="C698" s="114" t="s">
        <v>73</v>
      </c>
      <c r="D698" s="3" t="str">
        <f>VLOOKUP(C698,'Location Summary'!$C$4:$D$602,2,0)</f>
        <v>DB2+0</v>
      </c>
      <c r="E698" s="267" t="s">
        <v>403</v>
      </c>
      <c r="F698" s="268" t="s">
        <v>683</v>
      </c>
      <c r="Q698" s="157">
        <v>1</v>
      </c>
      <c r="X698" s="35">
        <f t="shared" si="80"/>
        <v>45646</v>
      </c>
      <c r="Y698" s="35">
        <f t="shared" si="81"/>
        <v>45674</v>
      </c>
    </row>
    <row r="699" spans="1:25" ht="20.149999999999999" customHeight="1">
      <c r="A699" s="10">
        <f>SUBTOTAL(103,$B$4:B699)</f>
        <v>696</v>
      </c>
      <c r="B699" s="111">
        <v>45646</v>
      </c>
      <c r="C699" s="114" t="s">
        <v>619</v>
      </c>
      <c r="D699" s="3" t="str">
        <f>VLOOKUP(C699,'Location Summary'!$C$4:$D$602,2,0)</f>
        <v>DA+3</v>
      </c>
      <c r="E699" s="267" t="s">
        <v>403</v>
      </c>
      <c r="F699" s="268" t="s">
        <v>683</v>
      </c>
      <c r="I699" s="156">
        <v>1</v>
      </c>
      <c r="M699" s="158">
        <v>1</v>
      </c>
      <c r="Q699" s="157">
        <v>1</v>
      </c>
      <c r="R699" s="156">
        <v>1</v>
      </c>
      <c r="X699" s="35">
        <f t="shared" si="80"/>
        <v>45646</v>
      </c>
      <c r="Y699" s="35">
        <f t="shared" si="81"/>
        <v>45674</v>
      </c>
    </row>
    <row r="700" spans="1:25" ht="20.149999999999999" customHeight="1">
      <c r="A700" s="10">
        <f>SUBTOTAL(103,$B$4:B700)</f>
        <v>697</v>
      </c>
      <c r="B700" s="111">
        <v>45647</v>
      </c>
      <c r="C700" s="114" t="s">
        <v>631</v>
      </c>
      <c r="D700" s="3" t="str">
        <f>VLOOKUP(C700,'Location Summary'!$C$4:$D$602,2,0)</f>
        <v>DA+9</v>
      </c>
      <c r="E700" s="267" t="s">
        <v>403</v>
      </c>
      <c r="F700" s="268" t="s">
        <v>683</v>
      </c>
      <c r="I700" s="156">
        <v>1</v>
      </c>
      <c r="L700" s="156">
        <v>1</v>
      </c>
      <c r="N700" s="157">
        <v>1</v>
      </c>
      <c r="O700" s="156">
        <v>1</v>
      </c>
      <c r="Q700" s="157">
        <v>1</v>
      </c>
      <c r="R700" s="156">
        <v>1</v>
      </c>
      <c r="X700" s="35">
        <f t="shared" si="80"/>
        <v>45647</v>
      </c>
      <c r="Y700" s="35">
        <f t="shared" si="81"/>
        <v>45675</v>
      </c>
    </row>
    <row r="701" spans="1:25" ht="20.149999999999999" customHeight="1">
      <c r="A701" s="10">
        <f>SUBTOTAL(103,$B$4:B701)</f>
        <v>698</v>
      </c>
      <c r="B701" s="111">
        <v>45647</v>
      </c>
      <c r="C701" s="114" t="s">
        <v>481</v>
      </c>
      <c r="D701" s="3" t="str">
        <f>VLOOKUP(C701,'Location Summary'!$C$4:$D$602,2,0)</f>
        <v>DA-1.5</v>
      </c>
      <c r="E701" s="267" t="s">
        <v>403</v>
      </c>
      <c r="F701" s="268" t="s">
        <v>683</v>
      </c>
      <c r="M701" s="158">
        <v>1</v>
      </c>
      <c r="P701" s="158">
        <v>1</v>
      </c>
      <c r="X701" s="35">
        <f t="shared" si="80"/>
        <v>45647</v>
      </c>
      <c r="Y701" s="35">
        <f t="shared" si="81"/>
        <v>45675</v>
      </c>
    </row>
    <row r="702" spans="1:25" ht="20.149999999999999" customHeight="1">
      <c r="A702" s="10">
        <f>SUBTOTAL(103,$B$4:B702)</f>
        <v>699</v>
      </c>
      <c r="B702" s="111">
        <v>45647</v>
      </c>
      <c r="C702" s="114" t="s">
        <v>435</v>
      </c>
      <c r="D702" s="3" t="str">
        <f>VLOOKUP(C702,'Location Summary'!$C$4:$D$602,2,0)</f>
        <v>DA+9</v>
      </c>
      <c r="E702" s="267" t="s">
        <v>403</v>
      </c>
      <c r="F702" s="268" t="s">
        <v>683</v>
      </c>
      <c r="H702" s="157">
        <v>1</v>
      </c>
      <c r="I702" s="156">
        <v>1</v>
      </c>
      <c r="J702" s="158">
        <v>1</v>
      </c>
      <c r="N702" s="157">
        <v>1</v>
      </c>
      <c r="O702" s="156">
        <v>1</v>
      </c>
      <c r="P702" s="158">
        <v>1</v>
      </c>
      <c r="X702" s="35">
        <f t="shared" si="80"/>
        <v>45647</v>
      </c>
      <c r="Y702" s="35">
        <f t="shared" si="81"/>
        <v>45675</v>
      </c>
    </row>
    <row r="703" spans="1:25" ht="20.149999999999999" customHeight="1">
      <c r="A703" s="10">
        <f>SUBTOTAL(103,$B$4:B703)</f>
        <v>700</v>
      </c>
      <c r="B703" s="111">
        <v>45647</v>
      </c>
      <c r="C703" s="114" t="s">
        <v>12</v>
      </c>
      <c r="D703" s="3" t="str">
        <f>VLOOKUP(C703,'Location Summary'!$C$4:$D$602,2,0)</f>
        <v>DC2+0</v>
      </c>
      <c r="E703" s="267" t="s">
        <v>403</v>
      </c>
      <c r="F703" s="268" t="s">
        <v>683</v>
      </c>
      <c r="P703" s="158">
        <v>1</v>
      </c>
      <c r="X703" s="35">
        <f t="shared" si="80"/>
        <v>45647</v>
      </c>
      <c r="Y703" s="35">
        <f t="shared" si="81"/>
        <v>45675</v>
      </c>
    </row>
    <row r="704" spans="1:25" ht="20.149999999999999" customHeight="1">
      <c r="A704" s="10">
        <f>SUBTOTAL(103,$B$4:B704)</f>
        <v>701</v>
      </c>
      <c r="B704" s="111">
        <v>45647</v>
      </c>
      <c r="C704" s="114" t="s">
        <v>73</v>
      </c>
      <c r="D704" s="3" t="str">
        <f>VLOOKUP(C704,'Location Summary'!$C$4:$D$602,2,0)</f>
        <v>DB2+0</v>
      </c>
      <c r="E704" s="267" t="s">
        <v>403</v>
      </c>
      <c r="F704" s="268" t="s">
        <v>683</v>
      </c>
      <c r="R704" s="156">
        <v>1</v>
      </c>
      <c r="X704" s="35">
        <f t="shared" si="80"/>
        <v>45647</v>
      </c>
      <c r="Y704" s="35">
        <f t="shared" si="81"/>
        <v>45675</v>
      </c>
    </row>
    <row r="705" spans="1:25" ht="20.149999999999999" customHeight="1">
      <c r="A705" s="10">
        <f>SUBTOTAL(103,$B$4:B705)</f>
        <v>702</v>
      </c>
      <c r="B705" s="111">
        <v>45647</v>
      </c>
      <c r="C705" s="114" t="s">
        <v>619</v>
      </c>
      <c r="D705" s="3" t="str">
        <f>VLOOKUP(C705,'Location Summary'!$C$4:$D$602,2,0)</f>
        <v>DA+3</v>
      </c>
      <c r="E705" s="267" t="s">
        <v>403</v>
      </c>
      <c r="F705" s="268" t="s">
        <v>683</v>
      </c>
      <c r="K705" s="157">
        <v>1</v>
      </c>
      <c r="L705" s="156">
        <v>1</v>
      </c>
      <c r="N705" s="157">
        <v>1</v>
      </c>
      <c r="O705" s="156">
        <v>1</v>
      </c>
      <c r="X705" s="35">
        <f t="shared" si="80"/>
        <v>45647</v>
      </c>
      <c r="Y705" s="35">
        <f t="shared" si="81"/>
        <v>45675</v>
      </c>
    </row>
    <row r="706" spans="1:25" ht="20.149999999999999" customHeight="1">
      <c r="A706" s="10">
        <f>SUBTOTAL(103,$B$4:B706)</f>
        <v>703</v>
      </c>
      <c r="B706" s="111">
        <v>45647</v>
      </c>
      <c r="C706" s="114" t="s">
        <v>621</v>
      </c>
      <c r="D706" s="3" t="str">
        <f>VLOOKUP(C706,'Location Summary'!$C$4:$D$602,2,0)</f>
        <v>DA+3</v>
      </c>
      <c r="E706" s="267" t="s">
        <v>403</v>
      </c>
      <c r="F706" s="268" t="s">
        <v>683</v>
      </c>
      <c r="J706" s="158">
        <v>1</v>
      </c>
      <c r="M706" s="158">
        <v>1</v>
      </c>
      <c r="X706" s="35">
        <f t="shared" si="80"/>
        <v>45647</v>
      </c>
      <c r="Y706" s="35">
        <f t="shared" si="81"/>
        <v>45675</v>
      </c>
    </row>
    <row r="707" spans="1:25" ht="20.149999999999999" customHeight="1">
      <c r="A707" s="10">
        <f>SUBTOTAL(103,$B$4:B707)</f>
        <v>704</v>
      </c>
      <c r="B707" s="111">
        <v>45648</v>
      </c>
      <c r="C707" s="114" t="s">
        <v>435</v>
      </c>
      <c r="D707" s="3" t="str">
        <f>VLOOKUP(C707,'Location Summary'!$C$4:$D$602,2,0)</f>
        <v>DA+9</v>
      </c>
      <c r="E707" s="267" t="s">
        <v>403</v>
      </c>
      <c r="F707" s="268" t="s">
        <v>683</v>
      </c>
      <c r="K707" s="157">
        <v>1</v>
      </c>
      <c r="L707" s="156">
        <v>1</v>
      </c>
      <c r="Q707" s="157">
        <v>1</v>
      </c>
      <c r="R707" s="156">
        <v>1</v>
      </c>
      <c r="X707" s="35">
        <f t="shared" si="80"/>
        <v>45648</v>
      </c>
      <c r="Y707" s="35">
        <f t="shared" si="81"/>
        <v>45676</v>
      </c>
    </row>
    <row r="708" spans="1:25" ht="20.149999999999999" customHeight="1">
      <c r="A708" s="10">
        <f>SUBTOTAL(103,$B$4:B708)</f>
        <v>705</v>
      </c>
      <c r="B708" s="111">
        <v>45648</v>
      </c>
      <c r="C708" s="114" t="s">
        <v>12</v>
      </c>
      <c r="D708" s="3" t="str">
        <f>VLOOKUP(C708,'Location Summary'!$C$4:$D$602,2,0)</f>
        <v>DC2+0</v>
      </c>
      <c r="E708" s="267" t="s">
        <v>403</v>
      </c>
      <c r="F708" s="268" t="s">
        <v>683</v>
      </c>
      <c r="Q708" s="157">
        <v>1</v>
      </c>
      <c r="X708" s="35">
        <f t="shared" si="80"/>
        <v>45648</v>
      </c>
      <c r="Y708" s="35">
        <f t="shared" si="81"/>
        <v>45676</v>
      </c>
    </row>
    <row r="709" spans="1:25" ht="20.149999999999999" customHeight="1">
      <c r="A709" s="10">
        <f>SUBTOTAL(103,$B$4:B709)</f>
        <v>706</v>
      </c>
      <c r="B709" s="111">
        <v>45648</v>
      </c>
      <c r="C709" s="114" t="s">
        <v>621</v>
      </c>
      <c r="D709" s="3" t="str">
        <f>VLOOKUP(C709,'Location Summary'!$C$4:$D$602,2,0)</f>
        <v>DA+3</v>
      </c>
      <c r="E709" s="267" t="s">
        <v>403</v>
      </c>
      <c r="F709" s="268" t="s">
        <v>683</v>
      </c>
      <c r="G709" s="158">
        <v>1</v>
      </c>
      <c r="K709" s="157">
        <v>1</v>
      </c>
      <c r="N709" s="157">
        <v>1</v>
      </c>
      <c r="P709" s="158">
        <v>1</v>
      </c>
      <c r="X709" s="35">
        <f t="shared" si="80"/>
        <v>45648</v>
      </c>
      <c r="Y709" s="35">
        <f t="shared" si="81"/>
        <v>45676</v>
      </c>
    </row>
    <row r="710" spans="1:25" ht="20.149999999999999" customHeight="1">
      <c r="A710" s="10">
        <f>SUBTOTAL(103,$B$4:B710)</f>
        <v>707</v>
      </c>
      <c r="B710" s="111">
        <v>45649</v>
      </c>
      <c r="C710" s="114" t="s">
        <v>633</v>
      </c>
      <c r="D710" s="3" t="str">
        <f>VLOOKUP(C710,'Location Summary'!$C$4:$D$602,2,0)</f>
        <v>DA-1.5</v>
      </c>
      <c r="E710" s="267" t="s">
        <v>403</v>
      </c>
      <c r="F710" s="268" t="s">
        <v>683</v>
      </c>
      <c r="J710" s="158">
        <v>1</v>
      </c>
      <c r="P710" s="158">
        <v>1</v>
      </c>
      <c r="X710" s="35">
        <f t="shared" si="80"/>
        <v>45649</v>
      </c>
      <c r="Y710" s="35">
        <f t="shared" si="81"/>
        <v>45677</v>
      </c>
    </row>
    <row r="711" spans="1:25" ht="20.149999999999999" customHeight="1">
      <c r="A711" s="10">
        <f>SUBTOTAL(103,$B$4:B711)</f>
        <v>708</v>
      </c>
      <c r="B711" s="111">
        <v>45649</v>
      </c>
      <c r="C711" s="114" t="s">
        <v>481</v>
      </c>
      <c r="D711" s="3" t="str">
        <f>VLOOKUP(C711,'Location Summary'!$C$4:$D$602,2,0)</f>
        <v>DA-1.5</v>
      </c>
      <c r="E711" s="267" t="s">
        <v>403</v>
      </c>
      <c r="F711" s="268" t="s">
        <v>683</v>
      </c>
      <c r="N711" s="157">
        <v>1</v>
      </c>
      <c r="Q711" s="157">
        <v>1</v>
      </c>
      <c r="X711" s="35">
        <f t="shared" si="80"/>
        <v>45649</v>
      </c>
      <c r="Y711" s="35">
        <f t="shared" si="81"/>
        <v>45677</v>
      </c>
    </row>
    <row r="712" spans="1:25" ht="20.149999999999999" customHeight="1">
      <c r="A712" s="10">
        <f>SUBTOTAL(103,$B$4:B712)</f>
        <v>709</v>
      </c>
      <c r="B712" s="111">
        <v>45649</v>
      </c>
      <c r="C712" s="114" t="s">
        <v>12</v>
      </c>
      <c r="D712" s="3" t="str">
        <f>VLOOKUP(C712,'Location Summary'!$C$4:$D$602,2,0)</f>
        <v>DC2+0</v>
      </c>
      <c r="E712" s="267" t="s">
        <v>403</v>
      </c>
      <c r="F712" s="268" t="s">
        <v>683</v>
      </c>
      <c r="M712" s="158">
        <v>1</v>
      </c>
      <c r="R712" s="156">
        <v>1</v>
      </c>
      <c r="X712" s="35">
        <f t="shared" si="80"/>
        <v>45649</v>
      </c>
      <c r="Y712" s="35">
        <f t="shared" si="81"/>
        <v>45677</v>
      </c>
    </row>
    <row r="713" spans="1:25" ht="20.149999999999999" customHeight="1">
      <c r="A713" s="10">
        <f>SUBTOTAL(103,$B$4:B713)</f>
        <v>710</v>
      </c>
      <c r="B713" s="111">
        <v>45649</v>
      </c>
      <c r="C713" s="114" t="s">
        <v>392</v>
      </c>
      <c r="D713" s="3" t="str">
        <f>VLOOKUP(C713,'Location Summary'!$C$4:$D$602,2,0)</f>
        <v>DA+9</v>
      </c>
      <c r="E713" s="267" t="s">
        <v>403</v>
      </c>
      <c r="F713" s="268" t="s">
        <v>683</v>
      </c>
      <c r="G713" s="158">
        <v>1</v>
      </c>
      <c r="X713" s="35">
        <f t="shared" si="80"/>
        <v>45649</v>
      </c>
      <c r="Y713" s="35">
        <f t="shared" si="81"/>
        <v>45677</v>
      </c>
    </row>
    <row r="714" spans="1:25" ht="20.149999999999999" customHeight="1">
      <c r="A714" s="10">
        <f>SUBTOTAL(103,$B$4:B714)</f>
        <v>711</v>
      </c>
      <c r="B714" s="111">
        <v>45649</v>
      </c>
      <c r="C714" s="114" t="s">
        <v>76</v>
      </c>
      <c r="D714" s="3" t="str">
        <f>VLOOKUP(C714,'Location Summary'!$C$4:$D$602,2,0)</f>
        <v>DA+9</v>
      </c>
      <c r="E714" s="267" t="s">
        <v>403</v>
      </c>
      <c r="F714" s="268" t="s">
        <v>683</v>
      </c>
      <c r="M714" s="158">
        <v>1</v>
      </c>
      <c r="P714" s="158">
        <v>1</v>
      </c>
      <c r="X714" s="35">
        <f t="shared" si="80"/>
        <v>45649</v>
      </c>
      <c r="Y714" s="35">
        <f t="shared" si="81"/>
        <v>45677</v>
      </c>
    </row>
    <row r="715" spans="1:25" ht="20.149999999999999" customHeight="1">
      <c r="A715" s="10">
        <f>SUBTOTAL(103,$B$4:B715)</f>
        <v>712</v>
      </c>
      <c r="B715" s="111">
        <v>45649</v>
      </c>
      <c r="C715" s="114" t="s">
        <v>621</v>
      </c>
      <c r="D715" s="3" t="str">
        <f>VLOOKUP(C715,'Location Summary'!$C$4:$D$602,2,0)</f>
        <v>DA+3</v>
      </c>
      <c r="E715" s="267" t="s">
        <v>403</v>
      </c>
      <c r="F715" s="268" t="s">
        <v>683</v>
      </c>
      <c r="H715" s="157">
        <v>1</v>
      </c>
      <c r="I715" s="156">
        <v>1</v>
      </c>
      <c r="L715" s="156">
        <v>1</v>
      </c>
      <c r="O715" s="156">
        <v>1</v>
      </c>
      <c r="Q715" s="157">
        <v>1</v>
      </c>
      <c r="R715" s="156">
        <v>1</v>
      </c>
      <c r="X715" s="35">
        <f t="shared" si="80"/>
        <v>45649</v>
      </c>
      <c r="Y715" s="35">
        <f t="shared" si="81"/>
        <v>45677</v>
      </c>
    </row>
    <row r="716" spans="1:25" ht="20.149999999999999" customHeight="1">
      <c r="A716" s="10">
        <f>SUBTOTAL(103,$B$4:B716)</f>
        <v>713</v>
      </c>
      <c r="B716" s="111">
        <v>45650</v>
      </c>
      <c r="C716" s="114" t="s">
        <v>633</v>
      </c>
      <c r="D716" s="3" t="str">
        <f>VLOOKUP(C716,'Location Summary'!$C$4:$D$602,2,0)</f>
        <v>DA-1.5</v>
      </c>
      <c r="E716" s="267" t="s">
        <v>403</v>
      </c>
      <c r="F716" s="268" t="s">
        <v>683</v>
      </c>
      <c r="G716" s="158">
        <v>1</v>
      </c>
      <c r="K716" s="157">
        <v>1</v>
      </c>
      <c r="L716" s="156">
        <v>1</v>
      </c>
      <c r="M716" s="158">
        <v>1</v>
      </c>
      <c r="Q716" s="157">
        <v>1</v>
      </c>
      <c r="R716" s="156">
        <v>1</v>
      </c>
      <c r="X716" s="35">
        <f t="shared" si="80"/>
        <v>45650</v>
      </c>
      <c r="Y716" s="35">
        <f t="shared" si="81"/>
        <v>45678</v>
      </c>
    </row>
    <row r="717" spans="1:25" ht="20.149999999999999" customHeight="1">
      <c r="A717" s="10">
        <f>SUBTOTAL(103,$B$4:B717)</f>
        <v>714</v>
      </c>
      <c r="B717" s="111">
        <v>45650</v>
      </c>
      <c r="C717" s="114" t="s">
        <v>12</v>
      </c>
      <c r="D717" s="3" t="str">
        <f>VLOOKUP(C717,'Location Summary'!$C$4:$D$602,2,0)</f>
        <v>DC2+0</v>
      </c>
      <c r="E717" s="267" t="s">
        <v>403</v>
      </c>
      <c r="F717" s="268" t="s">
        <v>683</v>
      </c>
      <c r="N717" s="157">
        <v>1</v>
      </c>
      <c r="X717" s="35">
        <f t="shared" si="80"/>
        <v>45650</v>
      </c>
      <c r="Y717" s="35">
        <f t="shared" si="81"/>
        <v>45678</v>
      </c>
    </row>
    <row r="718" spans="1:25" ht="20.149999999999999" customHeight="1">
      <c r="A718" s="10">
        <f>SUBTOTAL(103,$B$4:B718)</f>
        <v>715</v>
      </c>
      <c r="B718" s="111">
        <v>45650</v>
      </c>
      <c r="C718" s="114" t="s">
        <v>620</v>
      </c>
      <c r="D718" s="3" t="str">
        <f>VLOOKUP(C718,'Location Summary'!$C$4:$D$602,2,0)</f>
        <v>DA+1.5</v>
      </c>
      <c r="E718" s="267" t="s">
        <v>403</v>
      </c>
      <c r="F718" s="268" t="s">
        <v>683</v>
      </c>
      <c r="G718" s="158">
        <v>1</v>
      </c>
      <c r="P718" s="158">
        <v>1</v>
      </c>
      <c r="X718" s="35">
        <f t="shared" si="80"/>
        <v>45650</v>
      </c>
      <c r="Y718" s="35">
        <f t="shared" si="81"/>
        <v>45678</v>
      </c>
    </row>
    <row r="719" spans="1:25" ht="20.149999999999999" customHeight="1">
      <c r="A719" s="10">
        <f>SUBTOTAL(103,$B$4:B719)</f>
        <v>716</v>
      </c>
      <c r="B719" s="111">
        <v>45650</v>
      </c>
      <c r="C719" s="114" t="s">
        <v>76</v>
      </c>
      <c r="D719" s="3" t="str">
        <f>VLOOKUP(C719,'Location Summary'!$C$4:$D$602,2,0)</f>
        <v>DA+9</v>
      </c>
      <c r="E719" s="267" t="s">
        <v>403</v>
      </c>
      <c r="F719" s="268" t="s">
        <v>683</v>
      </c>
      <c r="J719" s="158">
        <v>1</v>
      </c>
      <c r="N719" s="157">
        <v>1</v>
      </c>
      <c r="O719" s="156">
        <v>1</v>
      </c>
      <c r="Q719" s="157">
        <v>1</v>
      </c>
      <c r="X719" s="35">
        <f t="shared" si="80"/>
        <v>45650</v>
      </c>
      <c r="Y719" s="35">
        <f t="shared" si="81"/>
        <v>45678</v>
      </c>
    </row>
    <row r="720" spans="1:25" ht="20.149999999999999" customHeight="1">
      <c r="A720" s="10">
        <f>SUBTOTAL(103,$B$4:B720)</f>
        <v>717</v>
      </c>
      <c r="B720" s="111">
        <v>45651</v>
      </c>
      <c r="C720" s="114" t="s">
        <v>633</v>
      </c>
      <c r="D720" s="3" t="str">
        <f>VLOOKUP(C720,'Location Summary'!$C$4:$D$602,2,0)</f>
        <v>DA-1.5</v>
      </c>
      <c r="E720" s="267" t="s">
        <v>403</v>
      </c>
      <c r="F720" s="268" t="s">
        <v>683</v>
      </c>
      <c r="H720" s="157">
        <v>1</v>
      </c>
      <c r="I720" s="156">
        <v>1</v>
      </c>
      <c r="N720" s="157">
        <v>1</v>
      </c>
      <c r="O720" s="156">
        <v>1</v>
      </c>
      <c r="X720" s="35">
        <f t="shared" si="80"/>
        <v>45651</v>
      </c>
      <c r="Y720" s="35">
        <f t="shared" si="81"/>
        <v>45679</v>
      </c>
    </row>
    <row r="721" spans="1:25" ht="20.149999999999999" customHeight="1">
      <c r="A721" s="10">
        <f>SUBTOTAL(103,$B$4:B721)</f>
        <v>718</v>
      </c>
      <c r="B721" s="111">
        <v>45651</v>
      </c>
      <c r="C721" s="114" t="s">
        <v>437</v>
      </c>
      <c r="D721" s="3" t="str">
        <f>VLOOKUP(C721,'Location Summary'!$C$4:$D$602,2,0)</f>
        <v>DA+9</v>
      </c>
      <c r="E721" s="267" t="s">
        <v>403</v>
      </c>
      <c r="F721" s="268" t="s">
        <v>683</v>
      </c>
      <c r="G721" s="158">
        <v>1</v>
      </c>
      <c r="P721" s="158">
        <v>1</v>
      </c>
      <c r="X721" s="35">
        <f t="shared" si="80"/>
        <v>45651</v>
      </c>
      <c r="Y721" s="35">
        <f t="shared" si="81"/>
        <v>45679</v>
      </c>
    </row>
    <row r="722" spans="1:25" ht="20.149999999999999" customHeight="1">
      <c r="A722" s="10">
        <f>SUBTOTAL(103,$B$4:B722)</f>
        <v>719</v>
      </c>
      <c r="B722" s="111">
        <v>45651</v>
      </c>
      <c r="C722" s="114" t="s">
        <v>12</v>
      </c>
      <c r="D722" s="3" t="str">
        <f>VLOOKUP(C722,'Location Summary'!$C$4:$D$602,2,0)</f>
        <v>DC2+0</v>
      </c>
      <c r="E722" s="267" t="s">
        <v>403</v>
      </c>
      <c r="F722" s="268" t="s">
        <v>683</v>
      </c>
      <c r="J722" s="158">
        <v>1</v>
      </c>
      <c r="O722" s="156">
        <v>1</v>
      </c>
      <c r="X722" s="35">
        <f t="shared" si="80"/>
        <v>45651</v>
      </c>
      <c r="Y722" s="35">
        <f t="shared" si="81"/>
        <v>45679</v>
      </c>
    </row>
    <row r="723" spans="1:25" ht="20.149999999999999" customHeight="1">
      <c r="A723" s="10">
        <f>SUBTOTAL(103,$B$4:B723)</f>
        <v>720</v>
      </c>
      <c r="B723" s="111">
        <v>45651</v>
      </c>
      <c r="C723" s="114" t="s">
        <v>392</v>
      </c>
      <c r="D723" s="3" t="str">
        <f>VLOOKUP(C723,'Location Summary'!$C$4:$D$602,2,0)</f>
        <v>DA+9</v>
      </c>
      <c r="E723" s="267" t="s">
        <v>403</v>
      </c>
      <c r="F723" s="268" t="s">
        <v>683</v>
      </c>
      <c r="M723" s="158">
        <v>1</v>
      </c>
      <c r="X723" s="35">
        <f t="shared" si="80"/>
        <v>45651</v>
      </c>
      <c r="Y723" s="35">
        <f t="shared" si="81"/>
        <v>45679</v>
      </c>
    </row>
    <row r="724" spans="1:25" ht="20.149999999999999" customHeight="1">
      <c r="A724" s="10">
        <f>SUBTOTAL(103,$B$4:B724)</f>
        <v>721</v>
      </c>
      <c r="B724" s="111">
        <v>45651</v>
      </c>
      <c r="C724" s="114" t="s">
        <v>620</v>
      </c>
      <c r="D724" s="3" t="str">
        <f>VLOOKUP(C724,'Location Summary'!$C$4:$D$602,2,0)</f>
        <v>DA+1.5</v>
      </c>
      <c r="E724" s="267" t="s">
        <v>403</v>
      </c>
      <c r="F724" s="268" t="s">
        <v>683</v>
      </c>
      <c r="H724" s="157">
        <v>1</v>
      </c>
      <c r="I724" s="156">
        <v>1</v>
      </c>
      <c r="Q724" s="157">
        <v>1</v>
      </c>
      <c r="R724" s="156">
        <v>1</v>
      </c>
      <c r="X724" s="35">
        <f t="shared" si="80"/>
        <v>45651</v>
      </c>
      <c r="Y724" s="35">
        <f t="shared" si="81"/>
        <v>45679</v>
      </c>
    </row>
    <row r="725" spans="1:25" ht="20.149999999999999" customHeight="1">
      <c r="A725" s="10">
        <f>SUBTOTAL(103,$B$4:B725)</f>
        <v>722</v>
      </c>
      <c r="B725" s="111">
        <v>45651</v>
      </c>
      <c r="C725" s="114" t="s">
        <v>76</v>
      </c>
      <c r="D725" s="3" t="str">
        <f>VLOOKUP(C725,'Location Summary'!$C$4:$D$602,2,0)</f>
        <v>DA+9</v>
      </c>
      <c r="E725" s="267" t="s">
        <v>403</v>
      </c>
      <c r="F725" s="268" t="s">
        <v>683</v>
      </c>
      <c r="K725" s="157">
        <v>1</v>
      </c>
      <c r="L725" s="156">
        <v>1</v>
      </c>
      <c r="R725" s="156">
        <v>1</v>
      </c>
      <c r="X725" s="35">
        <f t="shared" si="80"/>
        <v>45651</v>
      </c>
      <c r="Y725" s="35">
        <f t="shared" si="81"/>
        <v>45679</v>
      </c>
    </row>
    <row r="726" spans="1:25" ht="20.149999999999999" customHeight="1">
      <c r="A726" s="10">
        <f>SUBTOTAL(103,$B$4:B726)</f>
        <v>723</v>
      </c>
      <c r="B726" s="111">
        <v>45652</v>
      </c>
      <c r="C726" s="114" t="s">
        <v>630</v>
      </c>
      <c r="D726" s="3" t="str">
        <f>VLOOKUP(C726,'Location Summary'!$C$4:$D$602,2,0)</f>
        <v>DA+9</v>
      </c>
      <c r="E726" s="267" t="s">
        <v>403</v>
      </c>
      <c r="F726" s="268" t="s">
        <v>683</v>
      </c>
      <c r="G726" s="158">
        <v>1</v>
      </c>
      <c r="J726" s="158">
        <v>1</v>
      </c>
      <c r="X726" s="35">
        <f t="shared" si="80"/>
        <v>45652</v>
      </c>
      <c r="Y726" s="35">
        <f t="shared" si="81"/>
        <v>45680</v>
      </c>
    </row>
    <row r="727" spans="1:25" ht="20.149999999999999" customHeight="1">
      <c r="A727" s="10">
        <f>SUBTOTAL(103,$B$4:B727)</f>
        <v>724</v>
      </c>
      <c r="B727" s="111">
        <v>45652</v>
      </c>
      <c r="C727" s="114" t="s">
        <v>481</v>
      </c>
      <c r="D727" s="3" t="str">
        <f>VLOOKUP(C727,'Location Summary'!$C$4:$D$602,2,0)</f>
        <v>DA-1.5</v>
      </c>
      <c r="E727" s="267" t="s">
        <v>403</v>
      </c>
      <c r="F727" s="268" t="s">
        <v>683</v>
      </c>
      <c r="G727" s="158">
        <v>1</v>
      </c>
      <c r="O727" s="156">
        <v>1</v>
      </c>
      <c r="R727" s="156">
        <v>1</v>
      </c>
      <c r="X727" s="35">
        <f t="shared" si="80"/>
        <v>45652</v>
      </c>
      <c r="Y727" s="35">
        <f t="shared" si="81"/>
        <v>45680</v>
      </c>
    </row>
    <row r="728" spans="1:25" ht="20.149999999999999" customHeight="1">
      <c r="A728" s="10">
        <f>SUBTOTAL(103,$B$4:B728)</f>
        <v>725</v>
      </c>
      <c r="B728" s="111">
        <v>45652</v>
      </c>
      <c r="C728" s="114" t="s">
        <v>437</v>
      </c>
      <c r="D728" s="3" t="str">
        <f>VLOOKUP(C728,'Location Summary'!$C$4:$D$602,2,0)</f>
        <v>DA+9</v>
      </c>
      <c r="E728" s="267" t="s">
        <v>403</v>
      </c>
      <c r="F728" s="268" t="s">
        <v>683</v>
      </c>
      <c r="H728" s="157">
        <v>1</v>
      </c>
      <c r="I728" s="156">
        <v>1</v>
      </c>
      <c r="Q728" s="157">
        <v>1</v>
      </c>
      <c r="R728" s="156">
        <v>1</v>
      </c>
      <c r="X728" s="35">
        <f t="shared" si="80"/>
        <v>45652</v>
      </c>
      <c r="Y728" s="35">
        <f t="shared" si="81"/>
        <v>45680</v>
      </c>
    </row>
    <row r="729" spans="1:25" ht="20.149999999999999" customHeight="1">
      <c r="A729" s="10">
        <f>SUBTOTAL(103,$B$4:B729)</f>
        <v>726</v>
      </c>
      <c r="B729" s="111">
        <v>45652</v>
      </c>
      <c r="C729" s="114" t="s">
        <v>12</v>
      </c>
      <c r="D729" s="3" t="str">
        <f>VLOOKUP(C729,'Location Summary'!$C$4:$D$602,2,0)</f>
        <v>DC2+0</v>
      </c>
      <c r="E729" s="267" t="s">
        <v>403</v>
      </c>
      <c r="F729" s="268" t="s">
        <v>683</v>
      </c>
      <c r="K729" s="157">
        <v>1</v>
      </c>
      <c r="X729" s="35">
        <f t="shared" si="80"/>
        <v>45652</v>
      </c>
      <c r="Y729" s="35">
        <f t="shared" si="81"/>
        <v>45680</v>
      </c>
    </row>
    <row r="730" spans="1:25" ht="20.149999999999999" customHeight="1">
      <c r="A730" s="10">
        <f>SUBTOTAL(103,$B$4:B730)</f>
        <v>727</v>
      </c>
      <c r="B730" s="111">
        <v>45652</v>
      </c>
      <c r="C730" s="114" t="s">
        <v>392</v>
      </c>
      <c r="D730" s="3" t="str">
        <f>VLOOKUP(C730,'Location Summary'!$C$4:$D$602,2,0)</f>
        <v>DA+9</v>
      </c>
      <c r="E730" s="267" t="s">
        <v>403</v>
      </c>
      <c r="F730" s="268" t="s">
        <v>683</v>
      </c>
      <c r="H730" s="157">
        <v>1</v>
      </c>
      <c r="X730" s="35">
        <f t="shared" si="80"/>
        <v>45652</v>
      </c>
      <c r="Y730" s="35">
        <f t="shared" si="81"/>
        <v>45680</v>
      </c>
    </row>
    <row r="731" spans="1:25" ht="20.149999999999999" customHeight="1">
      <c r="A731" s="10">
        <f>SUBTOTAL(103,$B$4:B731)</f>
        <v>728</v>
      </c>
      <c r="B731" s="111">
        <v>45652</v>
      </c>
      <c r="C731" s="114" t="s">
        <v>76</v>
      </c>
      <c r="D731" s="3" t="str">
        <f>VLOOKUP(C731,'Location Summary'!$C$4:$D$602,2,0)</f>
        <v>DA+9</v>
      </c>
      <c r="E731" s="267" t="s">
        <v>403</v>
      </c>
      <c r="F731" s="268" t="s">
        <v>683</v>
      </c>
      <c r="G731" s="158">
        <v>1</v>
      </c>
      <c r="X731" s="35">
        <f t="shared" ref="X731:X812" si="82">B731</f>
        <v>45652</v>
      </c>
      <c r="Y731" s="35">
        <f t="shared" ref="Y731:Y812" si="83">B731+28</f>
        <v>45680</v>
      </c>
    </row>
    <row r="732" spans="1:25" ht="20.149999999999999" customHeight="1">
      <c r="A732" s="10">
        <f>SUBTOTAL(103,$B$4:B732)</f>
        <v>729</v>
      </c>
      <c r="B732" s="111">
        <v>45653</v>
      </c>
      <c r="C732" s="114" t="s">
        <v>630</v>
      </c>
      <c r="D732" s="3" t="str">
        <f>VLOOKUP(C732,'Location Summary'!$C$4:$D$602,2,0)</f>
        <v>DA+9</v>
      </c>
      <c r="E732" s="267" t="s">
        <v>403</v>
      </c>
      <c r="F732" s="268" t="s">
        <v>683</v>
      </c>
      <c r="H732" s="157">
        <v>1</v>
      </c>
      <c r="I732" s="156">
        <v>1</v>
      </c>
      <c r="K732" s="157">
        <v>1</v>
      </c>
      <c r="L732" s="156">
        <v>1</v>
      </c>
      <c r="X732" s="35">
        <f t="shared" si="82"/>
        <v>45653</v>
      </c>
      <c r="Y732" s="35">
        <f t="shared" si="83"/>
        <v>45681</v>
      </c>
    </row>
    <row r="733" spans="1:25" ht="20.149999999999999" customHeight="1">
      <c r="A733" s="10">
        <f>SUBTOTAL(103,$B$4:B733)</f>
        <v>730</v>
      </c>
      <c r="B733" s="111">
        <v>45653</v>
      </c>
      <c r="C733" s="114" t="s">
        <v>481</v>
      </c>
      <c r="D733" s="3" t="str">
        <f>VLOOKUP(C733,'Location Summary'!$C$4:$D$602,2,0)</f>
        <v>DA-1.5</v>
      </c>
      <c r="E733" s="267" t="s">
        <v>403</v>
      </c>
      <c r="F733" s="268" t="s">
        <v>683</v>
      </c>
      <c r="J733" s="158">
        <v>1</v>
      </c>
      <c r="X733" s="35">
        <f t="shared" si="82"/>
        <v>45653</v>
      </c>
      <c r="Y733" s="35">
        <f t="shared" si="83"/>
        <v>45681</v>
      </c>
    </row>
    <row r="734" spans="1:25" ht="20.149999999999999" customHeight="1">
      <c r="A734" s="10">
        <f>SUBTOTAL(103,$B$4:B734)</f>
        <v>731</v>
      </c>
      <c r="B734" s="111">
        <v>45653</v>
      </c>
      <c r="C734" s="114" t="s">
        <v>12</v>
      </c>
      <c r="D734" s="3" t="str">
        <f>VLOOKUP(C734,'Location Summary'!$C$4:$D$602,2,0)</f>
        <v>DC2+0</v>
      </c>
      <c r="E734" s="267" t="s">
        <v>403</v>
      </c>
      <c r="F734" s="268" t="s">
        <v>683</v>
      </c>
      <c r="G734" s="158">
        <v>1</v>
      </c>
      <c r="L734" s="156">
        <v>1</v>
      </c>
      <c r="X734" s="35">
        <f t="shared" si="82"/>
        <v>45653</v>
      </c>
      <c r="Y734" s="35">
        <f t="shared" si="83"/>
        <v>45681</v>
      </c>
    </row>
    <row r="735" spans="1:25" ht="20.149999999999999" customHeight="1">
      <c r="A735" s="10">
        <f>SUBTOTAL(103,$B$4:B735)</f>
        <v>732</v>
      </c>
      <c r="B735" s="111">
        <v>45653</v>
      </c>
      <c r="C735" s="31" t="s">
        <v>76</v>
      </c>
      <c r="D735" s="3" t="str">
        <f>VLOOKUP(C735,'Location Summary'!$C$4:$D$602,2,0)</f>
        <v>DA+9</v>
      </c>
      <c r="E735" s="267" t="s">
        <v>403</v>
      </c>
      <c r="F735" s="268" t="s">
        <v>683</v>
      </c>
      <c r="H735" s="157">
        <v>1</v>
      </c>
      <c r="I735" s="156">
        <v>1</v>
      </c>
      <c r="X735" s="35">
        <f t="shared" si="82"/>
        <v>45653</v>
      </c>
      <c r="Y735" s="35">
        <f t="shared" si="83"/>
        <v>45681</v>
      </c>
    </row>
    <row r="736" spans="1:25" ht="20.149999999999999" customHeight="1">
      <c r="A736" s="10">
        <f>SUBTOTAL(103,$B$4:B736)</f>
        <v>733</v>
      </c>
      <c r="B736" s="111">
        <v>45654</v>
      </c>
      <c r="C736" s="31" t="s">
        <v>630</v>
      </c>
      <c r="D736" s="3" t="str">
        <f>VLOOKUP(C736,'Location Summary'!$C$4:$D$602,2,0)</f>
        <v>DA+9</v>
      </c>
      <c r="E736" s="267" t="s">
        <v>403</v>
      </c>
      <c r="F736" s="268" t="s">
        <v>683</v>
      </c>
      <c r="M736" s="158">
        <v>1</v>
      </c>
      <c r="P736" s="158">
        <v>1</v>
      </c>
      <c r="X736" s="35">
        <f t="shared" si="82"/>
        <v>45654</v>
      </c>
      <c r="Y736" s="35">
        <f t="shared" si="83"/>
        <v>45682</v>
      </c>
    </row>
    <row r="737" spans="1:25" ht="20.149999999999999" customHeight="1">
      <c r="A737" s="10">
        <f>SUBTOTAL(103,$B$4:B737)</f>
        <v>734</v>
      </c>
      <c r="B737" s="111">
        <v>45654</v>
      </c>
      <c r="C737" s="31" t="s">
        <v>481</v>
      </c>
      <c r="D737" s="3" t="str">
        <f>VLOOKUP(C737,'Location Summary'!$C$4:$D$602,2,0)</f>
        <v>DA-1.5</v>
      </c>
      <c r="E737" s="267" t="s">
        <v>403</v>
      </c>
      <c r="F737" s="268" t="s">
        <v>683</v>
      </c>
      <c r="H737" s="157">
        <v>1</v>
      </c>
      <c r="K737" s="157">
        <v>1</v>
      </c>
      <c r="X737" s="35">
        <f t="shared" si="82"/>
        <v>45654</v>
      </c>
      <c r="Y737" s="35">
        <f t="shared" si="83"/>
        <v>45682</v>
      </c>
    </row>
    <row r="738" spans="1:25" ht="20.149999999999999" customHeight="1">
      <c r="A738" s="10">
        <f>SUBTOTAL(103,$B$4:B738)</f>
        <v>735</v>
      </c>
      <c r="B738" s="111">
        <v>45654</v>
      </c>
      <c r="C738" s="31" t="s">
        <v>437</v>
      </c>
      <c r="D738" s="3" t="str">
        <f>VLOOKUP(C738,'Location Summary'!$C$4:$D$602,2,0)</f>
        <v>DA+9</v>
      </c>
      <c r="E738" s="267" t="s">
        <v>403</v>
      </c>
      <c r="F738" s="268" t="s">
        <v>683</v>
      </c>
      <c r="J738" s="158">
        <v>1</v>
      </c>
      <c r="K738" s="157">
        <v>1</v>
      </c>
      <c r="L738" s="156">
        <v>1</v>
      </c>
      <c r="M738" s="158">
        <v>1</v>
      </c>
      <c r="X738" s="35">
        <f t="shared" si="82"/>
        <v>45654</v>
      </c>
      <c r="Y738" s="35">
        <f t="shared" si="83"/>
        <v>45682</v>
      </c>
    </row>
    <row r="739" spans="1:25" ht="20.149999999999999" customHeight="1">
      <c r="A739" s="10">
        <f>SUBTOTAL(103,$B$4:B739)</f>
        <v>736</v>
      </c>
      <c r="B739" s="111">
        <v>45654</v>
      </c>
      <c r="C739" s="114" t="s">
        <v>12</v>
      </c>
      <c r="D739" s="3" t="str">
        <f>VLOOKUP(C739,'Location Summary'!$C$4:$D$602,2,0)</f>
        <v>DC2+0</v>
      </c>
      <c r="E739" s="267" t="s">
        <v>403</v>
      </c>
      <c r="F739" s="268" t="s">
        <v>683</v>
      </c>
      <c r="H739" s="157">
        <v>1</v>
      </c>
      <c r="I739" s="156">
        <v>1</v>
      </c>
      <c r="X739" s="35">
        <f t="shared" si="82"/>
        <v>45654</v>
      </c>
      <c r="Y739" s="35">
        <f t="shared" si="83"/>
        <v>45682</v>
      </c>
    </row>
    <row r="740" spans="1:25" ht="20.149999999999999" customHeight="1">
      <c r="A740" s="10">
        <f>SUBTOTAL(103,$B$4:B740)</f>
        <v>737</v>
      </c>
      <c r="B740" s="111">
        <v>45654</v>
      </c>
      <c r="C740" s="114" t="s">
        <v>620</v>
      </c>
      <c r="D740" s="3" t="str">
        <f>VLOOKUP(C740,'Location Summary'!$C$4:$D$602,2,0)</f>
        <v>DA+1.5</v>
      </c>
      <c r="E740" s="267" t="s">
        <v>403</v>
      </c>
      <c r="F740" s="268" t="s">
        <v>683</v>
      </c>
      <c r="J740" s="158">
        <v>1</v>
      </c>
      <c r="M740" s="158">
        <v>1</v>
      </c>
      <c r="X740" s="35">
        <f t="shared" si="82"/>
        <v>45654</v>
      </c>
      <c r="Y740" s="35">
        <f t="shared" si="83"/>
        <v>45682</v>
      </c>
    </row>
    <row r="741" spans="1:25" ht="20.149999999999999" customHeight="1">
      <c r="A741" s="10">
        <f>SUBTOTAL(103,$B$4:B741)</f>
        <v>738</v>
      </c>
      <c r="B741" s="111">
        <v>45655</v>
      </c>
      <c r="C741" s="114" t="s">
        <v>630</v>
      </c>
      <c r="D741" s="3" t="str">
        <f>VLOOKUP(C741,'Location Summary'!$C$4:$D$602,2,0)</f>
        <v>DA+9</v>
      </c>
      <c r="E741" s="267" t="s">
        <v>403</v>
      </c>
      <c r="F741" s="268" t="s">
        <v>683</v>
      </c>
      <c r="N741" s="157">
        <v>1</v>
      </c>
      <c r="O741" s="156">
        <v>1</v>
      </c>
      <c r="Q741" s="157">
        <v>1</v>
      </c>
      <c r="R741" s="156">
        <v>1</v>
      </c>
      <c r="X741" s="35">
        <f t="shared" si="82"/>
        <v>45655</v>
      </c>
      <c r="Y741" s="35">
        <f t="shared" si="83"/>
        <v>45683</v>
      </c>
    </row>
    <row r="742" spans="1:25" ht="20.149999999999999" customHeight="1">
      <c r="A742" s="10">
        <f>SUBTOTAL(103,$B$4:B742)</f>
        <v>739</v>
      </c>
      <c r="B742" s="111">
        <v>45655</v>
      </c>
      <c r="C742" s="114" t="s">
        <v>437</v>
      </c>
      <c r="D742" s="3" t="str">
        <f>VLOOKUP(C742,'Location Summary'!$C$4:$D$602,2,0)</f>
        <v>DA+9</v>
      </c>
      <c r="E742" s="267" t="s">
        <v>403</v>
      </c>
      <c r="F742" s="268" t="s">
        <v>683</v>
      </c>
      <c r="N742" s="157">
        <v>1</v>
      </c>
      <c r="O742" s="156">
        <v>1</v>
      </c>
      <c r="X742" s="35">
        <f t="shared" si="82"/>
        <v>45655</v>
      </c>
      <c r="Y742" s="35">
        <f t="shared" si="83"/>
        <v>45683</v>
      </c>
    </row>
    <row r="743" spans="1:25" ht="20.149999999999999" customHeight="1">
      <c r="A743" s="10">
        <f>SUBTOTAL(103,$B$4:B743)</f>
        <v>740</v>
      </c>
      <c r="B743" s="111">
        <v>45655</v>
      </c>
      <c r="C743" s="114" t="s">
        <v>392</v>
      </c>
      <c r="D743" s="3" t="str">
        <f>VLOOKUP(C743,'Location Summary'!$C$4:$D$602,2,0)</f>
        <v>DA+9</v>
      </c>
      <c r="E743" s="267" t="s">
        <v>403</v>
      </c>
      <c r="F743" s="268" t="s">
        <v>683</v>
      </c>
      <c r="N743" s="157">
        <v>1</v>
      </c>
      <c r="P743" s="158">
        <v>1</v>
      </c>
      <c r="X743" s="35">
        <f t="shared" si="82"/>
        <v>45655</v>
      </c>
      <c r="Y743" s="35">
        <f t="shared" si="83"/>
        <v>45683</v>
      </c>
    </row>
    <row r="744" spans="1:25" ht="20.149999999999999" customHeight="1">
      <c r="A744" s="10">
        <f>SUBTOTAL(103,$B$4:B744)</f>
        <v>741</v>
      </c>
      <c r="B744" s="111">
        <v>45655</v>
      </c>
      <c r="C744" s="114" t="s">
        <v>620</v>
      </c>
      <c r="D744" s="3" t="str">
        <f>VLOOKUP(C744,'Location Summary'!$C$4:$D$602,2,0)</f>
        <v>DA+1.5</v>
      </c>
      <c r="E744" s="267" t="s">
        <v>403</v>
      </c>
      <c r="F744" s="268" t="s">
        <v>683</v>
      </c>
      <c r="K744" s="157">
        <v>1</v>
      </c>
      <c r="L744" s="156">
        <v>1</v>
      </c>
      <c r="N744" s="157">
        <v>1</v>
      </c>
      <c r="O744" s="156">
        <v>1</v>
      </c>
      <c r="X744" s="35">
        <f t="shared" si="82"/>
        <v>45655</v>
      </c>
      <c r="Y744" s="35">
        <f t="shared" si="83"/>
        <v>45683</v>
      </c>
    </row>
    <row r="745" spans="1:25" ht="20.149999999999999" customHeight="1">
      <c r="A745" s="10">
        <f>SUBTOTAL(103,$B$4:B745)</f>
        <v>742</v>
      </c>
      <c r="B745" s="111">
        <v>45655</v>
      </c>
      <c r="C745" s="114" t="s">
        <v>77</v>
      </c>
      <c r="D745" s="3" t="str">
        <f>VLOOKUP(C745,'Location Summary'!$C$4:$D$602,2,0)</f>
        <v>DB2+0</v>
      </c>
      <c r="E745" s="267" t="s">
        <v>403</v>
      </c>
      <c r="F745" s="268" t="s">
        <v>683</v>
      </c>
      <c r="G745" s="158">
        <v>1</v>
      </c>
      <c r="P745" s="158">
        <v>1</v>
      </c>
      <c r="X745" s="35">
        <f t="shared" si="82"/>
        <v>45655</v>
      </c>
      <c r="Y745" s="35">
        <f t="shared" si="83"/>
        <v>45683</v>
      </c>
    </row>
    <row r="746" spans="1:25" ht="20.149999999999999" customHeight="1">
      <c r="A746" s="10">
        <f>SUBTOTAL(103,$B$4:B746)</f>
        <v>743</v>
      </c>
      <c r="B746" s="111">
        <v>45655</v>
      </c>
      <c r="C746" s="114" t="s">
        <v>6</v>
      </c>
      <c r="D746" s="3" t="str">
        <f>VLOOKUP(C746,'Location Summary'!$C$4:$D$602,2,0)</f>
        <v>DA+6</v>
      </c>
      <c r="E746" s="267" t="s">
        <v>403</v>
      </c>
      <c r="F746" s="268" t="s">
        <v>683</v>
      </c>
      <c r="M746" s="158">
        <v>1</v>
      </c>
      <c r="P746" s="158">
        <v>1</v>
      </c>
      <c r="X746" s="35">
        <f t="shared" si="82"/>
        <v>45655</v>
      </c>
      <c r="Y746" s="35">
        <f t="shared" si="83"/>
        <v>45683</v>
      </c>
    </row>
    <row r="747" spans="1:25" ht="20.149999999999999" customHeight="1">
      <c r="A747" s="10">
        <f>SUBTOTAL(103,$B$4:B747)</f>
        <v>744</v>
      </c>
      <c r="B747" s="111">
        <v>45656</v>
      </c>
      <c r="C747" s="114" t="s">
        <v>6</v>
      </c>
      <c r="D747" s="3" t="str">
        <f>VLOOKUP(C747,'Location Summary'!$C$4:$D$602,2,0)</f>
        <v>DA+6</v>
      </c>
      <c r="E747" s="267" t="s">
        <v>403</v>
      </c>
      <c r="F747" s="268" t="s">
        <v>683</v>
      </c>
      <c r="G747" s="158">
        <v>1</v>
      </c>
      <c r="J747" s="158">
        <v>1</v>
      </c>
      <c r="N747" s="157">
        <v>1</v>
      </c>
      <c r="O747" s="156">
        <v>1</v>
      </c>
      <c r="Q747" s="157">
        <v>1</v>
      </c>
      <c r="R747" s="156">
        <v>1</v>
      </c>
      <c r="X747" s="35">
        <f t="shared" si="82"/>
        <v>45656</v>
      </c>
      <c r="Y747" s="35">
        <f t="shared" si="83"/>
        <v>45684</v>
      </c>
    </row>
    <row r="748" spans="1:25" ht="20.149999999999999" customHeight="1">
      <c r="A748" s="10">
        <f>SUBTOTAL(103,$B$4:B748)</f>
        <v>745</v>
      </c>
      <c r="B748" s="111">
        <v>45656</v>
      </c>
      <c r="C748" s="114" t="s">
        <v>481</v>
      </c>
      <c r="D748" s="3" t="str">
        <f>VLOOKUP(C748,'Location Summary'!$C$4:$D$602,2,0)</f>
        <v>DA-1.5</v>
      </c>
      <c r="E748" s="267" t="s">
        <v>403</v>
      </c>
      <c r="F748" s="268" t="s">
        <v>683</v>
      </c>
      <c r="I748" s="156">
        <v>1</v>
      </c>
      <c r="L748" s="156">
        <v>1</v>
      </c>
      <c r="X748" s="35">
        <f t="shared" si="82"/>
        <v>45656</v>
      </c>
      <c r="Y748" s="35">
        <f t="shared" si="83"/>
        <v>45684</v>
      </c>
    </row>
    <row r="749" spans="1:25" ht="20.149999999999999" customHeight="1">
      <c r="A749" s="10">
        <f>SUBTOTAL(103,$B$4:B749)</f>
        <v>746</v>
      </c>
      <c r="B749" s="111">
        <v>45656</v>
      </c>
      <c r="C749" s="114" t="s">
        <v>438</v>
      </c>
      <c r="D749" s="3" t="str">
        <f>VLOOKUP(C749,'Location Summary'!$C$4:$D$602,2,0)</f>
        <v>DA+0</v>
      </c>
      <c r="E749" s="267" t="s">
        <v>403</v>
      </c>
      <c r="F749" s="268" t="s">
        <v>683</v>
      </c>
      <c r="G749" s="158">
        <v>1</v>
      </c>
      <c r="P749" s="158">
        <v>1</v>
      </c>
      <c r="X749" s="35">
        <f t="shared" si="82"/>
        <v>45656</v>
      </c>
      <c r="Y749" s="35">
        <f t="shared" si="83"/>
        <v>45684</v>
      </c>
    </row>
    <row r="750" spans="1:25" ht="20.149999999999999" customHeight="1">
      <c r="A750" s="10">
        <f>SUBTOTAL(103,$B$4:B750)</f>
        <v>747</v>
      </c>
      <c r="B750" s="111">
        <v>45656</v>
      </c>
      <c r="C750" s="114" t="s">
        <v>423</v>
      </c>
      <c r="D750" s="3" t="str">
        <f>VLOOKUP(C750,'Location Summary'!$C$4:$D$602,2,0)</f>
        <v>DA+6</v>
      </c>
      <c r="E750" s="267" t="s">
        <v>403</v>
      </c>
      <c r="F750" s="268" t="s">
        <v>683</v>
      </c>
      <c r="G750" s="158">
        <v>1</v>
      </c>
      <c r="J750" s="158">
        <v>1</v>
      </c>
      <c r="M750" s="158">
        <v>1</v>
      </c>
      <c r="P750" s="158">
        <v>1</v>
      </c>
      <c r="X750" s="35">
        <f t="shared" si="82"/>
        <v>45656</v>
      </c>
      <c r="Y750" s="35">
        <f t="shared" si="83"/>
        <v>45684</v>
      </c>
    </row>
    <row r="751" spans="1:25" ht="20.149999999999999" customHeight="1">
      <c r="A751" s="10">
        <f>SUBTOTAL(103,$B$4:B751)</f>
        <v>748</v>
      </c>
      <c r="B751" s="111">
        <v>45656</v>
      </c>
      <c r="C751" s="114" t="s">
        <v>77</v>
      </c>
      <c r="D751" s="3" t="str">
        <f>VLOOKUP(C751,'Location Summary'!$C$4:$D$602,2,0)</f>
        <v>DB2+0</v>
      </c>
      <c r="E751" s="267" t="s">
        <v>403</v>
      </c>
      <c r="F751" s="268" t="s">
        <v>683</v>
      </c>
      <c r="H751" s="157">
        <v>1</v>
      </c>
      <c r="I751" s="156">
        <v>1</v>
      </c>
      <c r="Q751" s="157">
        <v>1</v>
      </c>
      <c r="R751" s="156">
        <v>1</v>
      </c>
      <c r="X751" s="35">
        <f t="shared" si="82"/>
        <v>45656</v>
      </c>
      <c r="Y751" s="35">
        <f t="shared" si="83"/>
        <v>45684</v>
      </c>
    </row>
    <row r="752" spans="1:25" ht="20.149999999999999" customHeight="1">
      <c r="A752" s="10">
        <f>SUBTOTAL(103,$B$4:B752)</f>
        <v>749</v>
      </c>
      <c r="B752" s="111">
        <v>45657</v>
      </c>
      <c r="C752" s="114" t="s">
        <v>6</v>
      </c>
      <c r="D752" s="3" t="str">
        <f>VLOOKUP(C752,'Location Summary'!$C$4:$D$602,2,0)</f>
        <v>DA+6</v>
      </c>
      <c r="E752" s="267" t="s">
        <v>403</v>
      </c>
      <c r="F752" s="268" t="s">
        <v>683</v>
      </c>
      <c r="H752" s="157">
        <v>1</v>
      </c>
      <c r="I752" s="156">
        <v>1</v>
      </c>
      <c r="K752" s="157">
        <v>1</v>
      </c>
      <c r="L752" s="156">
        <v>1</v>
      </c>
      <c r="X752" s="35">
        <f t="shared" si="82"/>
        <v>45657</v>
      </c>
      <c r="Y752" s="35">
        <f t="shared" si="83"/>
        <v>45685</v>
      </c>
    </row>
    <row r="753" spans="1:25" ht="20.149999999999999" customHeight="1">
      <c r="A753" s="10">
        <f>SUBTOTAL(103,$B$4:B753)</f>
        <v>750</v>
      </c>
      <c r="B753" s="111">
        <v>45657</v>
      </c>
      <c r="C753" s="114" t="s">
        <v>423</v>
      </c>
      <c r="D753" s="3" t="str">
        <f>VLOOKUP(C753,'Location Summary'!$C$4:$D$602,2,0)</f>
        <v>DA+6</v>
      </c>
      <c r="E753" s="267" t="s">
        <v>403</v>
      </c>
      <c r="F753" s="268" t="s">
        <v>683</v>
      </c>
      <c r="H753" s="157">
        <v>1</v>
      </c>
      <c r="I753" s="156">
        <v>1</v>
      </c>
      <c r="K753" s="157">
        <v>1</v>
      </c>
      <c r="L753" s="156">
        <v>1</v>
      </c>
      <c r="N753" s="157">
        <v>1</v>
      </c>
      <c r="O753" s="156">
        <v>1</v>
      </c>
      <c r="Q753" s="157">
        <v>1</v>
      </c>
      <c r="R753" s="156">
        <v>1</v>
      </c>
      <c r="X753" s="35">
        <f t="shared" si="82"/>
        <v>45657</v>
      </c>
      <c r="Y753" s="35">
        <f t="shared" si="83"/>
        <v>45685</v>
      </c>
    </row>
    <row r="754" spans="1:25" ht="20.149999999999999" customHeight="1">
      <c r="A754" s="10">
        <f>SUBTOTAL(103,$B$4:B754)</f>
        <v>751</v>
      </c>
      <c r="B754" s="111">
        <v>45658</v>
      </c>
      <c r="C754" s="114" t="s">
        <v>438</v>
      </c>
      <c r="D754" s="3" t="str">
        <f>VLOOKUP(C754,'Location Summary'!$C$4:$D$602,2,0)</f>
        <v>DA+0</v>
      </c>
      <c r="E754" s="267" t="s">
        <v>403</v>
      </c>
      <c r="F754" s="268" t="s">
        <v>683</v>
      </c>
      <c r="H754" s="157">
        <v>1</v>
      </c>
      <c r="I754" s="156">
        <v>1</v>
      </c>
      <c r="M754" s="158">
        <v>1</v>
      </c>
      <c r="Q754" s="157">
        <v>1</v>
      </c>
      <c r="R754" s="156">
        <v>1</v>
      </c>
      <c r="X754" s="35">
        <f t="shared" si="82"/>
        <v>45658</v>
      </c>
      <c r="Y754" s="35">
        <f t="shared" si="83"/>
        <v>45686</v>
      </c>
    </row>
    <row r="755" spans="1:25" ht="20.149999999999999" customHeight="1">
      <c r="A755" s="10">
        <f>SUBTOTAL(103,$B$4:B755)</f>
        <v>752</v>
      </c>
      <c r="B755" s="111">
        <v>45658</v>
      </c>
      <c r="C755" s="114" t="s">
        <v>622</v>
      </c>
      <c r="D755" s="3" t="str">
        <f>VLOOKUP(C755,'Location Summary'!$C$4:$D$602,2,0)</f>
        <v>DA+1.5</v>
      </c>
      <c r="E755" s="267" t="s">
        <v>403</v>
      </c>
      <c r="F755" s="268" t="s">
        <v>683</v>
      </c>
      <c r="G755" s="158">
        <v>1</v>
      </c>
      <c r="P755" s="158">
        <v>1</v>
      </c>
      <c r="X755" s="35">
        <f t="shared" si="82"/>
        <v>45658</v>
      </c>
      <c r="Y755" s="35">
        <f t="shared" si="83"/>
        <v>45686</v>
      </c>
    </row>
    <row r="756" spans="1:25" ht="20.149999999999999" customHeight="1">
      <c r="A756" s="10">
        <f>SUBTOTAL(103,$B$4:B756)</f>
        <v>753</v>
      </c>
      <c r="B756" s="111">
        <v>45658</v>
      </c>
      <c r="C756" s="114" t="s">
        <v>77</v>
      </c>
      <c r="D756" s="3" t="str">
        <f>VLOOKUP(C756,'Location Summary'!$C$4:$D$602,2,0)</f>
        <v>DB2+0</v>
      </c>
      <c r="E756" s="267" t="s">
        <v>403</v>
      </c>
      <c r="F756" s="268" t="s">
        <v>683</v>
      </c>
      <c r="J756" s="158">
        <v>1</v>
      </c>
      <c r="X756" s="35">
        <f t="shared" si="82"/>
        <v>45658</v>
      </c>
      <c r="Y756" s="35">
        <f t="shared" si="83"/>
        <v>45686</v>
      </c>
    </row>
    <row r="757" spans="1:25" ht="20.149999999999999" customHeight="1">
      <c r="A757" s="10">
        <f>SUBTOTAL(103,$B$4:B757)</f>
        <v>754</v>
      </c>
      <c r="B757" s="111">
        <v>45659</v>
      </c>
      <c r="C757" s="114" t="s">
        <v>438</v>
      </c>
      <c r="D757" s="3" t="str">
        <f>VLOOKUP(C757,'Location Summary'!$C$4:$D$602,2,0)</f>
        <v>DA+0</v>
      </c>
      <c r="E757" s="267" t="s">
        <v>403</v>
      </c>
      <c r="F757" s="268" t="s">
        <v>683</v>
      </c>
      <c r="J757" s="158">
        <v>1</v>
      </c>
      <c r="N757" s="157">
        <v>1</v>
      </c>
      <c r="X757" s="35">
        <f t="shared" si="82"/>
        <v>45659</v>
      </c>
      <c r="Y757" s="35">
        <f t="shared" si="83"/>
        <v>45687</v>
      </c>
    </row>
    <row r="758" spans="1:25" ht="20.149999999999999" customHeight="1">
      <c r="A758" s="10">
        <f>SUBTOTAL(103,$B$4:B758)</f>
        <v>755</v>
      </c>
      <c r="B758" s="111">
        <v>45659</v>
      </c>
      <c r="C758" s="114" t="s">
        <v>622</v>
      </c>
      <c r="D758" s="3" t="str">
        <f>VLOOKUP(C758,'Location Summary'!$C$4:$D$602,2,0)</f>
        <v>DA+1.5</v>
      </c>
      <c r="E758" s="267" t="s">
        <v>403</v>
      </c>
      <c r="F758" s="268" t="s">
        <v>683</v>
      </c>
      <c r="H758" s="157">
        <v>1</v>
      </c>
      <c r="Q758" s="157">
        <v>1</v>
      </c>
      <c r="X758" s="35">
        <f t="shared" si="82"/>
        <v>45659</v>
      </c>
      <c r="Y758" s="35">
        <f t="shared" si="83"/>
        <v>45687</v>
      </c>
    </row>
    <row r="759" spans="1:25" ht="20.149999999999999" customHeight="1">
      <c r="A759" s="10">
        <f>SUBTOTAL(103,$B$4:B759)</f>
        <v>756</v>
      </c>
      <c r="B759" s="111">
        <v>45659</v>
      </c>
      <c r="C759" s="114" t="s">
        <v>77</v>
      </c>
      <c r="D759" s="3" t="str">
        <f>VLOOKUP(C759,'Location Summary'!$C$4:$D$602,2,0)</f>
        <v>DB2+0</v>
      </c>
      <c r="E759" s="267" t="s">
        <v>403</v>
      </c>
      <c r="F759" s="268" t="s">
        <v>683</v>
      </c>
      <c r="K759" s="157">
        <v>1</v>
      </c>
      <c r="M759" s="158">
        <v>1</v>
      </c>
      <c r="X759" s="35">
        <f t="shared" si="82"/>
        <v>45659</v>
      </c>
      <c r="Y759" s="35">
        <f t="shared" si="83"/>
        <v>45687</v>
      </c>
    </row>
    <row r="760" spans="1:25" ht="20.149999999999999" customHeight="1">
      <c r="A760" s="10">
        <f>SUBTOTAL(103,$B$4:B760)</f>
        <v>757</v>
      </c>
      <c r="B760" s="111">
        <v>45659</v>
      </c>
      <c r="C760" s="114" t="s">
        <v>392</v>
      </c>
      <c r="D760" s="3" t="str">
        <f>VLOOKUP(C760,'Location Summary'!$C$4:$D$602,2,0)</f>
        <v>DA+9</v>
      </c>
      <c r="E760" s="267" t="s">
        <v>403</v>
      </c>
      <c r="F760" s="268" t="s">
        <v>683</v>
      </c>
      <c r="I760" s="156">
        <v>1</v>
      </c>
      <c r="O760" s="156">
        <v>1</v>
      </c>
      <c r="X760" s="35">
        <f t="shared" si="82"/>
        <v>45659</v>
      </c>
      <c r="Y760" s="35">
        <f t="shared" si="83"/>
        <v>45687</v>
      </c>
    </row>
    <row r="761" spans="1:25" ht="20.149999999999999" customHeight="1">
      <c r="A761" s="10">
        <f>SUBTOTAL(103,$B$4:B761)</f>
        <v>758</v>
      </c>
      <c r="B761" s="111">
        <v>45660</v>
      </c>
      <c r="C761" s="114" t="s">
        <v>634</v>
      </c>
      <c r="D761" s="3" t="str">
        <f>VLOOKUP(C761,'Location Summary'!$C$4:$D$602,2,0)</f>
        <v>DA+9</v>
      </c>
      <c r="E761" s="267" t="s">
        <v>403</v>
      </c>
      <c r="F761" s="268" t="s">
        <v>683</v>
      </c>
      <c r="G761" s="158">
        <v>1</v>
      </c>
      <c r="P761" s="158">
        <v>1</v>
      </c>
      <c r="X761" s="35">
        <f t="shared" si="82"/>
        <v>45660</v>
      </c>
      <c r="Y761" s="35">
        <f t="shared" si="83"/>
        <v>45688</v>
      </c>
    </row>
    <row r="762" spans="1:25" ht="20.149999999999999" customHeight="1">
      <c r="A762" s="10">
        <f>SUBTOTAL(103,$B$4:B762)</f>
        <v>759</v>
      </c>
      <c r="B762" s="111">
        <v>45660</v>
      </c>
      <c r="C762" s="114" t="s">
        <v>438</v>
      </c>
      <c r="D762" s="3" t="str">
        <f>VLOOKUP(C762,'Location Summary'!$C$4:$D$602,2,0)</f>
        <v>DA+0</v>
      </c>
      <c r="E762" s="267" t="s">
        <v>403</v>
      </c>
      <c r="F762" s="268" t="s">
        <v>683</v>
      </c>
      <c r="K762" s="157">
        <v>1</v>
      </c>
      <c r="L762" s="156">
        <v>1</v>
      </c>
      <c r="O762" s="156">
        <v>1</v>
      </c>
      <c r="X762" s="35">
        <f t="shared" si="82"/>
        <v>45660</v>
      </c>
      <c r="Y762" s="35">
        <f t="shared" si="83"/>
        <v>45688</v>
      </c>
    </row>
    <row r="763" spans="1:25" ht="20.149999999999999" customHeight="1">
      <c r="A763" s="10">
        <f>SUBTOTAL(103,$B$4:B763)</f>
        <v>760</v>
      </c>
      <c r="B763" s="111">
        <v>45660</v>
      </c>
      <c r="C763" s="114" t="s">
        <v>392</v>
      </c>
      <c r="D763" s="3" t="str">
        <f>VLOOKUP(C763,'Location Summary'!$C$4:$D$602,2,0)</f>
        <v>DA+9</v>
      </c>
      <c r="E763" s="267" t="s">
        <v>403</v>
      </c>
      <c r="F763" s="268" t="s">
        <v>683</v>
      </c>
      <c r="J763" s="158">
        <v>1</v>
      </c>
      <c r="X763" s="35">
        <f t="shared" si="82"/>
        <v>45660</v>
      </c>
      <c r="Y763" s="35">
        <f t="shared" si="83"/>
        <v>45688</v>
      </c>
    </row>
    <row r="764" spans="1:25" ht="20.149999999999999" customHeight="1">
      <c r="A764" s="10">
        <f>SUBTOTAL(103,$B$4:B764)</f>
        <v>761</v>
      </c>
      <c r="B764" s="111">
        <v>45660</v>
      </c>
      <c r="C764" s="114" t="s">
        <v>622</v>
      </c>
      <c r="D764" s="3" t="str">
        <f>VLOOKUP(C764,'Location Summary'!$C$4:$D$602,2,0)</f>
        <v>DA+1.5</v>
      </c>
      <c r="E764" s="267" t="s">
        <v>403</v>
      </c>
      <c r="F764" s="268" t="s">
        <v>683</v>
      </c>
      <c r="I764" s="156">
        <v>1</v>
      </c>
      <c r="M764" s="158">
        <v>1</v>
      </c>
      <c r="R764" s="156">
        <v>1</v>
      </c>
      <c r="X764" s="35">
        <f t="shared" si="82"/>
        <v>45660</v>
      </c>
      <c r="Y764" s="35">
        <f t="shared" si="83"/>
        <v>45688</v>
      </c>
    </row>
    <row r="765" spans="1:25" ht="20.149999999999999" customHeight="1">
      <c r="A765" s="10">
        <f>SUBTOTAL(103,$B$4:B765)</f>
        <v>762</v>
      </c>
      <c r="B765" s="111">
        <v>45660</v>
      </c>
      <c r="C765" s="114" t="s">
        <v>77</v>
      </c>
      <c r="D765" s="3" t="str">
        <f>VLOOKUP(C765,'Location Summary'!$C$4:$D$602,2,0)</f>
        <v>DB2+0</v>
      </c>
      <c r="E765" s="267" t="s">
        <v>403</v>
      </c>
      <c r="F765" s="268" t="s">
        <v>683</v>
      </c>
      <c r="L765" s="156">
        <v>1</v>
      </c>
      <c r="N765" s="157">
        <v>1</v>
      </c>
      <c r="O765" s="156">
        <v>1</v>
      </c>
      <c r="X765" s="35">
        <f t="shared" si="82"/>
        <v>45660</v>
      </c>
      <c r="Y765" s="35">
        <f t="shared" si="83"/>
        <v>45688</v>
      </c>
    </row>
    <row r="766" spans="1:25" ht="20.149999999999999" customHeight="1">
      <c r="A766" s="10">
        <f>SUBTOTAL(103,$B$4:B766)</f>
        <v>763</v>
      </c>
      <c r="B766" s="111">
        <v>45661</v>
      </c>
      <c r="C766" s="114" t="s">
        <v>634</v>
      </c>
      <c r="D766" s="3" t="str">
        <f>VLOOKUP(C766,'Location Summary'!$C$4:$D$602,2,0)</f>
        <v>DA+9</v>
      </c>
      <c r="E766" s="267" t="s">
        <v>403</v>
      </c>
      <c r="F766" s="268" t="s">
        <v>683</v>
      </c>
      <c r="H766" s="157">
        <v>1</v>
      </c>
      <c r="I766" s="156">
        <v>1</v>
      </c>
      <c r="J766" s="158">
        <v>1</v>
      </c>
      <c r="M766" s="158">
        <v>1</v>
      </c>
      <c r="Q766" s="157">
        <v>1</v>
      </c>
      <c r="R766" s="156">
        <v>1</v>
      </c>
      <c r="X766" s="35">
        <f t="shared" si="82"/>
        <v>45661</v>
      </c>
      <c r="Y766" s="35">
        <f t="shared" si="83"/>
        <v>45689</v>
      </c>
    </row>
    <row r="767" spans="1:25" ht="20.149999999999999" customHeight="1">
      <c r="A767" s="10">
        <f>SUBTOTAL(103,$B$4:B767)</f>
        <v>764</v>
      </c>
      <c r="B767" s="111">
        <v>45661</v>
      </c>
      <c r="C767" s="114" t="s">
        <v>262</v>
      </c>
      <c r="D767" s="3" t="str">
        <f>VLOOKUP(C767,'Location Summary'!$C$4:$D$602,2,0)</f>
        <v>DB1+0</v>
      </c>
      <c r="E767" s="267" t="s">
        <v>403</v>
      </c>
      <c r="F767" s="268" t="s">
        <v>683</v>
      </c>
      <c r="M767" s="158">
        <v>1</v>
      </c>
      <c r="X767" s="35">
        <f t="shared" si="82"/>
        <v>45661</v>
      </c>
      <c r="Y767" s="35">
        <f t="shared" si="83"/>
        <v>45689</v>
      </c>
    </row>
    <row r="768" spans="1:25" ht="20.149999999999999" customHeight="1">
      <c r="A768" s="10">
        <f>SUBTOTAL(103,$B$4:B768)</f>
        <v>765</v>
      </c>
      <c r="B768" s="111">
        <v>45661</v>
      </c>
      <c r="C768" s="114" t="s">
        <v>439</v>
      </c>
      <c r="D768" s="3" t="str">
        <f>VLOOKUP(C768,'Location Summary'!$C$4:$D$602,2,0)</f>
        <v>DA+6</v>
      </c>
      <c r="E768" s="267" t="s">
        <v>403</v>
      </c>
      <c r="F768" s="268" t="s">
        <v>683</v>
      </c>
      <c r="G768" s="158">
        <v>1</v>
      </c>
      <c r="J768" s="158">
        <v>1</v>
      </c>
      <c r="X768" s="35">
        <f t="shared" si="82"/>
        <v>45661</v>
      </c>
      <c r="Y768" s="35">
        <f t="shared" si="83"/>
        <v>45689</v>
      </c>
    </row>
    <row r="769" spans="1:25" ht="20.149999999999999" customHeight="1">
      <c r="A769" s="10">
        <f>SUBTOTAL(103,$B$4:B769)</f>
        <v>766</v>
      </c>
      <c r="B769" s="111">
        <v>45661</v>
      </c>
      <c r="C769" s="114" t="s">
        <v>392</v>
      </c>
      <c r="D769" s="3" t="str">
        <f>VLOOKUP(C769,'Location Summary'!$C$4:$D$602,2,0)</f>
        <v>DA+9</v>
      </c>
      <c r="E769" s="267" t="s">
        <v>403</v>
      </c>
      <c r="F769" s="268" t="s">
        <v>683</v>
      </c>
      <c r="Q769" s="157">
        <v>1</v>
      </c>
      <c r="X769" s="35">
        <f t="shared" si="82"/>
        <v>45661</v>
      </c>
      <c r="Y769" s="35">
        <f t="shared" si="83"/>
        <v>45689</v>
      </c>
    </row>
    <row r="770" spans="1:25" ht="20.149999999999999" customHeight="1">
      <c r="A770" s="10">
        <f>SUBTOTAL(103,$B$4:B770)</f>
        <v>767</v>
      </c>
      <c r="B770" s="111">
        <v>45661</v>
      </c>
      <c r="C770" s="114" t="s">
        <v>622</v>
      </c>
      <c r="D770" s="3" t="str">
        <f>VLOOKUP(C770,'Location Summary'!$C$4:$D$602,2,0)</f>
        <v>DA+1.5</v>
      </c>
      <c r="E770" s="267" t="s">
        <v>403</v>
      </c>
      <c r="F770" s="268" t="s">
        <v>683</v>
      </c>
      <c r="J770" s="158">
        <v>1</v>
      </c>
      <c r="X770" s="35">
        <f t="shared" si="82"/>
        <v>45661</v>
      </c>
      <c r="Y770" s="35">
        <f t="shared" si="83"/>
        <v>45689</v>
      </c>
    </row>
    <row r="771" spans="1:25" ht="20.149999999999999" customHeight="1">
      <c r="A771" s="10">
        <f>SUBTOTAL(103,$B$4:B771)</f>
        <v>768</v>
      </c>
      <c r="B771" s="111">
        <v>45662</v>
      </c>
      <c r="C771" s="114" t="s">
        <v>634</v>
      </c>
      <c r="D771" s="3" t="str">
        <f>VLOOKUP(C771,'Location Summary'!$C$4:$D$602,2,0)</f>
        <v>DA+9</v>
      </c>
      <c r="E771" s="267" t="s">
        <v>403</v>
      </c>
      <c r="F771" s="268" t="s">
        <v>683</v>
      </c>
      <c r="K771" s="157">
        <v>1</v>
      </c>
      <c r="L771" s="156">
        <v>1</v>
      </c>
      <c r="N771" s="157">
        <v>1</v>
      </c>
      <c r="O771" s="156">
        <v>1</v>
      </c>
      <c r="X771" s="35">
        <f t="shared" si="82"/>
        <v>45662</v>
      </c>
      <c r="Y771" s="35">
        <f t="shared" si="83"/>
        <v>45690</v>
      </c>
    </row>
    <row r="772" spans="1:25" ht="20.149999999999999" customHeight="1">
      <c r="A772" s="10">
        <f>SUBTOTAL(103,$B$4:B772)</f>
        <v>769</v>
      </c>
      <c r="B772" s="111">
        <v>45662</v>
      </c>
      <c r="C772" s="114" t="s">
        <v>439</v>
      </c>
      <c r="D772" s="3" t="str">
        <f>VLOOKUP(C772,'Location Summary'!$C$4:$D$602,2,0)</f>
        <v>DA+6</v>
      </c>
      <c r="E772" s="267" t="s">
        <v>403</v>
      </c>
      <c r="F772" s="268" t="s">
        <v>683</v>
      </c>
      <c r="H772" s="157">
        <v>1</v>
      </c>
      <c r="I772" s="156">
        <v>1</v>
      </c>
      <c r="K772" s="157">
        <v>1</v>
      </c>
      <c r="L772" s="156">
        <v>1</v>
      </c>
      <c r="M772" s="158">
        <v>1</v>
      </c>
      <c r="X772" s="35">
        <f t="shared" si="82"/>
        <v>45662</v>
      </c>
      <c r="Y772" s="35">
        <f t="shared" si="83"/>
        <v>45690</v>
      </c>
    </row>
    <row r="773" spans="1:25" ht="20.149999999999999" customHeight="1">
      <c r="A773" s="10">
        <f>SUBTOTAL(103,$B$4:B773)</f>
        <v>770</v>
      </c>
      <c r="B773" s="111">
        <v>45662</v>
      </c>
      <c r="C773" s="114" t="s">
        <v>55</v>
      </c>
      <c r="D773" s="3" t="str">
        <f>VLOOKUP(C773,'Location Summary'!$C$4:$D$602,2,0)</f>
        <v>DC2+15</v>
      </c>
      <c r="E773" s="267" t="s">
        <v>403</v>
      </c>
      <c r="F773" s="268" t="s">
        <v>683</v>
      </c>
      <c r="J773" s="158">
        <v>1</v>
      </c>
      <c r="X773" s="35">
        <f t="shared" si="82"/>
        <v>45662</v>
      </c>
      <c r="Y773" s="35">
        <f t="shared" si="83"/>
        <v>45690</v>
      </c>
    </row>
    <row r="774" spans="1:25" ht="20.149999999999999" customHeight="1">
      <c r="A774" s="10">
        <f>SUBTOTAL(103,$B$4:B774)</f>
        <v>771</v>
      </c>
      <c r="B774" s="111">
        <v>45662</v>
      </c>
      <c r="C774" s="114" t="s">
        <v>392</v>
      </c>
      <c r="D774" s="3" t="str">
        <f>VLOOKUP(C774,'Location Summary'!$C$4:$D$602,2,0)</f>
        <v>DA+9</v>
      </c>
      <c r="E774" s="267" t="s">
        <v>403</v>
      </c>
      <c r="F774" s="268" t="s">
        <v>683</v>
      </c>
      <c r="K774" s="157">
        <v>1</v>
      </c>
      <c r="R774" s="156">
        <v>1</v>
      </c>
      <c r="X774" s="35">
        <f t="shared" si="82"/>
        <v>45662</v>
      </c>
      <c r="Y774" s="35">
        <f t="shared" si="83"/>
        <v>45690</v>
      </c>
    </row>
    <row r="775" spans="1:25" ht="20.149999999999999" customHeight="1">
      <c r="A775" s="10">
        <f>SUBTOTAL(103,$B$4:B775)</f>
        <v>772</v>
      </c>
      <c r="B775" s="111">
        <v>45662</v>
      </c>
      <c r="C775" s="114" t="s">
        <v>622</v>
      </c>
      <c r="D775" s="3" t="str">
        <f>VLOOKUP(C775,'Location Summary'!$C$4:$D$602,2,0)</f>
        <v>DA+1.5</v>
      </c>
      <c r="E775" s="267" t="s">
        <v>403</v>
      </c>
      <c r="F775" s="268" t="s">
        <v>683</v>
      </c>
      <c r="K775" s="157">
        <v>1</v>
      </c>
      <c r="L775" s="156">
        <v>1</v>
      </c>
      <c r="N775" s="157">
        <v>1</v>
      </c>
      <c r="O775" s="156">
        <v>1</v>
      </c>
      <c r="X775" s="35">
        <f t="shared" si="82"/>
        <v>45662</v>
      </c>
      <c r="Y775" s="35">
        <f t="shared" si="83"/>
        <v>45690</v>
      </c>
    </row>
    <row r="776" spans="1:25" ht="20.149999999999999" customHeight="1">
      <c r="A776" s="10">
        <f>SUBTOTAL(103,$B$4:B776)</f>
        <v>773</v>
      </c>
      <c r="B776" s="111">
        <v>45662</v>
      </c>
      <c r="C776" s="114" t="s">
        <v>171</v>
      </c>
      <c r="D776" s="3" t="str">
        <f>VLOOKUP(C776,'Location Summary'!$C$4:$D$602,2,0)</f>
        <v>DA+3</v>
      </c>
      <c r="E776" s="267" t="s">
        <v>403</v>
      </c>
      <c r="F776" s="268" t="s">
        <v>683</v>
      </c>
      <c r="J776" s="158">
        <v>1</v>
      </c>
      <c r="M776" s="158">
        <v>1</v>
      </c>
      <c r="X776" s="35">
        <f t="shared" si="82"/>
        <v>45662</v>
      </c>
      <c r="Y776" s="35">
        <f t="shared" si="83"/>
        <v>45690</v>
      </c>
    </row>
    <row r="777" spans="1:25" ht="20.149999999999999" customHeight="1">
      <c r="A777" s="10">
        <f>SUBTOTAL(103,$B$4:B777)</f>
        <v>774</v>
      </c>
      <c r="B777" s="111">
        <v>45663</v>
      </c>
      <c r="C777" s="114" t="s">
        <v>635</v>
      </c>
      <c r="D777" s="3" t="str">
        <f>VLOOKUP(C777,'Location Summary'!$C$4:$D$602,2,0)</f>
        <v>DA+3</v>
      </c>
      <c r="E777" s="267" t="s">
        <v>403</v>
      </c>
      <c r="F777" s="268" t="s">
        <v>683</v>
      </c>
      <c r="G777" s="158">
        <v>1</v>
      </c>
      <c r="J777" s="158">
        <v>1</v>
      </c>
      <c r="X777" s="35">
        <f t="shared" si="82"/>
        <v>45663</v>
      </c>
      <c r="Y777" s="35">
        <f t="shared" si="83"/>
        <v>45691</v>
      </c>
    </row>
    <row r="778" spans="1:25" ht="20.149999999999999" customHeight="1">
      <c r="A778" s="10">
        <f>SUBTOTAL(103,$B$4:B778)</f>
        <v>775</v>
      </c>
      <c r="B778" s="111">
        <v>45663</v>
      </c>
      <c r="C778" s="114" t="s">
        <v>262</v>
      </c>
      <c r="D778" s="3" t="str">
        <f>VLOOKUP(C778,'Location Summary'!$C$4:$D$602,2,0)</f>
        <v>DB1+0</v>
      </c>
      <c r="E778" s="267" t="s">
        <v>403</v>
      </c>
      <c r="F778" s="268" t="s">
        <v>683</v>
      </c>
      <c r="J778" s="158">
        <v>1</v>
      </c>
      <c r="N778" s="157">
        <v>1</v>
      </c>
      <c r="X778" s="35">
        <f t="shared" si="82"/>
        <v>45663</v>
      </c>
      <c r="Y778" s="35">
        <f t="shared" si="83"/>
        <v>45691</v>
      </c>
    </row>
    <row r="779" spans="1:25" ht="20.149999999999999" customHeight="1">
      <c r="A779" s="10">
        <f>SUBTOTAL(103,$B$4:B779)</f>
        <v>776</v>
      </c>
      <c r="B779" s="111">
        <v>45663</v>
      </c>
      <c r="C779" s="114" t="s">
        <v>439</v>
      </c>
      <c r="D779" s="3" t="str">
        <f>VLOOKUP(C779,'Location Summary'!$C$4:$D$602,2,0)</f>
        <v>DA+6</v>
      </c>
      <c r="E779" s="267" t="s">
        <v>403</v>
      </c>
      <c r="F779" s="268" t="s">
        <v>683</v>
      </c>
      <c r="N779" s="157">
        <v>1</v>
      </c>
      <c r="P779" s="158">
        <v>1</v>
      </c>
      <c r="Q779" s="157">
        <v>1</v>
      </c>
      <c r="X779" s="35">
        <f t="shared" si="82"/>
        <v>45663</v>
      </c>
      <c r="Y779" s="35">
        <f t="shared" si="83"/>
        <v>45691</v>
      </c>
    </row>
    <row r="780" spans="1:25" ht="20.149999999999999" customHeight="1">
      <c r="A780" s="10">
        <f>SUBTOTAL(103,$B$4:B780)</f>
        <v>777</v>
      </c>
      <c r="B780" s="111">
        <v>45663</v>
      </c>
      <c r="C780" s="114" t="s">
        <v>55</v>
      </c>
      <c r="D780" s="3" t="str">
        <f>VLOOKUP(C780,'Location Summary'!$C$4:$D$602,2,0)</f>
        <v>DC2+15</v>
      </c>
      <c r="E780" s="267" t="s">
        <v>403</v>
      </c>
      <c r="F780" s="268" t="s">
        <v>683</v>
      </c>
      <c r="K780" s="157">
        <v>1</v>
      </c>
      <c r="X780" s="35">
        <f t="shared" si="82"/>
        <v>45663</v>
      </c>
      <c r="Y780" s="35">
        <f t="shared" si="83"/>
        <v>45691</v>
      </c>
    </row>
    <row r="781" spans="1:25" ht="20.149999999999999" customHeight="1">
      <c r="A781" s="10">
        <f>SUBTOTAL(103,$B$4:B781)</f>
        <v>778</v>
      </c>
      <c r="B781" s="111">
        <v>45663</v>
      </c>
      <c r="C781" s="114" t="s">
        <v>392</v>
      </c>
      <c r="D781" s="3" t="str">
        <f>VLOOKUP(C781,'Location Summary'!$C$4:$D$602,2,0)</f>
        <v>DA+9</v>
      </c>
      <c r="E781" s="267" t="s">
        <v>403</v>
      </c>
      <c r="F781" s="268" t="s">
        <v>683</v>
      </c>
      <c r="L781" s="156">
        <v>1</v>
      </c>
      <c r="X781" s="35">
        <f t="shared" si="82"/>
        <v>45663</v>
      </c>
      <c r="Y781" s="35">
        <f t="shared" si="83"/>
        <v>45691</v>
      </c>
    </row>
    <row r="782" spans="1:25" ht="20.149999999999999" customHeight="1">
      <c r="A782" s="10">
        <f>SUBTOTAL(103,$B$4:B782)</f>
        <v>779</v>
      </c>
      <c r="B782" s="111">
        <v>45663</v>
      </c>
      <c r="C782" s="114" t="s">
        <v>623</v>
      </c>
      <c r="D782" s="3" t="str">
        <f>VLOOKUP(C782,'Location Summary'!$C$4:$D$602,2,0)</f>
        <v>DA+1.5</v>
      </c>
      <c r="E782" s="267" t="s">
        <v>403</v>
      </c>
      <c r="F782" s="268" t="s">
        <v>683</v>
      </c>
      <c r="G782" s="158">
        <v>1</v>
      </c>
      <c r="J782" s="158">
        <v>1</v>
      </c>
      <c r="X782" s="35">
        <f t="shared" si="82"/>
        <v>45663</v>
      </c>
      <c r="Y782" s="35">
        <f t="shared" si="83"/>
        <v>45691</v>
      </c>
    </row>
    <row r="783" spans="1:25" ht="20.149999999999999" customHeight="1">
      <c r="A783" s="10">
        <f>SUBTOTAL(103,$B$4:B783)</f>
        <v>780</v>
      </c>
      <c r="B783" s="111">
        <v>45663</v>
      </c>
      <c r="C783" s="114" t="s">
        <v>171</v>
      </c>
      <c r="D783" s="3" t="str">
        <f>VLOOKUP(C783,'Location Summary'!$C$4:$D$602,2,0)</f>
        <v>DA+3</v>
      </c>
      <c r="E783" s="267" t="s">
        <v>403</v>
      </c>
      <c r="F783" s="268" t="s">
        <v>683</v>
      </c>
      <c r="K783" s="157">
        <v>1</v>
      </c>
      <c r="N783" s="157">
        <v>1</v>
      </c>
      <c r="X783" s="35">
        <f t="shared" si="82"/>
        <v>45663</v>
      </c>
      <c r="Y783" s="35">
        <f t="shared" si="83"/>
        <v>45691</v>
      </c>
    </row>
    <row r="784" spans="1:25" ht="20.149999999999999" customHeight="1">
      <c r="A784" s="10">
        <f>SUBTOTAL(103,$B$4:B784)</f>
        <v>781</v>
      </c>
      <c r="B784" s="111">
        <v>45664</v>
      </c>
      <c r="C784" s="114" t="s">
        <v>635</v>
      </c>
      <c r="D784" s="3" t="str">
        <f>VLOOKUP(C784,'Location Summary'!$C$4:$D$602,2,0)</f>
        <v>DA+3</v>
      </c>
      <c r="E784" s="267" t="s">
        <v>403</v>
      </c>
      <c r="F784" s="268" t="s">
        <v>683</v>
      </c>
      <c r="H784" s="157">
        <v>1</v>
      </c>
      <c r="I784" s="156">
        <v>1</v>
      </c>
      <c r="K784" s="157">
        <v>1</v>
      </c>
      <c r="L784" s="156">
        <v>1</v>
      </c>
      <c r="M784" s="158">
        <v>1</v>
      </c>
      <c r="X784" s="35">
        <f t="shared" si="82"/>
        <v>45664</v>
      </c>
      <c r="Y784" s="35">
        <f t="shared" si="83"/>
        <v>45692</v>
      </c>
    </row>
    <row r="785" spans="1:25" ht="20.149999999999999" customHeight="1">
      <c r="A785" s="10">
        <f>SUBTOTAL(103,$B$4:B785)</f>
        <v>782</v>
      </c>
      <c r="B785" s="111">
        <v>45664</v>
      </c>
      <c r="C785" s="114" t="s">
        <v>262</v>
      </c>
      <c r="D785" s="3" t="str">
        <f>VLOOKUP(C785,'Location Summary'!$C$4:$D$602,2,0)</f>
        <v>DB1+0</v>
      </c>
      <c r="E785" s="267" t="s">
        <v>403</v>
      </c>
      <c r="F785" s="268" t="s">
        <v>683</v>
      </c>
      <c r="O785" s="156">
        <v>1</v>
      </c>
      <c r="X785" s="35">
        <f t="shared" si="82"/>
        <v>45664</v>
      </c>
      <c r="Y785" s="35">
        <f t="shared" si="83"/>
        <v>45692</v>
      </c>
    </row>
    <row r="786" spans="1:25" ht="20.149999999999999" customHeight="1">
      <c r="A786" s="10">
        <f>SUBTOTAL(103,$B$4:B786)</f>
        <v>783</v>
      </c>
      <c r="B786" s="111">
        <v>45664</v>
      </c>
      <c r="C786" s="114" t="s">
        <v>439</v>
      </c>
      <c r="D786" s="3" t="str">
        <f>VLOOKUP(C786,'Location Summary'!$C$4:$D$602,2,0)</f>
        <v>DA+6</v>
      </c>
      <c r="E786" s="267" t="s">
        <v>403</v>
      </c>
      <c r="F786" s="268" t="s">
        <v>683</v>
      </c>
      <c r="O786" s="156">
        <v>1</v>
      </c>
      <c r="R786" s="156">
        <v>1</v>
      </c>
      <c r="X786" s="35">
        <f t="shared" si="82"/>
        <v>45664</v>
      </c>
      <c r="Y786" s="35">
        <f t="shared" si="83"/>
        <v>45692</v>
      </c>
    </row>
    <row r="787" spans="1:25" ht="20.149999999999999" customHeight="1">
      <c r="A787" s="10">
        <f>SUBTOTAL(103,$B$4:B787)</f>
        <v>784</v>
      </c>
      <c r="B787" s="111">
        <v>45664</v>
      </c>
      <c r="C787" s="114" t="s">
        <v>55</v>
      </c>
      <c r="D787" s="3" t="str">
        <f>VLOOKUP(C787,'Location Summary'!$C$4:$D$602,2,0)</f>
        <v>DC2+15</v>
      </c>
      <c r="E787" s="267" t="s">
        <v>403</v>
      </c>
      <c r="F787" s="268" t="s">
        <v>683</v>
      </c>
      <c r="G787" s="158">
        <v>1</v>
      </c>
      <c r="L787" s="156">
        <v>1</v>
      </c>
      <c r="X787" s="35">
        <f t="shared" si="82"/>
        <v>45664</v>
      </c>
      <c r="Y787" s="35">
        <f t="shared" si="83"/>
        <v>45692</v>
      </c>
    </row>
    <row r="788" spans="1:25" ht="20.149999999999999" customHeight="1">
      <c r="A788" s="10">
        <f>SUBTOTAL(103,$B$4:B788)</f>
        <v>785</v>
      </c>
      <c r="B788" s="111">
        <v>45664</v>
      </c>
      <c r="C788" s="114" t="s">
        <v>623</v>
      </c>
      <c r="D788" s="3" t="str">
        <f>VLOOKUP(C788,'Location Summary'!$C$4:$D$602,2,0)</f>
        <v>DA+1.5</v>
      </c>
      <c r="E788" s="267" t="s">
        <v>403</v>
      </c>
      <c r="F788" s="268" t="s">
        <v>683</v>
      </c>
      <c r="H788" s="157">
        <v>1</v>
      </c>
      <c r="I788" s="156">
        <v>1</v>
      </c>
      <c r="K788" s="157">
        <v>1</v>
      </c>
      <c r="L788" s="156">
        <v>1</v>
      </c>
      <c r="X788" s="35">
        <f t="shared" si="82"/>
        <v>45664</v>
      </c>
      <c r="Y788" s="35">
        <f t="shared" si="83"/>
        <v>45692</v>
      </c>
    </row>
    <row r="789" spans="1:25" ht="20.149999999999999" customHeight="1">
      <c r="A789" s="10">
        <f>SUBTOTAL(103,$B$4:B789)</f>
        <v>786</v>
      </c>
      <c r="B789" s="111">
        <v>45664</v>
      </c>
      <c r="C789" s="114" t="s">
        <v>171</v>
      </c>
      <c r="D789" s="3" t="str">
        <f>VLOOKUP(C789,'Location Summary'!$C$4:$D$602,2,0)</f>
        <v>DA+3</v>
      </c>
      <c r="E789" s="267" t="s">
        <v>403</v>
      </c>
      <c r="F789" s="268" t="s">
        <v>683</v>
      </c>
      <c r="G789" s="158">
        <v>1</v>
      </c>
      <c r="L789" s="156">
        <v>1</v>
      </c>
      <c r="O789" s="156">
        <v>1</v>
      </c>
      <c r="P789" s="158">
        <v>1</v>
      </c>
      <c r="X789" s="35">
        <f t="shared" si="82"/>
        <v>45664</v>
      </c>
      <c r="Y789" s="35">
        <f t="shared" si="83"/>
        <v>45692</v>
      </c>
    </row>
    <row r="790" spans="1:25" ht="20.149999999999999" customHeight="1">
      <c r="A790" s="10">
        <f>SUBTOTAL(103,$B$4:B790)</f>
        <v>787</v>
      </c>
      <c r="B790" s="111">
        <v>45665</v>
      </c>
      <c r="C790" s="114" t="s">
        <v>635</v>
      </c>
      <c r="D790" s="3" t="str">
        <f>VLOOKUP(C790,'Location Summary'!$C$4:$D$602,2,0)</f>
        <v>DA+3</v>
      </c>
      <c r="E790" s="267" t="s">
        <v>403</v>
      </c>
      <c r="F790" s="268" t="s">
        <v>683</v>
      </c>
      <c r="N790" s="157">
        <v>1</v>
      </c>
      <c r="O790" s="156">
        <v>1</v>
      </c>
      <c r="P790" s="158">
        <v>1</v>
      </c>
      <c r="X790" s="35">
        <f t="shared" si="82"/>
        <v>45665</v>
      </c>
      <c r="Y790" s="35">
        <f t="shared" si="83"/>
        <v>45693</v>
      </c>
    </row>
    <row r="791" spans="1:25" ht="20.149999999999999" customHeight="1">
      <c r="A791" s="10">
        <f>SUBTOTAL(103,$B$4:B791)</f>
        <v>788</v>
      </c>
      <c r="B791" s="111">
        <v>45665</v>
      </c>
      <c r="C791" s="114" t="s">
        <v>440</v>
      </c>
      <c r="D791" s="3" t="str">
        <f>VLOOKUP(C791,'Location Summary'!$C$4:$D$602,2,0)</f>
        <v>DA-3</v>
      </c>
      <c r="E791" s="267" t="s">
        <v>403</v>
      </c>
      <c r="F791" s="268" t="s">
        <v>683</v>
      </c>
      <c r="G791" s="158">
        <v>1</v>
      </c>
      <c r="J791" s="158">
        <v>1</v>
      </c>
      <c r="M791" s="158">
        <v>1</v>
      </c>
      <c r="P791" s="158">
        <v>1</v>
      </c>
      <c r="X791" s="35">
        <f t="shared" si="82"/>
        <v>45665</v>
      </c>
      <c r="Y791" s="35">
        <f t="shared" si="83"/>
        <v>45693</v>
      </c>
    </row>
    <row r="792" spans="1:25" ht="20.149999999999999" customHeight="1">
      <c r="A792" s="10">
        <f>SUBTOTAL(103,$B$4:B792)</f>
        <v>789</v>
      </c>
      <c r="B792" s="111">
        <v>45665</v>
      </c>
      <c r="C792" s="114" t="s">
        <v>623</v>
      </c>
      <c r="D792" s="3" t="str">
        <f>VLOOKUP(C792,'Location Summary'!$C$4:$D$602,2,0)</f>
        <v>DA+1.5</v>
      </c>
      <c r="E792" s="267" t="s">
        <v>403</v>
      </c>
      <c r="F792" s="268" t="s">
        <v>683</v>
      </c>
      <c r="M792" s="158">
        <v>1</v>
      </c>
      <c r="P792" s="158">
        <v>1</v>
      </c>
      <c r="X792" s="35">
        <f t="shared" si="82"/>
        <v>45665</v>
      </c>
      <c r="Y792" s="35">
        <f t="shared" si="83"/>
        <v>45693</v>
      </c>
    </row>
    <row r="793" spans="1:25" ht="20.149999999999999" customHeight="1">
      <c r="A793" s="10">
        <f>SUBTOTAL(103,$B$4:B793)</f>
        <v>790</v>
      </c>
      <c r="B793" s="111">
        <v>45665</v>
      </c>
      <c r="C793" s="114" t="s">
        <v>171</v>
      </c>
      <c r="D793" s="3" t="str">
        <f>VLOOKUP(C793,'Location Summary'!$C$4:$D$602,2,0)</f>
        <v>DA+3</v>
      </c>
      <c r="E793" s="267" t="s">
        <v>403</v>
      </c>
      <c r="F793" s="268" t="s">
        <v>683</v>
      </c>
      <c r="H793" s="157">
        <v>1</v>
      </c>
      <c r="I793" s="156">
        <v>1</v>
      </c>
      <c r="Q793" s="157">
        <v>1</v>
      </c>
      <c r="R793" s="156">
        <v>1</v>
      </c>
      <c r="X793" s="35">
        <f t="shared" si="82"/>
        <v>45665</v>
      </c>
      <c r="Y793" s="35">
        <f t="shared" si="83"/>
        <v>45693</v>
      </c>
    </row>
    <row r="794" spans="1:25" ht="20.149999999999999" customHeight="1">
      <c r="A794" s="10">
        <f>SUBTOTAL(103,$B$4:B794)</f>
        <v>791</v>
      </c>
      <c r="B794" s="111">
        <v>45666</v>
      </c>
      <c r="C794" s="114" t="s">
        <v>635</v>
      </c>
      <c r="D794" s="3" t="str">
        <f>VLOOKUP(C794,'Location Summary'!$C$4:$D$602,2,0)</f>
        <v>DA+3</v>
      </c>
      <c r="E794" s="267" t="s">
        <v>403</v>
      </c>
      <c r="F794" s="268" t="s">
        <v>683</v>
      </c>
      <c r="Q794" s="157">
        <v>1</v>
      </c>
      <c r="R794" s="156">
        <v>1</v>
      </c>
      <c r="X794" s="35">
        <f t="shared" si="82"/>
        <v>45666</v>
      </c>
      <c r="Y794" s="35">
        <f t="shared" si="83"/>
        <v>45694</v>
      </c>
    </row>
    <row r="795" spans="1:25" ht="20.149999999999999" customHeight="1">
      <c r="A795" s="10">
        <f>SUBTOTAL(103,$B$4:B795)</f>
        <v>792</v>
      </c>
      <c r="B795" s="111">
        <v>45666</v>
      </c>
      <c r="C795" s="114" t="s">
        <v>262</v>
      </c>
      <c r="D795" s="3" t="str">
        <f>VLOOKUP(C795,'Location Summary'!$C$4:$D$602,2,0)</f>
        <v>DB1+0</v>
      </c>
      <c r="E795" s="267" t="s">
        <v>403</v>
      </c>
      <c r="F795" s="268" t="s">
        <v>683</v>
      </c>
      <c r="K795" s="157">
        <v>1</v>
      </c>
      <c r="L795" s="156">
        <v>1</v>
      </c>
      <c r="P795" s="158">
        <v>1</v>
      </c>
      <c r="X795" s="35">
        <f t="shared" si="82"/>
        <v>45666</v>
      </c>
      <c r="Y795" s="35">
        <f t="shared" si="83"/>
        <v>45694</v>
      </c>
    </row>
    <row r="796" spans="1:25" ht="20.149999999999999" customHeight="1">
      <c r="A796" s="10">
        <f>SUBTOTAL(103,$B$4:B796)</f>
        <v>793</v>
      </c>
      <c r="B796" s="111">
        <v>45666</v>
      </c>
      <c r="C796" s="114" t="s">
        <v>440</v>
      </c>
      <c r="D796" s="3" t="str">
        <f>VLOOKUP(C796,'Location Summary'!$C$4:$D$602,2,0)</f>
        <v>DA-3</v>
      </c>
      <c r="E796" s="267" t="s">
        <v>403</v>
      </c>
      <c r="F796" s="268" t="s">
        <v>683</v>
      </c>
      <c r="H796" s="157">
        <v>1</v>
      </c>
      <c r="I796" s="156">
        <v>1</v>
      </c>
      <c r="K796" s="157">
        <v>1</v>
      </c>
      <c r="L796" s="156">
        <v>1</v>
      </c>
      <c r="N796" s="157">
        <v>1</v>
      </c>
      <c r="O796" s="156">
        <v>1</v>
      </c>
      <c r="Q796" s="157">
        <v>1</v>
      </c>
      <c r="X796" s="35">
        <f t="shared" si="82"/>
        <v>45666</v>
      </c>
      <c r="Y796" s="35">
        <f t="shared" si="83"/>
        <v>45694</v>
      </c>
    </row>
    <row r="797" spans="1:25" ht="20.149999999999999" customHeight="1">
      <c r="A797" s="10">
        <f>SUBTOTAL(103,$B$4:B797)</f>
        <v>794</v>
      </c>
      <c r="B797" s="111">
        <v>45666</v>
      </c>
      <c r="C797" s="114" t="s">
        <v>623</v>
      </c>
      <c r="D797" s="3" t="str">
        <f>VLOOKUP(C797,'Location Summary'!$C$4:$D$602,2,0)</f>
        <v>DA+1.5</v>
      </c>
      <c r="E797" s="267" t="s">
        <v>403</v>
      </c>
      <c r="F797" s="268" t="s">
        <v>683</v>
      </c>
      <c r="N797" s="157">
        <v>1</v>
      </c>
      <c r="O797" s="156">
        <v>1</v>
      </c>
      <c r="Q797" s="157">
        <v>1</v>
      </c>
      <c r="R797" s="156">
        <v>1</v>
      </c>
      <c r="X797" s="35">
        <f t="shared" si="82"/>
        <v>45666</v>
      </c>
      <c r="Y797" s="35">
        <f t="shared" si="83"/>
        <v>45694</v>
      </c>
    </row>
    <row r="798" spans="1:25" ht="20.149999999999999" customHeight="1">
      <c r="A798" s="10">
        <f>SUBTOTAL(103,$B$4:B798)</f>
        <v>795</v>
      </c>
      <c r="B798" s="111">
        <v>45666</v>
      </c>
      <c r="C798" s="114" t="s">
        <v>636</v>
      </c>
      <c r="D798" s="3" t="str">
        <f>VLOOKUP(C798,'Location Summary'!$C$4:$D$602,2,0)</f>
        <v>DA+9</v>
      </c>
      <c r="E798" s="267" t="s">
        <v>403</v>
      </c>
      <c r="F798" s="268" t="s">
        <v>683</v>
      </c>
      <c r="G798" s="158">
        <v>1</v>
      </c>
      <c r="J798" s="158">
        <v>1</v>
      </c>
      <c r="X798" s="35">
        <f t="shared" si="82"/>
        <v>45666</v>
      </c>
      <c r="Y798" s="35">
        <f t="shared" si="83"/>
        <v>45694</v>
      </c>
    </row>
    <row r="799" spans="1:25" ht="20.149999999999999" customHeight="1">
      <c r="A799" s="10">
        <f>SUBTOTAL(103,$B$4:B799)</f>
        <v>796</v>
      </c>
      <c r="B799" s="111">
        <v>45667</v>
      </c>
      <c r="C799" s="114" t="s">
        <v>636</v>
      </c>
      <c r="D799" s="3" t="str">
        <f>VLOOKUP(C799,'Location Summary'!$C$4:$D$602,2,0)</f>
        <v>DA+9</v>
      </c>
      <c r="E799" s="267" t="s">
        <v>403</v>
      </c>
      <c r="F799" s="268" t="s">
        <v>683</v>
      </c>
      <c r="H799" s="157">
        <v>1</v>
      </c>
      <c r="K799" s="157">
        <v>1</v>
      </c>
      <c r="P799" s="158">
        <v>1</v>
      </c>
      <c r="X799" s="35">
        <f t="shared" si="82"/>
        <v>45667</v>
      </c>
      <c r="Y799" s="35">
        <f t="shared" si="83"/>
        <v>45695</v>
      </c>
    </row>
    <row r="800" spans="1:25" ht="20.149999999999999" customHeight="1">
      <c r="A800" s="10">
        <f>SUBTOTAL(103,$B$4:B800)</f>
        <v>797</v>
      </c>
      <c r="B800" s="111">
        <v>45667</v>
      </c>
      <c r="C800" s="114" t="s">
        <v>262</v>
      </c>
      <c r="D800" s="3" t="str">
        <f>VLOOKUP(C800,'Location Summary'!$C$4:$D$602,2,0)</f>
        <v>DB1+0</v>
      </c>
      <c r="E800" s="267" t="s">
        <v>403</v>
      </c>
      <c r="F800" s="268" t="s">
        <v>683</v>
      </c>
      <c r="Q800" s="157">
        <v>1</v>
      </c>
      <c r="R800" s="156">
        <v>1</v>
      </c>
      <c r="X800" s="35">
        <f t="shared" si="82"/>
        <v>45667</v>
      </c>
      <c r="Y800" s="35">
        <f t="shared" si="83"/>
        <v>45695</v>
      </c>
    </row>
    <row r="801" spans="1:25" ht="20.149999999999999" customHeight="1">
      <c r="A801" s="10">
        <f>SUBTOTAL(103,$B$4:B801)</f>
        <v>798</v>
      </c>
      <c r="B801" s="111">
        <v>45667</v>
      </c>
      <c r="C801" s="114" t="s">
        <v>440</v>
      </c>
      <c r="D801" s="3" t="str">
        <f>VLOOKUP(C801,'Location Summary'!$C$4:$D$602,2,0)</f>
        <v>DA-3</v>
      </c>
      <c r="E801" s="267" t="s">
        <v>403</v>
      </c>
      <c r="F801" s="268" t="s">
        <v>683</v>
      </c>
      <c r="R801" s="156">
        <v>1</v>
      </c>
      <c r="X801" s="35">
        <f t="shared" si="82"/>
        <v>45667</v>
      </c>
      <c r="Y801" s="35">
        <f t="shared" si="83"/>
        <v>45695</v>
      </c>
    </row>
    <row r="802" spans="1:25" ht="20.149999999999999" customHeight="1">
      <c r="A802" s="10">
        <f>SUBTOTAL(103,$B$4:B802)</f>
        <v>799</v>
      </c>
      <c r="B802" s="111">
        <v>45667</v>
      </c>
      <c r="C802" s="114" t="s">
        <v>172</v>
      </c>
      <c r="D802" s="3" t="str">
        <f>VLOOKUP(C802,'Location Summary'!$C$4:$D$602,2,0)</f>
        <v>DA+9</v>
      </c>
      <c r="E802" s="267" t="s">
        <v>403</v>
      </c>
      <c r="F802" s="268" t="s">
        <v>683</v>
      </c>
      <c r="G802" s="158">
        <v>1</v>
      </c>
      <c r="M802" s="158">
        <v>1</v>
      </c>
      <c r="X802" s="35">
        <f t="shared" si="82"/>
        <v>45667</v>
      </c>
      <c r="Y802" s="35">
        <f t="shared" si="83"/>
        <v>45695</v>
      </c>
    </row>
    <row r="803" spans="1:25" ht="20.149999999999999" customHeight="1">
      <c r="A803" s="10">
        <f>SUBTOTAL(103,$B$4:B803)</f>
        <v>800</v>
      </c>
      <c r="B803" s="111">
        <v>45668</v>
      </c>
      <c r="C803" s="114" t="s">
        <v>636</v>
      </c>
      <c r="D803" s="3" t="str">
        <f>VLOOKUP(C803,'Location Summary'!$C$4:$D$602,2,0)</f>
        <v>DA+9</v>
      </c>
      <c r="E803" s="267" t="s">
        <v>403</v>
      </c>
      <c r="F803" s="268" t="s">
        <v>683</v>
      </c>
      <c r="I803" s="156">
        <v>1</v>
      </c>
      <c r="L803" s="156">
        <v>1</v>
      </c>
      <c r="X803" s="35">
        <f t="shared" si="82"/>
        <v>45668</v>
      </c>
      <c r="Y803" s="35">
        <f t="shared" si="83"/>
        <v>45696</v>
      </c>
    </row>
    <row r="804" spans="1:25" ht="20.149999999999999" customHeight="1">
      <c r="A804" s="10">
        <f>SUBTOTAL(103,$B$4:B804)</f>
        <v>801</v>
      </c>
      <c r="B804" s="111">
        <v>45668</v>
      </c>
      <c r="C804" s="114" t="s">
        <v>441</v>
      </c>
      <c r="D804" s="3" t="str">
        <f>VLOOKUP(C804,'Location Summary'!$C$4:$D$602,2,0)</f>
        <v>DA+3</v>
      </c>
      <c r="E804" s="267" t="s">
        <v>403</v>
      </c>
      <c r="F804" s="268" t="s">
        <v>683</v>
      </c>
      <c r="G804" s="158">
        <v>1</v>
      </c>
      <c r="P804" s="158">
        <v>1</v>
      </c>
      <c r="X804" s="35">
        <f t="shared" si="82"/>
        <v>45668</v>
      </c>
      <c r="Y804" s="35">
        <f t="shared" si="83"/>
        <v>45696</v>
      </c>
    </row>
    <row r="805" spans="1:25" ht="20.149999999999999" customHeight="1">
      <c r="A805" s="10">
        <f>SUBTOTAL(103,$B$4:B805)</f>
        <v>802</v>
      </c>
      <c r="B805" s="111">
        <v>45669</v>
      </c>
      <c r="C805" s="114" t="s">
        <v>636</v>
      </c>
      <c r="D805" s="3" t="str">
        <f>VLOOKUP(C805,'Location Summary'!$C$4:$D$602,2,0)</f>
        <v>DA+9</v>
      </c>
      <c r="E805" s="267" t="s">
        <v>403</v>
      </c>
      <c r="F805" s="268" t="s">
        <v>683</v>
      </c>
      <c r="M805" s="158">
        <v>1</v>
      </c>
      <c r="Q805" s="157">
        <v>1</v>
      </c>
      <c r="X805" s="35">
        <f t="shared" si="82"/>
        <v>45669</v>
      </c>
      <c r="Y805" s="35">
        <f t="shared" si="83"/>
        <v>45697</v>
      </c>
    </row>
    <row r="806" spans="1:25" ht="20.149999999999999" customHeight="1">
      <c r="A806" s="10">
        <f>SUBTOTAL(103,$B$4:B806)</f>
        <v>803</v>
      </c>
      <c r="B806" s="111">
        <v>45669</v>
      </c>
      <c r="C806" s="114" t="s">
        <v>262</v>
      </c>
      <c r="D806" s="3" t="str">
        <f>VLOOKUP(C806,'Location Summary'!$C$4:$D$602,2,0)</f>
        <v>DB1+0</v>
      </c>
      <c r="E806" s="267" t="s">
        <v>403</v>
      </c>
      <c r="F806" s="268" t="s">
        <v>683</v>
      </c>
      <c r="G806" s="158">
        <v>1</v>
      </c>
      <c r="X806" s="35">
        <f t="shared" si="82"/>
        <v>45669</v>
      </c>
      <c r="Y806" s="35">
        <f t="shared" si="83"/>
        <v>45697</v>
      </c>
    </row>
    <row r="807" spans="1:25" ht="20.149999999999999" customHeight="1">
      <c r="A807" s="10">
        <f>SUBTOTAL(103,$B$4:B807)</f>
        <v>804</v>
      </c>
      <c r="B807" s="111">
        <v>45669</v>
      </c>
      <c r="C807" s="114" t="s">
        <v>441</v>
      </c>
      <c r="D807" s="3" t="str">
        <f>VLOOKUP(C807,'Location Summary'!$C$4:$D$602,2,0)</f>
        <v>DA+3</v>
      </c>
      <c r="E807" s="267" t="s">
        <v>403</v>
      </c>
      <c r="F807" s="268" t="s">
        <v>683</v>
      </c>
      <c r="H807" s="157">
        <v>1</v>
      </c>
      <c r="I807" s="156">
        <v>1</v>
      </c>
      <c r="J807" s="158">
        <v>1</v>
      </c>
      <c r="M807" s="158">
        <v>1</v>
      </c>
      <c r="Q807" s="157">
        <v>1</v>
      </c>
      <c r="R807" s="156">
        <v>1</v>
      </c>
      <c r="X807" s="35">
        <f t="shared" si="82"/>
        <v>45669</v>
      </c>
      <c r="Y807" s="35">
        <f t="shared" si="83"/>
        <v>45697</v>
      </c>
    </row>
    <row r="808" spans="1:25" ht="20.149999999999999" customHeight="1">
      <c r="A808" s="10">
        <f>SUBTOTAL(103,$B$4:B808)</f>
        <v>805</v>
      </c>
      <c r="B808" s="111">
        <v>45669</v>
      </c>
      <c r="C808" s="114" t="s">
        <v>393</v>
      </c>
      <c r="D808" s="3" t="str">
        <f>VLOOKUP(C808,'Location Summary'!$C$4:$D$602,2,0)</f>
        <v>DA+6</v>
      </c>
      <c r="E808" s="267" t="s">
        <v>403</v>
      </c>
      <c r="F808" s="268" t="s">
        <v>683</v>
      </c>
      <c r="G808" s="158">
        <v>1</v>
      </c>
      <c r="X808" s="35">
        <f t="shared" si="82"/>
        <v>45669</v>
      </c>
      <c r="Y808" s="35">
        <f t="shared" si="83"/>
        <v>45697</v>
      </c>
    </row>
    <row r="809" spans="1:25" ht="20.149999999999999" customHeight="1">
      <c r="A809" s="10">
        <f>SUBTOTAL(103,$B$4:B809)</f>
        <v>806</v>
      </c>
      <c r="B809" s="111">
        <v>45669</v>
      </c>
      <c r="C809" s="114" t="s">
        <v>172</v>
      </c>
      <c r="D809" s="3" t="str">
        <f>VLOOKUP(C809,'Location Summary'!$C$4:$D$602,2,0)</f>
        <v>DA+9</v>
      </c>
      <c r="E809" s="267" t="s">
        <v>403</v>
      </c>
      <c r="F809" s="268" t="s">
        <v>683</v>
      </c>
      <c r="H809" s="157">
        <v>1</v>
      </c>
      <c r="I809" s="156">
        <v>1</v>
      </c>
      <c r="J809" s="158">
        <v>1</v>
      </c>
      <c r="N809" s="157">
        <v>1</v>
      </c>
      <c r="O809" s="156">
        <v>1</v>
      </c>
      <c r="P809" s="158">
        <v>1</v>
      </c>
      <c r="X809" s="35">
        <f t="shared" si="82"/>
        <v>45669</v>
      </c>
      <c r="Y809" s="35">
        <f t="shared" si="83"/>
        <v>45697</v>
      </c>
    </row>
    <row r="810" spans="1:25" ht="20.149999999999999" customHeight="1">
      <c r="A810" s="10">
        <f>SUBTOTAL(103,$B$4:B810)</f>
        <v>807</v>
      </c>
      <c r="B810" s="111">
        <v>45670</v>
      </c>
      <c r="C810" s="114" t="s">
        <v>636</v>
      </c>
      <c r="D810" s="3" t="str">
        <f>VLOOKUP(C810,'Location Summary'!$C$4:$D$602,2,0)</f>
        <v>DA+9</v>
      </c>
      <c r="E810" s="267" t="s">
        <v>403</v>
      </c>
      <c r="F810" s="268" t="s">
        <v>311</v>
      </c>
      <c r="N810" s="157">
        <v>1</v>
      </c>
      <c r="O810" s="156">
        <v>1</v>
      </c>
      <c r="R810" s="156">
        <v>1</v>
      </c>
      <c r="X810" s="35">
        <f t="shared" si="82"/>
        <v>45670</v>
      </c>
      <c r="Y810" s="35">
        <f t="shared" si="83"/>
        <v>45698</v>
      </c>
    </row>
    <row r="811" spans="1:25" ht="20.149999999999999" customHeight="1">
      <c r="A811" s="10">
        <f>SUBTOTAL(103,$B$4:B811)</f>
        <v>808</v>
      </c>
      <c r="B811" s="111">
        <v>45670</v>
      </c>
      <c r="C811" s="114" t="s">
        <v>262</v>
      </c>
      <c r="D811" s="3" t="str">
        <f>VLOOKUP(C811,'Location Summary'!$C$4:$D$602,2,0)</f>
        <v>DB1+0</v>
      </c>
      <c r="E811" s="267" t="s">
        <v>403</v>
      </c>
      <c r="F811" s="268" t="s">
        <v>683</v>
      </c>
      <c r="H811" s="157">
        <v>1</v>
      </c>
      <c r="I811" s="156">
        <v>1</v>
      </c>
      <c r="X811" s="35">
        <f t="shared" si="82"/>
        <v>45670</v>
      </c>
      <c r="Y811" s="35">
        <f t="shared" si="83"/>
        <v>45698</v>
      </c>
    </row>
    <row r="812" spans="1:25" ht="20.149999999999999" customHeight="1">
      <c r="A812" s="10">
        <f>SUBTOTAL(103,$B$4:B812)</f>
        <v>809</v>
      </c>
      <c r="B812" s="111">
        <v>45670</v>
      </c>
      <c r="C812" s="114" t="s">
        <v>441</v>
      </c>
      <c r="D812" s="3" t="str">
        <f>VLOOKUP(C812,'Location Summary'!$C$4:$D$602,2,0)</f>
        <v>DA+3</v>
      </c>
      <c r="E812" s="267" t="s">
        <v>403</v>
      </c>
      <c r="F812" s="268" t="s">
        <v>683</v>
      </c>
      <c r="K812" s="157">
        <v>1</v>
      </c>
      <c r="L812" s="156">
        <v>1</v>
      </c>
      <c r="N812" s="157">
        <v>1</v>
      </c>
      <c r="O812" s="156">
        <v>1</v>
      </c>
      <c r="X812" s="35">
        <f t="shared" si="82"/>
        <v>45670</v>
      </c>
      <c r="Y812" s="35">
        <f t="shared" si="83"/>
        <v>45698</v>
      </c>
    </row>
    <row r="813" spans="1:25" ht="20.149999999999999" customHeight="1">
      <c r="A813" s="10">
        <f>SUBTOTAL(103,$B$4:B813)</f>
        <v>810</v>
      </c>
      <c r="B813" s="111">
        <v>45670</v>
      </c>
      <c r="C813" s="114" t="s">
        <v>393</v>
      </c>
      <c r="D813" s="3" t="str">
        <f>VLOOKUP(C813,'Location Summary'!$C$4:$D$602,2,0)</f>
        <v>DA+6</v>
      </c>
      <c r="E813" s="267" t="s">
        <v>403</v>
      </c>
      <c r="F813" s="268" t="s">
        <v>683</v>
      </c>
      <c r="M813" s="158">
        <v>1</v>
      </c>
      <c r="X813" s="35">
        <f t="shared" ref="X813:X825" si="84">B813</f>
        <v>45670</v>
      </c>
      <c r="Y813" s="35">
        <f t="shared" ref="Y813:Y825" si="85">B813+28</f>
        <v>45698</v>
      </c>
    </row>
    <row r="814" spans="1:25" ht="20.149999999999999" customHeight="1">
      <c r="A814" s="10">
        <f>SUBTOTAL(103,$B$4:B814)</f>
        <v>811</v>
      </c>
      <c r="B814" s="111">
        <v>45670</v>
      </c>
      <c r="C814" s="114" t="s">
        <v>172</v>
      </c>
      <c r="D814" s="3" t="str">
        <f>VLOOKUP(C814,'Location Summary'!$C$4:$D$602,2,0)</f>
        <v>DA+9</v>
      </c>
      <c r="E814" s="267" t="s">
        <v>403</v>
      </c>
      <c r="F814" s="268" t="s">
        <v>683</v>
      </c>
      <c r="K814" s="157">
        <v>1</v>
      </c>
      <c r="L814" s="156">
        <v>1</v>
      </c>
      <c r="Q814" s="157">
        <v>1</v>
      </c>
      <c r="R814" s="156">
        <v>1</v>
      </c>
      <c r="X814" s="35">
        <f t="shared" si="84"/>
        <v>45670</v>
      </c>
      <c r="Y814" s="35">
        <f t="shared" si="85"/>
        <v>45698</v>
      </c>
    </row>
    <row r="815" spans="1:25" ht="20.149999999999999" customHeight="1">
      <c r="A815" s="10">
        <f>SUBTOTAL(103,$B$4:B815)</f>
        <v>812</v>
      </c>
      <c r="B815" s="111">
        <v>45670</v>
      </c>
      <c r="C815" s="114" t="s">
        <v>55</v>
      </c>
      <c r="D815" s="3" t="str">
        <f>VLOOKUP(C815,'Location Summary'!$C$4:$D$602,2,0)</f>
        <v>DC2+15</v>
      </c>
      <c r="E815" s="267" t="s">
        <v>403</v>
      </c>
      <c r="F815" s="268" t="s">
        <v>683</v>
      </c>
      <c r="H815" s="157">
        <v>1</v>
      </c>
      <c r="M815" s="158">
        <v>1</v>
      </c>
      <c r="X815" s="35">
        <f t="shared" si="84"/>
        <v>45670</v>
      </c>
      <c r="Y815" s="35">
        <f t="shared" si="85"/>
        <v>45698</v>
      </c>
    </row>
    <row r="816" spans="1:25" ht="20.149999999999999" customHeight="1">
      <c r="A816" s="10">
        <f>SUBTOTAL(103,$B$4:B816)</f>
        <v>813</v>
      </c>
      <c r="B816" s="111">
        <v>45670</v>
      </c>
      <c r="C816" s="114" t="s">
        <v>624</v>
      </c>
      <c r="D816" s="3" t="str">
        <f>VLOOKUP(C816,'Location Summary'!$C$4:$D$602,2,0)</f>
        <v>DA+3</v>
      </c>
      <c r="E816" s="267" t="s">
        <v>403</v>
      </c>
      <c r="F816" s="268" t="s">
        <v>683</v>
      </c>
      <c r="G816" s="158">
        <v>1</v>
      </c>
      <c r="J816" s="158">
        <v>1</v>
      </c>
      <c r="X816" s="35">
        <f t="shared" si="84"/>
        <v>45670</v>
      </c>
      <c r="Y816" s="35">
        <f t="shared" si="85"/>
        <v>45698</v>
      </c>
    </row>
    <row r="817" spans="1:25" ht="20.149999999999999" customHeight="1">
      <c r="A817" s="10">
        <f>SUBTOTAL(103,$B$4:B817)</f>
        <v>814</v>
      </c>
      <c r="B817" s="111">
        <v>45671</v>
      </c>
      <c r="C817" s="114" t="s">
        <v>638</v>
      </c>
      <c r="D817" s="3" t="str">
        <f>VLOOKUP(C817,'Location Summary'!$C$4:$D$602,2,0)</f>
        <v>DB1+9</v>
      </c>
      <c r="E817" s="267" t="s">
        <v>403</v>
      </c>
      <c r="F817" s="268" t="s">
        <v>683</v>
      </c>
      <c r="M817" s="158">
        <v>1</v>
      </c>
      <c r="X817" s="35">
        <f t="shared" si="84"/>
        <v>45671</v>
      </c>
      <c r="Y817" s="35">
        <f t="shared" si="85"/>
        <v>45699</v>
      </c>
    </row>
    <row r="818" spans="1:25" ht="20.149999999999999" customHeight="1">
      <c r="A818" s="10">
        <f>SUBTOTAL(103,$B$4:B818)</f>
        <v>815</v>
      </c>
      <c r="B818" s="111">
        <v>45671</v>
      </c>
      <c r="C818" s="114" t="s">
        <v>55</v>
      </c>
      <c r="D818" s="3" t="str">
        <f>VLOOKUP(C818,'Location Summary'!$C$4:$D$602,2,0)</f>
        <v>DC2+15</v>
      </c>
      <c r="E818" s="267" t="s">
        <v>403</v>
      </c>
      <c r="F818" s="268" t="s">
        <v>683</v>
      </c>
      <c r="I818" s="156">
        <v>1</v>
      </c>
      <c r="N818" s="157">
        <v>1</v>
      </c>
      <c r="P818" s="158">
        <v>1</v>
      </c>
      <c r="X818" s="35">
        <f t="shared" si="84"/>
        <v>45671</v>
      </c>
      <c r="Y818" s="35">
        <f t="shared" si="85"/>
        <v>45699</v>
      </c>
    </row>
    <row r="819" spans="1:25" ht="20.149999999999999" customHeight="1">
      <c r="A819" s="10">
        <f>SUBTOTAL(103,$B$4:B819)</f>
        <v>816</v>
      </c>
      <c r="B819" s="111">
        <v>45671</v>
      </c>
      <c r="C819" s="114" t="s">
        <v>624</v>
      </c>
      <c r="D819" s="3" t="str">
        <f>VLOOKUP(C819,'Location Summary'!$C$4:$D$602,2,0)</f>
        <v>DA+3</v>
      </c>
      <c r="E819" s="267" t="s">
        <v>403</v>
      </c>
      <c r="F819" s="268" t="s">
        <v>683</v>
      </c>
      <c r="H819" s="157">
        <v>1</v>
      </c>
      <c r="J819" s="158">
        <v>1</v>
      </c>
      <c r="K819" s="157">
        <v>1</v>
      </c>
      <c r="X819" s="35">
        <f t="shared" si="84"/>
        <v>45671</v>
      </c>
      <c r="Y819" s="35">
        <f t="shared" si="85"/>
        <v>45699</v>
      </c>
    </row>
    <row r="820" spans="1:25" ht="20.149999999999999" customHeight="1">
      <c r="A820" s="10">
        <f>SUBTOTAL(103,$B$4:B820)</f>
        <v>817</v>
      </c>
      <c r="B820" s="111">
        <v>45672</v>
      </c>
      <c r="C820" s="114" t="s">
        <v>638</v>
      </c>
      <c r="D820" s="3" t="str">
        <f>VLOOKUP(C820,'Location Summary'!$C$4:$D$602,2,0)</f>
        <v>DB1+9</v>
      </c>
      <c r="E820" s="267" t="s">
        <v>403</v>
      </c>
      <c r="F820" s="268" t="s">
        <v>683</v>
      </c>
      <c r="N820" s="157">
        <v>1</v>
      </c>
      <c r="O820" s="156">
        <v>1</v>
      </c>
      <c r="P820" s="158">
        <v>1</v>
      </c>
      <c r="X820" s="35">
        <f t="shared" si="84"/>
        <v>45672</v>
      </c>
      <c r="Y820" s="35">
        <f t="shared" si="85"/>
        <v>45700</v>
      </c>
    </row>
    <row r="821" spans="1:25" ht="20.149999999999999" customHeight="1">
      <c r="A821" s="10">
        <f>SUBTOTAL(103,$B$4:B821)</f>
        <v>818</v>
      </c>
      <c r="B821" s="111">
        <v>45672</v>
      </c>
      <c r="C821" s="114" t="s">
        <v>442</v>
      </c>
      <c r="D821" s="3" t="str">
        <f>VLOOKUP(C821,'Location Summary'!$C$4:$D$602,2,0)</f>
        <v>DA-3</v>
      </c>
      <c r="E821" s="267" t="s">
        <v>403</v>
      </c>
      <c r="F821" s="268" t="s">
        <v>683</v>
      </c>
      <c r="G821" s="158">
        <v>1</v>
      </c>
      <c r="J821" s="158">
        <v>1</v>
      </c>
      <c r="X821" s="35">
        <f t="shared" si="84"/>
        <v>45672</v>
      </c>
      <c r="Y821" s="35">
        <f t="shared" si="85"/>
        <v>45700</v>
      </c>
    </row>
    <row r="822" spans="1:25" ht="20.149999999999999" customHeight="1">
      <c r="A822" s="10">
        <f>SUBTOTAL(103,$B$4:B822)</f>
        <v>819</v>
      </c>
      <c r="B822" s="111">
        <v>45672</v>
      </c>
      <c r="C822" s="114" t="s">
        <v>55</v>
      </c>
      <c r="D822" s="3" t="str">
        <f>VLOOKUP(C822,'Location Summary'!$C$4:$D$602,2,0)</f>
        <v>DC2+15</v>
      </c>
      <c r="E822" s="267" t="s">
        <v>403</v>
      </c>
      <c r="F822" s="268" t="s">
        <v>683</v>
      </c>
      <c r="O822" s="156">
        <v>1</v>
      </c>
      <c r="Q822" s="157">
        <v>1</v>
      </c>
      <c r="R822" s="156">
        <v>1</v>
      </c>
      <c r="X822" s="35">
        <f t="shared" si="84"/>
        <v>45672</v>
      </c>
      <c r="Y822" s="35">
        <f t="shared" si="85"/>
        <v>45700</v>
      </c>
    </row>
    <row r="823" spans="1:25" ht="20.149999999999999" customHeight="1">
      <c r="A823" s="10">
        <f>SUBTOTAL(103,$B$4:B823)</f>
        <v>820</v>
      </c>
      <c r="B823" s="111">
        <v>45672</v>
      </c>
      <c r="C823" s="114" t="s">
        <v>75</v>
      </c>
      <c r="D823" s="3" t="str">
        <f>VLOOKUP(C823,'Location Summary'!$C$4:$D$602,2,0)</f>
        <v>DB1+9</v>
      </c>
      <c r="E823" s="267" t="s">
        <v>403</v>
      </c>
      <c r="F823" s="268" t="s">
        <v>683</v>
      </c>
      <c r="M823" s="158">
        <v>1</v>
      </c>
      <c r="P823" s="158">
        <v>1</v>
      </c>
      <c r="X823" s="35">
        <f t="shared" si="84"/>
        <v>45672</v>
      </c>
      <c r="Y823" s="35">
        <f t="shared" si="85"/>
        <v>45700</v>
      </c>
    </row>
    <row r="824" spans="1:25" ht="20.149999999999999" customHeight="1">
      <c r="A824" s="10">
        <f>SUBTOTAL(103,$B$4:B824)</f>
        <v>821</v>
      </c>
      <c r="B824" s="111">
        <v>45673</v>
      </c>
      <c r="C824" s="114" t="s">
        <v>638</v>
      </c>
      <c r="D824" s="3" t="str">
        <f>VLOOKUP(C824,'Location Summary'!$C$4:$D$602,2,0)</f>
        <v>DB1+9</v>
      </c>
      <c r="E824" s="267" t="s">
        <v>403</v>
      </c>
      <c r="F824" s="268" t="s">
        <v>683</v>
      </c>
      <c r="J824" s="158">
        <v>1</v>
      </c>
      <c r="Q824" s="157">
        <v>1</v>
      </c>
      <c r="R824" s="156">
        <v>1</v>
      </c>
      <c r="X824" s="35">
        <f t="shared" si="84"/>
        <v>45673</v>
      </c>
      <c r="Y824" s="35">
        <f t="shared" si="85"/>
        <v>45701</v>
      </c>
    </row>
    <row r="825" spans="1:25" ht="20.149999999999999" customHeight="1">
      <c r="A825" s="10">
        <f>SUBTOTAL(103,$B$4:B825)</f>
        <v>822</v>
      </c>
      <c r="B825" s="111">
        <v>45673</v>
      </c>
      <c r="C825" s="114" t="s">
        <v>442</v>
      </c>
      <c r="D825" s="3" t="str">
        <f>VLOOKUP(C825,'Location Summary'!$C$4:$D$602,2,0)</f>
        <v>DA-3</v>
      </c>
      <c r="E825" s="267" t="s">
        <v>403</v>
      </c>
      <c r="F825" s="268" t="s">
        <v>683</v>
      </c>
      <c r="H825" s="157">
        <v>1</v>
      </c>
      <c r="I825" s="156">
        <v>1</v>
      </c>
      <c r="K825" s="157">
        <v>1</v>
      </c>
      <c r="L825" s="156">
        <v>1</v>
      </c>
      <c r="M825" s="158">
        <v>1</v>
      </c>
      <c r="P825" s="158">
        <v>1</v>
      </c>
      <c r="X825" s="35">
        <f t="shared" si="84"/>
        <v>45673</v>
      </c>
      <c r="Y825" s="35">
        <f t="shared" si="85"/>
        <v>45701</v>
      </c>
    </row>
    <row r="826" spans="1:25" ht="20.149999999999999" customHeight="1">
      <c r="A826" s="10">
        <f>SUBTOTAL(103,$B$4:B826)</f>
        <v>823</v>
      </c>
      <c r="B826" s="111">
        <v>45673</v>
      </c>
      <c r="C826" s="114" t="s">
        <v>56</v>
      </c>
      <c r="D826" s="3" t="str">
        <f>VLOOKUP(C826,'Location Summary'!$C$4:$D$602,2,0)</f>
        <v>DB2+9</v>
      </c>
      <c r="E826" s="267" t="s">
        <v>403</v>
      </c>
      <c r="F826" s="268" t="s">
        <v>683</v>
      </c>
      <c r="G826" s="158">
        <v>1</v>
      </c>
      <c r="X826" s="35">
        <f>B826</f>
        <v>45673</v>
      </c>
      <c r="Y826" s="35">
        <f>B826+28</f>
        <v>45701</v>
      </c>
    </row>
    <row r="827" spans="1:25" ht="20.149999999999999" customHeight="1">
      <c r="A827" s="10">
        <f>SUBTOTAL(103,$B$4:B827)</f>
        <v>824</v>
      </c>
      <c r="B827" s="111">
        <v>45673</v>
      </c>
      <c r="C827" s="114" t="s">
        <v>624</v>
      </c>
      <c r="D827" s="3" t="str">
        <f>VLOOKUP(C827,'Location Summary'!$C$4:$D$602,2,0)</f>
        <v>DA+3</v>
      </c>
      <c r="E827" s="267" t="s">
        <v>403</v>
      </c>
      <c r="F827" s="268" t="s">
        <v>683</v>
      </c>
      <c r="I827" s="156">
        <v>1</v>
      </c>
      <c r="L827" s="156">
        <v>1</v>
      </c>
      <c r="M827" s="158">
        <v>1</v>
      </c>
      <c r="P827" s="158">
        <v>1</v>
      </c>
      <c r="X827" s="35">
        <f>B827</f>
        <v>45673</v>
      </c>
      <c r="Y827" s="35">
        <f>B827+28</f>
        <v>45701</v>
      </c>
    </row>
    <row r="828" spans="1:25" ht="20.149999999999999" customHeight="1">
      <c r="A828" s="10">
        <f>SUBTOTAL(103,$B$4:B828)</f>
        <v>825</v>
      </c>
      <c r="B828" s="111">
        <v>45673</v>
      </c>
      <c r="C828" s="114" t="s">
        <v>75</v>
      </c>
      <c r="D828" s="3" t="str">
        <f>VLOOKUP(C828,'Location Summary'!$C$4:$D$602,2,0)</f>
        <v>DB1+9</v>
      </c>
      <c r="E828" s="267" t="s">
        <v>403</v>
      </c>
      <c r="F828" s="268" t="s">
        <v>683</v>
      </c>
      <c r="N828" s="157">
        <v>1</v>
      </c>
      <c r="O828" s="156">
        <v>1</v>
      </c>
      <c r="Q828" s="157">
        <v>1</v>
      </c>
      <c r="R828" s="156">
        <v>1</v>
      </c>
      <c r="X828" s="35">
        <f>B828</f>
        <v>45673</v>
      </c>
      <c r="Y828" s="35">
        <f>B828+28</f>
        <v>45701</v>
      </c>
    </row>
    <row r="829" spans="1:25" ht="20.149999999999999" customHeight="1">
      <c r="A829" s="10">
        <f>SUBTOTAL(103,$B$4:B829)</f>
        <v>826</v>
      </c>
      <c r="B829" s="111">
        <v>45674</v>
      </c>
      <c r="C829" s="114" t="s">
        <v>638</v>
      </c>
      <c r="D829" s="3" t="str">
        <f>VLOOKUP(C829,'Location Summary'!$C$4:$D$602,2,0)</f>
        <v>DB1+9</v>
      </c>
      <c r="E829" s="267" t="s">
        <v>403</v>
      </c>
      <c r="F829" s="268" t="s">
        <v>683</v>
      </c>
      <c r="K829" s="157">
        <v>1</v>
      </c>
      <c r="X829" s="35">
        <f>B829</f>
        <v>45674</v>
      </c>
      <c r="Y829" s="35">
        <f>B829+28</f>
        <v>45702</v>
      </c>
    </row>
    <row r="830" spans="1:25" ht="20.149999999999999" customHeight="1">
      <c r="A830" s="10">
        <f>SUBTOTAL(103,$B$4:B830)</f>
        <v>827</v>
      </c>
      <c r="B830" s="111">
        <v>45674</v>
      </c>
      <c r="C830" s="114" t="s">
        <v>264</v>
      </c>
      <c r="D830" s="3" t="str">
        <f>VLOOKUP(C830,'Location Summary'!$C$4:$D$602,2,0)</f>
        <v>DB1+6</v>
      </c>
      <c r="E830" s="267" t="s">
        <v>403</v>
      </c>
      <c r="F830" s="268" t="s">
        <v>683</v>
      </c>
      <c r="G830" s="158">
        <v>1</v>
      </c>
      <c r="P830" s="158">
        <v>1</v>
      </c>
      <c r="X830" s="35">
        <f t="shared" ref="X830:X857" si="86">B830</f>
        <v>45674</v>
      </c>
      <c r="Y830" s="35">
        <f t="shared" ref="Y830:Y857" si="87">B830+28</f>
        <v>45702</v>
      </c>
    </row>
    <row r="831" spans="1:25" ht="20.149999999999999" customHeight="1">
      <c r="A831" s="10">
        <f>SUBTOTAL(103,$B$4:B831)</f>
        <v>828</v>
      </c>
      <c r="B831" s="111">
        <v>45674</v>
      </c>
      <c r="C831" s="114" t="s">
        <v>56</v>
      </c>
      <c r="D831" s="3" t="str">
        <f>VLOOKUP(C831,'Location Summary'!$C$4:$D$602,2,0)</f>
        <v>DB2+9</v>
      </c>
      <c r="E831" s="267" t="s">
        <v>403</v>
      </c>
      <c r="F831" s="268" t="s">
        <v>683</v>
      </c>
      <c r="H831" s="157">
        <v>1</v>
      </c>
      <c r="X831" s="35">
        <f t="shared" si="86"/>
        <v>45674</v>
      </c>
      <c r="Y831" s="35">
        <f t="shared" si="87"/>
        <v>45702</v>
      </c>
    </row>
    <row r="832" spans="1:25" ht="20.149999999999999" customHeight="1">
      <c r="A832" s="10">
        <f>SUBTOTAL(103,$B$4:B832)</f>
        <v>829</v>
      </c>
      <c r="B832" s="111">
        <v>45674</v>
      </c>
      <c r="C832" s="114" t="s">
        <v>75</v>
      </c>
      <c r="D832" s="3" t="str">
        <f>VLOOKUP(C832,'Location Summary'!$C$4:$D$602,2,0)</f>
        <v>DB1+9</v>
      </c>
      <c r="E832" s="267" t="s">
        <v>403</v>
      </c>
      <c r="F832" s="268" t="s">
        <v>683</v>
      </c>
      <c r="G832" s="158">
        <v>1</v>
      </c>
      <c r="J832" s="158">
        <v>1</v>
      </c>
      <c r="X832" s="35">
        <f t="shared" si="86"/>
        <v>45674</v>
      </c>
      <c r="Y832" s="35">
        <f t="shared" si="87"/>
        <v>45702</v>
      </c>
    </row>
    <row r="833" spans="1:25" ht="20.149999999999999" customHeight="1">
      <c r="A833" s="10">
        <f>SUBTOTAL(103,$B$4:B833)</f>
        <v>830</v>
      </c>
      <c r="B833" s="111">
        <v>45674</v>
      </c>
      <c r="C833" s="114" t="s">
        <v>442</v>
      </c>
      <c r="D833" s="3" t="str">
        <f>VLOOKUP(C833,'Location Summary'!$C$4:$D$602,2,0)</f>
        <v>DA-3</v>
      </c>
      <c r="E833" s="267" t="s">
        <v>403</v>
      </c>
      <c r="F833" s="268" t="s">
        <v>683</v>
      </c>
      <c r="N833" s="157">
        <v>1</v>
      </c>
      <c r="O833" s="156">
        <v>1</v>
      </c>
      <c r="Q833" s="157">
        <v>1</v>
      </c>
      <c r="R833" s="156">
        <v>1</v>
      </c>
      <c r="X833" s="35">
        <f t="shared" si="86"/>
        <v>45674</v>
      </c>
      <c r="Y833" s="35">
        <f t="shared" si="87"/>
        <v>45702</v>
      </c>
    </row>
    <row r="834" spans="1:25" ht="20.149999999999999" customHeight="1">
      <c r="A834" s="10">
        <f>SUBTOTAL(103,$B$4:B834)</f>
        <v>831</v>
      </c>
      <c r="B834" s="111">
        <v>45674</v>
      </c>
      <c r="C834" s="114" t="s">
        <v>393</v>
      </c>
      <c r="D834" s="3" t="str">
        <f>VLOOKUP(C834,'Location Summary'!$C$4:$D$602,2,0)</f>
        <v>DA+6</v>
      </c>
      <c r="E834" s="267" t="s">
        <v>403</v>
      </c>
      <c r="F834" s="268" t="s">
        <v>683</v>
      </c>
      <c r="H834" s="157">
        <v>1</v>
      </c>
      <c r="N834" s="157">
        <v>1</v>
      </c>
      <c r="X834" s="35">
        <f t="shared" si="86"/>
        <v>45674</v>
      </c>
      <c r="Y834" s="35">
        <f t="shared" si="87"/>
        <v>45702</v>
      </c>
    </row>
    <row r="835" spans="1:25" ht="20.149999999999999" customHeight="1">
      <c r="A835" s="10">
        <f>SUBTOTAL(103,$B$4:B835)</f>
        <v>832</v>
      </c>
      <c r="B835" s="111">
        <v>45674</v>
      </c>
      <c r="C835" s="114" t="s">
        <v>624</v>
      </c>
      <c r="D835" s="3" t="str">
        <f>VLOOKUP(C835,'Location Summary'!$C$4:$D$602,2,0)</f>
        <v>DA+3</v>
      </c>
      <c r="E835" s="267" t="s">
        <v>403</v>
      </c>
      <c r="F835" s="268" t="s">
        <v>683</v>
      </c>
      <c r="N835" s="157">
        <v>1</v>
      </c>
      <c r="O835" s="156">
        <v>1</v>
      </c>
      <c r="Q835" s="157">
        <v>1</v>
      </c>
      <c r="R835" s="156">
        <v>1</v>
      </c>
      <c r="X835" s="35">
        <f t="shared" si="86"/>
        <v>45674</v>
      </c>
      <c r="Y835" s="35">
        <f t="shared" si="87"/>
        <v>45702</v>
      </c>
    </row>
    <row r="836" spans="1:25" ht="20.149999999999999" customHeight="1">
      <c r="A836" s="10">
        <f>SUBTOTAL(103,$B$4:B836)</f>
        <v>833</v>
      </c>
      <c r="B836" s="111">
        <v>45674</v>
      </c>
      <c r="C836" s="114" t="s">
        <v>648</v>
      </c>
      <c r="D836" s="3" t="str">
        <f>VLOOKUP(C836,'Location Summary'!$C$4:$D$602,2,0)</f>
        <v>DA+0</v>
      </c>
      <c r="E836" s="267" t="s">
        <v>403</v>
      </c>
      <c r="F836" s="268" t="s">
        <v>683</v>
      </c>
      <c r="G836" s="158">
        <v>1</v>
      </c>
      <c r="J836" s="158">
        <v>1</v>
      </c>
      <c r="X836" s="35">
        <f t="shared" si="86"/>
        <v>45674</v>
      </c>
      <c r="Y836" s="35">
        <f t="shared" si="87"/>
        <v>45702</v>
      </c>
    </row>
    <row r="837" spans="1:25" ht="20.149999999999999" customHeight="1">
      <c r="A837" s="10">
        <f>SUBTOTAL(103,$B$4:B837)</f>
        <v>834</v>
      </c>
      <c r="B837" s="111">
        <v>45675</v>
      </c>
      <c r="C837" s="114" t="s">
        <v>638</v>
      </c>
      <c r="D837" s="3" t="str">
        <f>VLOOKUP(C837,'Location Summary'!$C$4:$D$602,2,0)</f>
        <v>DB1+9</v>
      </c>
      <c r="E837" s="267" t="s">
        <v>403</v>
      </c>
      <c r="F837" s="268" t="s">
        <v>683</v>
      </c>
      <c r="L837" s="156">
        <v>1</v>
      </c>
      <c r="X837" s="35">
        <f t="shared" si="86"/>
        <v>45675</v>
      </c>
      <c r="Y837" s="35">
        <f t="shared" si="87"/>
        <v>45703</v>
      </c>
    </row>
    <row r="838" spans="1:25" ht="20.149999999999999" customHeight="1">
      <c r="A838" s="10">
        <f>SUBTOTAL(103,$B$4:B838)</f>
        <v>835</v>
      </c>
      <c r="B838" s="111">
        <v>45675</v>
      </c>
      <c r="C838" s="114" t="s">
        <v>264</v>
      </c>
      <c r="D838" s="3" t="str">
        <f>VLOOKUP(C838,'Location Summary'!$C$4:$D$602,2,0)</f>
        <v>DB1+6</v>
      </c>
      <c r="E838" s="267" t="s">
        <v>403</v>
      </c>
      <c r="F838" s="268" t="s">
        <v>683</v>
      </c>
      <c r="H838" s="157">
        <v>1</v>
      </c>
      <c r="I838" s="156">
        <v>1</v>
      </c>
      <c r="Q838" s="157">
        <v>1</v>
      </c>
      <c r="X838" s="35">
        <f t="shared" si="86"/>
        <v>45675</v>
      </c>
      <c r="Y838" s="35">
        <f t="shared" si="87"/>
        <v>45703</v>
      </c>
    </row>
    <row r="839" spans="1:25" ht="20.149999999999999" customHeight="1">
      <c r="A839" s="10">
        <f>SUBTOTAL(103,$B$4:B839)</f>
        <v>836</v>
      </c>
      <c r="B839" s="111">
        <v>45675</v>
      </c>
      <c r="C839" s="114" t="s">
        <v>56</v>
      </c>
      <c r="D839" s="3" t="str">
        <f>VLOOKUP(C839,'Location Summary'!$C$4:$D$602,2,0)</f>
        <v>DB2+9</v>
      </c>
      <c r="E839" s="267" t="s">
        <v>403</v>
      </c>
      <c r="F839" s="268" t="s">
        <v>683</v>
      </c>
      <c r="I839" s="156">
        <v>1</v>
      </c>
      <c r="J839" s="158">
        <v>1</v>
      </c>
      <c r="X839" s="35">
        <f t="shared" si="86"/>
        <v>45675</v>
      </c>
      <c r="Y839" s="35">
        <f t="shared" si="87"/>
        <v>45703</v>
      </c>
    </row>
    <row r="840" spans="1:25" ht="20.149999999999999" customHeight="1">
      <c r="A840" s="10">
        <f>SUBTOTAL(103,$B$4:B840)</f>
        <v>837</v>
      </c>
      <c r="B840" s="111">
        <v>45675</v>
      </c>
      <c r="C840" s="114" t="s">
        <v>393</v>
      </c>
      <c r="D840" s="3" t="str">
        <f>VLOOKUP(C840,'Location Summary'!$C$4:$D$602,2,0)</f>
        <v>DA+6</v>
      </c>
      <c r="E840" s="267" t="s">
        <v>403</v>
      </c>
      <c r="F840" s="268" t="s">
        <v>683</v>
      </c>
      <c r="I840" s="156">
        <v>1</v>
      </c>
      <c r="O840" s="156">
        <v>1</v>
      </c>
      <c r="X840" s="35">
        <f t="shared" si="86"/>
        <v>45675</v>
      </c>
      <c r="Y840" s="35">
        <f t="shared" si="87"/>
        <v>45703</v>
      </c>
    </row>
    <row r="841" spans="1:25" ht="20.149999999999999" customHeight="1">
      <c r="A841" s="10">
        <f>SUBTOTAL(103,$B$4:B841)</f>
        <v>838</v>
      </c>
      <c r="B841" s="111">
        <v>45675</v>
      </c>
      <c r="C841" s="114" t="s">
        <v>75</v>
      </c>
      <c r="D841" s="3" t="str">
        <f>VLOOKUP(C841,'Location Summary'!$C$4:$D$602,2,0)</f>
        <v>DB1+9</v>
      </c>
      <c r="E841" s="267" t="s">
        <v>403</v>
      </c>
      <c r="F841" s="268" t="s">
        <v>683</v>
      </c>
      <c r="H841" s="157">
        <v>1</v>
      </c>
      <c r="I841" s="156">
        <v>1</v>
      </c>
      <c r="X841" s="35">
        <f t="shared" si="86"/>
        <v>45675</v>
      </c>
      <c r="Y841" s="35">
        <f t="shared" si="87"/>
        <v>45703</v>
      </c>
    </row>
    <row r="842" spans="1:25" ht="20.149999999999999" customHeight="1">
      <c r="A842" s="10">
        <f>SUBTOTAL(103,$B$4:B842)</f>
        <v>839</v>
      </c>
      <c r="B842" s="111">
        <v>45676</v>
      </c>
      <c r="C842" s="114" t="s">
        <v>638</v>
      </c>
      <c r="D842" s="3" t="str">
        <f>VLOOKUP(C842,'Location Summary'!$C$4:$D$602,2,0)</f>
        <v>DB1+9</v>
      </c>
      <c r="E842" s="267" t="s">
        <v>403</v>
      </c>
      <c r="F842" s="268" t="s">
        <v>683</v>
      </c>
      <c r="G842" s="158">
        <v>1</v>
      </c>
      <c r="X842" s="35">
        <f t="shared" si="86"/>
        <v>45676</v>
      </c>
      <c r="Y842" s="35">
        <f t="shared" si="87"/>
        <v>45704</v>
      </c>
    </row>
    <row r="843" spans="1:25" ht="20.149999999999999" customHeight="1">
      <c r="A843" s="10">
        <f>SUBTOTAL(103,$B$4:B843)</f>
        <v>840</v>
      </c>
      <c r="B843" s="111">
        <v>45676</v>
      </c>
      <c r="C843" s="114" t="s">
        <v>264</v>
      </c>
      <c r="D843" s="3" t="str">
        <f>VLOOKUP(C843,'Location Summary'!$C$4:$D$602,2,0)</f>
        <v>DB1+6</v>
      </c>
      <c r="E843" s="267" t="s">
        <v>403</v>
      </c>
      <c r="F843" s="268" t="s">
        <v>683</v>
      </c>
      <c r="J843" s="158">
        <v>1</v>
      </c>
      <c r="R843" s="156">
        <v>1</v>
      </c>
      <c r="X843" s="35">
        <f t="shared" si="86"/>
        <v>45676</v>
      </c>
      <c r="Y843" s="35">
        <f t="shared" si="87"/>
        <v>45704</v>
      </c>
    </row>
    <row r="844" spans="1:25" ht="20.149999999999999" customHeight="1">
      <c r="A844" s="10">
        <f>SUBTOTAL(103,$B$4:B844)</f>
        <v>841</v>
      </c>
      <c r="B844" s="111">
        <v>45676</v>
      </c>
      <c r="C844" s="114" t="s">
        <v>443</v>
      </c>
      <c r="D844" s="3" t="str">
        <f>VLOOKUP(C844,'Location Summary'!$C$4:$D$602,2,0)</f>
        <v>DA+3</v>
      </c>
      <c r="E844" s="267" t="s">
        <v>403</v>
      </c>
      <c r="F844" s="268" t="s">
        <v>683</v>
      </c>
      <c r="J844" s="158">
        <v>1</v>
      </c>
      <c r="M844" s="158">
        <v>1</v>
      </c>
      <c r="X844" s="35">
        <f t="shared" si="86"/>
        <v>45676</v>
      </c>
      <c r="Y844" s="35">
        <f t="shared" si="87"/>
        <v>45704</v>
      </c>
    </row>
    <row r="845" spans="1:25" ht="20.149999999999999" customHeight="1">
      <c r="A845" s="10">
        <f>SUBTOTAL(103,$B$4:B845)</f>
        <v>842</v>
      </c>
      <c r="B845" s="111">
        <v>45676</v>
      </c>
      <c r="C845" s="114" t="s">
        <v>56</v>
      </c>
      <c r="D845" s="3" t="str">
        <f>VLOOKUP(C845,'Location Summary'!$C$4:$D$602,2,0)</f>
        <v>DB2+9</v>
      </c>
      <c r="E845" s="267" t="s">
        <v>403</v>
      </c>
      <c r="F845" s="268" t="s">
        <v>683</v>
      </c>
      <c r="K845" s="157">
        <v>1</v>
      </c>
      <c r="X845" s="35">
        <f t="shared" si="86"/>
        <v>45676</v>
      </c>
      <c r="Y845" s="35">
        <f t="shared" si="87"/>
        <v>45704</v>
      </c>
    </row>
    <row r="846" spans="1:25" ht="20.149999999999999" customHeight="1">
      <c r="A846" s="10">
        <f>SUBTOTAL(103,$B$4:B846)</f>
        <v>843</v>
      </c>
      <c r="B846" s="111">
        <v>45676</v>
      </c>
      <c r="C846" s="114" t="s">
        <v>625</v>
      </c>
      <c r="D846" s="3" t="str">
        <f>VLOOKUP(C846,'Location Summary'!$C$4:$D$602,2,0)</f>
        <v>DA+1.5</v>
      </c>
      <c r="E846" s="267" t="s">
        <v>403</v>
      </c>
      <c r="F846" s="268" t="s">
        <v>683</v>
      </c>
      <c r="G846" s="158">
        <v>1</v>
      </c>
      <c r="J846" s="158">
        <v>1</v>
      </c>
      <c r="X846" s="35">
        <f t="shared" si="86"/>
        <v>45676</v>
      </c>
      <c r="Y846" s="35">
        <f t="shared" si="87"/>
        <v>45704</v>
      </c>
    </row>
    <row r="847" spans="1:25" ht="20.149999999999999" customHeight="1">
      <c r="A847" s="10">
        <f>SUBTOTAL(103,$B$4:B847)</f>
        <v>844</v>
      </c>
      <c r="B847" s="111">
        <v>45676</v>
      </c>
      <c r="C847" s="114" t="s">
        <v>75</v>
      </c>
      <c r="D847" s="3" t="str">
        <f>VLOOKUP(C847,'Location Summary'!$C$4:$D$602,2,0)</f>
        <v>DB1+9</v>
      </c>
      <c r="E847" s="267" t="s">
        <v>403</v>
      </c>
      <c r="F847" s="268" t="s">
        <v>683</v>
      </c>
      <c r="K847" s="157">
        <v>1</v>
      </c>
      <c r="L847" s="156">
        <v>1</v>
      </c>
      <c r="X847" s="35">
        <f t="shared" si="86"/>
        <v>45676</v>
      </c>
      <c r="Y847" s="35">
        <f t="shared" si="87"/>
        <v>45704</v>
      </c>
    </row>
    <row r="848" spans="1:25" ht="20.149999999999999" customHeight="1">
      <c r="A848" s="10">
        <f>SUBTOTAL(103,$B$4:B848)</f>
        <v>845</v>
      </c>
      <c r="B848" s="111">
        <v>45676</v>
      </c>
      <c r="C848" s="114" t="s">
        <v>648</v>
      </c>
      <c r="D848" s="3" t="str">
        <f>VLOOKUP(C848,'Location Summary'!$C$4:$D$602,2,0)</f>
        <v>DA+0</v>
      </c>
      <c r="E848" s="267" t="s">
        <v>403</v>
      </c>
      <c r="F848" s="268" t="s">
        <v>683</v>
      </c>
      <c r="H848" s="157">
        <v>1</v>
      </c>
      <c r="I848" s="156">
        <v>1</v>
      </c>
      <c r="K848" s="157">
        <v>1</v>
      </c>
      <c r="L848" s="156">
        <v>1</v>
      </c>
      <c r="M848" s="158">
        <v>1</v>
      </c>
      <c r="X848" s="35">
        <f t="shared" si="86"/>
        <v>45676</v>
      </c>
      <c r="Y848" s="35">
        <f t="shared" si="87"/>
        <v>45704</v>
      </c>
    </row>
    <row r="849" spans="1:25" ht="20.149999999999999" customHeight="1">
      <c r="A849" s="10">
        <f>SUBTOTAL(103,$B$4:B849)</f>
        <v>846</v>
      </c>
      <c r="B849" s="111">
        <v>45677</v>
      </c>
      <c r="C849" s="114" t="s">
        <v>638</v>
      </c>
      <c r="D849" s="3" t="str">
        <f>VLOOKUP(C849,'Location Summary'!$C$4:$D$602,2,0)</f>
        <v>DB1+9</v>
      </c>
      <c r="E849" s="267" t="s">
        <v>403</v>
      </c>
      <c r="F849" s="268" t="s">
        <v>683</v>
      </c>
      <c r="H849" s="157">
        <v>1</v>
      </c>
      <c r="I849" s="156">
        <v>1</v>
      </c>
      <c r="X849" s="35">
        <f t="shared" si="86"/>
        <v>45677</v>
      </c>
      <c r="Y849" s="35">
        <f t="shared" si="87"/>
        <v>45705</v>
      </c>
    </row>
    <row r="850" spans="1:25" ht="20.149999999999999" customHeight="1">
      <c r="A850" s="10">
        <f>SUBTOTAL(103,$B$4:B850)</f>
        <v>847</v>
      </c>
      <c r="B850" s="111">
        <v>45677</v>
      </c>
      <c r="C850" s="114" t="s">
        <v>264</v>
      </c>
      <c r="D850" s="3" t="str">
        <f>VLOOKUP(C850,'Location Summary'!$C$4:$D$602,2,0)</f>
        <v>DB1+6</v>
      </c>
      <c r="E850" s="267" t="s">
        <v>403</v>
      </c>
      <c r="F850" s="268" t="s">
        <v>683</v>
      </c>
      <c r="K850" s="157">
        <v>1</v>
      </c>
      <c r="L850" s="156">
        <v>1</v>
      </c>
      <c r="M850" s="158">
        <v>1</v>
      </c>
      <c r="X850" s="35">
        <f t="shared" si="86"/>
        <v>45677</v>
      </c>
      <c r="Y850" s="35">
        <f t="shared" si="87"/>
        <v>45705</v>
      </c>
    </row>
    <row r="851" spans="1:25" ht="20.149999999999999" customHeight="1">
      <c r="A851" s="10">
        <f>SUBTOTAL(103,$B$4:B851)</f>
        <v>848</v>
      </c>
      <c r="B851" s="111">
        <v>45677</v>
      </c>
      <c r="C851" s="114" t="s">
        <v>443</v>
      </c>
      <c r="D851" s="3" t="str">
        <f>VLOOKUP(C851,'Location Summary'!$C$4:$D$602,2,0)</f>
        <v>DA+3</v>
      </c>
      <c r="E851" s="267" t="s">
        <v>403</v>
      </c>
      <c r="F851" s="268" t="s">
        <v>683</v>
      </c>
      <c r="G851" s="158">
        <v>1</v>
      </c>
      <c r="K851" s="157">
        <v>1</v>
      </c>
      <c r="L851" s="156">
        <v>1</v>
      </c>
      <c r="N851" s="157">
        <v>1</v>
      </c>
      <c r="O851" s="156">
        <v>1</v>
      </c>
      <c r="P851" s="158">
        <v>1</v>
      </c>
      <c r="X851" s="35">
        <f t="shared" si="86"/>
        <v>45677</v>
      </c>
      <c r="Y851" s="35">
        <f t="shared" si="87"/>
        <v>45705</v>
      </c>
    </row>
    <row r="852" spans="1:25" ht="20.149999999999999" customHeight="1">
      <c r="A852" s="10">
        <f>SUBTOTAL(103,$B$4:B852)</f>
        <v>849</v>
      </c>
      <c r="B852" s="111">
        <v>45677</v>
      </c>
      <c r="C852" s="114" t="s">
        <v>56</v>
      </c>
      <c r="D852" s="3" t="str">
        <f>VLOOKUP(C852,'Location Summary'!$C$4:$D$602,2,0)</f>
        <v>DB2+9</v>
      </c>
      <c r="E852" s="267" t="s">
        <v>403</v>
      </c>
      <c r="F852" s="268" t="s">
        <v>683</v>
      </c>
      <c r="L852" s="156">
        <v>1</v>
      </c>
      <c r="P852" s="158">
        <v>1</v>
      </c>
      <c r="X852" s="35">
        <f t="shared" si="86"/>
        <v>45677</v>
      </c>
      <c r="Y852" s="35">
        <f t="shared" si="87"/>
        <v>45705</v>
      </c>
    </row>
    <row r="853" spans="1:25" ht="20.149999999999999" customHeight="1">
      <c r="A853" s="10">
        <f>SUBTOTAL(103,$B$4:B853)</f>
        <v>850</v>
      </c>
      <c r="B853" s="111">
        <v>45677</v>
      </c>
      <c r="C853" s="114" t="s">
        <v>393</v>
      </c>
      <c r="D853" s="3" t="str">
        <f>VLOOKUP(C853,'Location Summary'!$C$4:$D$602,2,0)</f>
        <v>DA+6</v>
      </c>
      <c r="E853" s="267" t="s">
        <v>403</v>
      </c>
      <c r="F853" s="268" t="s">
        <v>683</v>
      </c>
      <c r="J853" s="158">
        <v>1</v>
      </c>
      <c r="X853" s="35">
        <f t="shared" si="86"/>
        <v>45677</v>
      </c>
      <c r="Y853" s="35">
        <f t="shared" si="87"/>
        <v>45705</v>
      </c>
    </row>
    <row r="854" spans="1:25" ht="20.149999999999999" customHeight="1">
      <c r="A854" s="10">
        <f>SUBTOTAL(103,$B$4:B854)</f>
        <v>851</v>
      </c>
      <c r="B854" s="111">
        <v>45677</v>
      </c>
      <c r="C854" s="114" t="s">
        <v>648</v>
      </c>
      <c r="D854" s="3" t="str">
        <f>VLOOKUP(C854,'Location Summary'!$C$4:$D$602,2,0)</f>
        <v>DA+0</v>
      </c>
      <c r="E854" s="267" t="s">
        <v>403</v>
      </c>
      <c r="F854" s="268" t="s">
        <v>683</v>
      </c>
      <c r="P854" s="158">
        <v>1</v>
      </c>
      <c r="X854" s="35">
        <f t="shared" si="86"/>
        <v>45677</v>
      </c>
      <c r="Y854" s="35">
        <f t="shared" si="87"/>
        <v>45705</v>
      </c>
    </row>
    <row r="855" spans="1:25" ht="20.149999999999999" customHeight="1">
      <c r="A855" s="10">
        <f>SUBTOTAL(103,$B$4:B855)</f>
        <v>852</v>
      </c>
      <c r="B855" s="111">
        <v>45678</v>
      </c>
      <c r="C855" s="114" t="s">
        <v>644</v>
      </c>
      <c r="D855" s="3" t="str">
        <f>VLOOKUP(C855,'Location Summary'!$C$4:$D$602,2,0)</f>
        <v>DA-1.5</v>
      </c>
      <c r="E855" s="267" t="s">
        <v>403</v>
      </c>
      <c r="F855" s="268" t="s">
        <v>683</v>
      </c>
      <c r="J855" s="158">
        <v>1</v>
      </c>
      <c r="P855" s="158">
        <v>1</v>
      </c>
      <c r="X855" s="35">
        <f t="shared" si="86"/>
        <v>45678</v>
      </c>
      <c r="Y855" s="35">
        <f t="shared" si="87"/>
        <v>45706</v>
      </c>
    </row>
    <row r="856" spans="1:25" ht="20.149999999999999" customHeight="1">
      <c r="A856" s="10">
        <f>SUBTOTAL(103,$B$4:B856)</f>
        <v>853</v>
      </c>
      <c r="B856" s="111">
        <v>45678</v>
      </c>
      <c r="C856" s="114" t="s">
        <v>264</v>
      </c>
      <c r="D856" s="3" t="str">
        <f>VLOOKUP(C856,'Location Summary'!$C$4:$D$602,2,0)</f>
        <v>DB1+6</v>
      </c>
      <c r="E856" s="267" t="s">
        <v>403</v>
      </c>
      <c r="F856" s="268" t="s">
        <v>683</v>
      </c>
      <c r="N856" s="157">
        <v>1</v>
      </c>
      <c r="O856" s="156">
        <v>1</v>
      </c>
      <c r="X856" s="35">
        <f t="shared" si="86"/>
        <v>45678</v>
      </c>
      <c r="Y856" s="35">
        <f t="shared" si="87"/>
        <v>45706</v>
      </c>
    </row>
    <row r="857" spans="1:25" ht="20.149999999999999" customHeight="1">
      <c r="A857" s="10">
        <f>SUBTOTAL(103,$B$4:B857)</f>
        <v>854</v>
      </c>
      <c r="B857" s="111">
        <v>45678</v>
      </c>
      <c r="C857" s="114" t="s">
        <v>443</v>
      </c>
      <c r="D857" s="3" t="str">
        <f>VLOOKUP(C857,'Location Summary'!$C$4:$D$602,2,0)</f>
        <v>DA+3</v>
      </c>
      <c r="E857" s="267" t="s">
        <v>403</v>
      </c>
      <c r="F857" s="268" t="s">
        <v>683</v>
      </c>
      <c r="H857" s="157">
        <v>1</v>
      </c>
      <c r="I857" s="156">
        <v>1</v>
      </c>
      <c r="Q857" s="157">
        <v>1</v>
      </c>
      <c r="R857" s="156">
        <v>1</v>
      </c>
      <c r="X857" s="35">
        <f t="shared" si="86"/>
        <v>45678</v>
      </c>
      <c r="Y857" s="35">
        <f t="shared" si="87"/>
        <v>45706</v>
      </c>
    </row>
    <row r="858" spans="1:25" ht="20.149999999999999" customHeight="1">
      <c r="A858" s="10">
        <f>SUBTOTAL(103,$B$4:B858)</f>
        <v>855</v>
      </c>
      <c r="B858" s="111">
        <v>45678</v>
      </c>
      <c r="C858" s="114" t="s">
        <v>56</v>
      </c>
      <c r="D858" s="3" t="str">
        <f>VLOOKUP(C858,'Location Summary'!$C$4:$D$602,2,0)</f>
        <v>DB2+9</v>
      </c>
      <c r="E858" s="267" t="s">
        <v>403</v>
      </c>
      <c r="F858" s="268" t="s">
        <v>683</v>
      </c>
      <c r="M858" s="158">
        <v>1</v>
      </c>
      <c r="Q858" s="157">
        <v>1</v>
      </c>
      <c r="R858" s="156">
        <v>1</v>
      </c>
      <c r="X858" s="35">
        <f t="shared" ref="X858:X895" si="88">B858</f>
        <v>45678</v>
      </c>
      <c r="Y858" s="35">
        <f t="shared" ref="Y858:Y895" si="89">B858+28</f>
        <v>45706</v>
      </c>
    </row>
    <row r="859" spans="1:25" ht="20.149999999999999" customHeight="1">
      <c r="A859" s="10">
        <f>SUBTOTAL(103,$B$4:B859)</f>
        <v>856</v>
      </c>
      <c r="B859" s="111">
        <v>45678</v>
      </c>
      <c r="C859" s="114" t="s">
        <v>393</v>
      </c>
      <c r="D859" s="3" t="str">
        <f>VLOOKUP(C859,'Location Summary'!$C$4:$D$602,2,0)</f>
        <v>DA+6</v>
      </c>
      <c r="E859" s="267" t="s">
        <v>403</v>
      </c>
      <c r="F859" s="268" t="s">
        <v>683</v>
      </c>
      <c r="K859" s="157">
        <v>1</v>
      </c>
      <c r="X859" s="35">
        <f t="shared" si="88"/>
        <v>45678</v>
      </c>
      <c r="Y859" s="35">
        <f t="shared" si="89"/>
        <v>45706</v>
      </c>
    </row>
    <row r="860" spans="1:25" ht="20.149999999999999" customHeight="1">
      <c r="A860" s="10">
        <f>SUBTOTAL(103,$B$4:B860)</f>
        <v>857</v>
      </c>
      <c r="B860" s="111">
        <v>45678</v>
      </c>
      <c r="C860" s="114" t="s">
        <v>648</v>
      </c>
      <c r="D860" s="3" t="str">
        <f>VLOOKUP(C860,'Location Summary'!$C$4:$D$602,2,0)</f>
        <v>DA+0</v>
      </c>
      <c r="E860" s="267" t="s">
        <v>403</v>
      </c>
      <c r="F860" s="268" t="s">
        <v>683</v>
      </c>
      <c r="N860" s="157">
        <v>1</v>
      </c>
      <c r="O860" s="156">
        <v>1</v>
      </c>
      <c r="Q860" s="157">
        <v>1</v>
      </c>
      <c r="R860" s="156">
        <v>1</v>
      </c>
      <c r="X860" s="35">
        <f t="shared" si="88"/>
        <v>45678</v>
      </c>
      <c r="Y860" s="35">
        <f t="shared" si="89"/>
        <v>45706</v>
      </c>
    </row>
    <row r="861" spans="1:25" ht="20.149999999999999" customHeight="1">
      <c r="A861" s="10">
        <f>SUBTOTAL(103,$B$4:B861)</f>
        <v>858</v>
      </c>
      <c r="B861" s="111">
        <v>45679</v>
      </c>
      <c r="C861" s="114" t="s">
        <v>644</v>
      </c>
      <c r="D861" s="3" t="str">
        <f>VLOOKUP(C861,'Location Summary'!$C$4:$D$602,2,0)</f>
        <v>DA-1.5</v>
      </c>
      <c r="E861" s="267" t="s">
        <v>403</v>
      </c>
      <c r="F861" s="268" t="s">
        <v>683</v>
      </c>
      <c r="G861" s="158">
        <v>1</v>
      </c>
      <c r="K861" s="157">
        <v>1</v>
      </c>
      <c r="L861" s="156">
        <v>1</v>
      </c>
      <c r="M861" s="158">
        <v>1</v>
      </c>
      <c r="Q861" s="157">
        <v>1</v>
      </c>
      <c r="R861" s="156">
        <v>1</v>
      </c>
      <c r="X861" s="35">
        <f t="shared" si="88"/>
        <v>45679</v>
      </c>
      <c r="Y861" s="35">
        <f t="shared" si="89"/>
        <v>45707</v>
      </c>
    </row>
    <row r="862" spans="1:25" ht="20.149999999999999" customHeight="1">
      <c r="A862" s="10">
        <f>SUBTOTAL(103,$B$4:B862)</f>
        <v>859</v>
      </c>
      <c r="B862" s="111">
        <v>45679</v>
      </c>
      <c r="C862" s="114" t="s">
        <v>56</v>
      </c>
      <c r="D862" s="3" t="str">
        <f>VLOOKUP(C862,'Location Summary'!$C$4:$D$602,2,0)</f>
        <v>DB2+9</v>
      </c>
      <c r="E862" s="267" t="s">
        <v>403</v>
      </c>
      <c r="F862" s="268" t="s">
        <v>683</v>
      </c>
      <c r="N862" s="157">
        <v>1</v>
      </c>
      <c r="O862" s="156">
        <v>1</v>
      </c>
      <c r="X862" s="35">
        <f t="shared" si="88"/>
        <v>45679</v>
      </c>
      <c r="Y862" s="35">
        <f t="shared" si="89"/>
        <v>45707</v>
      </c>
    </row>
    <row r="863" spans="1:25" ht="20.149999999999999" customHeight="1">
      <c r="A863" s="10">
        <f>SUBTOTAL(103,$B$4:B863)</f>
        <v>860</v>
      </c>
      <c r="B863" s="111">
        <v>45679</v>
      </c>
      <c r="C863" s="114" t="s">
        <v>625</v>
      </c>
      <c r="D863" s="3" t="str">
        <f>VLOOKUP(C863,'Location Summary'!$C$4:$D$602,2,0)</f>
        <v>DA+1.5</v>
      </c>
      <c r="E863" s="267" t="s">
        <v>403</v>
      </c>
      <c r="F863" s="268" t="s">
        <v>683</v>
      </c>
      <c r="H863" s="157">
        <v>1</v>
      </c>
      <c r="I863" s="156">
        <v>1</v>
      </c>
      <c r="K863" s="157">
        <v>1</v>
      </c>
      <c r="L863" s="156">
        <v>1</v>
      </c>
      <c r="X863" s="35">
        <f t="shared" si="88"/>
        <v>45679</v>
      </c>
      <c r="Y863" s="35">
        <f t="shared" si="89"/>
        <v>45707</v>
      </c>
    </row>
    <row r="864" spans="1:25" ht="20.149999999999999" customHeight="1">
      <c r="A864" s="10">
        <f>SUBTOTAL(103,$B$4:B864)</f>
        <v>861</v>
      </c>
      <c r="B864" s="111">
        <v>45679</v>
      </c>
      <c r="C864" s="114" t="s">
        <v>78</v>
      </c>
      <c r="D864" s="3" t="str">
        <f>VLOOKUP(C864,'Location Summary'!$C$4:$D$602,2,0)</f>
        <v>DB1+0</v>
      </c>
      <c r="E864" s="267" t="s">
        <v>403</v>
      </c>
      <c r="F864" s="268" t="s">
        <v>683</v>
      </c>
      <c r="M864" s="158">
        <v>1</v>
      </c>
      <c r="P864" s="158">
        <v>1</v>
      </c>
      <c r="X864" s="35">
        <f t="shared" si="88"/>
        <v>45679</v>
      </c>
      <c r="Y864" s="35">
        <f t="shared" si="89"/>
        <v>45707</v>
      </c>
    </row>
    <row r="865" spans="1:25" ht="20.149999999999999" customHeight="1">
      <c r="A865" s="10">
        <f>SUBTOTAL(103,$B$4:B865)</f>
        <v>862</v>
      </c>
      <c r="B865" s="111">
        <v>45680</v>
      </c>
      <c r="C865" s="114" t="s">
        <v>644</v>
      </c>
      <c r="D865" s="3" t="str">
        <f>VLOOKUP(C865,'Location Summary'!$C$4:$D$602,2,0)</f>
        <v>DA-1.5</v>
      </c>
      <c r="E865" s="267" t="s">
        <v>403</v>
      </c>
      <c r="F865" s="268" t="s">
        <v>683</v>
      </c>
      <c r="H865" s="157">
        <v>1</v>
      </c>
      <c r="I865" s="156">
        <v>1</v>
      </c>
      <c r="N865" s="157">
        <v>1</v>
      </c>
      <c r="O865" s="156">
        <v>1</v>
      </c>
      <c r="X865" s="35">
        <f t="shared" si="88"/>
        <v>45680</v>
      </c>
      <c r="Y865" s="35">
        <f t="shared" si="89"/>
        <v>45708</v>
      </c>
    </row>
    <row r="866" spans="1:25" ht="20.149999999999999" customHeight="1">
      <c r="A866" s="10">
        <f>SUBTOTAL(103,$B$4:B866)</f>
        <v>863</v>
      </c>
      <c r="B866" s="111">
        <v>45680</v>
      </c>
      <c r="C866" s="114" t="s">
        <v>308</v>
      </c>
      <c r="D866" s="3" t="str">
        <f>VLOOKUP(C866,'Location Summary'!$C$4:$D$602,2,0)</f>
        <v>DA+6</v>
      </c>
      <c r="E866" s="267" t="s">
        <v>403</v>
      </c>
      <c r="F866" s="268" t="s">
        <v>683</v>
      </c>
      <c r="J866" s="158">
        <v>1</v>
      </c>
      <c r="X866" s="35">
        <f t="shared" si="88"/>
        <v>45680</v>
      </c>
      <c r="Y866" s="35">
        <f t="shared" si="89"/>
        <v>45708</v>
      </c>
    </row>
    <row r="867" spans="1:25" ht="20.149999999999999" customHeight="1">
      <c r="A867" s="10">
        <f>SUBTOTAL(103,$B$4:B867)</f>
        <v>864</v>
      </c>
      <c r="B867" s="111">
        <v>45680</v>
      </c>
      <c r="C867" s="114" t="s">
        <v>9</v>
      </c>
      <c r="D867" s="3" t="str">
        <f>VLOOKUP(C867,'Location Summary'!$C$4:$D$602,2,0)</f>
        <v>DB1+0</v>
      </c>
      <c r="E867" s="267" t="s">
        <v>403</v>
      </c>
      <c r="F867" s="268" t="s">
        <v>683</v>
      </c>
      <c r="G867" s="158">
        <v>1</v>
      </c>
      <c r="X867" s="35">
        <f t="shared" si="88"/>
        <v>45680</v>
      </c>
      <c r="Y867" s="35">
        <f t="shared" si="89"/>
        <v>45708</v>
      </c>
    </row>
    <row r="868" spans="1:25" ht="20.149999999999999" customHeight="1">
      <c r="A868" s="10">
        <f>SUBTOTAL(103,$B$4:B868)</f>
        <v>865</v>
      </c>
      <c r="B868" s="111">
        <v>45680</v>
      </c>
      <c r="C868" s="114" t="s">
        <v>393</v>
      </c>
      <c r="D868" s="3" t="str">
        <f>VLOOKUP(C868,'Location Summary'!$C$4:$D$602,2,0)</f>
        <v>DA+6</v>
      </c>
      <c r="E868" s="267" t="s">
        <v>403</v>
      </c>
      <c r="F868" s="268" t="s">
        <v>683</v>
      </c>
      <c r="L868" s="156">
        <v>1</v>
      </c>
      <c r="P868" s="158">
        <v>1</v>
      </c>
      <c r="X868" s="35">
        <f t="shared" si="88"/>
        <v>45680</v>
      </c>
      <c r="Y868" s="35">
        <f t="shared" si="89"/>
        <v>45708</v>
      </c>
    </row>
    <row r="869" spans="1:25" ht="20.149999999999999" customHeight="1">
      <c r="A869" s="10">
        <f>SUBTOTAL(103,$B$4:B869)</f>
        <v>866</v>
      </c>
      <c r="B869" s="111">
        <v>45680</v>
      </c>
      <c r="C869" s="114" t="s">
        <v>625</v>
      </c>
      <c r="D869" s="3" t="str">
        <f>VLOOKUP(C869,'Location Summary'!$C$4:$D$602,2,0)</f>
        <v>DA+1.5</v>
      </c>
      <c r="E869" s="267" t="s">
        <v>403</v>
      </c>
      <c r="F869" s="268" t="s">
        <v>683</v>
      </c>
      <c r="M869" s="158">
        <v>1</v>
      </c>
      <c r="P869" s="158">
        <v>1</v>
      </c>
      <c r="X869" s="35">
        <f t="shared" si="88"/>
        <v>45680</v>
      </c>
      <c r="Y869" s="35">
        <f t="shared" si="89"/>
        <v>45708</v>
      </c>
    </row>
    <row r="870" spans="1:25" ht="20.149999999999999" customHeight="1">
      <c r="A870" s="10">
        <f>SUBTOTAL(103,$B$4:B870)</f>
        <v>867</v>
      </c>
      <c r="B870" s="111">
        <v>45680</v>
      </c>
      <c r="C870" s="114" t="s">
        <v>78</v>
      </c>
      <c r="D870" s="3" t="str">
        <f>VLOOKUP(C870,'Location Summary'!$C$4:$D$602,2,0)</f>
        <v>DB1+0</v>
      </c>
      <c r="E870" s="267" t="s">
        <v>403</v>
      </c>
      <c r="F870" s="268" t="s">
        <v>683</v>
      </c>
      <c r="N870" s="157">
        <v>1</v>
      </c>
      <c r="O870" s="156">
        <v>1</v>
      </c>
      <c r="Q870" s="157">
        <v>1</v>
      </c>
      <c r="R870" s="156">
        <v>1</v>
      </c>
      <c r="X870" s="35">
        <f t="shared" si="88"/>
        <v>45680</v>
      </c>
      <c r="Y870" s="35">
        <f t="shared" si="89"/>
        <v>45708</v>
      </c>
    </row>
    <row r="871" spans="1:25" ht="20.149999999999999" customHeight="1">
      <c r="A871" s="10">
        <f>SUBTOTAL(103,$B$4:B871)</f>
        <v>868</v>
      </c>
      <c r="B871" s="111">
        <v>45680</v>
      </c>
      <c r="C871" s="114" t="s">
        <v>649</v>
      </c>
      <c r="D871" s="3" t="str">
        <f>VLOOKUP(C871,'Location Summary'!$C$4:$D$602,2,0)</f>
        <v>DA+9</v>
      </c>
      <c r="E871" s="267" t="s">
        <v>403</v>
      </c>
      <c r="F871" s="268" t="s">
        <v>683</v>
      </c>
      <c r="J871" s="158">
        <v>1</v>
      </c>
      <c r="M871" s="158">
        <v>1</v>
      </c>
      <c r="P871" s="158">
        <v>1</v>
      </c>
      <c r="X871" s="35">
        <f t="shared" si="88"/>
        <v>45680</v>
      </c>
      <c r="Y871" s="35">
        <f t="shared" si="89"/>
        <v>45708</v>
      </c>
    </row>
    <row r="872" spans="1:25" ht="20.149999999999999" customHeight="1">
      <c r="A872" s="10">
        <f>SUBTOTAL(103,$B$4:B872)</f>
        <v>869</v>
      </c>
      <c r="B872" s="111">
        <v>45681</v>
      </c>
      <c r="C872" s="114" t="s">
        <v>308</v>
      </c>
      <c r="D872" s="3" t="str">
        <f>VLOOKUP(C872,'Location Summary'!$C$4:$D$602,2,0)</f>
        <v>DA+6</v>
      </c>
      <c r="E872" s="267" t="s">
        <v>403</v>
      </c>
      <c r="F872" s="268" t="s">
        <v>683</v>
      </c>
      <c r="G872" s="158">
        <v>1</v>
      </c>
      <c r="K872" s="157">
        <v>1</v>
      </c>
      <c r="L872" s="156">
        <v>1</v>
      </c>
      <c r="P872" s="158">
        <v>1</v>
      </c>
      <c r="X872" s="35">
        <f t="shared" si="88"/>
        <v>45681</v>
      </c>
      <c r="Y872" s="35">
        <f t="shared" si="89"/>
        <v>45709</v>
      </c>
    </row>
    <row r="873" spans="1:25" ht="20.149999999999999" customHeight="1">
      <c r="A873" s="10">
        <f>SUBTOTAL(103,$B$4:B873)</f>
        <v>870</v>
      </c>
      <c r="B873" s="111">
        <v>45681</v>
      </c>
      <c r="C873" s="114" t="s">
        <v>9</v>
      </c>
      <c r="D873" s="3" t="str">
        <f>VLOOKUP(C873,'Location Summary'!$C$4:$D$602,2,0)</f>
        <v>DB1+0</v>
      </c>
      <c r="E873" s="267" t="s">
        <v>403</v>
      </c>
      <c r="F873" s="268" t="s">
        <v>683</v>
      </c>
      <c r="H873" s="157">
        <v>1</v>
      </c>
      <c r="I873" s="156">
        <v>1</v>
      </c>
      <c r="P873" s="158">
        <v>1</v>
      </c>
      <c r="X873" s="35">
        <f t="shared" si="88"/>
        <v>45681</v>
      </c>
      <c r="Y873" s="35">
        <f t="shared" si="89"/>
        <v>45709</v>
      </c>
    </row>
    <row r="874" spans="1:25" ht="20.149999999999999" customHeight="1">
      <c r="A874" s="10">
        <f>SUBTOTAL(103,$B$4:B874)</f>
        <v>871</v>
      </c>
      <c r="B874" s="111">
        <v>45681</v>
      </c>
      <c r="C874" s="114" t="s">
        <v>393</v>
      </c>
      <c r="D874" s="3" t="str">
        <f>VLOOKUP(C874,'Location Summary'!$C$4:$D$602,2,0)</f>
        <v>DA+6</v>
      </c>
      <c r="E874" s="267" t="s">
        <v>403</v>
      </c>
      <c r="F874" s="268" t="s">
        <v>683</v>
      </c>
      <c r="Q874" s="157">
        <v>1</v>
      </c>
      <c r="R874" s="156">
        <v>1</v>
      </c>
      <c r="X874" s="35">
        <f t="shared" si="88"/>
        <v>45681</v>
      </c>
      <c r="Y874" s="35">
        <f t="shared" si="89"/>
        <v>45709</v>
      </c>
    </row>
    <row r="875" spans="1:25" ht="20.149999999999999" customHeight="1">
      <c r="A875" s="10">
        <f>SUBTOTAL(103,$B$4:B875)</f>
        <v>872</v>
      </c>
      <c r="B875" s="111">
        <v>45681</v>
      </c>
      <c r="C875" s="114" t="s">
        <v>625</v>
      </c>
      <c r="D875" s="3" t="str">
        <f>VLOOKUP(C875,'Location Summary'!$C$4:$D$602,2,0)</f>
        <v>DA+1.5</v>
      </c>
      <c r="E875" s="267" t="s">
        <v>403</v>
      </c>
      <c r="F875" s="268" t="s">
        <v>683</v>
      </c>
      <c r="N875" s="157">
        <v>1</v>
      </c>
      <c r="O875" s="156">
        <v>1</v>
      </c>
      <c r="Q875" s="157">
        <v>1</v>
      </c>
      <c r="R875" s="156">
        <v>1</v>
      </c>
      <c r="X875" s="35">
        <f t="shared" si="88"/>
        <v>45681</v>
      </c>
      <c r="Y875" s="35">
        <f t="shared" si="89"/>
        <v>45709</v>
      </c>
    </row>
    <row r="876" spans="1:25" ht="20.149999999999999" customHeight="1">
      <c r="A876" s="10">
        <f>SUBTOTAL(103,$B$4:B876)</f>
        <v>873</v>
      </c>
      <c r="B876" s="111">
        <v>45681</v>
      </c>
      <c r="C876" s="114" t="s">
        <v>78</v>
      </c>
      <c r="D876" s="3" t="str">
        <f>VLOOKUP(C876,'Location Summary'!$C$4:$D$602,2,0)</f>
        <v>DB1+0</v>
      </c>
      <c r="E876" s="267" t="s">
        <v>403</v>
      </c>
      <c r="F876" s="268" t="s">
        <v>683</v>
      </c>
      <c r="G876" s="158">
        <v>1</v>
      </c>
      <c r="J876" s="158">
        <v>1</v>
      </c>
      <c r="X876" s="35">
        <f t="shared" si="88"/>
        <v>45681</v>
      </c>
      <c r="Y876" s="35">
        <f t="shared" si="89"/>
        <v>45709</v>
      </c>
    </row>
    <row r="877" spans="1:25" ht="20.149999999999999" customHeight="1">
      <c r="A877" s="10">
        <f>SUBTOTAL(103,$B$4:B877)</f>
        <v>874</v>
      </c>
      <c r="B877" s="111">
        <v>45681</v>
      </c>
      <c r="C877" s="114" t="s">
        <v>649</v>
      </c>
      <c r="D877" s="3" t="str">
        <f>VLOOKUP(C877,'Location Summary'!$C$4:$D$602,2,0)</f>
        <v>DA+9</v>
      </c>
      <c r="E877" s="267" t="s">
        <v>403</v>
      </c>
      <c r="F877" s="268" t="s">
        <v>683</v>
      </c>
      <c r="G877" s="158">
        <v>1</v>
      </c>
      <c r="K877" s="157">
        <v>1</v>
      </c>
      <c r="L877" s="156">
        <v>1</v>
      </c>
      <c r="N877" s="157">
        <v>1</v>
      </c>
      <c r="O877" s="156">
        <v>1</v>
      </c>
      <c r="X877" s="35">
        <f t="shared" si="88"/>
        <v>45681</v>
      </c>
      <c r="Y877" s="35">
        <f t="shared" si="89"/>
        <v>45709</v>
      </c>
    </row>
    <row r="878" spans="1:25" ht="20.149999999999999" customHeight="1">
      <c r="A878" s="10">
        <f>SUBTOTAL(103,$B$4:B878)</f>
        <v>875</v>
      </c>
      <c r="B878" s="111">
        <v>45682</v>
      </c>
      <c r="C878" s="114" t="s">
        <v>645</v>
      </c>
      <c r="D878" s="3" t="str">
        <f>VLOOKUP(C878,'Location Summary'!$C$4:$D$602,2,0)</f>
        <v>DA+0</v>
      </c>
      <c r="E878" s="267" t="s">
        <v>403</v>
      </c>
      <c r="F878" s="268" t="s">
        <v>683</v>
      </c>
      <c r="G878" s="158">
        <v>1</v>
      </c>
      <c r="P878" s="158">
        <v>1</v>
      </c>
      <c r="X878" s="35">
        <f t="shared" si="88"/>
        <v>45682</v>
      </c>
      <c r="Y878" s="35">
        <f t="shared" si="89"/>
        <v>45710</v>
      </c>
    </row>
    <row r="879" spans="1:25" ht="20.149999999999999" customHeight="1">
      <c r="A879" s="10">
        <f>SUBTOTAL(103,$B$4:B879)</f>
        <v>876</v>
      </c>
      <c r="B879" s="111">
        <v>45682</v>
      </c>
      <c r="C879" s="114" t="s">
        <v>308</v>
      </c>
      <c r="D879" s="3" t="str">
        <f>VLOOKUP(C879,'Location Summary'!$C$4:$D$602,2,0)</f>
        <v>DA+6</v>
      </c>
      <c r="E879" s="267" t="s">
        <v>403</v>
      </c>
      <c r="F879" s="268" t="s">
        <v>683</v>
      </c>
      <c r="H879" s="157">
        <v>1</v>
      </c>
      <c r="M879" s="158">
        <v>1</v>
      </c>
      <c r="Q879" s="157">
        <v>1</v>
      </c>
      <c r="X879" s="35">
        <f t="shared" si="88"/>
        <v>45682</v>
      </c>
      <c r="Y879" s="35">
        <f t="shared" si="89"/>
        <v>45710</v>
      </c>
    </row>
    <row r="880" spans="1:25" ht="20.149999999999999" customHeight="1">
      <c r="A880" s="10">
        <f>SUBTOTAL(103,$B$4:B880)</f>
        <v>877</v>
      </c>
      <c r="B880" s="111">
        <v>45682</v>
      </c>
      <c r="C880" s="114" t="s">
        <v>674</v>
      </c>
      <c r="D880" s="3" t="str">
        <f>VLOOKUP(C880,'Location Summary'!$C$4:$D$602,2,0)</f>
        <v>DB1+9</v>
      </c>
      <c r="E880" s="267" t="s">
        <v>403</v>
      </c>
      <c r="F880" s="268" t="s">
        <v>683</v>
      </c>
      <c r="J880" s="158">
        <v>1</v>
      </c>
      <c r="X880" s="35">
        <f t="shared" si="88"/>
        <v>45682</v>
      </c>
      <c r="Y880" s="35">
        <f t="shared" si="89"/>
        <v>45710</v>
      </c>
    </row>
    <row r="881" spans="1:25" ht="20.149999999999999" customHeight="1">
      <c r="A881" s="10">
        <f>SUBTOTAL(103,$B$4:B881)</f>
        <v>878</v>
      </c>
      <c r="B881" s="111">
        <v>45682</v>
      </c>
      <c r="C881" s="114" t="s">
        <v>626</v>
      </c>
      <c r="D881" s="3" t="str">
        <f>VLOOKUP(C881,'Location Summary'!$C$4:$D$602,2,0)</f>
        <v>DA+6</v>
      </c>
      <c r="E881" s="267" t="s">
        <v>403</v>
      </c>
      <c r="F881" s="268" t="s">
        <v>683</v>
      </c>
      <c r="P881" s="158">
        <v>1</v>
      </c>
      <c r="X881" s="35">
        <f t="shared" si="88"/>
        <v>45682</v>
      </c>
      <c r="Y881" s="35">
        <f t="shared" si="89"/>
        <v>45710</v>
      </c>
    </row>
    <row r="882" spans="1:25" ht="20.149999999999999" customHeight="1">
      <c r="A882" s="10">
        <f>SUBTOTAL(103,$B$4:B882)</f>
        <v>879</v>
      </c>
      <c r="B882" s="111">
        <v>45682</v>
      </c>
      <c r="C882" s="114" t="s">
        <v>78</v>
      </c>
      <c r="D882" s="3" t="str">
        <f>VLOOKUP(C882,'Location Summary'!$C$4:$D$602,2,0)</f>
        <v>DB1+0</v>
      </c>
      <c r="E882" s="267" t="s">
        <v>403</v>
      </c>
      <c r="F882" s="268" t="s">
        <v>683</v>
      </c>
      <c r="H882" s="157">
        <v>1</v>
      </c>
      <c r="I882" s="156">
        <v>1</v>
      </c>
      <c r="K882" s="157">
        <v>1</v>
      </c>
      <c r="L882" s="156">
        <v>1</v>
      </c>
      <c r="X882" s="35">
        <f t="shared" si="88"/>
        <v>45682</v>
      </c>
      <c r="Y882" s="35">
        <f t="shared" si="89"/>
        <v>45710</v>
      </c>
    </row>
    <row r="883" spans="1:25" ht="20.149999999999999" customHeight="1">
      <c r="A883" s="10">
        <f>SUBTOTAL(103,$B$4:B883)</f>
        <v>880</v>
      </c>
      <c r="B883" s="111">
        <v>45682</v>
      </c>
      <c r="C883" s="114" t="s">
        <v>649</v>
      </c>
      <c r="D883" s="3" t="str">
        <f>VLOOKUP(C883,'Location Summary'!$C$4:$D$602,2,0)</f>
        <v>DA+9</v>
      </c>
      <c r="E883" s="267" t="s">
        <v>403</v>
      </c>
      <c r="F883" s="268" t="s">
        <v>683</v>
      </c>
      <c r="H883" s="157">
        <v>1</v>
      </c>
      <c r="I883" s="156">
        <v>1</v>
      </c>
      <c r="Q883" s="157">
        <v>1</v>
      </c>
      <c r="R883" s="156">
        <v>1</v>
      </c>
      <c r="X883" s="35">
        <f t="shared" si="88"/>
        <v>45682</v>
      </c>
      <c r="Y883" s="35">
        <f t="shared" si="89"/>
        <v>45710</v>
      </c>
    </row>
    <row r="884" spans="1:25" ht="20.149999999999999" customHeight="1">
      <c r="A884" s="10">
        <f>SUBTOTAL(103,$B$4:B884)</f>
        <v>881</v>
      </c>
      <c r="B884" s="111">
        <v>45684</v>
      </c>
      <c r="C884" s="114" t="s">
        <v>645</v>
      </c>
      <c r="D884" s="3" t="str">
        <f>VLOOKUP(C884,'Location Summary'!$C$4:$D$602,2,0)</f>
        <v>DA+0</v>
      </c>
      <c r="E884" s="267" t="s">
        <v>403</v>
      </c>
      <c r="F884" s="268" t="s">
        <v>683</v>
      </c>
      <c r="H884" s="157">
        <v>1</v>
      </c>
      <c r="I884" s="156">
        <v>1</v>
      </c>
      <c r="J884" s="158">
        <v>1</v>
      </c>
      <c r="M884" s="158">
        <v>1</v>
      </c>
      <c r="Q884" s="157">
        <v>1</v>
      </c>
      <c r="R884" s="156">
        <v>1</v>
      </c>
      <c r="X884" s="35">
        <f t="shared" si="88"/>
        <v>45684</v>
      </c>
      <c r="Y884" s="35">
        <f t="shared" si="89"/>
        <v>45712</v>
      </c>
    </row>
    <row r="885" spans="1:25" ht="20.149999999999999" customHeight="1">
      <c r="A885" s="10">
        <f>SUBTOTAL(103,$B$4:B885)</f>
        <v>882</v>
      </c>
      <c r="B885" s="111">
        <v>45684</v>
      </c>
      <c r="C885" s="114" t="s">
        <v>674</v>
      </c>
      <c r="D885" s="3" t="str">
        <f>VLOOKUP(C885,'Location Summary'!$C$4:$D$602,2,0)</f>
        <v>DB1+9</v>
      </c>
      <c r="E885" s="267" t="s">
        <v>403</v>
      </c>
      <c r="F885" s="268" t="s">
        <v>683</v>
      </c>
      <c r="G885" s="158">
        <v>1</v>
      </c>
      <c r="K885" s="157">
        <v>1</v>
      </c>
      <c r="L885" s="156">
        <v>1</v>
      </c>
      <c r="P885" s="158">
        <v>1</v>
      </c>
      <c r="X885" s="35">
        <f t="shared" si="88"/>
        <v>45684</v>
      </c>
      <c r="Y885" s="35">
        <f t="shared" si="89"/>
        <v>45712</v>
      </c>
    </row>
    <row r="886" spans="1:25" ht="20.149999999999999" customHeight="1">
      <c r="A886" s="10">
        <f>SUBTOTAL(103,$B$4:B886)</f>
        <v>883</v>
      </c>
      <c r="B886" s="111">
        <v>45684</v>
      </c>
      <c r="C886" s="114" t="s">
        <v>9</v>
      </c>
      <c r="D886" s="3" t="str">
        <f>VLOOKUP(C886,'Location Summary'!$C$4:$D$602,2,0)</f>
        <v>DB1+0</v>
      </c>
      <c r="E886" s="267" t="s">
        <v>403</v>
      </c>
      <c r="F886" s="268" t="s">
        <v>683</v>
      </c>
      <c r="M886" s="158">
        <v>1</v>
      </c>
      <c r="Q886" s="157">
        <v>1</v>
      </c>
      <c r="R886" s="156">
        <v>1</v>
      </c>
      <c r="X886" s="35">
        <f t="shared" si="88"/>
        <v>45684</v>
      </c>
      <c r="Y886" s="35">
        <f t="shared" si="89"/>
        <v>45712</v>
      </c>
    </row>
    <row r="887" spans="1:25" ht="20.149999999999999" customHeight="1">
      <c r="A887" s="10">
        <f>SUBTOTAL(103,$B$4:B887)</f>
        <v>884</v>
      </c>
      <c r="B887" s="111">
        <v>45684</v>
      </c>
      <c r="C887" s="660" t="s">
        <v>626</v>
      </c>
      <c r="D887" s="3" t="str">
        <f>VLOOKUP(C887,'Location Summary'!$C$4:$D$602,2,0)</f>
        <v>DA+6</v>
      </c>
      <c r="E887" s="267" t="s">
        <v>403</v>
      </c>
      <c r="F887" s="268" t="s">
        <v>683</v>
      </c>
      <c r="G887" s="158">
        <v>1</v>
      </c>
      <c r="Q887" s="157">
        <v>1</v>
      </c>
      <c r="X887" s="35">
        <f t="shared" si="88"/>
        <v>45684</v>
      </c>
      <c r="Y887" s="35">
        <f t="shared" si="89"/>
        <v>45712</v>
      </c>
    </row>
    <row r="888" spans="1:25" ht="20.149999999999999" customHeight="1">
      <c r="A888" s="10">
        <f>SUBTOTAL(103,$B$4:B888)</f>
        <v>885</v>
      </c>
      <c r="B888" s="111">
        <v>45684</v>
      </c>
      <c r="C888" s="114" t="s">
        <v>308</v>
      </c>
      <c r="D888" s="3" t="str">
        <f>VLOOKUP(C888,'Location Summary'!$C$4:$D$602,2,0)</f>
        <v>DA+6</v>
      </c>
      <c r="E888" s="267" t="s">
        <v>403</v>
      </c>
      <c r="F888" s="268" t="s">
        <v>683</v>
      </c>
      <c r="I888" s="156">
        <v>1</v>
      </c>
      <c r="N888" s="157">
        <v>1</v>
      </c>
      <c r="O888" s="156">
        <v>1</v>
      </c>
      <c r="R888" s="156">
        <v>1</v>
      </c>
      <c r="X888" s="35">
        <f t="shared" si="88"/>
        <v>45684</v>
      </c>
      <c r="Y888" s="35">
        <f t="shared" si="89"/>
        <v>45712</v>
      </c>
    </row>
    <row r="889" spans="1:25" ht="20.149999999999999" customHeight="1">
      <c r="A889" s="10">
        <f>SUBTOTAL(103,$B$4:B889)</f>
        <v>886</v>
      </c>
      <c r="B889" s="111">
        <v>45685</v>
      </c>
      <c r="C889" s="114" t="s">
        <v>645</v>
      </c>
      <c r="D889" s="3" t="str">
        <f>VLOOKUP(C889,'Location Summary'!$C$4:$D$602,2,0)</f>
        <v>DA+0</v>
      </c>
      <c r="E889" s="267" t="s">
        <v>403</v>
      </c>
      <c r="F889" s="268" t="s">
        <v>683</v>
      </c>
      <c r="K889" s="157">
        <v>1</v>
      </c>
      <c r="L889" s="156">
        <v>1</v>
      </c>
      <c r="N889" s="157">
        <v>1</v>
      </c>
      <c r="O889" s="156">
        <v>1</v>
      </c>
      <c r="X889" s="35">
        <f t="shared" si="88"/>
        <v>45685</v>
      </c>
      <c r="Y889" s="35">
        <f t="shared" si="89"/>
        <v>45713</v>
      </c>
    </row>
    <row r="890" spans="1:25" ht="20.149999999999999" customHeight="1">
      <c r="A890" s="10">
        <f>SUBTOTAL(103,$B$4:B890)</f>
        <v>887</v>
      </c>
      <c r="B890" s="111">
        <v>45685</v>
      </c>
      <c r="C890" s="114" t="s">
        <v>674</v>
      </c>
      <c r="D890" s="3" t="str">
        <f>VLOOKUP(C890,'Location Summary'!$C$4:$D$602,2,0)</f>
        <v>DB1+9</v>
      </c>
      <c r="E890" s="267" t="s">
        <v>403</v>
      </c>
      <c r="F890" s="268" t="s">
        <v>683</v>
      </c>
      <c r="H890" s="157">
        <v>1</v>
      </c>
      <c r="I890" s="156">
        <v>1</v>
      </c>
      <c r="Q890" s="157">
        <v>1</v>
      </c>
      <c r="R890" s="156">
        <v>1</v>
      </c>
      <c r="X890" s="35">
        <f t="shared" si="88"/>
        <v>45685</v>
      </c>
      <c r="Y890" s="35">
        <f t="shared" si="89"/>
        <v>45713</v>
      </c>
    </row>
    <row r="891" spans="1:25" ht="20.149999999999999" customHeight="1">
      <c r="A891" s="10">
        <f>SUBTOTAL(103,$B$4:B891)</f>
        <v>888</v>
      </c>
      <c r="B891" s="111">
        <v>45685</v>
      </c>
      <c r="C891" s="114" t="s">
        <v>169</v>
      </c>
      <c r="D891" s="3" t="e">
        <f>VLOOKUP(C891,'Location Summary'!$C$4:$D$602,2,0)</f>
        <v>#N/A</v>
      </c>
      <c r="E891" s="267" t="s">
        <v>403</v>
      </c>
      <c r="F891" s="268" t="s">
        <v>683</v>
      </c>
      <c r="G891" s="158">
        <v>1</v>
      </c>
      <c r="P891" s="158">
        <v>1</v>
      </c>
      <c r="X891" s="35">
        <f t="shared" si="88"/>
        <v>45685</v>
      </c>
      <c r="Y891" s="35">
        <f t="shared" si="89"/>
        <v>45713</v>
      </c>
    </row>
    <row r="892" spans="1:25" ht="20.149999999999999" customHeight="1">
      <c r="A892" s="10">
        <f>SUBTOTAL(103,$B$4:B892)</f>
        <v>889</v>
      </c>
      <c r="B892" s="111">
        <v>45685</v>
      </c>
      <c r="C892" s="114" t="s">
        <v>626</v>
      </c>
      <c r="D892" s="3" t="str">
        <f>VLOOKUP(C892,'Location Summary'!$C$4:$D$602,2,0)</f>
        <v>DA+6</v>
      </c>
      <c r="E892" s="267" t="s">
        <v>403</v>
      </c>
      <c r="F892" s="268" t="s">
        <v>683</v>
      </c>
      <c r="H892" s="157">
        <v>1</v>
      </c>
      <c r="M892" s="158">
        <v>1</v>
      </c>
      <c r="R892" s="156">
        <v>1</v>
      </c>
      <c r="X892" s="35">
        <f t="shared" si="88"/>
        <v>45685</v>
      </c>
      <c r="Y892" s="35">
        <f t="shared" si="89"/>
        <v>45713</v>
      </c>
    </row>
    <row r="893" spans="1:25" ht="20.149999999999999" customHeight="1">
      <c r="A893" s="10">
        <f>SUBTOTAL(103,$B$4:B893)</f>
        <v>890</v>
      </c>
      <c r="B893" s="111">
        <v>45685</v>
      </c>
      <c r="C893" s="114" t="s">
        <v>9</v>
      </c>
      <c r="D893" s="3" t="str">
        <f>VLOOKUP(C893,'Location Summary'!$C$4:$D$602,2,0)</f>
        <v>DB1+0</v>
      </c>
      <c r="E893" s="267" t="s">
        <v>403</v>
      </c>
      <c r="F893" s="268" t="s">
        <v>683</v>
      </c>
      <c r="J893" s="158">
        <v>1</v>
      </c>
      <c r="N893" s="157">
        <v>1</v>
      </c>
      <c r="O893" s="156">
        <v>1</v>
      </c>
      <c r="X893" s="35">
        <f t="shared" si="88"/>
        <v>45685</v>
      </c>
      <c r="Y893" s="35">
        <f t="shared" si="89"/>
        <v>45713</v>
      </c>
    </row>
    <row r="894" spans="1:25" ht="20.149999999999999" customHeight="1">
      <c r="A894" s="10">
        <f>SUBTOTAL(103,$B$4:B894)</f>
        <v>891</v>
      </c>
      <c r="B894" s="111">
        <v>45686</v>
      </c>
      <c r="C894" s="114" t="s">
        <v>674</v>
      </c>
      <c r="D894" s="3" t="str">
        <f>VLOOKUP(C894,'Location Summary'!$C$4:$D$602,2,0)</f>
        <v>DB1+9</v>
      </c>
      <c r="E894" s="267" t="s">
        <v>403</v>
      </c>
      <c r="F894" s="268" t="s">
        <v>683</v>
      </c>
      <c r="M894" s="158">
        <v>1</v>
      </c>
      <c r="X894" s="35">
        <f t="shared" si="88"/>
        <v>45686</v>
      </c>
      <c r="Y894" s="35">
        <f t="shared" si="89"/>
        <v>45714</v>
      </c>
    </row>
    <row r="895" spans="1:25" s="683" customFormat="1" ht="20.149999999999999" customHeight="1">
      <c r="A895" s="675">
        <f>SUBTOTAL(103,$B$4:B895)</f>
        <v>892</v>
      </c>
      <c r="B895" s="676">
        <v>45686</v>
      </c>
      <c r="C895" s="659" t="s">
        <v>9</v>
      </c>
      <c r="D895" s="677" t="str">
        <f>VLOOKUP(C895,'Location Summary'!$C$4:$D$602,2,0)</f>
        <v>DB1+0</v>
      </c>
      <c r="E895" s="678" t="s">
        <v>403</v>
      </c>
      <c r="F895" s="679" t="s">
        <v>683</v>
      </c>
      <c r="G895" s="680"/>
      <c r="H895" s="681"/>
      <c r="I895" s="682"/>
      <c r="J895" s="680"/>
      <c r="K895" s="685">
        <v>1</v>
      </c>
      <c r="L895" s="686">
        <v>1</v>
      </c>
      <c r="M895" s="680"/>
      <c r="N895" s="681"/>
      <c r="O895" s="682"/>
      <c r="P895" s="680"/>
      <c r="Q895" s="681"/>
      <c r="R895" s="682"/>
      <c r="T895" s="677"/>
      <c r="U895" s="677"/>
      <c r="V895" s="677"/>
      <c r="W895" s="677"/>
      <c r="X895" s="684">
        <f t="shared" si="88"/>
        <v>45686</v>
      </c>
      <c r="Y895" s="684">
        <f t="shared" si="89"/>
        <v>45714</v>
      </c>
    </row>
    <row r="896" spans="1:25" ht="20.149999999999999" customHeight="1">
      <c r="A896" s="10">
        <f>SUBTOTAL(103,$B$4:B896)</f>
        <v>893</v>
      </c>
      <c r="B896" s="111">
        <v>45686</v>
      </c>
      <c r="C896" s="114" t="s">
        <v>626</v>
      </c>
      <c r="D896" s="3" t="str">
        <f>VLOOKUP(C896,'Location Summary'!$C$4:$D$602,2,0)</f>
        <v>DA+6</v>
      </c>
      <c r="E896" s="267" t="s">
        <v>403</v>
      </c>
      <c r="F896" s="268" t="s">
        <v>683</v>
      </c>
      <c r="I896" s="156">
        <v>1</v>
      </c>
      <c r="X896" s="615">
        <f t="shared" ref="X896:X930" si="90">B896</f>
        <v>45686</v>
      </c>
      <c r="Y896" s="615">
        <f t="shared" ref="Y896:Y930" si="91">B896+28</f>
        <v>45714</v>
      </c>
    </row>
    <row r="897" spans="1:25" ht="20.149999999999999" customHeight="1">
      <c r="A897" s="10">
        <f>SUBTOTAL(103,$B$4:B897)</f>
        <v>894</v>
      </c>
      <c r="B897" s="111">
        <v>45686</v>
      </c>
      <c r="C897" s="114" t="s">
        <v>169</v>
      </c>
      <c r="D897" s="3" t="e">
        <f>VLOOKUP(C897,'Location Summary'!$C$4:$D$602,2,0)</f>
        <v>#N/A</v>
      </c>
      <c r="E897" s="267" t="s">
        <v>403</v>
      </c>
      <c r="F897" s="268" t="s">
        <v>683</v>
      </c>
      <c r="H897" s="157">
        <v>1</v>
      </c>
      <c r="I897" s="156">
        <v>1</v>
      </c>
      <c r="Q897" s="157">
        <v>1</v>
      </c>
      <c r="R897" s="156">
        <v>1</v>
      </c>
      <c r="X897" s="615">
        <f t="shared" si="90"/>
        <v>45686</v>
      </c>
      <c r="Y897" s="615">
        <f t="shared" si="91"/>
        <v>45714</v>
      </c>
    </row>
    <row r="898" spans="1:25" ht="20.149999999999999" customHeight="1">
      <c r="A898" s="10">
        <f>SUBTOTAL(103,$B$4:B898)</f>
        <v>895</v>
      </c>
      <c r="B898" s="111">
        <v>45686</v>
      </c>
      <c r="C898" s="114" t="s">
        <v>66</v>
      </c>
      <c r="D898" s="3" t="str">
        <f>VLOOKUP(C898,'Location Summary'!$C$4:$D$602,2,0)</f>
        <v>DA+6</v>
      </c>
      <c r="E898" s="267" t="s">
        <v>403</v>
      </c>
      <c r="F898" s="268" t="s">
        <v>683</v>
      </c>
      <c r="G898" s="158">
        <v>1</v>
      </c>
      <c r="P898" s="158">
        <v>1</v>
      </c>
      <c r="X898" s="615">
        <f t="shared" si="90"/>
        <v>45686</v>
      </c>
      <c r="Y898" s="615">
        <f t="shared" si="91"/>
        <v>45714</v>
      </c>
    </row>
    <row r="899" spans="1:25" ht="20.149999999999999" customHeight="1">
      <c r="A899" s="10">
        <f>SUBTOTAL(103,$B$4:B899)</f>
        <v>896</v>
      </c>
      <c r="B899" s="111">
        <v>45687</v>
      </c>
      <c r="C899" s="114" t="s">
        <v>647</v>
      </c>
      <c r="D899" s="3" t="str">
        <f>VLOOKUP(C899,'Location Summary'!$C$4:$D$602,2,0)</f>
        <v>DA+3</v>
      </c>
      <c r="E899" s="267" t="s">
        <v>403</v>
      </c>
      <c r="F899" s="268" t="s">
        <v>683</v>
      </c>
      <c r="G899" s="158">
        <v>1</v>
      </c>
      <c r="J899" s="158">
        <v>1</v>
      </c>
      <c r="M899" s="158">
        <v>1</v>
      </c>
      <c r="X899" s="35">
        <f t="shared" si="90"/>
        <v>45687</v>
      </c>
      <c r="Y899" s="35">
        <f t="shared" si="91"/>
        <v>45715</v>
      </c>
    </row>
    <row r="900" spans="1:25" ht="20.149999999999999" customHeight="1">
      <c r="A900" s="10">
        <f>SUBTOTAL(103,$B$4:B900)</f>
        <v>897</v>
      </c>
      <c r="B900" s="111">
        <v>45687</v>
      </c>
      <c r="C900" s="114" t="s">
        <v>674</v>
      </c>
      <c r="D900" s="3" t="str">
        <f>VLOOKUP(C900,'Location Summary'!$C$4:$D$602,2,0)</f>
        <v>DB1+9</v>
      </c>
      <c r="E900" s="267" t="s">
        <v>403</v>
      </c>
      <c r="F900" s="268" t="s">
        <v>683</v>
      </c>
      <c r="N900" s="157">
        <v>1</v>
      </c>
      <c r="O900" s="156">
        <v>1</v>
      </c>
      <c r="X900" s="35">
        <f t="shared" si="90"/>
        <v>45687</v>
      </c>
      <c r="Y900" s="35">
        <f t="shared" si="91"/>
        <v>45715</v>
      </c>
    </row>
    <row r="901" spans="1:25" ht="20.149999999999999" customHeight="1">
      <c r="A901" s="10">
        <f>SUBTOTAL(103,$B$4:B901)</f>
        <v>898</v>
      </c>
      <c r="B901" s="111">
        <v>45687</v>
      </c>
      <c r="C901" s="114" t="s">
        <v>163</v>
      </c>
      <c r="D901" s="3" t="str">
        <f>VLOOKUP(C901,'Location Summary'!$C$4:$D$602,2,0)</f>
        <v>DA+1.5</v>
      </c>
      <c r="E901" s="267" t="s">
        <v>403</v>
      </c>
      <c r="F901" s="268" t="s">
        <v>683</v>
      </c>
      <c r="G901" s="158">
        <v>1</v>
      </c>
      <c r="J901" s="158">
        <v>1</v>
      </c>
      <c r="P901" s="158">
        <v>1</v>
      </c>
      <c r="X901" s="35">
        <f t="shared" si="90"/>
        <v>45687</v>
      </c>
      <c r="Y901" s="35">
        <f t="shared" si="91"/>
        <v>45715</v>
      </c>
    </row>
    <row r="902" spans="1:25" ht="20.149999999999999" customHeight="1">
      <c r="A902" s="10">
        <f>SUBTOTAL(103,$B$4:B902)</f>
        <v>899</v>
      </c>
      <c r="B902" s="111">
        <v>45687</v>
      </c>
      <c r="C902" s="114" t="s">
        <v>400</v>
      </c>
      <c r="D902" s="3" t="str">
        <f>VLOOKUP(C902,'Location Summary'!$C$4:$D$602,2,0)</f>
        <v>DA+9</v>
      </c>
      <c r="E902" s="267" t="s">
        <v>403</v>
      </c>
      <c r="F902" s="268" t="s">
        <v>683</v>
      </c>
      <c r="P902" s="158">
        <v>1</v>
      </c>
      <c r="X902" s="35">
        <f t="shared" si="90"/>
        <v>45687</v>
      </c>
      <c r="Y902" s="35">
        <f t="shared" si="91"/>
        <v>45715</v>
      </c>
    </row>
    <row r="903" spans="1:25" ht="20.149999999999999" customHeight="1">
      <c r="A903" s="10">
        <f>SUBTOTAL(103,$B$4:B903)</f>
        <v>900</v>
      </c>
      <c r="B903" s="111">
        <v>45687</v>
      </c>
      <c r="C903" s="114" t="s">
        <v>626</v>
      </c>
      <c r="D903" s="3" t="str">
        <f>VLOOKUP(C903,'Location Summary'!$C$4:$D$602,2,0)</f>
        <v>DA+6</v>
      </c>
      <c r="E903" s="267" t="s">
        <v>403</v>
      </c>
      <c r="F903" s="268" t="s">
        <v>683</v>
      </c>
      <c r="J903" s="158">
        <v>1</v>
      </c>
      <c r="X903" s="35">
        <f t="shared" si="90"/>
        <v>45687</v>
      </c>
      <c r="Y903" s="35">
        <f t="shared" si="91"/>
        <v>45715</v>
      </c>
    </row>
    <row r="904" spans="1:25" ht="20.149999999999999" customHeight="1">
      <c r="A904" s="10">
        <f>SUBTOTAL(103,$B$4:B904)</f>
        <v>901</v>
      </c>
      <c r="B904" s="111">
        <v>45687</v>
      </c>
      <c r="C904" s="114" t="s">
        <v>169</v>
      </c>
      <c r="D904" s="3" t="e">
        <f>VLOOKUP(C904,'Location Summary'!$C$4:$D$602,2,0)</f>
        <v>#N/A</v>
      </c>
      <c r="E904" s="267" t="s">
        <v>403</v>
      </c>
      <c r="F904" s="268" t="s">
        <v>683</v>
      </c>
      <c r="J904" s="158">
        <v>1</v>
      </c>
      <c r="M904" s="158">
        <v>1</v>
      </c>
      <c r="X904" s="35">
        <f t="shared" si="90"/>
        <v>45687</v>
      </c>
      <c r="Y904" s="35">
        <f t="shared" si="91"/>
        <v>45715</v>
      </c>
    </row>
    <row r="905" spans="1:25" ht="20.149999999999999" customHeight="1">
      <c r="A905" s="10">
        <f>SUBTOTAL(103,$B$4:B905)</f>
        <v>902</v>
      </c>
      <c r="B905" s="111">
        <v>45687</v>
      </c>
      <c r="C905" s="114" t="s">
        <v>66</v>
      </c>
      <c r="D905" s="3" t="str">
        <f>VLOOKUP(C905,'Location Summary'!$C$4:$D$602,2,0)</f>
        <v>DA+6</v>
      </c>
      <c r="E905" s="267" t="s">
        <v>403</v>
      </c>
      <c r="F905" s="268" t="s">
        <v>683</v>
      </c>
      <c r="H905" s="157">
        <v>1</v>
      </c>
      <c r="I905" s="156">
        <v>1</v>
      </c>
      <c r="J905" s="158">
        <v>1</v>
      </c>
      <c r="M905" s="158">
        <v>1</v>
      </c>
      <c r="Q905" s="157">
        <v>1</v>
      </c>
      <c r="R905" s="156">
        <v>1</v>
      </c>
      <c r="X905" s="35">
        <f t="shared" si="90"/>
        <v>45687</v>
      </c>
      <c r="Y905" s="35">
        <f t="shared" si="91"/>
        <v>45715</v>
      </c>
    </row>
    <row r="906" spans="1:25" ht="20.149999999999999" customHeight="1">
      <c r="A906" s="10">
        <f>SUBTOTAL(103,$B$4:B906)</f>
        <v>903</v>
      </c>
      <c r="B906" s="111">
        <v>45688</v>
      </c>
      <c r="C906" s="114" t="s">
        <v>647</v>
      </c>
      <c r="D906" s="3" t="str">
        <f>VLOOKUP(C906,'Location Summary'!$C$4:$D$602,2,0)</f>
        <v>DA+3</v>
      </c>
      <c r="E906" s="267" t="s">
        <v>403</v>
      </c>
      <c r="F906" s="268" t="s">
        <v>683</v>
      </c>
      <c r="H906" s="157">
        <v>1</v>
      </c>
      <c r="I906" s="156">
        <v>1</v>
      </c>
      <c r="K906" s="157">
        <v>1</v>
      </c>
      <c r="L906" s="156">
        <v>1</v>
      </c>
      <c r="N906" s="157">
        <v>1</v>
      </c>
      <c r="O906" s="156">
        <v>1</v>
      </c>
      <c r="P906" s="158">
        <v>1</v>
      </c>
      <c r="X906" s="35">
        <f t="shared" si="90"/>
        <v>45688</v>
      </c>
      <c r="Y906" s="35">
        <f t="shared" si="91"/>
        <v>45716</v>
      </c>
    </row>
    <row r="907" spans="1:25" ht="20.149999999999999" customHeight="1">
      <c r="A907" s="10">
        <f>SUBTOTAL(103,$B$4:B907)</f>
        <v>904</v>
      </c>
      <c r="B907" s="111">
        <v>45688</v>
      </c>
      <c r="C907" s="114" t="s">
        <v>163</v>
      </c>
      <c r="D907" s="3" t="str">
        <f>VLOOKUP(C907,'Location Summary'!$C$4:$D$602,2,0)</f>
        <v>DA+1.5</v>
      </c>
      <c r="E907" s="267" t="s">
        <v>403</v>
      </c>
      <c r="F907" s="268" t="s">
        <v>683</v>
      </c>
      <c r="H907" s="157">
        <v>1</v>
      </c>
      <c r="I907" s="156">
        <v>1</v>
      </c>
      <c r="K907" s="157">
        <v>1</v>
      </c>
      <c r="L907" s="156">
        <v>1</v>
      </c>
      <c r="M907" s="158">
        <v>1</v>
      </c>
      <c r="Q907" s="157">
        <v>1</v>
      </c>
      <c r="R907" s="156">
        <v>1</v>
      </c>
      <c r="X907" s="35">
        <f t="shared" si="90"/>
        <v>45688</v>
      </c>
      <c r="Y907" s="35">
        <f t="shared" si="91"/>
        <v>45716</v>
      </c>
    </row>
    <row r="908" spans="1:25" ht="20.149999999999999" customHeight="1">
      <c r="A908" s="10">
        <f>SUBTOTAL(103,$B$4:B908)</f>
        <v>905</v>
      </c>
      <c r="B908" s="111">
        <v>45688</v>
      </c>
      <c r="C908" s="114" t="s">
        <v>400</v>
      </c>
      <c r="D908" s="3" t="str">
        <f>VLOOKUP(C908,'Location Summary'!$C$4:$D$602,2,0)</f>
        <v>DA+9</v>
      </c>
      <c r="E908" s="267" t="s">
        <v>403</v>
      </c>
      <c r="F908" s="268" t="s">
        <v>683</v>
      </c>
      <c r="Q908" s="157">
        <v>1</v>
      </c>
      <c r="X908" s="35">
        <f t="shared" si="90"/>
        <v>45688</v>
      </c>
      <c r="Y908" s="35">
        <f t="shared" si="91"/>
        <v>45716</v>
      </c>
    </row>
    <row r="909" spans="1:25" ht="20.149999999999999" customHeight="1">
      <c r="A909" s="10">
        <f>SUBTOTAL(103,$B$4:B909)</f>
        <v>906</v>
      </c>
      <c r="B909" s="111">
        <v>45688</v>
      </c>
      <c r="C909" s="114" t="s">
        <v>626</v>
      </c>
      <c r="D909" s="3" t="str">
        <f>VLOOKUP(C909,'Location Summary'!$C$4:$D$602,2,0)</f>
        <v>DA+6</v>
      </c>
      <c r="E909" s="267" t="s">
        <v>403</v>
      </c>
      <c r="F909" s="268" t="s">
        <v>683</v>
      </c>
      <c r="K909" s="157">
        <v>1</v>
      </c>
      <c r="L909" s="156">
        <v>1</v>
      </c>
      <c r="N909" s="157">
        <v>1</v>
      </c>
      <c r="O909" s="156">
        <v>1</v>
      </c>
      <c r="X909" s="35">
        <f t="shared" si="90"/>
        <v>45688</v>
      </c>
      <c r="Y909" s="35">
        <f t="shared" si="91"/>
        <v>45716</v>
      </c>
    </row>
    <row r="910" spans="1:25" ht="20.149999999999999" customHeight="1">
      <c r="A910" s="10">
        <f>SUBTOTAL(103,$B$4:B910)</f>
        <v>907</v>
      </c>
      <c r="B910" s="111">
        <v>45688</v>
      </c>
      <c r="C910" s="660" t="s">
        <v>169</v>
      </c>
      <c r="D910" s="3" t="e">
        <f>VLOOKUP(C910,'Location Summary'!$C$4:$D$602,2,0)</f>
        <v>#N/A</v>
      </c>
      <c r="E910" s="267" t="s">
        <v>403</v>
      </c>
      <c r="F910" s="268" t="s">
        <v>683</v>
      </c>
      <c r="K910" s="157">
        <v>1</v>
      </c>
      <c r="L910" s="156">
        <v>1</v>
      </c>
      <c r="N910" s="157">
        <v>1</v>
      </c>
      <c r="O910" s="156">
        <v>1</v>
      </c>
      <c r="X910" s="35">
        <f t="shared" si="90"/>
        <v>45688</v>
      </c>
      <c r="Y910" s="35">
        <f t="shared" si="91"/>
        <v>45716</v>
      </c>
    </row>
    <row r="911" spans="1:25" ht="20.149999999999999" customHeight="1">
      <c r="A911" s="10">
        <f>SUBTOTAL(103,$B$4:B911)</f>
        <v>908</v>
      </c>
      <c r="B911" s="111">
        <v>45688</v>
      </c>
      <c r="C911" s="114" t="s">
        <v>7</v>
      </c>
      <c r="D911" s="3" t="str">
        <f>VLOOKUP(C911,'Location Summary'!$C$4:$D$602,2,0)</f>
        <v>DB1+6</v>
      </c>
      <c r="E911" s="267" t="s">
        <v>403</v>
      </c>
      <c r="F911" s="268" t="s">
        <v>683</v>
      </c>
      <c r="P911" s="158">
        <v>1</v>
      </c>
      <c r="X911" s="35">
        <f t="shared" si="90"/>
        <v>45688</v>
      </c>
      <c r="Y911" s="35">
        <f t="shared" si="91"/>
        <v>45716</v>
      </c>
    </row>
    <row r="912" spans="1:25" ht="20.149999999999999" customHeight="1">
      <c r="A912" s="10">
        <f>SUBTOTAL(103,$B$4:B912)</f>
        <v>909</v>
      </c>
      <c r="B912" s="111">
        <v>45688</v>
      </c>
      <c r="C912" s="114" t="s">
        <v>66</v>
      </c>
      <c r="D912" s="3" t="str">
        <f>VLOOKUP(C912,'Location Summary'!$C$4:$D$602,2,0)</f>
        <v>DA+6</v>
      </c>
      <c r="E912" s="267" t="s">
        <v>403</v>
      </c>
      <c r="F912" s="268" t="s">
        <v>683</v>
      </c>
      <c r="K912" s="157">
        <v>1</v>
      </c>
      <c r="L912" s="156">
        <v>1</v>
      </c>
      <c r="N912" s="157">
        <v>1</v>
      </c>
      <c r="O912" s="156">
        <v>1</v>
      </c>
      <c r="X912" s="35">
        <f t="shared" si="90"/>
        <v>45688</v>
      </c>
      <c r="Y912" s="35">
        <f t="shared" si="91"/>
        <v>45716</v>
      </c>
    </row>
    <row r="913" spans="1:25" ht="20.149999999999999" customHeight="1">
      <c r="A913" s="10">
        <f>SUBTOTAL(103,$B$4:B913)</f>
        <v>910</v>
      </c>
      <c r="B913" s="111">
        <v>45689</v>
      </c>
      <c r="C913" s="114" t="s">
        <v>647</v>
      </c>
      <c r="D913" s="3" t="str">
        <f>VLOOKUP(C913,'Location Summary'!$C$4:$D$602,2,0)</f>
        <v>DA+3</v>
      </c>
      <c r="E913" s="267" t="s">
        <v>403</v>
      </c>
      <c r="F913" s="268" t="s">
        <v>683</v>
      </c>
      <c r="Q913" s="157">
        <v>1</v>
      </c>
      <c r="X913" s="35">
        <f t="shared" si="90"/>
        <v>45689</v>
      </c>
      <c r="Y913" s="35">
        <f t="shared" si="91"/>
        <v>45717</v>
      </c>
    </row>
    <row r="914" spans="1:25" ht="20.149999999999999" customHeight="1">
      <c r="A914" s="10">
        <f>SUBTOTAL(103,$B$4:B914)</f>
        <v>911</v>
      </c>
      <c r="B914" s="111">
        <v>45689</v>
      </c>
      <c r="C914" s="114" t="s">
        <v>424</v>
      </c>
      <c r="D914" s="3" t="str">
        <f>VLOOKUP(C914,'Location Summary'!$C$4:$D$602,2,0)</f>
        <v>DA+1.5</v>
      </c>
      <c r="E914" s="267" t="s">
        <v>403</v>
      </c>
      <c r="F914" s="268" t="s">
        <v>683</v>
      </c>
      <c r="M914" s="158">
        <v>1</v>
      </c>
      <c r="P914" s="158">
        <v>1</v>
      </c>
      <c r="X914" s="35">
        <f t="shared" si="90"/>
        <v>45689</v>
      </c>
      <c r="Y914" s="35">
        <f t="shared" si="91"/>
        <v>45717</v>
      </c>
    </row>
    <row r="915" spans="1:25" ht="20.149999999999999" customHeight="1">
      <c r="A915" s="10">
        <f>SUBTOTAL(103,$B$4:B915)</f>
        <v>912</v>
      </c>
      <c r="B915" s="111">
        <v>45689</v>
      </c>
      <c r="C915" s="114" t="s">
        <v>163</v>
      </c>
      <c r="D915" s="3" t="str">
        <f>VLOOKUP(C915,'Location Summary'!$C$4:$D$602,2,0)</f>
        <v>DA+1.5</v>
      </c>
      <c r="E915" s="267" t="s">
        <v>403</v>
      </c>
      <c r="F915" s="268" t="s">
        <v>683</v>
      </c>
      <c r="N915" s="157">
        <v>1</v>
      </c>
      <c r="O915" s="156">
        <v>1</v>
      </c>
      <c r="X915" s="35">
        <f t="shared" si="90"/>
        <v>45689</v>
      </c>
      <c r="Y915" s="35">
        <f t="shared" si="91"/>
        <v>45717</v>
      </c>
    </row>
    <row r="916" spans="1:25" ht="20.149999999999999" customHeight="1">
      <c r="A916" s="10">
        <f>SUBTOTAL(103,$B$4:B916)</f>
        <v>913</v>
      </c>
      <c r="B916" s="111">
        <v>45689</v>
      </c>
      <c r="C916" s="114" t="s">
        <v>400</v>
      </c>
      <c r="D916" s="3" t="str">
        <f>VLOOKUP(C916,'Location Summary'!$C$4:$D$602,2,0)</f>
        <v>DA+9</v>
      </c>
      <c r="E916" s="267" t="s">
        <v>403</v>
      </c>
      <c r="F916" s="268" t="s">
        <v>683</v>
      </c>
      <c r="M916" s="158">
        <v>1</v>
      </c>
      <c r="X916" s="35">
        <f t="shared" si="90"/>
        <v>45689</v>
      </c>
      <c r="Y916" s="35">
        <f t="shared" si="91"/>
        <v>45717</v>
      </c>
    </row>
    <row r="917" spans="1:25" ht="20.149999999999999" customHeight="1">
      <c r="A917" s="10">
        <f>SUBTOTAL(103,$B$4:B917)</f>
        <v>914</v>
      </c>
      <c r="B917" s="111">
        <v>45689</v>
      </c>
      <c r="C917" s="114" t="s">
        <v>7</v>
      </c>
      <c r="D917" s="3" t="str">
        <f>VLOOKUP(C917,'Location Summary'!$C$4:$D$602,2,0)</f>
        <v>DB1+6</v>
      </c>
      <c r="E917" s="267" t="s">
        <v>403</v>
      </c>
      <c r="F917" s="268" t="s">
        <v>683</v>
      </c>
      <c r="G917" s="158">
        <v>1</v>
      </c>
      <c r="Q917" s="157">
        <v>1</v>
      </c>
      <c r="R917" s="156">
        <v>1</v>
      </c>
      <c r="X917" s="35">
        <f t="shared" si="90"/>
        <v>45689</v>
      </c>
      <c r="Y917" s="35">
        <f t="shared" si="91"/>
        <v>45717</v>
      </c>
    </row>
    <row r="918" spans="1:25" ht="20.149999999999999" customHeight="1">
      <c r="A918" s="10">
        <f>SUBTOTAL(103,$B$4:B918)</f>
        <v>915</v>
      </c>
      <c r="B918" s="111">
        <v>45689</v>
      </c>
      <c r="C918" s="114" t="s">
        <v>267</v>
      </c>
      <c r="D918" s="3" t="str">
        <f>VLOOKUP(C918,'Location Summary'!$C$4:$D$602,2,0)</f>
        <v>DD60+9</v>
      </c>
      <c r="E918" s="267" t="s">
        <v>403</v>
      </c>
      <c r="F918" s="268" t="s">
        <v>683</v>
      </c>
      <c r="G918" s="158">
        <v>1</v>
      </c>
      <c r="X918" s="35">
        <f t="shared" si="90"/>
        <v>45689</v>
      </c>
      <c r="Y918" s="35">
        <f t="shared" si="91"/>
        <v>45717</v>
      </c>
    </row>
    <row r="919" spans="1:25" ht="20.149999999999999" customHeight="1">
      <c r="A919" s="10">
        <f>SUBTOTAL(103,$B$4:B919)</f>
        <v>916</v>
      </c>
      <c r="B919" s="111">
        <v>45689</v>
      </c>
      <c r="C919" s="114" t="s">
        <v>165</v>
      </c>
      <c r="D919" s="3" t="str">
        <f>VLOOKUP(C919,'Location Summary'!$C$4:$D$602,2,0)</f>
        <v>DA+9</v>
      </c>
      <c r="E919" s="267" t="s">
        <v>403</v>
      </c>
      <c r="F919" s="268" t="s">
        <v>683</v>
      </c>
      <c r="G919" s="158">
        <v>1</v>
      </c>
      <c r="J919" s="158">
        <v>1</v>
      </c>
      <c r="X919" s="35">
        <f t="shared" si="90"/>
        <v>45689</v>
      </c>
      <c r="Y919" s="35">
        <f t="shared" si="91"/>
        <v>45717</v>
      </c>
    </row>
    <row r="920" spans="1:25" ht="20.149999999999999" customHeight="1">
      <c r="A920" s="10">
        <f>SUBTOTAL(103,$B$4:B920)</f>
        <v>917</v>
      </c>
      <c r="B920" s="111">
        <v>45690</v>
      </c>
      <c r="C920" s="114" t="s">
        <v>647</v>
      </c>
      <c r="D920" s="3" t="str">
        <f>VLOOKUP(C920,'Location Summary'!$C$4:$D$602,2,0)</f>
        <v>DA+3</v>
      </c>
      <c r="E920" s="267" t="s">
        <v>403</v>
      </c>
      <c r="F920" s="268" t="s">
        <v>683</v>
      </c>
      <c r="R920" s="156">
        <v>1</v>
      </c>
      <c r="X920" s="35">
        <f t="shared" si="90"/>
        <v>45690</v>
      </c>
      <c r="Y920" s="35">
        <f t="shared" si="91"/>
        <v>45718</v>
      </c>
    </row>
    <row r="921" spans="1:25" ht="20.149999999999999" customHeight="1">
      <c r="A921" s="10">
        <f>SUBTOTAL(103,$B$4:B921)</f>
        <v>918</v>
      </c>
      <c r="B921" s="111">
        <v>45690</v>
      </c>
      <c r="C921" s="114" t="s">
        <v>424</v>
      </c>
      <c r="D921" s="3" t="str">
        <f>VLOOKUP(C921,'Location Summary'!$C$4:$D$602,2,0)</f>
        <v>DA+1.5</v>
      </c>
      <c r="E921" s="267" t="s">
        <v>403</v>
      </c>
      <c r="F921" s="268" t="s">
        <v>683</v>
      </c>
      <c r="G921" s="158">
        <v>1</v>
      </c>
      <c r="J921" s="158">
        <v>1</v>
      </c>
      <c r="N921" s="157">
        <v>1</v>
      </c>
      <c r="Q921" s="157">
        <v>1</v>
      </c>
      <c r="X921" s="35">
        <f t="shared" si="90"/>
        <v>45690</v>
      </c>
      <c r="Y921" s="35">
        <f t="shared" si="91"/>
        <v>45718</v>
      </c>
    </row>
    <row r="922" spans="1:25" ht="20.149999999999999" customHeight="1">
      <c r="A922" s="10">
        <f>SUBTOTAL(103,$B$4:B922)</f>
        <v>919</v>
      </c>
      <c r="B922" s="111">
        <v>45690</v>
      </c>
      <c r="C922" s="114" t="s">
        <v>7</v>
      </c>
      <c r="D922" s="3" t="str">
        <f>VLOOKUP(C922,'Location Summary'!$C$4:$D$602,2,0)</f>
        <v>DB1+6</v>
      </c>
      <c r="E922" s="267" t="s">
        <v>403</v>
      </c>
      <c r="F922" s="268" t="s">
        <v>683</v>
      </c>
      <c r="H922" s="157">
        <v>1</v>
      </c>
      <c r="J922" s="158">
        <v>1</v>
      </c>
      <c r="M922" s="158">
        <v>1</v>
      </c>
      <c r="X922" s="35">
        <f t="shared" si="90"/>
        <v>45690</v>
      </c>
      <c r="Y922" s="35">
        <f t="shared" si="91"/>
        <v>45718</v>
      </c>
    </row>
    <row r="923" spans="1:25" ht="20.149999999999999" customHeight="1">
      <c r="A923" s="10">
        <f>SUBTOTAL(103,$B$4:B923)</f>
        <v>920</v>
      </c>
      <c r="B923" s="111">
        <v>45690</v>
      </c>
      <c r="C923" s="114" t="s">
        <v>165</v>
      </c>
      <c r="D923" s="3" t="str">
        <f>VLOOKUP(C923,'Location Summary'!$C$4:$D$602,2,0)</f>
        <v>DA+9</v>
      </c>
      <c r="E923" s="267" t="s">
        <v>403</v>
      </c>
      <c r="F923" s="268" t="s">
        <v>683</v>
      </c>
      <c r="H923" s="157">
        <v>1</v>
      </c>
      <c r="I923" s="156">
        <v>1</v>
      </c>
      <c r="K923" s="157">
        <v>1</v>
      </c>
      <c r="L923" s="156">
        <v>1</v>
      </c>
      <c r="M923" s="158">
        <v>1</v>
      </c>
      <c r="X923" s="35">
        <f t="shared" si="90"/>
        <v>45690</v>
      </c>
      <c r="Y923" s="35">
        <f t="shared" si="91"/>
        <v>45718</v>
      </c>
    </row>
    <row r="924" spans="1:25" ht="20.149999999999999" customHeight="1">
      <c r="A924" s="10">
        <f>SUBTOTAL(103,$B$4:B924)</f>
        <v>921</v>
      </c>
      <c r="B924" s="111">
        <v>45691</v>
      </c>
      <c r="C924" s="114" t="s">
        <v>646</v>
      </c>
      <c r="D924" s="3" t="e">
        <f>VLOOKUP(C924,'Location Summary'!$C$4:$D$602,2,0)</f>
        <v>#N/A</v>
      </c>
      <c r="E924" s="267" t="s">
        <v>403</v>
      </c>
      <c r="F924" s="268" t="s">
        <v>683</v>
      </c>
      <c r="G924" s="158">
        <v>1</v>
      </c>
      <c r="X924" s="35">
        <f t="shared" si="90"/>
        <v>45691</v>
      </c>
      <c r="Y924" s="35">
        <f t="shared" si="91"/>
        <v>45719</v>
      </c>
    </row>
    <row r="925" spans="1:25" ht="20.149999999999999" customHeight="1">
      <c r="A925" s="10">
        <f>SUBTOTAL(103,$B$4:B925)</f>
        <v>922</v>
      </c>
      <c r="B925" s="111">
        <v>45691</v>
      </c>
      <c r="C925" s="114" t="s">
        <v>424</v>
      </c>
      <c r="D925" s="3" t="str">
        <f>VLOOKUP(C925,'Location Summary'!$C$4:$D$602,2,0)</f>
        <v>DA+1.5</v>
      </c>
      <c r="E925" s="267" t="s">
        <v>403</v>
      </c>
      <c r="F925" s="268" t="s">
        <v>683</v>
      </c>
      <c r="H925" s="157">
        <v>1</v>
      </c>
      <c r="K925" s="157">
        <v>1</v>
      </c>
      <c r="O925" s="156">
        <v>1</v>
      </c>
      <c r="R925" s="156">
        <v>1</v>
      </c>
      <c r="X925" s="35">
        <f t="shared" si="90"/>
        <v>45691</v>
      </c>
      <c r="Y925" s="35">
        <f t="shared" si="91"/>
        <v>45719</v>
      </c>
    </row>
    <row r="926" spans="1:25" ht="20.149999999999999" customHeight="1">
      <c r="A926" s="10">
        <f>SUBTOTAL(103,$B$4:B926)</f>
        <v>923</v>
      </c>
      <c r="B926" s="111">
        <v>45691</v>
      </c>
      <c r="C926" s="114" t="s">
        <v>444</v>
      </c>
      <c r="D926" s="3" t="str">
        <f>VLOOKUP(C926,'Location Summary'!$C$4:$D$602,2,0)</f>
        <v>DA-1.5</v>
      </c>
      <c r="E926" s="267" t="s">
        <v>403</v>
      </c>
      <c r="F926" s="268" t="s">
        <v>683</v>
      </c>
      <c r="G926" s="158">
        <v>1</v>
      </c>
      <c r="J926" s="158">
        <v>1</v>
      </c>
      <c r="M926" s="158">
        <v>1</v>
      </c>
      <c r="P926" s="158">
        <v>1</v>
      </c>
      <c r="X926" s="35">
        <f t="shared" si="90"/>
        <v>45691</v>
      </c>
      <c r="Y926" s="35">
        <f t="shared" si="91"/>
        <v>45719</v>
      </c>
    </row>
    <row r="927" spans="1:25" ht="20.149999999999999" customHeight="1">
      <c r="A927" s="10">
        <f>SUBTOTAL(103,$B$4:B927)</f>
        <v>924</v>
      </c>
      <c r="B927" s="111">
        <v>45691</v>
      </c>
      <c r="C927" s="114" t="s">
        <v>642</v>
      </c>
      <c r="D927" s="3" t="str">
        <f>VLOOKUP(C927,'Location Summary'!$C$4:$D$602,2,0)</f>
        <v>DA-1.5</v>
      </c>
      <c r="E927" s="267" t="s">
        <v>403</v>
      </c>
      <c r="F927" s="268" t="s">
        <v>683</v>
      </c>
      <c r="G927" s="158">
        <v>1</v>
      </c>
      <c r="J927" s="158">
        <v>1</v>
      </c>
      <c r="M927" s="158">
        <v>1</v>
      </c>
      <c r="X927" s="35">
        <f t="shared" si="90"/>
        <v>45691</v>
      </c>
      <c r="Y927" s="35">
        <f t="shared" si="91"/>
        <v>45719</v>
      </c>
    </row>
    <row r="928" spans="1:25" ht="20.149999999999999" customHeight="1">
      <c r="A928" s="10">
        <f>SUBTOTAL(103,$B$4:B928)</f>
        <v>925</v>
      </c>
      <c r="B928" s="111">
        <v>45691</v>
      </c>
      <c r="C928" s="114" t="s">
        <v>7</v>
      </c>
      <c r="D928" s="3" t="str">
        <f>VLOOKUP(C928,'Location Summary'!$C$4:$D$602,2,0)</f>
        <v>DB1+6</v>
      </c>
      <c r="E928" s="267" t="s">
        <v>403</v>
      </c>
      <c r="F928" s="268" t="s">
        <v>683</v>
      </c>
      <c r="I928" s="156">
        <v>1</v>
      </c>
      <c r="K928" s="157">
        <v>1</v>
      </c>
      <c r="L928" s="156">
        <v>1</v>
      </c>
      <c r="X928" s="35">
        <f t="shared" si="90"/>
        <v>45691</v>
      </c>
      <c r="Y928" s="35">
        <f t="shared" si="91"/>
        <v>45719</v>
      </c>
    </row>
    <row r="929" spans="1:25" ht="20.149999999999999" customHeight="1">
      <c r="A929" s="10">
        <f>SUBTOTAL(103,$B$4:B929)</f>
        <v>926</v>
      </c>
      <c r="B929" s="111">
        <v>45691</v>
      </c>
      <c r="C929" s="114" t="s">
        <v>165</v>
      </c>
      <c r="D929" s="3" t="str">
        <f>VLOOKUP(C929,'Location Summary'!$C$4:$D$602,2,0)</f>
        <v>DA+9</v>
      </c>
      <c r="E929" s="267" t="s">
        <v>403</v>
      </c>
      <c r="F929" s="268" t="s">
        <v>683</v>
      </c>
      <c r="N929" s="157">
        <v>1</v>
      </c>
      <c r="P929" s="158">
        <v>1</v>
      </c>
      <c r="X929" s="35">
        <f t="shared" si="90"/>
        <v>45691</v>
      </c>
      <c r="Y929" s="35">
        <f t="shared" si="91"/>
        <v>45719</v>
      </c>
    </row>
    <row r="930" spans="1:25" ht="20.149999999999999" customHeight="1">
      <c r="A930" s="10">
        <f>SUBTOTAL(103,$B$4:B930)</f>
        <v>927</v>
      </c>
      <c r="B930" s="111">
        <v>45692</v>
      </c>
      <c r="C930" s="114" t="s">
        <v>646</v>
      </c>
      <c r="D930" s="3" t="e">
        <f>VLOOKUP(C930,'Location Summary'!$C$4:$D$602,2,0)</f>
        <v>#N/A</v>
      </c>
      <c r="E930" s="267" t="s">
        <v>403</v>
      </c>
      <c r="F930" s="268" t="s">
        <v>683</v>
      </c>
      <c r="H930" s="157">
        <v>1</v>
      </c>
      <c r="P930" s="158">
        <v>1</v>
      </c>
      <c r="X930" s="35">
        <f t="shared" si="90"/>
        <v>45692</v>
      </c>
      <c r="Y930" s="35">
        <f t="shared" si="91"/>
        <v>45720</v>
      </c>
    </row>
    <row r="931" spans="1:25" ht="20.149999999999999" customHeight="1">
      <c r="A931" s="10">
        <f>SUBTOTAL(103,$B$4:B931)</f>
        <v>928</v>
      </c>
      <c r="B931" s="111">
        <v>45692</v>
      </c>
      <c r="C931" s="114" t="s">
        <v>424</v>
      </c>
      <c r="D931" s="3" t="str">
        <f>VLOOKUP(C931,'Location Summary'!$C$4:$D$602,2,0)</f>
        <v>DA+1.5</v>
      </c>
      <c r="E931" s="267" t="s">
        <v>403</v>
      </c>
      <c r="F931" s="268" t="s">
        <v>683</v>
      </c>
      <c r="I931" s="156">
        <v>1</v>
      </c>
      <c r="L931" s="156">
        <v>1</v>
      </c>
      <c r="X931" s="35">
        <f>B931</f>
        <v>45692</v>
      </c>
      <c r="Y931" s="35">
        <f>B931+28</f>
        <v>45720</v>
      </c>
    </row>
    <row r="932" spans="1:25" ht="20.149999999999999" customHeight="1">
      <c r="A932" s="10">
        <f>SUBTOTAL(103,$B$4:B932)</f>
        <v>929</v>
      </c>
      <c r="B932" s="111">
        <v>45692</v>
      </c>
      <c r="C932" s="114" t="s">
        <v>400</v>
      </c>
      <c r="D932" s="3" t="str">
        <f>VLOOKUP(C932,'Location Summary'!$C$4:$D$602,2,0)</f>
        <v>DA+9</v>
      </c>
      <c r="E932" s="267" t="s">
        <v>403</v>
      </c>
      <c r="F932" s="268" t="s">
        <v>683</v>
      </c>
      <c r="N932" s="157">
        <v>1</v>
      </c>
      <c r="O932" s="156">
        <v>1</v>
      </c>
      <c r="R932" s="156">
        <v>1</v>
      </c>
      <c r="X932" s="35">
        <f>B932</f>
        <v>45692</v>
      </c>
      <c r="Y932" s="35">
        <f>B932+28</f>
        <v>45720</v>
      </c>
    </row>
    <row r="933" spans="1:25" ht="20.149999999999999" customHeight="1">
      <c r="A933" s="10">
        <f>SUBTOTAL(103,$B$4:B933)</f>
        <v>930</v>
      </c>
      <c r="B933" s="111">
        <v>45692</v>
      </c>
      <c r="C933" s="114" t="s">
        <v>627</v>
      </c>
      <c r="D933" s="3" t="str">
        <f>VLOOKUP(C933,'Location Summary'!$C$4:$D$602,2,0)</f>
        <v>DA+3</v>
      </c>
      <c r="E933" s="267" t="s">
        <v>403</v>
      </c>
      <c r="F933" s="268" t="s">
        <v>683</v>
      </c>
      <c r="G933" s="158">
        <v>1</v>
      </c>
      <c r="J933" s="158">
        <v>1</v>
      </c>
      <c r="X933" s="35">
        <f>B933</f>
        <v>45692</v>
      </c>
      <c r="Y933" s="35">
        <f>B933+28</f>
        <v>45720</v>
      </c>
    </row>
    <row r="934" spans="1:25" ht="20.149999999999999" customHeight="1">
      <c r="A934" s="10">
        <f>SUBTOTAL(103,$B$4:B934)</f>
        <v>931</v>
      </c>
      <c r="B934" s="111">
        <v>45692</v>
      </c>
      <c r="C934" s="114" t="s">
        <v>642</v>
      </c>
      <c r="D934" s="3" t="str">
        <f>VLOOKUP(C934,'Location Summary'!$C$4:$D$602,2,0)</f>
        <v>DA-1.5</v>
      </c>
      <c r="E934" s="267" t="s">
        <v>403</v>
      </c>
      <c r="F934" s="268" t="s">
        <v>683</v>
      </c>
      <c r="X934" s="35">
        <f t="shared" ref="X934:X964" si="92">B934</f>
        <v>45692</v>
      </c>
      <c r="Y934" s="35">
        <f t="shared" ref="Y934:Y964" si="93">B934+28</f>
        <v>45720</v>
      </c>
    </row>
    <row r="935" spans="1:25" ht="20.149999999999999" customHeight="1">
      <c r="A935" s="10">
        <f>SUBTOTAL(103,$B$4:B935)</f>
        <v>932</v>
      </c>
      <c r="B935" s="111">
        <v>45692</v>
      </c>
      <c r="C935" s="114" t="s">
        <v>642</v>
      </c>
      <c r="D935" s="3" t="str">
        <f>VLOOKUP(C935,'Location Summary'!$C$4:$D$602,2,0)</f>
        <v>DA-1.5</v>
      </c>
      <c r="E935" s="267" t="s">
        <v>403</v>
      </c>
      <c r="F935" s="268" t="s">
        <v>683</v>
      </c>
      <c r="H935" s="157">
        <v>1</v>
      </c>
      <c r="I935" s="156">
        <v>1</v>
      </c>
      <c r="K935" s="157">
        <v>1</v>
      </c>
      <c r="L935" s="156">
        <v>1</v>
      </c>
      <c r="N935" s="157">
        <v>1</v>
      </c>
      <c r="O935" s="156">
        <v>1</v>
      </c>
      <c r="P935" s="158">
        <v>1</v>
      </c>
      <c r="X935" s="35">
        <f t="shared" si="92"/>
        <v>45692</v>
      </c>
      <c r="Y935" s="35">
        <f t="shared" si="93"/>
        <v>45720</v>
      </c>
    </row>
    <row r="936" spans="1:25" ht="20.149999999999999" customHeight="1">
      <c r="A936" s="10">
        <f>SUBTOTAL(103,$B$4:B936)</f>
        <v>933</v>
      </c>
      <c r="B936" s="111">
        <v>45692</v>
      </c>
      <c r="C936" s="114" t="s">
        <v>7</v>
      </c>
      <c r="D936" s="3" t="str">
        <f>VLOOKUP(C936,'Location Summary'!$C$4:$D$602,2,0)</f>
        <v>DB1+6</v>
      </c>
      <c r="E936" s="267" t="s">
        <v>403</v>
      </c>
      <c r="F936" s="268" t="s">
        <v>683</v>
      </c>
      <c r="N936" s="157">
        <v>1</v>
      </c>
      <c r="O936" s="156">
        <v>1</v>
      </c>
      <c r="X936" s="35">
        <f t="shared" si="92"/>
        <v>45692</v>
      </c>
      <c r="Y936" s="35">
        <f t="shared" si="93"/>
        <v>45720</v>
      </c>
    </row>
    <row r="937" spans="1:25" ht="20.149999999999999" customHeight="1">
      <c r="A937" s="10">
        <f>SUBTOTAL(103,$B$4:B937)</f>
        <v>934</v>
      </c>
      <c r="B937" s="111">
        <v>45692</v>
      </c>
      <c r="C937" s="114" t="s">
        <v>267</v>
      </c>
      <c r="D937" s="3" t="str">
        <f>VLOOKUP(C937,'Location Summary'!$C$4:$D$602,2,0)</f>
        <v>DD60+9</v>
      </c>
      <c r="E937" s="267" t="s">
        <v>403</v>
      </c>
      <c r="F937" s="268" t="s">
        <v>683</v>
      </c>
      <c r="J937" s="158">
        <v>1</v>
      </c>
      <c r="X937" s="35">
        <f t="shared" si="92"/>
        <v>45692</v>
      </c>
      <c r="Y937" s="35">
        <f t="shared" si="93"/>
        <v>45720</v>
      </c>
    </row>
    <row r="938" spans="1:25" ht="20.149999999999999" customHeight="1">
      <c r="A938" s="10">
        <f>SUBTOTAL(103,$B$4:B938)</f>
        <v>935</v>
      </c>
      <c r="B938" s="111">
        <v>45692</v>
      </c>
      <c r="C938" s="114" t="s">
        <v>165</v>
      </c>
      <c r="D938" s="3" t="str">
        <f>VLOOKUP(C938,'Location Summary'!$C$4:$D$602,2,0)</f>
        <v>DA+9</v>
      </c>
      <c r="E938" s="267" t="s">
        <v>403</v>
      </c>
      <c r="F938" s="268" t="s">
        <v>683</v>
      </c>
      <c r="O938" s="156">
        <v>1</v>
      </c>
      <c r="Q938" s="157">
        <v>1</v>
      </c>
      <c r="R938" s="156">
        <v>1</v>
      </c>
      <c r="X938" s="35">
        <f t="shared" si="92"/>
        <v>45692</v>
      </c>
      <c r="Y938" s="35">
        <f t="shared" si="93"/>
        <v>45720</v>
      </c>
    </row>
    <row r="939" spans="1:25" ht="20.149999999999999" customHeight="1">
      <c r="A939" s="10">
        <f>SUBTOTAL(103,$B$4:B939)</f>
        <v>936</v>
      </c>
      <c r="B939" s="111">
        <v>45693</v>
      </c>
      <c r="C939" s="114" t="s">
        <v>646</v>
      </c>
      <c r="D939" s="3" t="e">
        <f>VLOOKUP(C939,'Location Summary'!$C$4:$D$602,2,0)</f>
        <v>#N/A</v>
      </c>
      <c r="E939" s="267" t="s">
        <v>403</v>
      </c>
      <c r="F939" s="268" t="s">
        <v>683</v>
      </c>
      <c r="I939" s="156">
        <v>1</v>
      </c>
      <c r="M939" s="158">
        <v>1</v>
      </c>
      <c r="X939" s="35">
        <f t="shared" si="92"/>
        <v>45693</v>
      </c>
      <c r="Y939" s="35">
        <f t="shared" si="93"/>
        <v>45721</v>
      </c>
    </row>
    <row r="940" spans="1:25" ht="20.149999999999999" customHeight="1">
      <c r="A940" s="10">
        <f>SUBTOTAL(103,$B$4:B940)</f>
        <v>937</v>
      </c>
      <c r="B940" s="111">
        <v>45693</v>
      </c>
      <c r="C940" s="114" t="s">
        <v>267</v>
      </c>
      <c r="D940" s="3" t="str">
        <f>VLOOKUP(C940,'Location Summary'!$C$4:$D$602,2,0)</f>
        <v>DD60+9</v>
      </c>
      <c r="E940" s="267" t="s">
        <v>403</v>
      </c>
      <c r="F940" s="268" t="s">
        <v>683</v>
      </c>
      <c r="M940" s="158">
        <v>1</v>
      </c>
      <c r="X940" s="35">
        <f t="shared" si="92"/>
        <v>45693</v>
      </c>
      <c r="Y940" s="35">
        <f t="shared" si="93"/>
        <v>45721</v>
      </c>
    </row>
    <row r="941" spans="1:25" ht="20.149999999999999" customHeight="1">
      <c r="A941" s="10">
        <f>SUBTOTAL(103,$B$4:B941)</f>
        <v>938</v>
      </c>
      <c r="B941" s="111">
        <v>45693</v>
      </c>
      <c r="C941" s="114" t="s">
        <v>627</v>
      </c>
      <c r="D941" s="3" t="str">
        <f>VLOOKUP(C941,'Location Summary'!$C$4:$D$602,2,0)</f>
        <v>DA+3</v>
      </c>
      <c r="E941" s="267" t="s">
        <v>403</v>
      </c>
      <c r="F941" s="268" t="s">
        <v>683</v>
      </c>
      <c r="H941" s="157">
        <v>1</v>
      </c>
      <c r="I941" s="156">
        <v>1</v>
      </c>
      <c r="K941" s="157">
        <v>1</v>
      </c>
      <c r="L941" s="156">
        <v>1</v>
      </c>
      <c r="X941" s="35">
        <f t="shared" si="92"/>
        <v>45693</v>
      </c>
      <c r="Y941" s="35">
        <f t="shared" si="93"/>
        <v>45721</v>
      </c>
    </row>
    <row r="942" spans="1:25" ht="20.149999999999999" customHeight="1">
      <c r="A942" s="10">
        <f>SUBTOTAL(103,$B$4:B942)</f>
        <v>939</v>
      </c>
      <c r="B942" s="111">
        <v>45693</v>
      </c>
      <c r="C942" s="114" t="s">
        <v>642</v>
      </c>
      <c r="D942" s="3" t="str">
        <f>VLOOKUP(C942,'Location Summary'!$C$4:$D$602,2,0)</f>
        <v>DA-1.5</v>
      </c>
      <c r="E942" s="267" t="s">
        <v>403</v>
      </c>
      <c r="F942" s="268" t="s">
        <v>683</v>
      </c>
      <c r="Q942" s="157">
        <v>1</v>
      </c>
      <c r="R942" s="156">
        <v>1</v>
      </c>
      <c r="X942" s="35">
        <f t="shared" si="92"/>
        <v>45693</v>
      </c>
      <c r="Y942" s="35">
        <f t="shared" si="93"/>
        <v>45721</v>
      </c>
    </row>
    <row r="943" spans="1:25" ht="20.149999999999999" customHeight="1">
      <c r="A943" s="10">
        <f>SUBTOTAL(103,$B$4:B943)</f>
        <v>940</v>
      </c>
      <c r="B943" s="111">
        <v>45693</v>
      </c>
      <c r="C943" s="114" t="s">
        <v>10</v>
      </c>
      <c r="D943" s="3" t="str">
        <f>VLOOKUP(C943,'Location Summary'!$C$4:$D$602,2,0)</f>
        <v>DB2+0</v>
      </c>
      <c r="E943" s="267" t="s">
        <v>403</v>
      </c>
      <c r="F943" s="268" t="s">
        <v>683</v>
      </c>
      <c r="J943" s="158">
        <v>1</v>
      </c>
      <c r="X943" s="35">
        <f t="shared" si="92"/>
        <v>45693</v>
      </c>
      <c r="Y943" s="35">
        <f t="shared" si="93"/>
        <v>45721</v>
      </c>
    </row>
    <row r="944" spans="1:25" ht="20.149999999999999" customHeight="1">
      <c r="A944" s="10">
        <f>SUBTOTAL(103,$B$4:B944)</f>
        <v>941</v>
      </c>
      <c r="B944" s="111">
        <v>45694</v>
      </c>
      <c r="C944" s="114" t="s">
        <v>267</v>
      </c>
      <c r="D944" s="3" t="str">
        <f>VLOOKUP(C944,'Location Summary'!$C$4:$D$602,2,0)</f>
        <v>DD60+9</v>
      </c>
      <c r="E944" s="267" t="s">
        <v>403</v>
      </c>
      <c r="F944" s="268" t="s">
        <v>683</v>
      </c>
      <c r="P944" s="158">
        <v>1</v>
      </c>
      <c r="X944" s="35">
        <f t="shared" si="92"/>
        <v>45694</v>
      </c>
      <c r="Y944" s="35">
        <f t="shared" si="93"/>
        <v>45722</v>
      </c>
    </row>
    <row r="945" spans="1:25" ht="20.149999999999999" customHeight="1">
      <c r="A945" s="10">
        <f>SUBTOTAL(103,$B$4:B945)</f>
        <v>942</v>
      </c>
      <c r="B945" s="111">
        <v>45694</v>
      </c>
      <c r="C945" s="114" t="s">
        <v>646</v>
      </c>
      <c r="D945" s="3" t="e">
        <f>VLOOKUP(C945,'Location Summary'!$C$4:$D$602,2,0)</f>
        <v>#N/A</v>
      </c>
      <c r="E945" s="267" t="s">
        <v>403</v>
      </c>
      <c r="F945" s="268" t="s">
        <v>683</v>
      </c>
      <c r="N945" s="157">
        <v>1</v>
      </c>
      <c r="Q945" s="157">
        <v>1</v>
      </c>
      <c r="X945" s="35">
        <f t="shared" si="92"/>
        <v>45694</v>
      </c>
      <c r="Y945" s="35">
        <f t="shared" si="93"/>
        <v>45722</v>
      </c>
    </row>
    <row r="946" spans="1:25" ht="20.149999999999999" customHeight="1">
      <c r="A946" s="10">
        <f>SUBTOTAL(103,$B$4:B946)</f>
        <v>943</v>
      </c>
      <c r="B946" s="111">
        <v>45694</v>
      </c>
      <c r="C946" s="114" t="s">
        <v>444</v>
      </c>
      <c r="D946" s="3" t="str">
        <f>VLOOKUP(C946,'Location Summary'!$C$4:$D$602,2,0)</f>
        <v>DA-1.5</v>
      </c>
      <c r="E946" s="267" t="s">
        <v>403</v>
      </c>
      <c r="F946" s="268" t="s">
        <v>683</v>
      </c>
      <c r="H946" s="157">
        <v>1</v>
      </c>
      <c r="I946" s="156">
        <v>1</v>
      </c>
      <c r="N946" s="157">
        <v>1</v>
      </c>
      <c r="Q946" s="157">
        <v>1</v>
      </c>
      <c r="R946" s="156">
        <v>1</v>
      </c>
      <c r="X946" s="35">
        <f t="shared" si="92"/>
        <v>45694</v>
      </c>
      <c r="Y946" s="35">
        <f t="shared" si="93"/>
        <v>45722</v>
      </c>
    </row>
    <row r="947" spans="1:25" ht="20.149999999999999" customHeight="1">
      <c r="A947" s="10">
        <f>SUBTOTAL(103,$B$4:B947)</f>
        <v>944</v>
      </c>
      <c r="B947" s="111">
        <v>45694</v>
      </c>
      <c r="C947" s="114" t="s">
        <v>627</v>
      </c>
      <c r="D947" s="3" t="str">
        <f>VLOOKUP(C947,'Location Summary'!$C$4:$D$602,2,0)</f>
        <v>DA+3</v>
      </c>
      <c r="E947" s="267" t="s">
        <v>403</v>
      </c>
      <c r="F947" s="268" t="s">
        <v>683</v>
      </c>
      <c r="M947" s="158">
        <v>1</v>
      </c>
      <c r="X947" s="35">
        <f t="shared" si="92"/>
        <v>45694</v>
      </c>
      <c r="Y947" s="35">
        <f t="shared" si="93"/>
        <v>45722</v>
      </c>
    </row>
    <row r="948" spans="1:25" ht="20.149999999999999" customHeight="1">
      <c r="A948" s="10">
        <f>SUBTOTAL(103,$B$4:B948)</f>
        <v>945</v>
      </c>
      <c r="B948" s="111">
        <v>45694</v>
      </c>
      <c r="C948" s="114" t="s">
        <v>10</v>
      </c>
      <c r="D948" s="3" t="str">
        <f>VLOOKUP(C948,'Location Summary'!$C$4:$D$602,2,0)</f>
        <v>DB2+0</v>
      </c>
      <c r="E948" s="267" t="s">
        <v>403</v>
      </c>
      <c r="F948" s="268" t="s">
        <v>683</v>
      </c>
      <c r="K948" s="157">
        <v>1</v>
      </c>
      <c r="L948" s="156">
        <v>1</v>
      </c>
      <c r="X948" s="35">
        <f t="shared" si="92"/>
        <v>45694</v>
      </c>
      <c r="Y948" s="35">
        <f t="shared" si="93"/>
        <v>45722</v>
      </c>
    </row>
    <row r="949" spans="1:25" ht="20.149999999999999" customHeight="1">
      <c r="A949" s="10">
        <f>SUBTOTAL(103,$B$4:B949)</f>
        <v>946</v>
      </c>
      <c r="B949" s="111">
        <v>45695</v>
      </c>
      <c r="C949" s="114" t="s">
        <v>646</v>
      </c>
      <c r="D949" s="3" t="e">
        <f>VLOOKUP(C949,'Location Summary'!$C$4:$D$602,2,0)</f>
        <v>#N/A</v>
      </c>
      <c r="E949" s="267" t="s">
        <v>403</v>
      </c>
      <c r="F949" s="268" t="s">
        <v>683</v>
      </c>
      <c r="O949" s="156">
        <v>1</v>
      </c>
      <c r="R949" s="156">
        <v>1</v>
      </c>
      <c r="X949" s="35">
        <f t="shared" si="92"/>
        <v>45695</v>
      </c>
      <c r="Y949" s="35">
        <f t="shared" si="93"/>
        <v>45723</v>
      </c>
    </row>
    <row r="950" spans="1:25" ht="20.149999999999999" customHeight="1">
      <c r="A950" s="10">
        <f>SUBTOTAL(103,$B$4:B950)</f>
        <v>947</v>
      </c>
      <c r="B950" s="111">
        <v>45695</v>
      </c>
      <c r="C950" s="114" t="s">
        <v>444</v>
      </c>
      <c r="D950" s="3" t="str">
        <f>VLOOKUP(C950,'Location Summary'!$C$4:$D$602,2,0)</f>
        <v>DA-1.5</v>
      </c>
      <c r="E950" s="267" t="s">
        <v>403</v>
      </c>
      <c r="F950" s="268" t="s">
        <v>683</v>
      </c>
      <c r="K950" s="157">
        <v>1</v>
      </c>
      <c r="L950" s="156">
        <v>1</v>
      </c>
      <c r="O950" s="156">
        <v>1</v>
      </c>
      <c r="X950" s="35">
        <f t="shared" si="92"/>
        <v>45695</v>
      </c>
      <c r="Y950" s="35">
        <f t="shared" si="93"/>
        <v>45723</v>
      </c>
    </row>
    <row r="951" spans="1:25" ht="20.149999999999999" customHeight="1">
      <c r="A951" s="10">
        <f>SUBTOTAL(103,$B$4:B951)</f>
        <v>948</v>
      </c>
      <c r="B951" s="111">
        <v>45695</v>
      </c>
      <c r="C951" s="114" t="s">
        <v>627</v>
      </c>
      <c r="D951" s="3" t="str">
        <f>VLOOKUP(C951,'Location Summary'!$C$4:$D$602,2,0)</f>
        <v>DA+3</v>
      </c>
      <c r="E951" s="267" t="s">
        <v>403</v>
      </c>
      <c r="F951" s="268" t="s">
        <v>683</v>
      </c>
      <c r="N951" s="157">
        <v>1</v>
      </c>
      <c r="X951" s="35">
        <f t="shared" si="92"/>
        <v>45695</v>
      </c>
      <c r="Y951" s="35">
        <f t="shared" si="93"/>
        <v>45723</v>
      </c>
    </row>
    <row r="952" spans="1:25" ht="20.149999999999999" customHeight="1">
      <c r="A952" s="10">
        <f>SUBTOTAL(103,$B$4:B952)</f>
        <v>949</v>
      </c>
      <c r="B952" s="111">
        <v>45695</v>
      </c>
      <c r="C952" s="114" t="s">
        <v>643</v>
      </c>
      <c r="D952" s="3" t="str">
        <f>VLOOKUP(C952,'Location Summary'!$C$4:$D$602,2,0)</f>
        <v>DA+6</v>
      </c>
      <c r="E952" s="267" t="s">
        <v>403</v>
      </c>
      <c r="F952" s="268" t="s">
        <v>683</v>
      </c>
      <c r="G952" s="158">
        <v>1</v>
      </c>
      <c r="J952" s="158">
        <v>1</v>
      </c>
      <c r="M952" s="158">
        <v>1</v>
      </c>
      <c r="P952" s="158">
        <v>1</v>
      </c>
      <c r="X952" s="35">
        <f t="shared" si="92"/>
        <v>45695</v>
      </c>
      <c r="Y952" s="35">
        <f t="shared" si="93"/>
        <v>45723</v>
      </c>
    </row>
    <row r="953" spans="1:25" ht="20.149999999999999" customHeight="1">
      <c r="A953" s="10">
        <f>SUBTOTAL(103,$B$4:B953)</f>
        <v>950</v>
      </c>
      <c r="B953" s="111">
        <v>45695</v>
      </c>
      <c r="C953" s="114" t="s">
        <v>10</v>
      </c>
      <c r="D953" s="3" t="str">
        <f>VLOOKUP(C953,'Location Summary'!$C$4:$D$602,2,0)</f>
        <v>DB2+0</v>
      </c>
      <c r="E953" s="267" t="s">
        <v>403</v>
      </c>
      <c r="F953" s="268" t="s">
        <v>683</v>
      </c>
      <c r="M953" s="158">
        <v>1</v>
      </c>
      <c r="P953" s="158">
        <v>1</v>
      </c>
      <c r="X953" s="35">
        <f t="shared" si="92"/>
        <v>45695</v>
      </c>
      <c r="Y953" s="35">
        <f t="shared" si="93"/>
        <v>45723</v>
      </c>
    </row>
    <row r="954" spans="1:25" ht="20.149999999999999" customHeight="1">
      <c r="A954" s="10">
        <f>SUBTOTAL(103,$B$4:B954)</f>
        <v>951</v>
      </c>
      <c r="B954" s="111">
        <v>45696</v>
      </c>
      <c r="C954" s="114" t="s">
        <v>646</v>
      </c>
      <c r="D954" s="3" t="e">
        <f>VLOOKUP(C954,'Location Summary'!$C$4:$D$602,2,0)</f>
        <v>#N/A</v>
      </c>
      <c r="E954" s="267" t="s">
        <v>403</v>
      </c>
      <c r="F954" s="268" t="s">
        <v>683</v>
      </c>
      <c r="J954" s="158">
        <v>1</v>
      </c>
      <c r="X954" s="35">
        <f t="shared" si="92"/>
        <v>45696</v>
      </c>
      <c r="Y954" s="35">
        <f t="shared" si="93"/>
        <v>45724</v>
      </c>
    </row>
    <row r="955" spans="1:25" ht="20.149999999999999" customHeight="1">
      <c r="A955" s="10">
        <f>SUBTOTAL(103,$B$4:B955)</f>
        <v>952</v>
      </c>
      <c r="B955" s="111">
        <v>45696</v>
      </c>
      <c r="C955" s="114" t="s">
        <v>643</v>
      </c>
      <c r="D955" s="3" t="str">
        <f>VLOOKUP(C955,'Location Summary'!$C$4:$D$602,2,0)</f>
        <v>DA+6</v>
      </c>
      <c r="E955" s="267" t="s">
        <v>403</v>
      </c>
      <c r="F955" s="268" t="s">
        <v>683</v>
      </c>
      <c r="H955" s="157">
        <v>1</v>
      </c>
      <c r="I955" s="156">
        <v>1</v>
      </c>
      <c r="K955" s="157">
        <v>1</v>
      </c>
      <c r="L955" s="156">
        <v>1</v>
      </c>
      <c r="N955" s="157">
        <v>1</v>
      </c>
      <c r="O955" s="156">
        <v>1</v>
      </c>
      <c r="Q955" s="157">
        <v>1</v>
      </c>
      <c r="R955" s="156">
        <v>1</v>
      </c>
      <c r="X955" s="35">
        <f t="shared" si="92"/>
        <v>45696</v>
      </c>
      <c r="Y955" s="35">
        <f t="shared" si="93"/>
        <v>45724</v>
      </c>
    </row>
    <row r="956" spans="1:25" ht="20.149999999999999" customHeight="1">
      <c r="A956" s="10">
        <f>SUBTOTAL(103,$B$4:B956)</f>
        <v>953</v>
      </c>
      <c r="B956" s="111">
        <v>45696</v>
      </c>
      <c r="C956" s="114" t="s">
        <v>267</v>
      </c>
      <c r="D956" s="3" t="str">
        <f>VLOOKUP(C956,'Location Summary'!$C$4:$D$602,2,0)</f>
        <v>DD60+9</v>
      </c>
      <c r="E956" s="267" t="s">
        <v>403</v>
      </c>
      <c r="F956" s="268" t="s">
        <v>683</v>
      </c>
      <c r="K956" s="157">
        <v>1</v>
      </c>
      <c r="Q956" s="157">
        <v>1</v>
      </c>
      <c r="X956" s="35">
        <f t="shared" si="92"/>
        <v>45696</v>
      </c>
      <c r="Y956" s="35">
        <f t="shared" si="93"/>
        <v>45724</v>
      </c>
    </row>
    <row r="957" spans="1:25" ht="20.149999999999999" customHeight="1">
      <c r="A957" s="10">
        <f>SUBTOTAL(103,$B$4:B957)</f>
        <v>954</v>
      </c>
      <c r="B957" s="111">
        <v>45696</v>
      </c>
      <c r="C957" s="114" t="s">
        <v>10</v>
      </c>
      <c r="D957" s="3" t="str">
        <f>VLOOKUP(C957,'Location Summary'!$C$4:$D$602,2,0)</f>
        <v>DB2+0</v>
      </c>
      <c r="E957" s="267" t="s">
        <v>403</v>
      </c>
      <c r="F957" s="268" t="s">
        <v>683</v>
      </c>
      <c r="G957" s="158">
        <v>1</v>
      </c>
      <c r="N957" s="157">
        <v>1</v>
      </c>
      <c r="O957" s="156">
        <v>1</v>
      </c>
      <c r="X957" s="35">
        <f t="shared" si="92"/>
        <v>45696</v>
      </c>
      <c r="Y957" s="35">
        <f t="shared" si="93"/>
        <v>45724</v>
      </c>
    </row>
    <row r="958" spans="1:25" ht="20.149999999999999" customHeight="1">
      <c r="A958" s="10">
        <f>SUBTOTAL(103,$B$4:B958)</f>
        <v>955</v>
      </c>
      <c r="B958" s="111">
        <v>45697</v>
      </c>
      <c r="C958" s="114" t="s">
        <v>646</v>
      </c>
      <c r="D958" s="3" t="e">
        <f>VLOOKUP(C958,'Location Summary'!$C$4:$D$602,2,0)</f>
        <v>#N/A</v>
      </c>
      <c r="E958" s="267" t="s">
        <v>403</v>
      </c>
      <c r="F958" s="268" t="s">
        <v>683</v>
      </c>
      <c r="K958" s="157">
        <v>1</v>
      </c>
      <c r="L958" s="156">
        <v>1</v>
      </c>
      <c r="X958" s="35">
        <f t="shared" si="92"/>
        <v>45697</v>
      </c>
      <c r="Y958" s="35">
        <f t="shared" si="93"/>
        <v>45725</v>
      </c>
    </row>
    <row r="959" spans="1:25" ht="20.149999999999999" customHeight="1">
      <c r="A959" s="10">
        <f>SUBTOTAL(103,$B$4:B959)</f>
        <v>956</v>
      </c>
      <c r="B959" s="111">
        <v>45697</v>
      </c>
      <c r="C959" s="114" t="s">
        <v>175</v>
      </c>
      <c r="D959" s="3" t="str">
        <f>VLOOKUP(C959,'Location Summary'!$C$4:$D$602,2,0)</f>
        <v>DA-3</v>
      </c>
      <c r="E959" s="267" t="s">
        <v>403</v>
      </c>
      <c r="F959" s="268" t="s">
        <v>683</v>
      </c>
      <c r="G959" s="158">
        <v>1</v>
      </c>
      <c r="P959" s="158">
        <v>1</v>
      </c>
      <c r="X959" s="35">
        <f t="shared" si="92"/>
        <v>45697</v>
      </c>
      <c r="Y959" s="35">
        <f t="shared" si="93"/>
        <v>45725</v>
      </c>
    </row>
    <row r="960" spans="1:25" ht="20.149999999999999" customHeight="1">
      <c r="A960" s="10">
        <f>SUBTOTAL(103,$B$4:B960)</f>
        <v>957</v>
      </c>
      <c r="B960" s="111">
        <v>45697</v>
      </c>
      <c r="C960" s="114" t="s">
        <v>445</v>
      </c>
      <c r="D960" s="3" t="str">
        <f>VLOOKUP(C960,'Location Summary'!$C$4:$D$602,2,0)</f>
        <v>DA+6</v>
      </c>
      <c r="E960" s="267" t="s">
        <v>403</v>
      </c>
      <c r="F960" s="268" t="s">
        <v>683</v>
      </c>
      <c r="H960" s="157">
        <v>1</v>
      </c>
      <c r="I960" s="156">
        <v>1</v>
      </c>
      <c r="J960" s="158">
        <v>1</v>
      </c>
      <c r="M960" s="158">
        <v>1</v>
      </c>
      <c r="P960" s="158">
        <v>1</v>
      </c>
      <c r="X960" s="35">
        <f t="shared" si="92"/>
        <v>45697</v>
      </c>
      <c r="Y960" s="35">
        <f t="shared" si="93"/>
        <v>45725</v>
      </c>
    </row>
    <row r="961" spans="1:25" ht="20.149999999999999" customHeight="1">
      <c r="A961" s="10">
        <f>SUBTOTAL(103,$B$4:B961)</f>
        <v>958</v>
      </c>
      <c r="B961" s="111">
        <v>45697</v>
      </c>
      <c r="C961" s="114" t="s">
        <v>267</v>
      </c>
      <c r="D961" s="3" t="str">
        <f>VLOOKUP(C961,'Location Summary'!$C$4:$D$602,2,0)</f>
        <v>DD60+9</v>
      </c>
      <c r="E961" s="267" t="s">
        <v>403</v>
      </c>
      <c r="F961" s="268" t="s">
        <v>683</v>
      </c>
      <c r="L961" s="156">
        <v>1</v>
      </c>
      <c r="R961" s="156">
        <v>1</v>
      </c>
      <c r="X961" s="35">
        <f t="shared" si="92"/>
        <v>45697</v>
      </c>
      <c r="Y961" s="35">
        <f t="shared" si="93"/>
        <v>45725</v>
      </c>
    </row>
    <row r="962" spans="1:25" ht="20.149999999999999" customHeight="1">
      <c r="A962" s="10">
        <f>SUBTOTAL(103,$B$4:B962)</f>
        <v>959</v>
      </c>
      <c r="B962" s="111">
        <v>45697</v>
      </c>
      <c r="C962" s="114" t="s">
        <v>10</v>
      </c>
      <c r="D962" s="3" t="str">
        <f>VLOOKUP(C962,'Location Summary'!$C$4:$D$602,2,0)</f>
        <v>DB2+0</v>
      </c>
      <c r="E962" s="267" t="s">
        <v>403</v>
      </c>
      <c r="F962" s="268" t="s">
        <v>683</v>
      </c>
      <c r="H962" s="157">
        <v>1</v>
      </c>
      <c r="I962" s="156">
        <v>1</v>
      </c>
      <c r="Q962" s="157">
        <v>1</v>
      </c>
      <c r="R962" s="156">
        <v>1</v>
      </c>
      <c r="X962" s="35">
        <f t="shared" si="92"/>
        <v>45697</v>
      </c>
      <c r="Y962" s="35">
        <f t="shared" si="93"/>
        <v>45725</v>
      </c>
    </row>
    <row r="963" spans="1:25" ht="20.149999999999999" customHeight="1">
      <c r="A963" s="10">
        <f>SUBTOTAL(103,$B$4:B963)</f>
        <v>960</v>
      </c>
      <c r="B963" s="111">
        <v>45698</v>
      </c>
      <c r="C963" s="114" t="s">
        <v>175</v>
      </c>
      <c r="D963" s="3" t="str">
        <f>VLOOKUP(C963,'Location Summary'!$C$4:$D$602,2,0)</f>
        <v>DA-3</v>
      </c>
      <c r="E963" s="267" t="s">
        <v>403</v>
      </c>
      <c r="F963" s="268" t="s">
        <v>683</v>
      </c>
      <c r="H963" s="157">
        <v>1</v>
      </c>
      <c r="M963" s="158">
        <v>1</v>
      </c>
      <c r="Q963" s="157">
        <v>1</v>
      </c>
      <c r="X963" s="35">
        <f t="shared" si="92"/>
        <v>45698</v>
      </c>
      <c r="Y963" s="35">
        <f t="shared" si="93"/>
        <v>45726</v>
      </c>
    </row>
    <row r="964" spans="1:25" ht="20.149999999999999" customHeight="1">
      <c r="A964" s="10">
        <f>SUBTOTAL(103,$B$4:B964)</f>
        <v>961</v>
      </c>
      <c r="B964" s="111">
        <v>45698</v>
      </c>
      <c r="C964" s="114" t="s">
        <v>445</v>
      </c>
      <c r="D964" s="3" t="str">
        <f>VLOOKUP(C964,'Location Summary'!$C$4:$D$602,2,0)</f>
        <v>DA+6</v>
      </c>
      <c r="E964" s="267" t="s">
        <v>403</v>
      </c>
      <c r="F964" s="268" t="s">
        <v>683</v>
      </c>
      <c r="K964" s="157">
        <v>1</v>
      </c>
      <c r="L964" s="156">
        <v>1</v>
      </c>
      <c r="N964" s="157">
        <v>1</v>
      </c>
      <c r="O964" s="156">
        <v>1</v>
      </c>
      <c r="Q964" s="157">
        <v>1</v>
      </c>
      <c r="R964" s="156">
        <v>1</v>
      </c>
      <c r="X964" s="35">
        <f t="shared" si="92"/>
        <v>45698</v>
      </c>
      <c r="Y964" s="35">
        <f t="shared" si="93"/>
        <v>45726</v>
      </c>
    </row>
    <row r="965" spans="1:25" ht="20.149999999999999" customHeight="1">
      <c r="A965" s="10">
        <f>SUBTOTAL(103,$B$4:B965)</f>
        <v>962</v>
      </c>
      <c r="B965" s="111">
        <v>45698</v>
      </c>
      <c r="C965" s="114" t="s">
        <v>400</v>
      </c>
      <c r="D965" s="3" t="str">
        <f>VLOOKUP(C965,'Location Summary'!$C$4:$D$602,2,0)</f>
        <v>DA+9</v>
      </c>
      <c r="E965" s="267" t="s">
        <v>403</v>
      </c>
      <c r="F965" s="268" t="s">
        <v>683</v>
      </c>
      <c r="G965" s="158">
        <v>1</v>
      </c>
      <c r="X965" s="35">
        <f t="shared" ref="X965:X1000" si="94">B965</f>
        <v>45698</v>
      </c>
      <c r="Y965" s="35">
        <f t="shared" ref="Y965:Y1000" si="95">B965+28</f>
        <v>45726</v>
      </c>
    </row>
    <row r="966" spans="1:25" ht="20.149999999999999" customHeight="1">
      <c r="A966" s="10">
        <f>SUBTOTAL(103,$B$4:B966)</f>
        <v>963</v>
      </c>
      <c r="B966" s="111">
        <v>45698</v>
      </c>
      <c r="C966" s="114" t="s">
        <v>627</v>
      </c>
      <c r="D966" s="3" t="str">
        <f>VLOOKUP(C966,'Location Summary'!$C$4:$D$602,2,0)</f>
        <v>DA+3</v>
      </c>
      <c r="E966" s="267" t="s">
        <v>403</v>
      </c>
      <c r="F966" s="268" t="s">
        <v>683</v>
      </c>
      <c r="O966" s="156">
        <v>1</v>
      </c>
      <c r="P966" s="158">
        <v>1</v>
      </c>
      <c r="X966" s="35">
        <f t="shared" si="94"/>
        <v>45698</v>
      </c>
      <c r="Y966" s="35">
        <f t="shared" si="95"/>
        <v>45726</v>
      </c>
    </row>
    <row r="967" spans="1:25" ht="20.149999999999999" customHeight="1">
      <c r="A967" s="10">
        <f>SUBTOTAL(103,$B$4:B967)</f>
        <v>964</v>
      </c>
      <c r="B967" s="111">
        <v>45698</v>
      </c>
      <c r="C967" s="114" t="s">
        <v>267</v>
      </c>
      <c r="D967" s="3" t="str">
        <f>VLOOKUP(C967,'Location Summary'!$C$4:$D$602,2,0)</f>
        <v>DD60+9</v>
      </c>
      <c r="E967" s="267" t="s">
        <v>403</v>
      </c>
      <c r="F967" s="268" t="s">
        <v>683</v>
      </c>
      <c r="H967" s="157">
        <v>1</v>
      </c>
      <c r="N967" s="157">
        <v>1</v>
      </c>
      <c r="X967" s="35">
        <f t="shared" si="94"/>
        <v>45698</v>
      </c>
      <c r="Y967" s="35">
        <f t="shared" si="95"/>
        <v>45726</v>
      </c>
    </row>
    <row r="968" spans="1:25" ht="20.149999999999999" customHeight="1">
      <c r="A968" s="10">
        <f>SUBTOTAL(103,$B$4:B968)</f>
        <v>965</v>
      </c>
      <c r="B968" s="111">
        <v>45699</v>
      </c>
      <c r="C968" s="114" t="s">
        <v>175</v>
      </c>
      <c r="D968" s="3" t="str">
        <f>VLOOKUP(C968,'Location Summary'!$C$4:$D$602,2,0)</f>
        <v>DA-3</v>
      </c>
      <c r="E968" s="267" t="s">
        <v>403</v>
      </c>
      <c r="F968" s="268" t="s">
        <v>683</v>
      </c>
      <c r="I968" s="156">
        <v>1</v>
      </c>
      <c r="J968" s="158">
        <v>1</v>
      </c>
      <c r="N968" s="157">
        <v>1</v>
      </c>
      <c r="R968" s="156">
        <v>1</v>
      </c>
      <c r="X968" s="35">
        <f t="shared" si="94"/>
        <v>45699</v>
      </c>
      <c r="Y968" s="35">
        <f t="shared" si="95"/>
        <v>45727</v>
      </c>
    </row>
    <row r="969" spans="1:25" ht="20.149999999999999" customHeight="1">
      <c r="A969" s="10">
        <f>SUBTOTAL(103,$B$4:B969)</f>
        <v>966</v>
      </c>
      <c r="B969" s="111">
        <v>45699</v>
      </c>
      <c r="C969" s="114" t="s">
        <v>400</v>
      </c>
      <c r="D969" s="3" t="str">
        <f>VLOOKUP(C969,'Location Summary'!$C$4:$D$602,2,0)</f>
        <v>DA+9</v>
      </c>
      <c r="E969" s="267" t="s">
        <v>403</v>
      </c>
      <c r="F969" s="268" t="s">
        <v>683</v>
      </c>
      <c r="J969" s="158">
        <v>1</v>
      </c>
      <c r="X969" s="35">
        <f t="shared" si="94"/>
        <v>45699</v>
      </c>
      <c r="Y969" s="35">
        <f t="shared" si="95"/>
        <v>45727</v>
      </c>
    </row>
    <row r="970" spans="1:25" ht="20.149999999999999" customHeight="1">
      <c r="A970" s="10">
        <f>SUBTOTAL(103,$B$4:B970)</f>
        <v>967</v>
      </c>
      <c r="B970" s="111">
        <v>45699</v>
      </c>
      <c r="C970" s="114" t="s">
        <v>627</v>
      </c>
      <c r="D970" s="3" t="str">
        <f>VLOOKUP(C970,'Location Summary'!$C$4:$D$602,2,0)</f>
        <v>DA+3</v>
      </c>
      <c r="E970" s="267" t="s">
        <v>403</v>
      </c>
      <c r="F970" s="268" t="s">
        <v>683</v>
      </c>
      <c r="Q970" s="157">
        <v>1</v>
      </c>
      <c r="R970" s="156">
        <v>1</v>
      </c>
      <c r="X970" s="35">
        <f t="shared" si="94"/>
        <v>45699</v>
      </c>
      <c r="Y970" s="35">
        <f t="shared" si="95"/>
        <v>45727</v>
      </c>
    </row>
    <row r="971" spans="1:25" ht="20.149999999999999" customHeight="1">
      <c r="A971" s="10">
        <f>SUBTOTAL(103,$B$4:B971)</f>
        <v>968</v>
      </c>
      <c r="B971" s="111">
        <v>45699</v>
      </c>
      <c r="C971" s="114" t="s">
        <v>267</v>
      </c>
      <c r="D971" s="3" t="str">
        <f>VLOOKUP(C971,'Location Summary'!$C$4:$D$602,2,0)</f>
        <v>DD60+9</v>
      </c>
      <c r="E971" s="267" t="s">
        <v>403</v>
      </c>
      <c r="F971" s="268" t="s">
        <v>683</v>
      </c>
      <c r="I971" s="156">
        <v>1</v>
      </c>
      <c r="O971" s="156">
        <v>1</v>
      </c>
      <c r="X971" s="35">
        <f t="shared" si="94"/>
        <v>45699</v>
      </c>
      <c r="Y971" s="35">
        <f t="shared" si="95"/>
        <v>45727</v>
      </c>
    </row>
    <row r="972" spans="1:25" ht="20.149999999999999" customHeight="1">
      <c r="A972" s="10">
        <f>SUBTOTAL(103,$B$4:B972)</f>
        <v>969</v>
      </c>
      <c r="B972" s="111">
        <v>45699</v>
      </c>
      <c r="C972" s="114" t="s">
        <v>877</v>
      </c>
      <c r="D972" s="3" t="str">
        <f>VLOOKUP(C972,'Location Summary'!$C$4:$D$602,2,0)</f>
        <v>DA+3</v>
      </c>
      <c r="E972" s="267" t="s">
        <v>403</v>
      </c>
      <c r="F972" s="268" t="s">
        <v>683</v>
      </c>
      <c r="G972" s="158">
        <v>1</v>
      </c>
      <c r="J972" s="158">
        <v>1</v>
      </c>
      <c r="M972" s="158">
        <v>1</v>
      </c>
      <c r="X972" s="35">
        <f t="shared" si="94"/>
        <v>45699</v>
      </c>
      <c r="Y972" s="35">
        <f t="shared" si="95"/>
        <v>45727</v>
      </c>
    </row>
    <row r="973" spans="1:25" ht="20.149999999999999" customHeight="1">
      <c r="A973" s="10">
        <f>SUBTOTAL(103,$B$4:B973)</f>
        <v>970</v>
      </c>
      <c r="B973" s="111">
        <v>45700</v>
      </c>
      <c r="C973" s="114" t="s">
        <v>175</v>
      </c>
      <c r="D973" s="3" t="str">
        <f>VLOOKUP(C973,'Location Summary'!$C$4:$D$602,2,0)</f>
        <v>DA-3</v>
      </c>
      <c r="E973" s="267" t="s">
        <v>403</v>
      </c>
      <c r="F973" s="268" t="s">
        <v>683</v>
      </c>
      <c r="K973" s="157">
        <v>1</v>
      </c>
      <c r="L973" s="156">
        <v>1</v>
      </c>
      <c r="O973" s="156">
        <v>1</v>
      </c>
      <c r="X973" s="35">
        <f t="shared" si="94"/>
        <v>45700</v>
      </c>
      <c r="Y973" s="35">
        <f t="shared" si="95"/>
        <v>45728</v>
      </c>
    </row>
    <row r="974" spans="1:25" ht="20.149999999999999" customHeight="1">
      <c r="A974" s="10">
        <f>SUBTOTAL(103,$B$4:B974)</f>
        <v>971</v>
      </c>
      <c r="B974" s="111">
        <v>45700</v>
      </c>
      <c r="C974" s="114" t="s">
        <v>400</v>
      </c>
      <c r="D974" s="3" t="str">
        <f>VLOOKUP(C974,'Location Summary'!$C$4:$D$602,2,0)</f>
        <v>DA+9</v>
      </c>
      <c r="E974" s="267" t="s">
        <v>403</v>
      </c>
      <c r="F974" s="268" t="s">
        <v>683</v>
      </c>
      <c r="H974" s="157">
        <v>1</v>
      </c>
      <c r="K974" s="157">
        <v>1</v>
      </c>
      <c r="X974" s="35">
        <f t="shared" si="94"/>
        <v>45700</v>
      </c>
      <c r="Y974" s="35">
        <f t="shared" si="95"/>
        <v>45728</v>
      </c>
    </row>
    <row r="975" spans="1:25" ht="20.149999999999999" customHeight="1">
      <c r="A975" s="10">
        <f>SUBTOTAL(103,$B$4:B975)</f>
        <v>972</v>
      </c>
      <c r="B975" s="111">
        <v>45700</v>
      </c>
      <c r="C975" s="114" t="s">
        <v>877</v>
      </c>
      <c r="D975" s="3" t="str">
        <f>VLOOKUP(C975,'Location Summary'!$C$4:$D$602,2,0)</f>
        <v>DA+3</v>
      </c>
      <c r="E975" s="267" t="s">
        <v>403</v>
      </c>
      <c r="F975" s="268" t="s">
        <v>683</v>
      </c>
      <c r="K975" s="157">
        <v>1</v>
      </c>
      <c r="L975" s="156">
        <v>1</v>
      </c>
      <c r="N975" s="157">
        <v>1</v>
      </c>
      <c r="O975" s="156">
        <v>1</v>
      </c>
      <c r="X975" s="35">
        <f t="shared" si="94"/>
        <v>45700</v>
      </c>
      <c r="Y975" s="35">
        <f t="shared" si="95"/>
        <v>45728</v>
      </c>
    </row>
    <row r="976" spans="1:25" ht="20.149999999999999" customHeight="1">
      <c r="A976" s="10">
        <f>SUBTOTAL(103,$B$4:B976)</f>
        <v>973</v>
      </c>
      <c r="B976" s="111">
        <v>45700</v>
      </c>
      <c r="C976" s="114" t="s">
        <v>427</v>
      </c>
      <c r="D976" s="3" t="str">
        <f>VLOOKUP(C976,'Location Summary'!$C$4:$D$602,2,0)</f>
        <v>DA+0</v>
      </c>
      <c r="E976" s="267" t="s">
        <v>403</v>
      </c>
      <c r="F976" s="268" t="s">
        <v>683</v>
      </c>
      <c r="G976" s="158">
        <v>1</v>
      </c>
      <c r="P976" s="158">
        <v>1</v>
      </c>
      <c r="X976" s="35">
        <f t="shared" si="94"/>
        <v>45700</v>
      </c>
      <c r="Y976" s="35">
        <f t="shared" si="95"/>
        <v>45728</v>
      </c>
    </row>
    <row r="977" spans="1:25" ht="20.149999999999999" customHeight="1">
      <c r="A977" s="10">
        <f>SUBTOTAL(103,$B$4:B977)</f>
        <v>974</v>
      </c>
      <c r="B977" s="111">
        <v>45701</v>
      </c>
      <c r="C977" s="114" t="s">
        <v>174</v>
      </c>
      <c r="D977" s="3" t="str">
        <f>VLOOKUP(C977,'Location Summary'!$C$4:$D$602,2,0)</f>
        <v>DA-3</v>
      </c>
      <c r="E977" s="267" t="s">
        <v>403</v>
      </c>
      <c r="F977" s="268" t="s">
        <v>683</v>
      </c>
      <c r="M977" s="158">
        <v>1</v>
      </c>
      <c r="P977" s="158">
        <v>1</v>
      </c>
      <c r="X977" s="35">
        <f t="shared" si="94"/>
        <v>45701</v>
      </c>
      <c r="Y977" s="35">
        <f t="shared" si="95"/>
        <v>45729</v>
      </c>
    </row>
    <row r="978" spans="1:25" ht="20.149999999999999" customHeight="1">
      <c r="A978" s="10">
        <f>SUBTOTAL(103,$B$4:B978)</f>
        <v>975</v>
      </c>
      <c r="B978" s="111">
        <v>45701</v>
      </c>
      <c r="C978" s="114" t="s">
        <v>64</v>
      </c>
      <c r="D978" s="3" t="str">
        <f>VLOOKUP(C978,'Location Summary'!$C$4:$D$602,2,0)</f>
        <v>DC1+0</v>
      </c>
      <c r="E978" s="267" t="s">
        <v>403</v>
      </c>
      <c r="F978" s="268" t="s">
        <v>683</v>
      </c>
      <c r="J978" s="158">
        <v>1</v>
      </c>
      <c r="X978" s="35">
        <f t="shared" si="94"/>
        <v>45701</v>
      </c>
      <c r="Y978" s="35">
        <f t="shared" si="95"/>
        <v>45729</v>
      </c>
    </row>
    <row r="979" spans="1:25" ht="20.149999999999999" customHeight="1">
      <c r="A979" s="10">
        <f>SUBTOTAL(103,$B$4:B979)</f>
        <v>976</v>
      </c>
      <c r="B979" s="111">
        <v>45701</v>
      </c>
      <c r="C979" s="114" t="s">
        <v>400</v>
      </c>
      <c r="D979" s="3" t="str">
        <f>VLOOKUP(C979,'Location Summary'!$C$4:$D$602,2,0)</f>
        <v>DA+9</v>
      </c>
      <c r="E979" s="267" t="s">
        <v>403</v>
      </c>
      <c r="F979" s="268" t="s">
        <v>683</v>
      </c>
      <c r="I979" s="156">
        <v>1</v>
      </c>
      <c r="L979" s="156">
        <v>1</v>
      </c>
      <c r="X979" s="35">
        <f t="shared" si="94"/>
        <v>45701</v>
      </c>
      <c r="Y979" s="35">
        <f t="shared" si="95"/>
        <v>45729</v>
      </c>
    </row>
    <row r="980" spans="1:25" ht="20.149999999999999" customHeight="1">
      <c r="A980" s="10">
        <f>SUBTOTAL(103,$B$4:B980)</f>
        <v>977</v>
      </c>
      <c r="B980" s="111">
        <v>45701</v>
      </c>
      <c r="C980" s="114" t="s">
        <v>483</v>
      </c>
      <c r="D980" s="3" t="str">
        <f>VLOOKUP(C980,'Location Summary'!$C$4:$D$602,2,0)</f>
        <v>DB1+9</v>
      </c>
      <c r="E980" s="267" t="s">
        <v>403</v>
      </c>
      <c r="F980" s="268" t="s">
        <v>683</v>
      </c>
      <c r="G980" s="158">
        <v>1</v>
      </c>
      <c r="J980" s="158">
        <v>1</v>
      </c>
      <c r="X980" s="35">
        <f t="shared" si="94"/>
        <v>45701</v>
      </c>
      <c r="Y980" s="35">
        <f t="shared" si="95"/>
        <v>45729</v>
      </c>
    </row>
    <row r="981" spans="1:25" ht="20.149999999999999" customHeight="1">
      <c r="A981" s="10">
        <f>SUBTOTAL(103,$B$4:B981)</f>
        <v>978</v>
      </c>
      <c r="B981" s="111">
        <v>45701</v>
      </c>
      <c r="C981" s="114" t="s">
        <v>877</v>
      </c>
      <c r="D981" s="3" t="str">
        <f>VLOOKUP(C981,'Location Summary'!$C$4:$D$602,2,0)</f>
        <v>DA+3</v>
      </c>
      <c r="E981" s="267" t="s">
        <v>403</v>
      </c>
      <c r="F981" s="268" t="s">
        <v>683</v>
      </c>
      <c r="H981" s="157">
        <v>1</v>
      </c>
      <c r="P981" s="158">
        <v>1</v>
      </c>
      <c r="X981" s="35">
        <f t="shared" si="94"/>
        <v>45701</v>
      </c>
      <c r="Y981" s="35">
        <f t="shared" si="95"/>
        <v>45729</v>
      </c>
    </row>
    <row r="982" spans="1:25" ht="20.149999999999999" customHeight="1">
      <c r="A982" s="10">
        <f>SUBTOTAL(103,$B$4:B982)</f>
        <v>979</v>
      </c>
      <c r="B982" s="111">
        <v>45701</v>
      </c>
      <c r="C982" s="114" t="s">
        <v>427</v>
      </c>
      <c r="D982" s="3" t="str">
        <f>VLOOKUP(C982,'Location Summary'!$C$4:$D$602,2,0)</f>
        <v>DA+0</v>
      </c>
      <c r="E982" s="267" t="s">
        <v>403</v>
      </c>
      <c r="F982" s="268" t="s">
        <v>683</v>
      </c>
      <c r="M982" s="158">
        <v>1</v>
      </c>
      <c r="X982" s="35">
        <f t="shared" si="94"/>
        <v>45701</v>
      </c>
      <c r="Y982" s="35">
        <f t="shared" si="95"/>
        <v>45729</v>
      </c>
    </row>
    <row r="983" spans="1:25" ht="20.149999999999999" customHeight="1">
      <c r="A983" s="10">
        <f>SUBTOTAL(103,$B$4:B983)</f>
        <v>980</v>
      </c>
      <c r="B983" s="111">
        <v>45702</v>
      </c>
      <c r="C983" s="114" t="s">
        <v>174</v>
      </c>
      <c r="D983" s="3" t="str">
        <f>VLOOKUP(C983,'Location Summary'!$C$4:$D$602,2,0)</f>
        <v>DA-3</v>
      </c>
      <c r="E983" s="267" t="s">
        <v>403</v>
      </c>
      <c r="F983" s="268" t="s">
        <v>683</v>
      </c>
      <c r="G983" s="158">
        <v>1</v>
      </c>
      <c r="J983" s="158">
        <v>1</v>
      </c>
      <c r="N983" s="157">
        <v>1</v>
      </c>
      <c r="O983" s="156">
        <v>1</v>
      </c>
      <c r="Q983" s="157">
        <v>1</v>
      </c>
      <c r="R983" s="156">
        <v>1</v>
      </c>
      <c r="X983" s="35">
        <f t="shared" si="94"/>
        <v>45702</v>
      </c>
      <c r="Y983" s="35">
        <f t="shared" si="95"/>
        <v>45730</v>
      </c>
    </row>
    <row r="984" spans="1:25" ht="20.149999999999999" customHeight="1">
      <c r="A984" s="10">
        <f>SUBTOTAL(103,$B$4:B984)</f>
        <v>981</v>
      </c>
      <c r="B984" s="111">
        <v>45702</v>
      </c>
      <c r="C984" s="114" t="s">
        <v>64</v>
      </c>
      <c r="D984" s="3" t="str">
        <f>VLOOKUP(C984,'Location Summary'!$C$4:$D$602,2,0)</f>
        <v>DC1+0</v>
      </c>
      <c r="E984" s="267" t="s">
        <v>403</v>
      </c>
      <c r="F984" s="268" t="s">
        <v>683</v>
      </c>
      <c r="G984" s="158">
        <v>1</v>
      </c>
      <c r="K984" s="157">
        <v>1</v>
      </c>
      <c r="L984" s="156">
        <v>1</v>
      </c>
      <c r="X984" s="35">
        <f t="shared" si="94"/>
        <v>45702</v>
      </c>
      <c r="Y984" s="35">
        <f t="shared" si="95"/>
        <v>45730</v>
      </c>
    </row>
    <row r="985" spans="1:25" ht="20.149999999999999" customHeight="1">
      <c r="A985" s="10">
        <f>SUBTOTAL(103,$B$4:B985)</f>
        <v>982</v>
      </c>
      <c r="B985" s="111">
        <v>45702</v>
      </c>
      <c r="C985" s="114" t="s">
        <v>483</v>
      </c>
      <c r="D985" s="3" t="str">
        <f>VLOOKUP(C985,'Location Summary'!$C$4:$D$602,2,0)</f>
        <v>DB1+9</v>
      </c>
      <c r="E985" s="267" t="s">
        <v>403</v>
      </c>
      <c r="F985" s="268" t="s">
        <v>683</v>
      </c>
      <c r="H985" s="157">
        <v>1</v>
      </c>
      <c r="K985" s="157">
        <v>1</v>
      </c>
      <c r="X985" s="35">
        <f t="shared" si="94"/>
        <v>45702</v>
      </c>
      <c r="Y985" s="35">
        <f t="shared" si="95"/>
        <v>45730</v>
      </c>
    </row>
    <row r="986" spans="1:25" ht="20.149999999999999" customHeight="1">
      <c r="A986" s="10">
        <f>SUBTOTAL(103,$B$4:B986)</f>
        <v>983</v>
      </c>
      <c r="B986" s="111">
        <v>45702</v>
      </c>
      <c r="C986" s="114" t="s">
        <v>427</v>
      </c>
      <c r="D986" s="3" t="str">
        <f>VLOOKUP(C986,'Location Summary'!$C$4:$D$602,2,0)</f>
        <v>DA+0</v>
      </c>
      <c r="E986" s="267" t="s">
        <v>403</v>
      </c>
      <c r="F986" s="268" t="s">
        <v>683</v>
      </c>
      <c r="H986" s="157">
        <v>1</v>
      </c>
      <c r="I986" s="156">
        <v>1</v>
      </c>
      <c r="J986" s="158">
        <v>1</v>
      </c>
      <c r="Q986" s="157">
        <v>1</v>
      </c>
      <c r="R986" s="156">
        <v>1</v>
      </c>
      <c r="X986" s="35">
        <f t="shared" si="94"/>
        <v>45702</v>
      </c>
      <c r="Y986" s="35">
        <f t="shared" si="95"/>
        <v>45730</v>
      </c>
    </row>
    <row r="987" spans="1:25" ht="18.75" customHeight="1">
      <c r="A987" s="10">
        <f>SUBTOTAL(103,$B$4:B987)</f>
        <v>984</v>
      </c>
      <c r="B987" s="111">
        <v>45702</v>
      </c>
      <c r="C987" s="114" t="s">
        <v>370</v>
      </c>
      <c r="D987" s="3" t="str">
        <f>VLOOKUP(C987,'Location Summary'!$C$4:$D$602,2,0)</f>
        <v>DA+3</v>
      </c>
      <c r="E987" s="267" t="s">
        <v>403</v>
      </c>
      <c r="F987" s="268" t="s">
        <v>683</v>
      </c>
      <c r="M987" s="158">
        <v>1</v>
      </c>
      <c r="X987" s="35">
        <f t="shared" si="94"/>
        <v>45702</v>
      </c>
      <c r="Y987" s="35">
        <f t="shared" si="95"/>
        <v>45730</v>
      </c>
    </row>
    <row r="988" spans="1:25" ht="20.149999999999999" customHeight="1">
      <c r="A988" s="10">
        <f>SUBTOTAL(103,$B$4:B988)</f>
        <v>985</v>
      </c>
      <c r="B988" s="111">
        <v>45702</v>
      </c>
      <c r="C988" s="114" t="s">
        <v>773</v>
      </c>
      <c r="D988" s="3" t="str">
        <f>VLOOKUP(C988,'Location Summary'!$C$4:$D$602,2,0)</f>
        <v>DB1+9</v>
      </c>
      <c r="E988" s="267" t="s">
        <v>403</v>
      </c>
      <c r="F988" s="268" t="s">
        <v>683</v>
      </c>
      <c r="G988" s="158">
        <v>1</v>
      </c>
      <c r="P988" s="158">
        <v>1</v>
      </c>
      <c r="X988" s="35">
        <f t="shared" si="94"/>
        <v>45702</v>
      </c>
      <c r="Y988" s="35">
        <f t="shared" si="95"/>
        <v>45730</v>
      </c>
    </row>
    <row r="989" spans="1:25" ht="20.149999999999999" customHeight="1">
      <c r="A989" s="10">
        <f>SUBTOTAL(103,$B$4:B989)</f>
        <v>986</v>
      </c>
      <c r="B989" s="111">
        <v>45703</v>
      </c>
      <c r="C989" s="114" t="s">
        <v>483</v>
      </c>
      <c r="D989" s="3" t="str">
        <f>VLOOKUP(C989,'Location Summary'!$C$4:$D$602,2,0)</f>
        <v>DB1+9</v>
      </c>
      <c r="E989" s="267" t="s">
        <v>403</v>
      </c>
      <c r="F989" s="268" t="s">
        <v>683</v>
      </c>
      <c r="I989" s="156">
        <v>1</v>
      </c>
      <c r="L989" s="156">
        <v>1</v>
      </c>
      <c r="X989" s="35">
        <f t="shared" si="94"/>
        <v>45703</v>
      </c>
      <c r="Y989" s="35">
        <f t="shared" si="95"/>
        <v>45731</v>
      </c>
    </row>
    <row r="990" spans="1:25" ht="20.149999999999999" customHeight="1">
      <c r="A990" s="10">
        <f>SUBTOTAL(103,$B$4:B990)</f>
        <v>987</v>
      </c>
      <c r="B990" s="111">
        <v>45703</v>
      </c>
      <c r="C990" s="114" t="s">
        <v>370</v>
      </c>
      <c r="D990" s="3" t="str">
        <f>VLOOKUP(C990,'Location Summary'!$C$4:$D$602,2,0)</f>
        <v>DA+3</v>
      </c>
      <c r="E990" s="267" t="s">
        <v>403</v>
      </c>
      <c r="F990" s="268" t="s">
        <v>683</v>
      </c>
      <c r="N990" s="157">
        <v>1</v>
      </c>
      <c r="O990" s="156">
        <v>1</v>
      </c>
      <c r="P990" s="158">
        <v>1</v>
      </c>
      <c r="X990" s="35">
        <f t="shared" si="94"/>
        <v>45703</v>
      </c>
      <c r="Y990" s="35">
        <f t="shared" si="95"/>
        <v>45731</v>
      </c>
    </row>
    <row r="991" spans="1:25" ht="20.149999999999999" customHeight="1">
      <c r="A991" s="10">
        <f>SUBTOTAL(103,$B$4:B991)</f>
        <v>988</v>
      </c>
      <c r="B991" s="111">
        <v>45703</v>
      </c>
      <c r="C991" s="114" t="s">
        <v>773</v>
      </c>
      <c r="D991" s="3" t="str">
        <f>VLOOKUP(C991,'Location Summary'!$C$4:$D$602,2,0)</f>
        <v>DB1+9</v>
      </c>
      <c r="E991" s="267" t="s">
        <v>403</v>
      </c>
      <c r="F991" s="268" t="s">
        <v>683</v>
      </c>
      <c r="H991" s="157">
        <v>1</v>
      </c>
      <c r="I991" s="156">
        <v>1</v>
      </c>
      <c r="J991" s="158">
        <v>1</v>
      </c>
      <c r="Q991" s="157">
        <v>1</v>
      </c>
      <c r="R991" s="156">
        <v>1</v>
      </c>
      <c r="X991" s="35">
        <f t="shared" si="94"/>
        <v>45703</v>
      </c>
      <c r="Y991" s="35">
        <f t="shared" si="95"/>
        <v>45731</v>
      </c>
    </row>
    <row r="992" spans="1:25" ht="20.149999999999999" customHeight="1">
      <c r="A992" s="10">
        <f>SUBTOTAL(103,$B$4:B992)</f>
        <v>989</v>
      </c>
      <c r="B992" s="111">
        <v>45704</v>
      </c>
      <c r="C992" s="114" t="s">
        <v>174</v>
      </c>
      <c r="D992" s="3" t="str">
        <f>VLOOKUP(C992,'Location Summary'!$C$4:$D$602,2,0)</f>
        <v>DA-3</v>
      </c>
      <c r="E992" s="267" t="s">
        <v>403</v>
      </c>
      <c r="F992" s="268" t="s">
        <v>683</v>
      </c>
      <c r="H992" s="157">
        <v>1</v>
      </c>
      <c r="I992" s="156">
        <v>1</v>
      </c>
      <c r="K992" s="157">
        <v>1</v>
      </c>
      <c r="L992" s="156">
        <v>1</v>
      </c>
      <c r="X992" s="35">
        <f t="shared" si="94"/>
        <v>45704</v>
      </c>
      <c r="Y992" s="35">
        <f t="shared" si="95"/>
        <v>45732</v>
      </c>
    </row>
    <row r="993" spans="1:25" ht="20.149999999999999" customHeight="1">
      <c r="A993" s="10">
        <f>SUBTOTAL(103,$B$4:B993)</f>
        <v>990</v>
      </c>
      <c r="B993" s="111">
        <v>45704</v>
      </c>
      <c r="C993" s="114" t="s">
        <v>64</v>
      </c>
      <c r="D993" s="3" t="str">
        <f>VLOOKUP(C993,'Location Summary'!$C$4:$D$602,2,0)</f>
        <v>DC1+0</v>
      </c>
      <c r="E993" s="267" t="s">
        <v>403</v>
      </c>
      <c r="F993" s="268" t="s">
        <v>683</v>
      </c>
      <c r="H993" s="157">
        <v>1</v>
      </c>
      <c r="I993" s="156">
        <v>1</v>
      </c>
      <c r="P993" s="158">
        <v>1</v>
      </c>
      <c r="X993" s="35">
        <f t="shared" si="94"/>
        <v>45704</v>
      </c>
      <c r="Y993" s="35">
        <f t="shared" si="95"/>
        <v>45732</v>
      </c>
    </row>
    <row r="994" spans="1:25" ht="20.149999999999999" customHeight="1">
      <c r="A994" s="10">
        <f>SUBTOTAL(103,$B$4:B994)</f>
        <v>991</v>
      </c>
      <c r="B994" s="111">
        <v>45704</v>
      </c>
      <c r="C994" s="114" t="s">
        <v>483</v>
      </c>
      <c r="D994" s="3" t="str">
        <f>VLOOKUP(C994,'Location Summary'!$C$4:$D$602,2,0)</f>
        <v>DB1+9</v>
      </c>
      <c r="E994" s="267" t="s">
        <v>403</v>
      </c>
      <c r="F994" s="268" t="s">
        <v>683</v>
      </c>
      <c r="M994" s="158">
        <v>1</v>
      </c>
      <c r="P994" s="158">
        <v>1</v>
      </c>
      <c r="X994" s="35">
        <f t="shared" si="94"/>
        <v>45704</v>
      </c>
      <c r="Y994" s="35">
        <f t="shared" si="95"/>
        <v>45732</v>
      </c>
    </row>
    <row r="995" spans="1:25" ht="20.149999999999999" customHeight="1">
      <c r="A995" s="10">
        <f>SUBTOTAL(103,$B$4:B995)</f>
        <v>992</v>
      </c>
      <c r="B995" s="111">
        <v>45704</v>
      </c>
      <c r="C995" s="114" t="s">
        <v>877</v>
      </c>
      <c r="D995" s="3" t="str">
        <f>VLOOKUP(C995,'Location Summary'!$C$4:$D$602,2,0)</f>
        <v>DA+3</v>
      </c>
      <c r="E995" s="267" t="s">
        <v>403</v>
      </c>
      <c r="F995" s="268" t="s">
        <v>683</v>
      </c>
      <c r="X995" s="35">
        <f t="shared" si="94"/>
        <v>45704</v>
      </c>
      <c r="Y995" s="35">
        <f t="shared" si="95"/>
        <v>45732</v>
      </c>
    </row>
    <row r="996" spans="1:25" ht="20.149999999999999" customHeight="1">
      <c r="A996" s="10">
        <f>SUBTOTAL(103,$B$4:B996)</f>
        <v>993</v>
      </c>
      <c r="B996" s="111">
        <v>45704</v>
      </c>
      <c r="C996" s="114" t="s">
        <v>427</v>
      </c>
      <c r="D996" s="3" t="str">
        <f>VLOOKUP(C996,'Location Summary'!$C$4:$D$602,2,0)</f>
        <v>DA+0</v>
      </c>
      <c r="E996" s="267" t="s">
        <v>403</v>
      </c>
      <c r="F996" s="268" t="s">
        <v>683</v>
      </c>
      <c r="K996" s="157">
        <v>1</v>
      </c>
      <c r="L996" s="156">
        <v>1</v>
      </c>
      <c r="N996" s="157">
        <v>1</v>
      </c>
      <c r="O996" s="156">
        <v>1</v>
      </c>
      <c r="X996" s="35">
        <f t="shared" si="94"/>
        <v>45704</v>
      </c>
      <c r="Y996" s="35">
        <f t="shared" si="95"/>
        <v>45732</v>
      </c>
    </row>
    <row r="997" spans="1:25" ht="20.149999999999999" customHeight="1">
      <c r="A997" s="10">
        <f>SUBTOTAL(103,$B$4:B997)</f>
        <v>994</v>
      </c>
      <c r="B997" s="111">
        <v>45704</v>
      </c>
      <c r="C997" s="114" t="s">
        <v>370</v>
      </c>
      <c r="D997" s="3" t="str">
        <f>VLOOKUP(C997,'Location Summary'!$C$4:$D$602,2,0)</f>
        <v>DA+3</v>
      </c>
      <c r="E997" s="267" t="s">
        <v>403</v>
      </c>
      <c r="F997" s="268" t="s">
        <v>683</v>
      </c>
      <c r="J997" s="158">
        <v>1</v>
      </c>
      <c r="Q997" s="157">
        <v>1</v>
      </c>
      <c r="R997" s="156">
        <v>1</v>
      </c>
      <c r="X997" s="35">
        <f t="shared" si="94"/>
        <v>45704</v>
      </c>
      <c r="Y997" s="35">
        <f t="shared" si="95"/>
        <v>45732</v>
      </c>
    </row>
    <row r="998" spans="1:25" ht="20.149999999999999" customHeight="1">
      <c r="A998" s="10">
        <f>SUBTOTAL(103,$B$4:B998)</f>
        <v>995</v>
      </c>
      <c r="B998" s="111">
        <v>45705</v>
      </c>
      <c r="C998" s="114" t="s">
        <v>64</v>
      </c>
      <c r="D998" s="3" t="str">
        <f>VLOOKUP(C998,'Location Summary'!$C$4:$D$602,2,0)</f>
        <v>DC1+0</v>
      </c>
      <c r="E998" s="267" t="s">
        <v>403</v>
      </c>
      <c r="F998" s="268" t="s">
        <v>683</v>
      </c>
      <c r="M998" s="158">
        <v>1</v>
      </c>
      <c r="X998" s="35">
        <f t="shared" si="94"/>
        <v>45705</v>
      </c>
      <c r="Y998" s="35">
        <f t="shared" si="95"/>
        <v>45733</v>
      </c>
    </row>
    <row r="999" spans="1:25" ht="20.149999999999999" customHeight="1">
      <c r="A999" s="10">
        <f>SUBTOTAL(103,$B$4:B999)</f>
        <v>996</v>
      </c>
      <c r="B999" s="111">
        <v>45705</v>
      </c>
      <c r="C999" s="114" t="s">
        <v>483</v>
      </c>
      <c r="D999" s="3" t="str">
        <f>VLOOKUP(C999,'Location Summary'!$C$4:$D$602,2,0)</f>
        <v>DB1+9</v>
      </c>
      <c r="E999" s="267" t="s">
        <v>403</v>
      </c>
      <c r="F999" s="268" t="s">
        <v>683</v>
      </c>
      <c r="N999" s="157">
        <v>1</v>
      </c>
      <c r="Q999" s="157">
        <v>1</v>
      </c>
      <c r="X999" s="35">
        <f t="shared" si="94"/>
        <v>45705</v>
      </c>
      <c r="Y999" s="35">
        <f t="shared" si="95"/>
        <v>45733</v>
      </c>
    </row>
    <row r="1000" spans="1:25" ht="20.149999999999999" customHeight="1">
      <c r="A1000" s="10">
        <f>SUBTOTAL(103,$B$4:B1000)</f>
        <v>997</v>
      </c>
      <c r="B1000" s="111">
        <v>45705</v>
      </c>
      <c r="C1000" s="114" t="s">
        <v>877</v>
      </c>
      <c r="D1000" s="3" t="str">
        <f>VLOOKUP(C1000,'Location Summary'!$C$4:$D$602,2,0)</f>
        <v>DA+3</v>
      </c>
      <c r="E1000" s="267" t="s">
        <v>403</v>
      </c>
      <c r="F1000" s="268" t="s">
        <v>683</v>
      </c>
      <c r="I1000" s="156">
        <v>1</v>
      </c>
      <c r="Q1000" s="157">
        <v>1</v>
      </c>
      <c r="R1000" s="156">
        <v>1</v>
      </c>
      <c r="X1000" s="35">
        <f t="shared" si="94"/>
        <v>45705</v>
      </c>
      <c r="Y1000" s="35">
        <f t="shared" si="95"/>
        <v>45733</v>
      </c>
    </row>
    <row r="1001" spans="1:25" ht="20.149999999999999" customHeight="1">
      <c r="A1001" s="10">
        <f>SUBTOTAL(103,$B$4:B1001)</f>
        <v>998</v>
      </c>
      <c r="B1001" s="111">
        <v>45705</v>
      </c>
      <c r="C1001" s="114" t="s">
        <v>60</v>
      </c>
      <c r="D1001" s="3" t="str">
        <f>VLOOKUP(C1001,'Location Summary'!$C$4:$D$602,2,0)</f>
        <v>DD60+35</v>
      </c>
      <c r="E1001" s="267" t="s">
        <v>403</v>
      </c>
      <c r="F1001" s="268" t="s">
        <v>683</v>
      </c>
      <c r="J1001" s="158">
        <v>1</v>
      </c>
      <c r="X1001" s="35">
        <f t="shared" ref="X1001:X1044" si="96">B1001</f>
        <v>45705</v>
      </c>
      <c r="Y1001" s="35">
        <f t="shared" ref="Y1001:Y1044" si="97">B1001+28</f>
        <v>45733</v>
      </c>
    </row>
    <row r="1002" spans="1:25" ht="20.149999999999999" customHeight="1">
      <c r="A1002" s="10">
        <f>SUBTOTAL(103,$B$4:B1002)</f>
        <v>999</v>
      </c>
      <c r="B1002" s="111">
        <v>45705</v>
      </c>
      <c r="C1002" s="114" t="s">
        <v>773</v>
      </c>
      <c r="D1002" s="3" t="str">
        <f>VLOOKUP(C1002,'Location Summary'!$C$4:$D$602,2,0)</f>
        <v>DB1+9</v>
      </c>
      <c r="E1002" s="267" t="s">
        <v>403</v>
      </c>
      <c r="F1002" s="268" t="s">
        <v>683</v>
      </c>
      <c r="K1002" s="157">
        <v>1</v>
      </c>
      <c r="L1002" s="156">
        <v>1</v>
      </c>
      <c r="M1002" s="158">
        <v>1</v>
      </c>
      <c r="X1002" s="35">
        <f t="shared" si="96"/>
        <v>45705</v>
      </c>
      <c r="Y1002" s="35">
        <f t="shared" si="97"/>
        <v>45733</v>
      </c>
    </row>
    <row r="1003" spans="1:25" ht="20.149999999999999" customHeight="1">
      <c r="A1003" s="10">
        <f>SUBTOTAL(103,$B$4:B1003)</f>
        <v>1000</v>
      </c>
      <c r="B1003" s="111">
        <v>45706</v>
      </c>
      <c r="C1003" s="114" t="s">
        <v>408</v>
      </c>
      <c r="D1003" s="3" t="str">
        <f>VLOOKUP(C1003,'Location Summary'!$C$4:$D$602,2,0)</f>
        <v>DA+0</v>
      </c>
      <c r="E1003" s="267" t="s">
        <v>403</v>
      </c>
      <c r="F1003" s="268" t="s">
        <v>683</v>
      </c>
      <c r="G1003" s="158">
        <v>1</v>
      </c>
      <c r="X1003" s="35">
        <f t="shared" si="96"/>
        <v>45706</v>
      </c>
      <c r="Y1003" s="35">
        <f t="shared" si="97"/>
        <v>45734</v>
      </c>
    </row>
    <row r="1004" spans="1:25" ht="20.149999999999999" customHeight="1">
      <c r="A1004" s="10">
        <f>SUBTOTAL(103,$B$4:B1004)</f>
        <v>1001</v>
      </c>
      <c r="B1004" s="111">
        <v>45706</v>
      </c>
      <c r="C1004" s="114" t="s">
        <v>483</v>
      </c>
      <c r="D1004" s="3" t="str">
        <f>VLOOKUP(C1004,'Location Summary'!$C$4:$D$602,2,0)</f>
        <v>DB1+9</v>
      </c>
      <c r="E1004" s="267" t="s">
        <v>403</v>
      </c>
      <c r="F1004" s="268" t="s">
        <v>683</v>
      </c>
      <c r="O1004" s="156">
        <v>1</v>
      </c>
      <c r="R1004" s="156">
        <v>1</v>
      </c>
      <c r="X1004" s="35">
        <f t="shared" si="96"/>
        <v>45706</v>
      </c>
      <c r="Y1004" s="35">
        <f t="shared" si="97"/>
        <v>45734</v>
      </c>
    </row>
    <row r="1005" spans="1:25" ht="20.149999999999999" customHeight="1">
      <c r="A1005" s="10">
        <f>SUBTOTAL(103,$B$4:B1005)</f>
        <v>1002</v>
      </c>
      <c r="B1005" s="111">
        <v>45706</v>
      </c>
      <c r="C1005" s="114" t="s">
        <v>60</v>
      </c>
      <c r="D1005" s="3" t="str">
        <f>VLOOKUP(C1005,'Location Summary'!$C$4:$D$602,2,0)</f>
        <v>DD60+35</v>
      </c>
      <c r="E1005" s="267" t="s">
        <v>403</v>
      </c>
      <c r="F1005" s="268" t="s">
        <v>683</v>
      </c>
      <c r="K1005" s="157">
        <v>1</v>
      </c>
      <c r="L1005" s="156">
        <v>1</v>
      </c>
      <c r="M1005" s="158">
        <v>1</v>
      </c>
      <c r="X1005" s="35">
        <f t="shared" si="96"/>
        <v>45706</v>
      </c>
      <c r="Y1005" s="35">
        <f t="shared" si="97"/>
        <v>45734</v>
      </c>
    </row>
    <row r="1006" spans="1:25" ht="20.149999999999999" customHeight="1">
      <c r="A1006" s="10">
        <f>SUBTOTAL(103,$B$4:B1006)</f>
        <v>1003</v>
      </c>
      <c r="B1006" s="111">
        <v>45706</v>
      </c>
      <c r="C1006" s="114" t="s">
        <v>370</v>
      </c>
      <c r="D1006" s="3" t="str">
        <f>VLOOKUP(C1006,'Location Summary'!$C$4:$D$602,2,0)</f>
        <v>DA+3</v>
      </c>
      <c r="E1006" s="267" t="s">
        <v>403</v>
      </c>
      <c r="F1006" s="268" t="s">
        <v>683</v>
      </c>
      <c r="G1006" s="158">
        <v>1</v>
      </c>
      <c r="K1006" s="157">
        <v>1</v>
      </c>
      <c r="L1006" s="156">
        <v>1</v>
      </c>
      <c r="X1006" s="35">
        <f t="shared" si="96"/>
        <v>45706</v>
      </c>
      <c r="Y1006" s="35">
        <f t="shared" si="97"/>
        <v>45734</v>
      </c>
    </row>
    <row r="1007" spans="1:25" ht="20.149999999999999" customHeight="1">
      <c r="A1007" s="10">
        <f>SUBTOTAL(103,$B$4:B1007)</f>
        <v>1004</v>
      </c>
      <c r="B1007" s="111">
        <v>45706</v>
      </c>
      <c r="C1007" s="114" t="s">
        <v>773</v>
      </c>
      <c r="D1007" s="3" t="str">
        <f>VLOOKUP(C1007,'Location Summary'!$C$4:$D$602,2,0)</f>
        <v>DB1+9</v>
      </c>
      <c r="E1007" s="267" t="s">
        <v>403</v>
      </c>
      <c r="F1007" s="268" t="s">
        <v>683</v>
      </c>
      <c r="N1007" s="157">
        <v>1</v>
      </c>
      <c r="O1007" s="156">
        <v>1</v>
      </c>
      <c r="X1007" s="35">
        <f t="shared" si="96"/>
        <v>45706</v>
      </c>
      <c r="Y1007" s="35">
        <f t="shared" si="97"/>
        <v>45734</v>
      </c>
    </row>
    <row r="1008" spans="1:25" ht="20.149999999999999" customHeight="1">
      <c r="A1008" s="10">
        <f>SUBTOTAL(103,$B$4:B1008)</f>
        <v>1005</v>
      </c>
      <c r="B1008" s="111">
        <v>45707</v>
      </c>
      <c r="C1008" s="114" t="s">
        <v>64</v>
      </c>
      <c r="D1008" s="3" t="str">
        <f>VLOOKUP(C1008,'Location Summary'!$C$4:$D$602,2,0)</f>
        <v>DC1+0</v>
      </c>
      <c r="E1008" s="267" t="s">
        <v>403</v>
      </c>
      <c r="F1008" s="268" t="s">
        <v>683</v>
      </c>
      <c r="Q1008" s="157">
        <v>1</v>
      </c>
      <c r="R1008" s="156">
        <v>1</v>
      </c>
      <c r="X1008" s="35">
        <f t="shared" si="96"/>
        <v>45707</v>
      </c>
      <c r="Y1008" s="35">
        <f t="shared" si="97"/>
        <v>45735</v>
      </c>
    </row>
    <row r="1009" spans="1:25" ht="20.149999999999999" customHeight="1">
      <c r="A1009" s="10">
        <f>SUBTOTAL(103,$B$4:B1009)</f>
        <v>1006</v>
      </c>
      <c r="B1009" s="111">
        <v>45707</v>
      </c>
      <c r="C1009" s="114" t="s">
        <v>408</v>
      </c>
      <c r="D1009" s="3" t="str">
        <f>VLOOKUP(C1009,'Location Summary'!$C$4:$D$602,2,0)</f>
        <v>DA+0</v>
      </c>
      <c r="E1009" s="267" t="s">
        <v>403</v>
      </c>
      <c r="F1009" s="268" t="s">
        <v>683</v>
      </c>
      <c r="H1009" s="157">
        <v>1</v>
      </c>
      <c r="I1009" s="156">
        <v>1</v>
      </c>
      <c r="X1009" s="35">
        <f t="shared" si="96"/>
        <v>45707</v>
      </c>
      <c r="Y1009" s="35">
        <f t="shared" si="97"/>
        <v>45735</v>
      </c>
    </row>
    <row r="1010" spans="1:25" ht="20.149999999999999" customHeight="1">
      <c r="A1010" s="10">
        <f>SUBTOTAL(103,$B$4:B1010)</f>
        <v>1007</v>
      </c>
      <c r="B1010" s="111">
        <v>45707</v>
      </c>
      <c r="C1010" s="114" t="s">
        <v>628</v>
      </c>
      <c r="D1010" s="3" t="str">
        <f>VLOOKUP(C1010,'Location Summary'!$C$4:$D$602,2,0)</f>
        <v>DA+6</v>
      </c>
      <c r="E1010" s="267" t="s">
        <v>403</v>
      </c>
      <c r="F1010" s="268" t="s">
        <v>683</v>
      </c>
      <c r="M1010" s="158">
        <v>1</v>
      </c>
      <c r="P1010" s="158">
        <v>1</v>
      </c>
      <c r="X1010" s="35">
        <f t="shared" si="96"/>
        <v>45707</v>
      </c>
      <c r="Y1010" s="35">
        <f t="shared" si="97"/>
        <v>45735</v>
      </c>
    </row>
    <row r="1011" spans="1:25" ht="20.149999999999999" customHeight="1">
      <c r="A1011" s="10">
        <f>SUBTOTAL(103,$B$4:B1011)</f>
        <v>1008</v>
      </c>
      <c r="B1011" s="111">
        <v>45707</v>
      </c>
      <c r="C1011" s="114" t="s">
        <v>69</v>
      </c>
      <c r="D1011" s="3" t="str">
        <f>VLOOKUP(C1011,'Location Summary'!$C$4:$D$602,2,0)</f>
        <v>DA+9</v>
      </c>
      <c r="E1011" s="267" t="s">
        <v>403</v>
      </c>
      <c r="F1011" s="268" t="s">
        <v>683</v>
      </c>
      <c r="G1011" s="158">
        <v>1</v>
      </c>
      <c r="J1011" s="158">
        <v>1</v>
      </c>
      <c r="M1011" s="158">
        <v>1</v>
      </c>
      <c r="P1011" s="158">
        <v>1</v>
      </c>
      <c r="X1011" s="35">
        <f t="shared" si="96"/>
        <v>45707</v>
      </c>
      <c r="Y1011" s="35">
        <f t="shared" si="97"/>
        <v>45735</v>
      </c>
    </row>
    <row r="1012" spans="1:25" ht="20.149999999999999" customHeight="1">
      <c r="A1012" s="10">
        <f>SUBTOTAL(103,$B$4:B1012)</f>
        <v>1009</v>
      </c>
      <c r="B1012" s="111">
        <v>45707</v>
      </c>
      <c r="C1012" s="114" t="s">
        <v>370</v>
      </c>
      <c r="D1012" s="3" t="str">
        <f>VLOOKUP(C1012,'Location Summary'!$C$4:$D$602,2,0)</f>
        <v>DA+3</v>
      </c>
      <c r="E1012" s="267" t="s">
        <v>403</v>
      </c>
      <c r="F1012" s="268" t="s">
        <v>683</v>
      </c>
      <c r="H1012" s="157">
        <v>1</v>
      </c>
      <c r="I1012" s="156">
        <v>1</v>
      </c>
      <c r="X1012" s="35">
        <f t="shared" si="96"/>
        <v>45707</v>
      </c>
      <c r="Y1012" s="35">
        <f t="shared" si="97"/>
        <v>45735</v>
      </c>
    </row>
    <row r="1013" spans="1:25" ht="20.149999999999999" customHeight="1">
      <c r="A1013" s="10">
        <f>SUBTOTAL(103,$B$4:B1013)</f>
        <v>1010</v>
      </c>
      <c r="B1013" s="111">
        <v>45707</v>
      </c>
      <c r="C1013" s="114" t="s">
        <v>406</v>
      </c>
      <c r="D1013" s="3" t="str">
        <f>VLOOKUP(C1013,'Location Summary'!$C$4:$D$602,2,0)</f>
        <v>DA+9</v>
      </c>
      <c r="E1013" s="267" t="s">
        <v>403</v>
      </c>
      <c r="F1013" s="268" t="s">
        <v>683</v>
      </c>
      <c r="G1013" s="158">
        <v>1</v>
      </c>
      <c r="X1013" s="35">
        <f t="shared" si="96"/>
        <v>45707</v>
      </c>
      <c r="Y1013" s="35">
        <f t="shared" si="97"/>
        <v>45735</v>
      </c>
    </row>
    <row r="1014" spans="1:25" ht="20.149999999999999" customHeight="1">
      <c r="A1014" s="10">
        <f>SUBTOTAL(103,$B$4:B1014)</f>
        <v>1011</v>
      </c>
      <c r="B1014" s="111">
        <v>45708</v>
      </c>
      <c r="C1014" s="114" t="s">
        <v>57</v>
      </c>
      <c r="D1014" s="3" t="str">
        <f>VLOOKUP(C1014,'Location Summary'!$C$4:$D$602,2,0)</f>
        <v>DD60+18</v>
      </c>
      <c r="E1014" s="267" t="s">
        <v>403</v>
      </c>
      <c r="F1014" s="268" t="s">
        <v>683</v>
      </c>
      <c r="G1014" s="158">
        <v>1</v>
      </c>
      <c r="X1014" s="35">
        <f t="shared" si="96"/>
        <v>45708</v>
      </c>
      <c r="Y1014" s="35">
        <f t="shared" si="97"/>
        <v>45736</v>
      </c>
    </row>
    <row r="1015" spans="1:25" ht="20.149999999999999" customHeight="1">
      <c r="A1015" s="10">
        <f>SUBTOTAL(103,$B$4:B1015)</f>
        <v>1012</v>
      </c>
      <c r="B1015" s="111">
        <v>45708</v>
      </c>
      <c r="C1015" s="114" t="s">
        <v>408</v>
      </c>
      <c r="D1015" s="3" t="str">
        <f>VLOOKUP(C1015,'Location Summary'!$C$4:$D$602,2,0)</f>
        <v>DA+0</v>
      </c>
      <c r="E1015" s="267" t="s">
        <v>403</v>
      </c>
      <c r="F1015" s="268" t="s">
        <v>683</v>
      </c>
      <c r="M1015" s="158">
        <v>1</v>
      </c>
      <c r="X1015" s="35">
        <f t="shared" si="96"/>
        <v>45708</v>
      </c>
      <c r="Y1015" s="35">
        <f t="shared" si="97"/>
        <v>45736</v>
      </c>
    </row>
    <row r="1016" spans="1:25" ht="20.149999999999999" customHeight="1">
      <c r="A1016" s="10">
        <f>SUBTOTAL(103,$B$4:B1016)</f>
        <v>1013</v>
      </c>
      <c r="B1016" s="111">
        <v>45708</v>
      </c>
      <c r="C1016" s="114" t="s">
        <v>628</v>
      </c>
      <c r="D1016" s="3" t="str">
        <f>VLOOKUP(C1016,'Location Summary'!$C$4:$D$602,2,0)</f>
        <v>DA+6</v>
      </c>
      <c r="E1016" s="267" t="s">
        <v>403</v>
      </c>
      <c r="F1016" s="268" t="s">
        <v>683</v>
      </c>
      <c r="N1016" s="157">
        <v>1</v>
      </c>
      <c r="O1016" s="156">
        <v>1</v>
      </c>
      <c r="Q1016" s="157">
        <v>1</v>
      </c>
      <c r="R1016" s="156">
        <v>1</v>
      </c>
      <c r="X1016" s="35">
        <f t="shared" si="96"/>
        <v>45708</v>
      </c>
      <c r="Y1016" s="35">
        <f t="shared" si="97"/>
        <v>45736</v>
      </c>
    </row>
    <row r="1017" spans="1:25" ht="20.149999999999999" customHeight="1">
      <c r="A1017" s="10">
        <f>SUBTOTAL(103,$B$4:B1017)</f>
        <v>1014</v>
      </c>
      <c r="B1017" s="111">
        <v>45708</v>
      </c>
      <c r="C1017" s="114" t="s">
        <v>69</v>
      </c>
      <c r="D1017" s="3" t="str">
        <f>VLOOKUP(C1017,'Location Summary'!$C$4:$D$602,2,0)</f>
        <v>DA+9</v>
      </c>
      <c r="E1017" s="267" t="s">
        <v>403</v>
      </c>
      <c r="F1017" s="268" t="s">
        <v>683</v>
      </c>
      <c r="H1017" s="157">
        <v>1</v>
      </c>
      <c r="I1017" s="156">
        <v>1</v>
      </c>
      <c r="K1017" s="157">
        <v>1</v>
      </c>
      <c r="L1017" s="156">
        <v>1</v>
      </c>
      <c r="N1017" s="157">
        <v>1</v>
      </c>
      <c r="O1017" s="156">
        <v>1</v>
      </c>
      <c r="Q1017" s="157">
        <v>1</v>
      </c>
      <c r="R1017" s="156">
        <v>1</v>
      </c>
      <c r="X1017" s="35">
        <f t="shared" si="96"/>
        <v>45708</v>
      </c>
      <c r="Y1017" s="35">
        <f t="shared" si="97"/>
        <v>45736</v>
      </c>
    </row>
    <row r="1018" spans="1:25" ht="20.149999999999999" customHeight="1">
      <c r="A1018" s="10">
        <f>SUBTOTAL(103,$B$4:B1018)</f>
        <v>1015</v>
      </c>
      <c r="B1018" s="111">
        <v>45708</v>
      </c>
      <c r="C1018" s="114" t="s">
        <v>60</v>
      </c>
      <c r="D1018" s="3" t="str">
        <f>VLOOKUP(C1018,'Location Summary'!$C$4:$D$602,2,0)</f>
        <v>DD60+35</v>
      </c>
      <c r="E1018" s="267" t="s">
        <v>403</v>
      </c>
      <c r="F1018" s="268" t="s">
        <v>683</v>
      </c>
      <c r="N1018" s="157">
        <v>1</v>
      </c>
      <c r="O1018" s="156">
        <v>1</v>
      </c>
      <c r="X1018" s="35">
        <f t="shared" si="96"/>
        <v>45708</v>
      </c>
      <c r="Y1018" s="35">
        <f t="shared" si="97"/>
        <v>45736</v>
      </c>
    </row>
    <row r="1019" spans="1:25" ht="20.149999999999999" customHeight="1">
      <c r="A1019" s="10">
        <f>SUBTOTAL(103,$B$4:B1019)</f>
        <v>1016</v>
      </c>
      <c r="B1019" s="111">
        <v>45708</v>
      </c>
      <c r="C1019" s="114" t="s">
        <v>182</v>
      </c>
      <c r="D1019" s="3" t="str">
        <f>VLOOKUP(C1019,'Location Summary'!$C$4:$D$602,2,0)</f>
        <v>DA+0</v>
      </c>
      <c r="E1019" s="267" t="s">
        <v>403</v>
      </c>
      <c r="F1019" s="268" t="s">
        <v>683</v>
      </c>
      <c r="J1019" s="158">
        <v>1</v>
      </c>
      <c r="X1019" s="35">
        <f t="shared" si="96"/>
        <v>45708</v>
      </c>
      <c r="Y1019" s="35">
        <f t="shared" si="97"/>
        <v>45736</v>
      </c>
    </row>
    <row r="1020" spans="1:25" ht="20.149999999999999" customHeight="1">
      <c r="A1020" s="10">
        <f>SUBTOTAL(103,$B$4:B1020)</f>
        <v>1017</v>
      </c>
      <c r="B1020" s="111">
        <v>45708</v>
      </c>
      <c r="C1020" s="114" t="s">
        <v>406</v>
      </c>
      <c r="D1020" s="3" t="str">
        <f>VLOOKUP(C1020,'Location Summary'!$C$4:$D$602,2,0)</f>
        <v>DA+9</v>
      </c>
      <c r="E1020" s="267" t="s">
        <v>403</v>
      </c>
      <c r="F1020" s="268" t="s">
        <v>683</v>
      </c>
      <c r="H1020" s="157">
        <v>1</v>
      </c>
      <c r="I1020" s="156">
        <v>1</v>
      </c>
      <c r="J1020" s="158">
        <v>1</v>
      </c>
      <c r="X1020" s="35">
        <f t="shared" si="96"/>
        <v>45708</v>
      </c>
      <c r="Y1020" s="35">
        <f t="shared" si="97"/>
        <v>45736</v>
      </c>
    </row>
    <row r="1021" spans="1:25" ht="20.149999999999999" customHeight="1">
      <c r="A1021" s="10">
        <f>SUBTOTAL(103,$B$4:B1021)</f>
        <v>1018</v>
      </c>
      <c r="B1021" s="111">
        <v>45708</v>
      </c>
      <c r="C1021" s="114" t="s">
        <v>63</v>
      </c>
      <c r="D1021" s="3" t="str">
        <f>VLOOKUP(C1021,'Location Summary'!$C$4:$D$602,2,0)</f>
        <v>DC2-3</v>
      </c>
      <c r="E1021" s="267" t="s">
        <v>403</v>
      </c>
      <c r="F1021" s="268" t="s">
        <v>683</v>
      </c>
      <c r="J1021" s="158">
        <v>1</v>
      </c>
      <c r="X1021" s="35">
        <f t="shared" si="96"/>
        <v>45708</v>
      </c>
      <c r="Y1021" s="35">
        <f t="shared" si="97"/>
        <v>45736</v>
      </c>
    </row>
    <row r="1022" spans="1:25" ht="20.149999999999999" customHeight="1">
      <c r="A1022" s="10">
        <f>SUBTOTAL(103,$B$4:B1022)</f>
        <v>1019</v>
      </c>
      <c r="B1022" s="111">
        <v>45709</v>
      </c>
      <c r="C1022" s="114" t="s">
        <v>57</v>
      </c>
      <c r="D1022" s="3" t="str">
        <f>VLOOKUP(C1022,'Location Summary'!$C$4:$D$602,2,0)</f>
        <v>DD60+18</v>
      </c>
      <c r="E1022" s="267" t="s">
        <v>403</v>
      </c>
      <c r="F1022" s="268" t="s">
        <v>683</v>
      </c>
      <c r="H1022" s="157">
        <v>1</v>
      </c>
      <c r="I1022" s="156">
        <v>1</v>
      </c>
      <c r="X1022" s="35">
        <f t="shared" si="96"/>
        <v>45709</v>
      </c>
      <c r="Y1022" s="35">
        <f t="shared" si="97"/>
        <v>45737</v>
      </c>
    </row>
    <row r="1023" spans="1:25" ht="20.149999999999999" customHeight="1">
      <c r="A1023" s="10">
        <f>SUBTOTAL(103,$B$4:B1023)</f>
        <v>1020</v>
      </c>
      <c r="B1023" s="111">
        <v>45709</v>
      </c>
      <c r="C1023" s="114" t="s">
        <v>408</v>
      </c>
      <c r="D1023" s="3" t="str">
        <f>VLOOKUP(C1023,'Location Summary'!$C$4:$D$602,2,0)</f>
        <v>DA+0</v>
      </c>
      <c r="E1023" s="267" t="s">
        <v>403</v>
      </c>
      <c r="F1023" s="268" t="s">
        <v>683</v>
      </c>
      <c r="N1023" s="157">
        <v>1</v>
      </c>
      <c r="O1023" s="156">
        <v>1</v>
      </c>
      <c r="X1023" s="35">
        <f t="shared" si="96"/>
        <v>45709</v>
      </c>
      <c r="Y1023" s="35">
        <f t="shared" si="97"/>
        <v>45737</v>
      </c>
    </row>
    <row r="1024" spans="1:25" ht="20.149999999999999" customHeight="1">
      <c r="A1024" s="10">
        <f>SUBTOTAL(103,$B$4:B1024)</f>
        <v>1021</v>
      </c>
      <c r="B1024" s="111">
        <v>45709</v>
      </c>
      <c r="C1024" s="114" t="s">
        <v>774</v>
      </c>
      <c r="D1024" s="3" t="str">
        <f>VLOOKUP(C1024,'Location Summary'!$C$4:$D$602,2,0)</f>
        <v>DA+6</v>
      </c>
      <c r="E1024" s="267" t="s">
        <v>403</v>
      </c>
      <c r="F1024" s="268" t="s">
        <v>683</v>
      </c>
      <c r="G1024" s="158">
        <v>1</v>
      </c>
      <c r="J1024" s="158">
        <v>1</v>
      </c>
      <c r="M1024" s="158">
        <v>1</v>
      </c>
      <c r="P1024" s="158">
        <v>1</v>
      </c>
      <c r="X1024" s="35">
        <f t="shared" si="96"/>
        <v>45709</v>
      </c>
      <c r="Y1024" s="35">
        <f t="shared" si="97"/>
        <v>45737</v>
      </c>
    </row>
    <row r="1025" spans="1:25" ht="20.149999999999999" customHeight="1">
      <c r="A1025" s="10">
        <f>SUBTOTAL(103,$B$4:B1025)</f>
        <v>1022</v>
      </c>
      <c r="B1025" s="111">
        <v>45709</v>
      </c>
      <c r="C1025" s="114" t="s">
        <v>60</v>
      </c>
      <c r="D1025" s="3" t="str">
        <f>VLOOKUP(C1025,'Location Summary'!$C$4:$D$602,2,0)</f>
        <v>DD60+35</v>
      </c>
      <c r="E1025" s="267" t="s">
        <v>403</v>
      </c>
      <c r="F1025" s="268" t="s">
        <v>683</v>
      </c>
      <c r="G1025" s="158">
        <v>1</v>
      </c>
      <c r="X1025" s="35">
        <f t="shared" si="96"/>
        <v>45709</v>
      </c>
      <c r="Y1025" s="35">
        <f t="shared" si="97"/>
        <v>45737</v>
      </c>
    </row>
    <row r="1026" spans="1:25" ht="20.149999999999999" customHeight="1">
      <c r="A1026" s="10">
        <f>SUBTOTAL(103,$B$4:B1026)</f>
        <v>1023</v>
      </c>
      <c r="B1026" s="111">
        <v>45709</v>
      </c>
      <c r="C1026" s="114" t="s">
        <v>182</v>
      </c>
      <c r="D1026" s="3" t="str">
        <f>VLOOKUP(C1026,'Location Summary'!$C$4:$D$602,2,0)</f>
        <v>DA+0</v>
      </c>
      <c r="E1026" s="267" t="s">
        <v>403</v>
      </c>
      <c r="F1026" s="268" t="s">
        <v>683</v>
      </c>
      <c r="I1026" s="156">
        <v>1</v>
      </c>
      <c r="K1026" s="157">
        <v>1</v>
      </c>
      <c r="L1026" s="156">
        <v>1</v>
      </c>
      <c r="M1026" s="158">
        <v>1</v>
      </c>
      <c r="P1026" s="158">
        <v>1</v>
      </c>
      <c r="X1026" s="35">
        <f t="shared" si="96"/>
        <v>45709</v>
      </c>
      <c r="Y1026" s="35">
        <f t="shared" si="97"/>
        <v>45737</v>
      </c>
    </row>
    <row r="1027" spans="1:25" ht="20.149999999999999" customHeight="1">
      <c r="A1027" s="10">
        <f>SUBTOTAL(103,$B$4:B1027)</f>
        <v>1024</v>
      </c>
      <c r="B1027" s="111">
        <v>45709</v>
      </c>
      <c r="C1027" s="114" t="s">
        <v>406</v>
      </c>
      <c r="D1027" s="3" t="str">
        <f>VLOOKUP(C1027,'Location Summary'!$C$4:$D$602,2,0)</f>
        <v>DA+9</v>
      </c>
      <c r="E1027" s="267" t="s">
        <v>403</v>
      </c>
      <c r="F1027" s="268" t="s">
        <v>683</v>
      </c>
      <c r="K1027" s="157">
        <v>1</v>
      </c>
      <c r="L1027" s="156">
        <v>1</v>
      </c>
      <c r="M1027" s="158">
        <v>1</v>
      </c>
      <c r="X1027" s="35">
        <f t="shared" si="96"/>
        <v>45709</v>
      </c>
      <c r="Y1027" s="35">
        <f t="shared" si="97"/>
        <v>45737</v>
      </c>
    </row>
    <row r="1028" spans="1:25" ht="20.149999999999999" customHeight="1">
      <c r="A1028" s="10">
        <f>SUBTOTAL(103,$B$4:B1028)</f>
        <v>1025</v>
      </c>
      <c r="B1028" s="111">
        <v>45709</v>
      </c>
      <c r="C1028" s="114" t="s">
        <v>63</v>
      </c>
      <c r="D1028" s="3" t="str">
        <f>VLOOKUP(C1028,'Location Summary'!$C$4:$D$602,2,0)</f>
        <v>DC2-3</v>
      </c>
      <c r="E1028" s="267" t="s">
        <v>403</v>
      </c>
      <c r="F1028" s="268" t="s">
        <v>683</v>
      </c>
      <c r="G1028" s="158">
        <v>1</v>
      </c>
      <c r="X1028" s="35">
        <f t="shared" si="96"/>
        <v>45709</v>
      </c>
      <c r="Y1028" s="35">
        <f t="shared" si="97"/>
        <v>45737</v>
      </c>
    </row>
    <row r="1029" spans="1:25" ht="20.149999999999999" customHeight="1">
      <c r="A1029" s="10">
        <f>SUBTOTAL(103,$B$4:B1029)</f>
        <v>1026</v>
      </c>
      <c r="B1029" s="111">
        <v>45710</v>
      </c>
      <c r="C1029" s="114" t="s">
        <v>57</v>
      </c>
      <c r="D1029" s="3" t="str">
        <f>VLOOKUP(C1029,'Location Summary'!$C$4:$D$602,2,0)</f>
        <v>DD60+18</v>
      </c>
      <c r="E1029" s="267" t="s">
        <v>403</v>
      </c>
      <c r="F1029" s="268" t="s">
        <v>683</v>
      </c>
      <c r="P1029" s="158">
        <v>1</v>
      </c>
      <c r="X1029" s="35">
        <f t="shared" si="96"/>
        <v>45710</v>
      </c>
      <c r="Y1029" s="35">
        <f t="shared" si="97"/>
        <v>45738</v>
      </c>
    </row>
    <row r="1030" spans="1:25" ht="20.149999999999999" customHeight="1">
      <c r="A1030" s="10">
        <f>SUBTOTAL(103,$B$4:B1030)</f>
        <v>1027</v>
      </c>
      <c r="B1030" s="111">
        <v>45710</v>
      </c>
      <c r="C1030" s="114" t="s">
        <v>408</v>
      </c>
      <c r="D1030" s="3" t="str">
        <f>VLOOKUP(C1030,'Location Summary'!$C$4:$D$602,2,0)</f>
        <v>DA+0</v>
      </c>
      <c r="E1030" s="267" t="s">
        <v>403</v>
      </c>
      <c r="F1030" s="268" t="s">
        <v>683</v>
      </c>
      <c r="P1030" s="158">
        <v>1</v>
      </c>
      <c r="X1030" s="35">
        <f t="shared" si="96"/>
        <v>45710</v>
      </c>
      <c r="Y1030" s="35">
        <f t="shared" si="97"/>
        <v>45738</v>
      </c>
    </row>
    <row r="1031" spans="1:25" ht="20.149999999999999" customHeight="1">
      <c r="A1031" s="10">
        <f>SUBTOTAL(103,$B$4:B1031)</f>
        <v>1028</v>
      </c>
      <c r="B1031" s="111">
        <v>45710</v>
      </c>
      <c r="C1031" s="114" t="s">
        <v>628</v>
      </c>
      <c r="D1031" s="3" t="str">
        <f>VLOOKUP(C1031,'Location Summary'!$C$4:$D$602,2,0)</f>
        <v>DA+6</v>
      </c>
      <c r="E1031" s="267" t="s">
        <v>403</v>
      </c>
      <c r="F1031" s="268" t="s">
        <v>683</v>
      </c>
      <c r="G1031" s="158">
        <v>1</v>
      </c>
      <c r="X1031" s="35">
        <f t="shared" si="96"/>
        <v>45710</v>
      </c>
      <c r="Y1031" s="35">
        <f t="shared" si="97"/>
        <v>45738</v>
      </c>
    </row>
    <row r="1032" spans="1:25" ht="20.149999999999999" customHeight="1">
      <c r="A1032" s="10">
        <f>SUBTOTAL(103,$B$4:B1032)</f>
        <v>1029</v>
      </c>
      <c r="B1032" s="111">
        <v>45710</v>
      </c>
      <c r="C1032" s="114" t="s">
        <v>774</v>
      </c>
      <c r="D1032" s="3" t="str">
        <f>VLOOKUP(C1032,'Location Summary'!$C$4:$D$602,2,0)</f>
        <v>DA+6</v>
      </c>
      <c r="E1032" s="267" t="s">
        <v>403</v>
      </c>
      <c r="F1032" s="268" t="s">
        <v>683</v>
      </c>
      <c r="H1032" s="157">
        <v>1</v>
      </c>
      <c r="I1032" s="156">
        <v>1</v>
      </c>
      <c r="K1032" s="157">
        <v>1</v>
      </c>
      <c r="L1032" s="156">
        <v>1</v>
      </c>
      <c r="N1032" s="157">
        <v>1</v>
      </c>
      <c r="O1032" s="156">
        <v>1</v>
      </c>
      <c r="Q1032" s="157">
        <v>1</v>
      </c>
      <c r="R1032" s="156">
        <v>1</v>
      </c>
      <c r="X1032" s="35">
        <f t="shared" si="96"/>
        <v>45710</v>
      </c>
      <c r="Y1032" s="35">
        <f t="shared" si="97"/>
        <v>45738</v>
      </c>
    </row>
    <row r="1033" spans="1:25" ht="20.149999999999999" customHeight="1">
      <c r="A1033" s="10">
        <f>SUBTOTAL(103,$B$4:B1033)</f>
        <v>1030</v>
      </c>
      <c r="B1033" s="111">
        <v>45710</v>
      </c>
      <c r="C1033" s="114" t="s">
        <v>60</v>
      </c>
      <c r="D1033" s="3" t="str">
        <f>VLOOKUP(C1033,'Location Summary'!$C$4:$D$602,2,0)</f>
        <v>DD60+35</v>
      </c>
      <c r="E1033" s="267" t="s">
        <v>403</v>
      </c>
      <c r="F1033" s="268" t="s">
        <v>683</v>
      </c>
      <c r="P1033" s="158">
        <v>1</v>
      </c>
      <c r="X1033" s="35">
        <f t="shared" si="96"/>
        <v>45710</v>
      </c>
      <c r="Y1033" s="35">
        <f t="shared" si="97"/>
        <v>45738</v>
      </c>
    </row>
    <row r="1034" spans="1:25" ht="20.149999999999999" customHeight="1">
      <c r="A1034" s="10">
        <f>SUBTOTAL(103,$B$4:B1034)</f>
        <v>1031</v>
      </c>
      <c r="B1034" s="111">
        <v>45710</v>
      </c>
      <c r="C1034" s="114" t="s">
        <v>182</v>
      </c>
      <c r="D1034" s="3" t="str">
        <f>VLOOKUP(C1034,'Location Summary'!$C$4:$D$602,2,0)</f>
        <v>DA+0</v>
      </c>
      <c r="E1034" s="267" t="s">
        <v>403</v>
      </c>
      <c r="F1034" s="268" t="s">
        <v>683</v>
      </c>
      <c r="N1034" s="157">
        <v>1</v>
      </c>
      <c r="O1034" s="156">
        <v>1</v>
      </c>
      <c r="Q1034" s="157">
        <v>1</v>
      </c>
      <c r="R1034" s="156">
        <v>1</v>
      </c>
      <c r="X1034" s="35">
        <f t="shared" si="96"/>
        <v>45710</v>
      </c>
      <c r="Y1034" s="35">
        <f t="shared" si="97"/>
        <v>45738</v>
      </c>
    </row>
    <row r="1035" spans="1:25" ht="20.149999999999999" customHeight="1">
      <c r="A1035" s="10">
        <f>SUBTOTAL(103,$B$4:B1035)</f>
        <v>1032</v>
      </c>
      <c r="B1035" s="111">
        <v>45710</v>
      </c>
      <c r="C1035" s="114" t="s">
        <v>406</v>
      </c>
      <c r="D1035" s="3" t="str">
        <f>VLOOKUP(C1035,'Location Summary'!$C$4:$D$602,2,0)</f>
        <v>DA+9</v>
      </c>
      <c r="E1035" s="267" t="s">
        <v>403</v>
      </c>
      <c r="F1035" s="268" t="s">
        <v>683</v>
      </c>
      <c r="N1035" s="157">
        <v>1</v>
      </c>
      <c r="O1035" s="156">
        <v>1</v>
      </c>
      <c r="X1035" s="35">
        <f t="shared" si="96"/>
        <v>45710</v>
      </c>
      <c r="Y1035" s="35">
        <f t="shared" si="97"/>
        <v>45738</v>
      </c>
    </row>
    <row r="1036" spans="1:25" ht="20.149999999999999" customHeight="1">
      <c r="A1036" s="10">
        <f>SUBTOTAL(103,$B$4:B1036)</f>
        <v>1033</v>
      </c>
      <c r="B1036" s="111">
        <v>45710</v>
      </c>
      <c r="C1036" s="114" t="s">
        <v>63</v>
      </c>
      <c r="D1036" s="3" t="str">
        <f>VLOOKUP(C1036,'Location Summary'!$C$4:$D$602,2,0)</f>
        <v>DC2-3</v>
      </c>
      <c r="E1036" s="267" t="s">
        <v>403</v>
      </c>
      <c r="F1036" s="268" t="s">
        <v>683</v>
      </c>
      <c r="H1036" s="157">
        <v>1</v>
      </c>
      <c r="I1036" s="156">
        <v>1</v>
      </c>
      <c r="K1036" s="157">
        <v>1</v>
      </c>
      <c r="L1036" s="156">
        <v>1</v>
      </c>
      <c r="P1036" s="158">
        <v>1</v>
      </c>
      <c r="X1036" s="35">
        <f t="shared" si="96"/>
        <v>45710</v>
      </c>
      <c r="Y1036" s="35">
        <f t="shared" si="97"/>
        <v>45738</v>
      </c>
    </row>
    <row r="1037" spans="1:25" ht="20.149999999999999" customHeight="1">
      <c r="A1037" s="10">
        <f>SUBTOTAL(103,$B$4:B1037)</f>
        <v>1034</v>
      </c>
      <c r="B1037" s="111">
        <v>45711</v>
      </c>
      <c r="C1037" s="114" t="s">
        <v>57</v>
      </c>
      <c r="D1037" s="3" t="str">
        <f>VLOOKUP(C1037,'Location Summary'!$C$4:$D$602,2,0)</f>
        <v>DD60+18</v>
      </c>
      <c r="E1037" s="267" t="s">
        <v>403</v>
      </c>
      <c r="F1037" s="268" t="s">
        <v>683</v>
      </c>
      <c r="Q1037" s="157">
        <v>1</v>
      </c>
      <c r="X1037" s="35">
        <f t="shared" si="96"/>
        <v>45711</v>
      </c>
      <c r="Y1037" s="35">
        <f t="shared" si="97"/>
        <v>45739</v>
      </c>
    </row>
    <row r="1038" spans="1:25" ht="20.149999999999999" customHeight="1">
      <c r="A1038" s="10">
        <f>SUBTOTAL(103,$B$4:B1038)</f>
        <v>1035</v>
      </c>
      <c r="B1038" s="111">
        <v>45711</v>
      </c>
      <c r="C1038" s="114" t="s">
        <v>64</v>
      </c>
      <c r="D1038" s="3" t="str">
        <f>VLOOKUP(C1038,'Location Summary'!$C$4:$D$602,2,0)</f>
        <v>DC1+0</v>
      </c>
      <c r="E1038" s="267" t="s">
        <v>403</v>
      </c>
      <c r="F1038" s="268" t="s">
        <v>683</v>
      </c>
      <c r="N1038" s="157">
        <v>1</v>
      </c>
      <c r="O1038" s="156">
        <v>1</v>
      </c>
      <c r="X1038" s="35">
        <f t="shared" si="96"/>
        <v>45711</v>
      </c>
      <c r="Y1038" s="35">
        <f t="shared" si="97"/>
        <v>45739</v>
      </c>
    </row>
    <row r="1039" spans="1:25" ht="20.149999999999999" customHeight="1">
      <c r="A1039" s="10">
        <f>SUBTOTAL(103,$B$4:B1039)</f>
        <v>1036</v>
      </c>
      <c r="B1039" s="111">
        <v>45711</v>
      </c>
      <c r="C1039" s="114" t="s">
        <v>408</v>
      </c>
      <c r="D1039" s="3" t="str">
        <f>VLOOKUP(C1039,'Location Summary'!$C$4:$D$602,2,0)</f>
        <v>DA+0</v>
      </c>
      <c r="E1039" s="267" t="s">
        <v>403</v>
      </c>
      <c r="F1039" s="268" t="s">
        <v>683</v>
      </c>
      <c r="Q1039" s="157">
        <v>1</v>
      </c>
      <c r="R1039" s="156">
        <v>1</v>
      </c>
      <c r="X1039" s="35">
        <f t="shared" si="96"/>
        <v>45711</v>
      </c>
      <c r="Y1039" s="35">
        <f t="shared" si="97"/>
        <v>45739</v>
      </c>
    </row>
    <row r="1040" spans="1:25" ht="20.149999999999999" customHeight="1">
      <c r="A1040" s="10">
        <f>SUBTOTAL(103,$B$4:B1040)</f>
        <v>1037</v>
      </c>
      <c r="B1040" s="111">
        <v>45711</v>
      </c>
      <c r="C1040" s="114" t="s">
        <v>628</v>
      </c>
      <c r="D1040" s="3" t="str">
        <f>VLOOKUP(C1040,'Location Summary'!$C$4:$D$602,2,0)</f>
        <v>DA+6</v>
      </c>
      <c r="E1040" s="267" t="s">
        <v>403</v>
      </c>
      <c r="F1040" s="268" t="s">
        <v>683</v>
      </c>
      <c r="H1040" s="157">
        <v>1</v>
      </c>
      <c r="J1040" s="158">
        <v>1</v>
      </c>
      <c r="X1040" s="35">
        <f t="shared" si="96"/>
        <v>45711</v>
      </c>
      <c r="Y1040" s="35">
        <f t="shared" si="97"/>
        <v>45739</v>
      </c>
    </row>
    <row r="1041" spans="1:25" ht="20.149999999999999" customHeight="1">
      <c r="A1041" s="10">
        <f>SUBTOTAL(103,$B$4:B1041)</f>
        <v>1038</v>
      </c>
      <c r="B1041" s="111">
        <v>45711</v>
      </c>
      <c r="C1041" s="114" t="s">
        <v>167</v>
      </c>
      <c r="D1041" s="3" t="str">
        <f>VLOOKUP(C1041,'Location Summary'!$C$4:$D$602,2,0)</f>
        <v>DD60+25</v>
      </c>
      <c r="E1041" s="267" t="s">
        <v>403</v>
      </c>
      <c r="F1041" s="268" t="s">
        <v>683</v>
      </c>
      <c r="G1041" s="158">
        <v>1</v>
      </c>
      <c r="X1041" s="35">
        <f t="shared" si="96"/>
        <v>45711</v>
      </c>
      <c r="Y1041" s="35">
        <f t="shared" si="97"/>
        <v>45739</v>
      </c>
    </row>
    <row r="1042" spans="1:25" ht="20.149999999999999" customHeight="1">
      <c r="A1042" s="10">
        <f>SUBTOTAL(103,$B$4:B1042)</f>
        <v>1039</v>
      </c>
      <c r="B1042" s="111">
        <v>45711</v>
      </c>
      <c r="C1042" s="114" t="s">
        <v>60</v>
      </c>
      <c r="D1042" s="3" t="str">
        <f>VLOOKUP(C1042,'Location Summary'!$C$4:$D$602,2,0)</f>
        <v>DD60+35</v>
      </c>
      <c r="E1042" s="267" t="s">
        <v>403</v>
      </c>
      <c r="F1042" s="268" t="s">
        <v>683</v>
      </c>
      <c r="H1042" s="157">
        <v>1</v>
      </c>
      <c r="I1042" s="156">
        <v>1</v>
      </c>
      <c r="X1042" s="35">
        <f t="shared" si="96"/>
        <v>45711</v>
      </c>
      <c r="Y1042" s="35">
        <f t="shared" si="97"/>
        <v>45739</v>
      </c>
    </row>
    <row r="1043" spans="1:25" ht="20.149999999999999" customHeight="1">
      <c r="A1043" s="10">
        <f>SUBTOTAL(103,$B$4:B1043)</f>
        <v>1040</v>
      </c>
      <c r="B1043" s="111">
        <v>45712</v>
      </c>
      <c r="C1043" s="114" t="s">
        <v>57</v>
      </c>
      <c r="D1043" s="3" t="str">
        <f>VLOOKUP(C1043,'Location Summary'!$C$4:$D$602,2,0)</f>
        <v>DD60+18</v>
      </c>
      <c r="E1043" s="267" t="s">
        <v>403</v>
      </c>
      <c r="F1043" s="268" t="s">
        <v>683</v>
      </c>
      <c r="M1043" s="158">
        <v>1</v>
      </c>
      <c r="R1043" s="156">
        <v>1</v>
      </c>
      <c r="X1043" s="35">
        <f t="shared" si="96"/>
        <v>45712</v>
      </c>
      <c r="Y1043" s="35">
        <f t="shared" si="97"/>
        <v>45740</v>
      </c>
    </row>
    <row r="1044" spans="1:25" ht="20.149999999999999" customHeight="1">
      <c r="A1044" s="10">
        <f>SUBTOTAL(103,$B$4:B1044)</f>
        <v>1041</v>
      </c>
      <c r="B1044" s="111">
        <v>45712</v>
      </c>
      <c r="C1044" s="114" t="s">
        <v>408</v>
      </c>
      <c r="D1044" s="3" t="str">
        <f>VLOOKUP(C1044,'Location Summary'!$C$4:$D$602,2,0)</f>
        <v>DA+0</v>
      </c>
      <c r="E1044" s="267" t="s">
        <v>403</v>
      </c>
      <c r="F1044" s="268" t="s">
        <v>683</v>
      </c>
      <c r="J1044" s="158">
        <v>1</v>
      </c>
      <c r="X1044" s="35">
        <f t="shared" si="96"/>
        <v>45712</v>
      </c>
      <c r="Y1044" s="35">
        <f t="shared" si="97"/>
        <v>45740</v>
      </c>
    </row>
    <row r="1045" spans="1:25" ht="20.149999999999999" customHeight="1">
      <c r="A1045" s="10">
        <f>SUBTOTAL(103,$B$4:B1045)</f>
        <v>1042</v>
      </c>
      <c r="B1045" s="111">
        <v>45712</v>
      </c>
      <c r="C1045" s="114" t="s">
        <v>628</v>
      </c>
      <c r="D1045" s="3" t="str">
        <f>VLOOKUP(C1045,'Location Summary'!$C$4:$D$602,2,0)</f>
        <v>DA+6</v>
      </c>
      <c r="E1045" s="267" t="s">
        <v>403</v>
      </c>
      <c r="F1045" s="268" t="s">
        <v>683</v>
      </c>
      <c r="I1045" s="156">
        <v>1</v>
      </c>
      <c r="K1045" s="157">
        <v>1</v>
      </c>
      <c r="L1045" s="156">
        <v>1</v>
      </c>
      <c r="X1045" s="35">
        <f t="shared" ref="X1045:X1069" si="98">B1045</f>
        <v>45712</v>
      </c>
      <c r="Y1045" s="35">
        <f t="shared" ref="Y1045:Y1069" si="99">B1045+28</f>
        <v>45740</v>
      </c>
    </row>
    <row r="1046" spans="1:25" ht="20.149999999999999" customHeight="1">
      <c r="A1046" s="10">
        <f>SUBTOTAL(103,$B$4:B1046)</f>
        <v>1043</v>
      </c>
      <c r="B1046" s="111">
        <v>45712</v>
      </c>
      <c r="C1046" s="114" t="s">
        <v>167</v>
      </c>
      <c r="D1046" s="3" t="str">
        <f>VLOOKUP(C1046,'Location Summary'!$C$4:$D$602,2,0)</f>
        <v>DD60+25</v>
      </c>
      <c r="E1046" s="267" t="s">
        <v>403</v>
      </c>
      <c r="F1046" s="268" t="s">
        <v>683</v>
      </c>
      <c r="M1046" s="158">
        <v>1</v>
      </c>
      <c r="X1046" s="35">
        <f t="shared" si="98"/>
        <v>45712</v>
      </c>
      <c r="Y1046" s="35">
        <f t="shared" si="99"/>
        <v>45740</v>
      </c>
    </row>
    <row r="1047" spans="1:25" ht="20.149999999999999" customHeight="1">
      <c r="A1047" s="10">
        <f>SUBTOTAL(103,$B$4:B1047)</f>
        <v>1044</v>
      </c>
      <c r="B1047" s="111">
        <v>45712</v>
      </c>
      <c r="C1047" s="114" t="s">
        <v>406</v>
      </c>
      <c r="D1047" s="3" t="str">
        <f>VLOOKUP(C1047,'Location Summary'!$C$4:$D$602,2,0)</f>
        <v>DA+9</v>
      </c>
      <c r="E1047" s="267" t="s">
        <v>403</v>
      </c>
      <c r="F1047" s="268" t="s">
        <v>683</v>
      </c>
      <c r="P1047" s="158">
        <v>1</v>
      </c>
      <c r="X1047" s="35">
        <f t="shared" si="98"/>
        <v>45712</v>
      </c>
      <c r="Y1047" s="35">
        <f t="shared" si="99"/>
        <v>45740</v>
      </c>
    </row>
    <row r="1048" spans="1:25" ht="20.149999999999999" customHeight="1">
      <c r="A1048" s="10">
        <f>SUBTOTAL(103,$B$4:B1048)</f>
        <v>1045</v>
      </c>
      <c r="B1048" s="111">
        <v>45712</v>
      </c>
      <c r="C1048" s="114" t="s">
        <v>63</v>
      </c>
      <c r="D1048" s="3" t="str">
        <f>VLOOKUP(C1048,'Location Summary'!$C$4:$D$602,2,0)</f>
        <v>DC2-3</v>
      </c>
      <c r="E1048" s="267" t="s">
        <v>403</v>
      </c>
      <c r="F1048" s="268" t="s">
        <v>683</v>
      </c>
      <c r="Q1048" s="157">
        <v>1</v>
      </c>
      <c r="R1048" s="156">
        <v>1</v>
      </c>
      <c r="X1048" s="35">
        <f t="shared" si="98"/>
        <v>45712</v>
      </c>
      <c r="Y1048" s="35">
        <f t="shared" si="99"/>
        <v>45740</v>
      </c>
    </row>
    <row r="1049" spans="1:25" ht="20.149999999999999" customHeight="1">
      <c r="A1049" s="10">
        <f>SUBTOTAL(103,$B$4:B1049)</f>
        <v>1046</v>
      </c>
      <c r="B1049" s="111">
        <v>45713</v>
      </c>
      <c r="C1049" s="114" t="s">
        <v>57</v>
      </c>
      <c r="D1049" s="3" t="str">
        <f>VLOOKUP(C1049,'Location Summary'!$C$4:$D$602,2,0)</f>
        <v>DD60+18</v>
      </c>
      <c r="E1049" s="267" t="s">
        <v>403</v>
      </c>
      <c r="F1049" s="268" t="s">
        <v>683</v>
      </c>
      <c r="N1049" s="157">
        <v>1</v>
      </c>
      <c r="O1049" s="156">
        <v>1</v>
      </c>
      <c r="X1049" s="35">
        <f t="shared" si="98"/>
        <v>45713</v>
      </c>
      <c r="Y1049" s="35">
        <f t="shared" si="99"/>
        <v>45741</v>
      </c>
    </row>
    <row r="1050" spans="1:25" ht="20.149999999999999" customHeight="1">
      <c r="A1050" s="10">
        <f>SUBTOTAL(103,$B$4:B1050)</f>
        <v>1047</v>
      </c>
      <c r="B1050" s="111">
        <v>45713</v>
      </c>
      <c r="C1050" s="114" t="s">
        <v>408</v>
      </c>
      <c r="D1050" s="3" t="str">
        <f>VLOOKUP(C1050,'Location Summary'!$C$4:$D$602,2,0)</f>
        <v>DA+0</v>
      </c>
      <c r="E1050" s="267" t="s">
        <v>403</v>
      </c>
      <c r="F1050" s="268" t="s">
        <v>683</v>
      </c>
      <c r="K1050" s="157">
        <v>1</v>
      </c>
      <c r="L1050" s="156">
        <v>1</v>
      </c>
      <c r="X1050" s="35">
        <f t="shared" si="98"/>
        <v>45713</v>
      </c>
      <c r="Y1050" s="35">
        <f t="shared" si="99"/>
        <v>45741</v>
      </c>
    </row>
    <row r="1051" spans="1:25" ht="20.149999999999999" customHeight="1">
      <c r="A1051" s="10">
        <f>SUBTOTAL(103,$B$4:B1051)</f>
        <v>1048</v>
      </c>
      <c r="B1051" s="111">
        <v>45713</v>
      </c>
      <c r="C1051" s="114" t="s">
        <v>167</v>
      </c>
      <c r="D1051" s="3" t="str">
        <f>VLOOKUP(C1051,'Location Summary'!$C$4:$D$602,2,0)</f>
        <v>DD60+25</v>
      </c>
      <c r="E1051" s="267" t="s">
        <v>403</v>
      </c>
      <c r="F1051" s="268" t="s">
        <v>683</v>
      </c>
      <c r="H1051" s="157">
        <v>1</v>
      </c>
      <c r="I1051" s="156">
        <v>1</v>
      </c>
      <c r="X1051" s="35">
        <f t="shared" si="98"/>
        <v>45713</v>
      </c>
      <c r="Y1051" s="35">
        <f t="shared" si="99"/>
        <v>45741</v>
      </c>
    </row>
    <row r="1052" spans="1:25" ht="20.149999999999999" customHeight="1">
      <c r="A1052" s="10">
        <f>SUBTOTAL(103,$B$4:B1052)</f>
        <v>1049</v>
      </c>
      <c r="B1052" s="111">
        <v>45713</v>
      </c>
      <c r="C1052" s="114" t="s">
        <v>60</v>
      </c>
      <c r="D1052" s="3" t="str">
        <f>VLOOKUP(C1052,'Location Summary'!$C$4:$D$602,2,0)</f>
        <v>DD60+35</v>
      </c>
      <c r="E1052" s="267" t="s">
        <v>403</v>
      </c>
      <c r="F1052" s="268" t="s">
        <v>683</v>
      </c>
      <c r="H1052" s="157">
        <v>1</v>
      </c>
      <c r="I1052" s="156">
        <v>1</v>
      </c>
      <c r="Q1052" s="157">
        <v>1</v>
      </c>
      <c r="R1052" s="156">
        <v>1</v>
      </c>
      <c r="X1052" s="35">
        <f t="shared" si="98"/>
        <v>45713</v>
      </c>
      <c r="Y1052" s="35">
        <f t="shared" si="99"/>
        <v>45741</v>
      </c>
    </row>
    <row r="1053" spans="1:25" ht="20.149999999999999" customHeight="1">
      <c r="A1053" s="10">
        <f>SUBTOTAL(103,$B$4:B1053)</f>
        <v>1050</v>
      </c>
      <c r="B1053" s="111">
        <v>45713</v>
      </c>
      <c r="C1053" s="114" t="s">
        <v>407</v>
      </c>
      <c r="D1053" s="3" t="str">
        <f>VLOOKUP(C1053,'Location Summary'!$C$4:$D$602,2,0)</f>
        <v>DA+0</v>
      </c>
      <c r="E1053" s="267" t="s">
        <v>403</v>
      </c>
      <c r="F1053" s="268" t="s">
        <v>683</v>
      </c>
      <c r="J1053" s="158">
        <v>1</v>
      </c>
      <c r="X1053" s="35">
        <f t="shared" si="98"/>
        <v>45713</v>
      </c>
      <c r="Y1053" s="35">
        <f t="shared" si="99"/>
        <v>45741</v>
      </c>
    </row>
    <row r="1054" spans="1:25" ht="20.149999999999999" customHeight="1">
      <c r="A1054" s="10">
        <f>SUBTOTAL(103,$B$4:B1054)</f>
        <v>1051</v>
      </c>
      <c r="B1054" s="111">
        <v>45713</v>
      </c>
      <c r="C1054" s="114" t="s">
        <v>406</v>
      </c>
      <c r="D1054" s="3" t="str">
        <f>VLOOKUP(C1054,'Location Summary'!$C$4:$D$602,2,0)</f>
        <v>DA+9</v>
      </c>
      <c r="E1054" s="267" t="s">
        <v>403</v>
      </c>
      <c r="F1054" s="268" t="s">
        <v>683</v>
      </c>
      <c r="Q1054" s="157">
        <v>1</v>
      </c>
      <c r="X1054" s="35">
        <f t="shared" si="98"/>
        <v>45713</v>
      </c>
      <c r="Y1054" s="35">
        <f t="shared" si="99"/>
        <v>45741</v>
      </c>
    </row>
    <row r="1055" spans="1:25" ht="20.149999999999999" customHeight="1">
      <c r="A1055" s="10">
        <f>SUBTOTAL(103,$B$4:B1055)</f>
        <v>1052</v>
      </c>
      <c r="B1055" s="111">
        <v>45714</v>
      </c>
      <c r="C1055" s="114" t="s">
        <v>57</v>
      </c>
      <c r="D1055" s="3" t="str">
        <f>VLOOKUP(C1055,'Location Summary'!$C$4:$D$602,2,0)</f>
        <v>DD60+18</v>
      </c>
      <c r="E1055" s="267" t="s">
        <v>403</v>
      </c>
      <c r="F1055" s="268" t="s">
        <v>683</v>
      </c>
      <c r="J1055" s="158">
        <v>1</v>
      </c>
      <c r="X1055" s="35">
        <f t="shared" si="98"/>
        <v>45714</v>
      </c>
      <c r="Y1055" s="35">
        <f t="shared" si="99"/>
        <v>45742</v>
      </c>
    </row>
    <row r="1056" spans="1:25" ht="20.149999999999999" customHeight="1">
      <c r="A1056" s="10">
        <f>SUBTOTAL(103,$B$4:B1056)</f>
        <v>1053</v>
      </c>
      <c r="B1056" s="111">
        <v>45714</v>
      </c>
      <c r="C1056" s="114" t="s">
        <v>1238</v>
      </c>
      <c r="D1056" s="3" t="s">
        <v>2</v>
      </c>
      <c r="E1056" s="267" t="s">
        <v>403</v>
      </c>
      <c r="F1056" s="268" t="s">
        <v>683</v>
      </c>
      <c r="G1056" s="158">
        <v>1</v>
      </c>
      <c r="J1056" s="158">
        <v>1</v>
      </c>
      <c r="X1056" s="35">
        <f t="shared" si="98"/>
        <v>45714</v>
      </c>
      <c r="Y1056" s="35">
        <f t="shared" si="99"/>
        <v>45742</v>
      </c>
    </row>
    <row r="1057" spans="1:25" ht="20.149999999999999" customHeight="1">
      <c r="A1057" s="10">
        <f>SUBTOTAL(103,$B$4:B1057)</f>
        <v>1054</v>
      </c>
      <c r="B1057" s="111">
        <v>45714</v>
      </c>
      <c r="C1057" s="114" t="s">
        <v>407</v>
      </c>
      <c r="D1057" s="3" t="str">
        <f>VLOOKUP(C1057,'Location Summary'!$C$4:$D$602,2,0)</f>
        <v>DA+0</v>
      </c>
      <c r="E1057" s="267" t="s">
        <v>403</v>
      </c>
      <c r="F1057" s="268" t="s">
        <v>683</v>
      </c>
      <c r="G1057" s="158">
        <v>1</v>
      </c>
      <c r="X1057" s="35">
        <f t="shared" si="98"/>
        <v>45714</v>
      </c>
      <c r="Y1057" s="35">
        <f t="shared" si="99"/>
        <v>45742</v>
      </c>
    </row>
    <row r="1058" spans="1:25" ht="20.149999999999999" customHeight="1">
      <c r="A1058" s="10">
        <f>SUBTOTAL(103,$B$4:B1058)</f>
        <v>1055</v>
      </c>
      <c r="B1058" s="111">
        <v>45714</v>
      </c>
      <c r="C1058" s="114" t="s">
        <v>406</v>
      </c>
      <c r="D1058" s="3" t="str">
        <f>VLOOKUP(C1058,'Location Summary'!$C$4:$D$602,2,0)</f>
        <v>DA+9</v>
      </c>
      <c r="E1058" s="267" t="s">
        <v>403</v>
      </c>
      <c r="F1058" s="268" t="s">
        <v>683</v>
      </c>
      <c r="R1058" s="156">
        <v>1</v>
      </c>
      <c r="X1058" s="35">
        <f t="shared" si="98"/>
        <v>45714</v>
      </c>
      <c r="Y1058" s="35">
        <f t="shared" si="99"/>
        <v>45742</v>
      </c>
    </row>
    <row r="1059" spans="1:25" ht="20.149999999999999" customHeight="1">
      <c r="A1059" s="10">
        <f>SUBTOTAL(103,$B$4:B1059)</f>
        <v>1056</v>
      </c>
      <c r="B1059" s="111">
        <v>45714</v>
      </c>
      <c r="C1059" s="114" t="s">
        <v>63</v>
      </c>
      <c r="D1059" s="3" t="str">
        <f>VLOOKUP(C1059,'Location Summary'!$C$4:$D$602,2,0)</f>
        <v>DC2-3</v>
      </c>
      <c r="E1059" s="267" t="s">
        <v>403</v>
      </c>
      <c r="F1059" s="268" t="s">
        <v>683</v>
      </c>
      <c r="N1059" s="157">
        <v>1</v>
      </c>
      <c r="O1059" s="156">
        <v>1</v>
      </c>
      <c r="X1059" s="35">
        <f t="shared" si="98"/>
        <v>45714</v>
      </c>
      <c r="Y1059" s="35">
        <f t="shared" si="99"/>
        <v>45742</v>
      </c>
    </row>
    <row r="1060" spans="1:25" ht="20.149999999999999" customHeight="1">
      <c r="A1060" s="10">
        <f>SUBTOTAL(103,$B$4:B1060)</f>
        <v>1057</v>
      </c>
      <c r="B1060" s="111">
        <v>45715</v>
      </c>
      <c r="C1060" s="114" t="s">
        <v>167</v>
      </c>
      <c r="D1060" s="3" t="str">
        <f>VLOOKUP(C1060,'Location Summary'!$C$4:$D$602,2,0)</f>
        <v>DD60+25</v>
      </c>
      <c r="E1060" s="267" t="s">
        <v>403</v>
      </c>
      <c r="F1060" s="268" t="s">
        <v>683</v>
      </c>
      <c r="N1060" s="157">
        <v>1</v>
      </c>
      <c r="O1060" s="156">
        <v>1</v>
      </c>
      <c r="X1060" s="35">
        <f t="shared" si="98"/>
        <v>45715</v>
      </c>
      <c r="Y1060" s="35">
        <f t="shared" si="99"/>
        <v>45743</v>
      </c>
    </row>
    <row r="1061" spans="1:25" ht="20.149999999999999" customHeight="1">
      <c r="A1061" s="10">
        <f>SUBTOTAL(103,$B$4:B1061)</f>
        <v>1058</v>
      </c>
      <c r="B1061" s="111">
        <v>45715</v>
      </c>
      <c r="C1061" s="114" t="s">
        <v>57</v>
      </c>
      <c r="D1061" s="3" t="str">
        <f>VLOOKUP(C1061,'Location Summary'!$C$4:$D$602,2,0)</f>
        <v>DD60+18</v>
      </c>
      <c r="E1061" s="267" t="s">
        <v>403</v>
      </c>
      <c r="F1061" s="268" t="s">
        <v>683</v>
      </c>
      <c r="K1061" s="157">
        <v>1</v>
      </c>
      <c r="L1061" s="156">
        <v>1</v>
      </c>
      <c r="X1061" s="35">
        <f t="shared" si="98"/>
        <v>45715</v>
      </c>
      <c r="Y1061" s="35">
        <f t="shared" si="99"/>
        <v>45743</v>
      </c>
    </row>
    <row r="1062" spans="1:25" ht="20.149999999999999" customHeight="1">
      <c r="A1062" s="10">
        <f>SUBTOTAL(103,$B$4:B1062)</f>
        <v>1059</v>
      </c>
      <c r="B1062" s="111">
        <v>45715</v>
      </c>
      <c r="C1062" s="114" t="s">
        <v>59</v>
      </c>
      <c r="D1062" s="3" t="str">
        <f>VLOOKUP(C1062,'Location Summary'!$C$4:$D$602,2,0)</f>
        <v>DD60+35</v>
      </c>
      <c r="E1062" s="267" t="s">
        <v>403</v>
      </c>
      <c r="F1062" s="268" t="s">
        <v>683</v>
      </c>
      <c r="J1062" s="158">
        <v>1</v>
      </c>
      <c r="X1062" s="35">
        <f t="shared" si="98"/>
        <v>45715</v>
      </c>
      <c r="Y1062" s="35">
        <f t="shared" si="99"/>
        <v>45743</v>
      </c>
    </row>
    <row r="1063" spans="1:25" ht="20.149999999999999" customHeight="1">
      <c r="A1063" s="10">
        <f>SUBTOTAL(103,$B$4:B1063)</f>
        <v>1060</v>
      </c>
      <c r="B1063" s="111">
        <v>45715</v>
      </c>
      <c r="C1063" s="114" t="s">
        <v>67</v>
      </c>
      <c r="D1063" s="3" t="str">
        <f>VLOOKUP(C1063,'Location Summary'!$C$4:$D$602,2,0)</f>
        <v>DB1+9</v>
      </c>
      <c r="E1063" s="267" t="s">
        <v>403</v>
      </c>
      <c r="F1063" s="92" t="s">
        <v>683</v>
      </c>
      <c r="P1063" s="158">
        <v>1</v>
      </c>
      <c r="X1063" s="35">
        <f t="shared" si="98"/>
        <v>45715</v>
      </c>
      <c r="Y1063" s="35">
        <f t="shared" si="99"/>
        <v>45743</v>
      </c>
    </row>
    <row r="1064" spans="1:25" ht="20.149999999999999" customHeight="1">
      <c r="A1064" s="10">
        <f>SUBTOTAL(103,$B$4:B1064)</f>
        <v>1061</v>
      </c>
      <c r="B1064" s="111">
        <v>45715</v>
      </c>
      <c r="C1064" s="114" t="s">
        <v>1238</v>
      </c>
      <c r="D1064" s="3" t="str">
        <f>VLOOKUP(C1064,'Location Summary'!$C$4:$D$678,2,0)</f>
        <v>DA+3</v>
      </c>
      <c r="E1064" s="267" t="s">
        <v>403</v>
      </c>
      <c r="F1064" s="268" t="s">
        <v>683</v>
      </c>
      <c r="H1064" s="157">
        <v>1</v>
      </c>
      <c r="I1064" s="156">
        <v>1</v>
      </c>
      <c r="K1064" s="157">
        <v>1</v>
      </c>
      <c r="L1064" s="156">
        <v>1</v>
      </c>
      <c r="X1064" s="35">
        <f t="shared" si="98"/>
        <v>45715</v>
      </c>
      <c r="Y1064" s="35">
        <f t="shared" si="99"/>
        <v>45743</v>
      </c>
    </row>
    <row r="1065" spans="1:25" ht="20.149999999999999" customHeight="1">
      <c r="A1065" s="10">
        <f>SUBTOTAL(103,$B$4:B1065)</f>
        <v>1062</v>
      </c>
      <c r="B1065" s="111">
        <v>45715</v>
      </c>
      <c r="C1065" s="114" t="s">
        <v>67</v>
      </c>
      <c r="D1065" s="3" t="str">
        <f>VLOOKUP(C1065,'Location Summary'!$C$4:$D$678,2,0)</f>
        <v>DB1+9</v>
      </c>
      <c r="E1065" s="267" t="s">
        <v>403</v>
      </c>
      <c r="F1065" s="92" t="s">
        <v>683</v>
      </c>
      <c r="G1065" s="158">
        <v>1</v>
      </c>
      <c r="M1065" s="158">
        <v>1</v>
      </c>
      <c r="Q1065" s="157">
        <v>1</v>
      </c>
      <c r="R1065" s="156">
        <v>0.5</v>
      </c>
      <c r="X1065" s="35">
        <f t="shared" si="98"/>
        <v>45715</v>
      </c>
      <c r="Y1065" s="35">
        <f t="shared" si="99"/>
        <v>45743</v>
      </c>
    </row>
    <row r="1066" spans="1:25" ht="20.149999999999999" customHeight="1">
      <c r="A1066" s="10">
        <f>SUBTOTAL(103,$B$4:B1066)</f>
        <v>1063</v>
      </c>
      <c r="B1066" s="111">
        <v>45716</v>
      </c>
      <c r="C1066" s="114" t="s">
        <v>1238</v>
      </c>
      <c r="D1066" s="3" t="str">
        <f>VLOOKUP(C1066,'Location Summary'!$C$4:$D$678,2,0)</f>
        <v>DA+3</v>
      </c>
      <c r="E1066" s="267" t="s">
        <v>403</v>
      </c>
      <c r="F1066" s="268" t="s">
        <v>683</v>
      </c>
      <c r="M1066" s="158">
        <v>1</v>
      </c>
      <c r="P1066" s="158">
        <v>1</v>
      </c>
      <c r="X1066" s="35">
        <f t="shared" si="98"/>
        <v>45716</v>
      </c>
      <c r="Y1066" s="35">
        <f t="shared" si="99"/>
        <v>45744</v>
      </c>
    </row>
    <row r="1067" spans="1:25" ht="20.149999999999999" customHeight="1">
      <c r="A1067" s="10">
        <f>SUBTOTAL(103,$B$4:B1067)</f>
        <v>1064</v>
      </c>
      <c r="B1067" s="111">
        <v>45716</v>
      </c>
      <c r="C1067" s="114" t="s">
        <v>59</v>
      </c>
      <c r="D1067" s="3" t="str">
        <f>VLOOKUP(C1067,'Location Summary'!$C$4:$D$678,2,0)</f>
        <v>DD60+35</v>
      </c>
      <c r="E1067" s="267" t="s">
        <v>403</v>
      </c>
      <c r="F1067" s="268" t="s">
        <v>683</v>
      </c>
      <c r="K1067" s="157">
        <v>1</v>
      </c>
      <c r="M1067" s="158">
        <v>1</v>
      </c>
      <c r="X1067" s="35">
        <f t="shared" si="98"/>
        <v>45716</v>
      </c>
      <c r="Y1067" s="35">
        <f t="shared" si="99"/>
        <v>45744</v>
      </c>
    </row>
    <row r="1068" spans="1:25" ht="20.149999999999999" customHeight="1">
      <c r="A1068" s="10">
        <f>SUBTOTAL(103,$B$4:B1068)</f>
        <v>1065</v>
      </c>
      <c r="B1068" s="111">
        <v>45716</v>
      </c>
      <c r="C1068" s="114" t="s">
        <v>407</v>
      </c>
      <c r="D1068" s="3" t="str">
        <f>VLOOKUP(C1068,'Location Summary'!$C$4:$D$678,2,0)</f>
        <v>DA+0</v>
      </c>
      <c r="E1068" s="267" t="s">
        <v>403</v>
      </c>
      <c r="F1068" s="268" t="s">
        <v>683</v>
      </c>
      <c r="H1068" s="157">
        <v>1</v>
      </c>
      <c r="I1068" s="156">
        <v>1</v>
      </c>
      <c r="K1068" s="157">
        <v>1</v>
      </c>
      <c r="L1068" s="156">
        <v>1</v>
      </c>
      <c r="X1068" s="35">
        <f t="shared" si="98"/>
        <v>45716</v>
      </c>
      <c r="Y1068" s="35">
        <f t="shared" si="99"/>
        <v>45744</v>
      </c>
    </row>
    <row r="1069" spans="1:25" ht="20.149999999999999" customHeight="1">
      <c r="A1069" s="10">
        <f>SUBTOTAL(103,$B$4:B1069)</f>
        <v>1066</v>
      </c>
      <c r="B1069" s="111">
        <v>45717</v>
      </c>
      <c r="C1069" s="114" t="s">
        <v>74</v>
      </c>
      <c r="D1069" s="3" t="str">
        <f>VLOOKUP(C1069,'Location Summary'!$C$4:$D$678,2,0)</f>
        <v>DB1+6</v>
      </c>
      <c r="E1069" s="267" t="s">
        <v>403</v>
      </c>
      <c r="F1069" s="268" t="s">
        <v>683</v>
      </c>
      <c r="G1069" s="158">
        <v>1</v>
      </c>
      <c r="X1069" s="35">
        <f t="shared" si="98"/>
        <v>45717</v>
      </c>
      <c r="Y1069" s="35">
        <f t="shared" si="99"/>
        <v>45745</v>
      </c>
    </row>
    <row r="1070" spans="1:25" ht="20.149999999999999" customHeight="1">
      <c r="A1070" s="10">
        <f>SUBTOTAL(103,$B$4:B1070)</f>
        <v>1067</v>
      </c>
      <c r="B1070" s="111">
        <v>45717</v>
      </c>
      <c r="C1070" s="114" t="s">
        <v>67</v>
      </c>
      <c r="D1070" s="3" t="str">
        <f>VLOOKUP(C1070,'Location Summary'!$C$4:$D$678,2,0)</f>
        <v>DB1+9</v>
      </c>
      <c r="E1070" s="267" t="s">
        <v>403</v>
      </c>
      <c r="F1070" s="92" t="s">
        <v>683</v>
      </c>
      <c r="J1070" s="158">
        <v>1</v>
      </c>
      <c r="N1070" s="157">
        <v>1</v>
      </c>
      <c r="O1070" s="156">
        <v>0.5</v>
      </c>
      <c r="X1070" s="35">
        <f>B1070</f>
        <v>45717</v>
      </c>
      <c r="Y1070" s="35">
        <f>B1070+28</f>
        <v>45745</v>
      </c>
    </row>
    <row r="1071" spans="1:25" ht="20.149999999999999" customHeight="1">
      <c r="A1071" s="10">
        <f>SUBTOTAL(103,$B$4:B1071)</f>
        <v>1068</v>
      </c>
      <c r="B1071" s="111">
        <v>45717</v>
      </c>
      <c r="C1071" s="114" t="s">
        <v>1238</v>
      </c>
      <c r="D1071" s="3" t="str">
        <f>VLOOKUP(C1071,'Location Summary'!$C$4:$D$678,2,0)</f>
        <v>DA+3</v>
      </c>
      <c r="E1071" s="267" t="s">
        <v>403</v>
      </c>
      <c r="F1071" s="268" t="s">
        <v>683</v>
      </c>
      <c r="N1071" s="157">
        <v>1</v>
      </c>
      <c r="O1071" s="156">
        <v>1</v>
      </c>
      <c r="Q1071" s="157">
        <v>1</v>
      </c>
      <c r="R1071" s="156">
        <v>1</v>
      </c>
      <c r="X1071" s="35">
        <f>B1071</f>
        <v>45717</v>
      </c>
      <c r="Y1071" s="35">
        <f>B1071+28</f>
        <v>45745</v>
      </c>
    </row>
    <row r="1072" spans="1:25" ht="20.149999999999999" customHeight="1">
      <c r="A1072" s="10">
        <f>SUBTOTAL(103,$B$4:B1072)</f>
        <v>1069</v>
      </c>
      <c r="B1072" s="111">
        <v>45717</v>
      </c>
      <c r="C1072" s="114" t="s">
        <v>59</v>
      </c>
      <c r="D1072" s="3" t="str">
        <f>VLOOKUP(C1072,'Location Summary'!$C$4:$D$678,2,0)</f>
        <v>DD60+35</v>
      </c>
      <c r="E1072" s="267" t="s">
        <v>403</v>
      </c>
      <c r="F1072" s="268" t="s">
        <v>683</v>
      </c>
      <c r="G1072" s="158">
        <v>1</v>
      </c>
      <c r="L1072" s="156">
        <v>1</v>
      </c>
      <c r="X1072" s="35">
        <f>B1072</f>
        <v>45717</v>
      </c>
      <c r="Y1072" s="35">
        <f>B1072+28</f>
        <v>45745</v>
      </c>
    </row>
    <row r="1073" spans="1:25" ht="20.149999999999999" customHeight="1">
      <c r="A1073" s="10">
        <f>SUBTOTAL(103,$B$4:B1073)</f>
        <v>1070</v>
      </c>
      <c r="B1073" s="111">
        <v>45717</v>
      </c>
      <c r="C1073" s="114" t="s">
        <v>167</v>
      </c>
      <c r="D1073" s="3" t="str">
        <f>VLOOKUP(C1073,'Location Summary'!$C$4:$D$678,2,0)</f>
        <v>DD60+25</v>
      </c>
      <c r="E1073" s="267" t="s">
        <v>403</v>
      </c>
      <c r="F1073" s="268" t="s">
        <v>683</v>
      </c>
      <c r="J1073" s="158">
        <v>1</v>
      </c>
      <c r="X1073" s="35">
        <f>B1073</f>
        <v>45717</v>
      </c>
      <c r="Y1073" s="35">
        <f>B1073+28</f>
        <v>45745</v>
      </c>
    </row>
    <row r="1074" spans="1:25" ht="20.149999999999999" customHeight="1">
      <c r="A1074" s="10">
        <f>SUBTOTAL(103,$B$4:B1074)</f>
        <v>1071</v>
      </c>
      <c r="B1074" s="111">
        <v>45718</v>
      </c>
      <c r="C1074" s="114" t="s">
        <v>74</v>
      </c>
      <c r="D1074" s="3" t="str">
        <f>VLOOKUP(C1074,'Location Summary'!$C$4:$D$678,2,0)</f>
        <v>DB1+6</v>
      </c>
      <c r="E1074" s="267" t="s">
        <v>403</v>
      </c>
      <c r="F1074" s="268" t="s">
        <v>683</v>
      </c>
      <c r="H1074" s="157">
        <v>1</v>
      </c>
      <c r="I1074" s="156">
        <v>1</v>
      </c>
      <c r="X1074" s="35">
        <f>B1074</f>
        <v>45718</v>
      </c>
      <c r="Y1074" s="35">
        <f>B1074+28</f>
        <v>45746</v>
      </c>
    </row>
    <row r="1075" spans="1:25" ht="20.149999999999999" customHeight="1">
      <c r="A1075" s="10">
        <f>SUBTOTAL(103,$B$4:B1075)</f>
        <v>1072</v>
      </c>
      <c r="B1075" s="111">
        <v>45718</v>
      </c>
      <c r="C1075" s="114" t="s">
        <v>67</v>
      </c>
      <c r="D1075" s="3" t="str">
        <f>VLOOKUP(C1075,'Location Summary'!$C$4:$D$678,2,0)</f>
        <v>DB1+9</v>
      </c>
      <c r="E1075" s="267" t="s">
        <v>403</v>
      </c>
      <c r="F1075" s="92" t="s">
        <v>683</v>
      </c>
      <c r="H1075" s="157">
        <v>1</v>
      </c>
      <c r="I1075" s="156">
        <v>0.5</v>
      </c>
      <c r="X1075" s="35">
        <f t="shared" ref="X1075:X1138" si="100">B1075</f>
        <v>45718</v>
      </c>
      <c r="Y1075" s="35">
        <f t="shared" ref="Y1075:Y1138" si="101">B1075+28</f>
        <v>45746</v>
      </c>
    </row>
    <row r="1076" spans="1:25" ht="20.149999999999999" customHeight="1">
      <c r="A1076" s="10">
        <f>SUBTOTAL(103,$B$4:B1076)</f>
        <v>1073</v>
      </c>
      <c r="B1076" s="111">
        <v>45718</v>
      </c>
      <c r="C1076" s="114" t="s">
        <v>59</v>
      </c>
      <c r="D1076" s="3" t="str">
        <f>VLOOKUP(C1076,'Location Summary'!$C$4:$D$678,2,0)</f>
        <v>DD60+35</v>
      </c>
      <c r="E1076" s="267" t="s">
        <v>403</v>
      </c>
      <c r="F1076" s="268" t="s">
        <v>683</v>
      </c>
      <c r="H1076" s="157">
        <v>1</v>
      </c>
      <c r="N1076" s="157">
        <v>1</v>
      </c>
      <c r="X1076" s="35">
        <f t="shared" si="100"/>
        <v>45718</v>
      </c>
      <c r="Y1076" s="35">
        <f t="shared" si="101"/>
        <v>45746</v>
      </c>
    </row>
    <row r="1077" spans="1:25" ht="20.149999999999999" customHeight="1">
      <c r="A1077" s="10">
        <f>SUBTOTAL(103,$B$4:B1077)</f>
        <v>1074</v>
      </c>
      <c r="B1077" s="111">
        <v>45718</v>
      </c>
      <c r="C1077" s="114" t="s">
        <v>167</v>
      </c>
      <c r="D1077" s="3" t="str">
        <f>VLOOKUP(C1077,'Location Summary'!$C$4:$D$678,2,0)</f>
        <v>DD60+25</v>
      </c>
      <c r="E1077" s="267" t="s">
        <v>403</v>
      </c>
      <c r="F1077" s="268" t="s">
        <v>683</v>
      </c>
      <c r="K1077" s="157">
        <v>1</v>
      </c>
      <c r="X1077" s="35">
        <f t="shared" si="100"/>
        <v>45718</v>
      </c>
      <c r="Y1077" s="35">
        <f t="shared" si="101"/>
        <v>45746</v>
      </c>
    </row>
    <row r="1078" spans="1:25" ht="20.149999999999999" customHeight="1">
      <c r="A1078" s="10">
        <f>SUBTOTAL(103,$B$4:B1078)</f>
        <v>1075</v>
      </c>
      <c r="B1078" s="111">
        <v>45718</v>
      </c>
      <c r="C1078" s="114" t="s">
        <v>407</v>
      </c>
      <c r="D1078" s="3" t="str">
        <f>VLOOKUP(C1078,'Location Summary'!$C$4:$D$678,2,0)</f>
        <v>DA+0</v>
      </c>
      <c r="E1078" s="267" t="s">
        <v>403</v>
      </c>
      <c r="F1078" s="268" t="s">
        <v>683</v>
      </c>
      <c r="M1078" s="158">
        <v>1</v>
      </c>
      <c r="X1078" s="35">
        <f t="shared" si="100"/>
        <v>45718</v>
      </c>
      <c r="Y1078" s="35">
        <f t="shared" si="101"/>
        <v>45746</v>
      </c>
    </row>
    <row r="1079" spans="1:25" ht="20.149999999999999" customHeight="1">
      <c r="A1079" s="10">
        <f>SUBTOTAL(103,$B$4:B1079)</f>
        <v>1076</v>
      </c>
      <c r="B1079" s="111">
        <v>45719</v>
      </c>
      <c r="C1079" s="114" t="s">
        <v>74</v>
      </c>
      <c r="D1079" s="3" t="str">
        <f>VLOOKUP(C1079,'Location Summary'!$C$4:$D$678,2,0)</f>
        <v>DB1+6</v>
      </c>
      <c r="E1079" s="267" t="s">
        <v>403</v>
      </c>
      <c r="F1079" s="268" t="s">
        <v>683</v>
      </c>
      <c r="J1079" s="158">
        <v>1</v>
      </c>
      <c r="X1079" s="35">
        <f t="shared" si="100"/>
        <v>45719</v>
      </c>
      <c r="Y1079" s="35">
        <f t="shared" si="101"/>
        <v>45747</v>
      </c>
    </row>
    <row r="1080" spans="1:25" ht="20.149999999999999" customHeight="1">
      <c r="A1080" s="10">
        <f>SUBTOTAL(103,$B$4:B1080)</f>
        <v>1077</v>
      </c>
      <c r="B1080" s="111">
        <v>45719</v>
      </c>
      <c r="C1080" s="114" t="s">
        <v>67</v>
      </c>
      <c r="D1080" s="3" t="str">
        <f>VLOOKUP(C1080,'Location Summary'!$C$4:$D$678,2,0)</f>
        <v>DB1+9</v>
      </c>
      <c r="E1080" s="267" t="s">
        <v>403</v>
      </c>
      <c r="F1080" s="92" t="s">
        <v>683</v>
      </c>
      <c r="K1080" s="157">
        <v>1</v>
      </c>
      <c r="L1080" s="156">
        <v>0.5</v>
      </c>
      <c r="X1080" s="35">
        <f t="shared" si="100"/>
        <v>45719</v>
      </c>
      <c r="Y1080" s="35">
        <f t="shared" si="101"/>
        <v>45747</v>
      </c>
    </row>
    <row r="1081" spans="1:25" ht="20.149999999999999" customHeight="1">
      <c r="A1081" s="10">
        <f>SUBTOTAL(103,$B$4:B1081)</f>
        <v>1078</v>
      </c>
      <c r="B1081" s="111">
        <v>45719</v>
      </c>
      <c r="C1081" s="114" t="s">
        <v>59</v>
      </c>
      <c r="D1081" s="3" t="str">
        <f>VLOOKUP(C1081,'Location Summary'!$C$4:$D$678,2,0)</f>
        <v>DD60+35</v>
      </c>
      <c r="E1081" s="267" t="s">
        <v>403</v>
      </c>
      <c r="F1081" s="268" t="s">
        <v>683</v>
      </c>
      <c r="I1081" s="156">
        <v>1</v>
      </c>
      <c r="O1081" s="156">
        <v>1</v>
      </c>
      <c r="P1081" s="158">
        <v>1</v>
      </c>
      <c r="X1081" s="35">
        <f t="shared" si="100"/>
        <v>45719</v>
      </c>
      <c r="Y1081" s="35">
        <f t="shared" si="101"/>
        <v>45747</v>
      </c>
    </row>
    <row r="1082" spans="1:25" ht="20.149999999999999" customHeight="1">
      <c r="A1082" s="10">
        <f>SUBTOTAL(103,$B$4:B1082)</f>
        <v>1079</v>
      </c>
      <c r="B1082" s="111">
        <v>45719</v>
      </c>
      <c r="C1082" s="114" t="s">
        <v>407</v>
      </c>
      <c r="D1082" s="3" t="str">
        <f>VLOOKUP(C1082,'Location Summary'!$C$4:$D$678,2,0)</f>
        <v>DA+0</v>
      </c>
      <c r="E1082" s="267" t="s">
        <v>403</v>
      </c>
      <c r="F1082" s="268" t="s">
        <v>683</v>
      </c>
      <c r="N1082" s="157">
        <v>1</v>
      </c>
      <c r="O1082" s="156">
        <v>1</v>
      </c>
      <c r="X1082" s="35">
        <f t="shared" si="100"/>
        <v>45719</v>
      </c>
      <c r="Y1082" s="35">
        <f t="shared" si="101"/>
        <v>45747</v>
      </c>
    </row>
    <row r="1083" spans="1:25" ht="20.149999999999999" customHeight="1">
      <c r="A1083" s="10">
        <f>SUBTOTAL(103,$B$4:B1083)</f>
        <v>1080</v>
      </c>
      <c r="B1083" s="111">
        <v>45720</v>
      </c>
      <c r="C1083" s="114" t="s">
        <v>74</v>
      </c>
      <c r="D1083" s="3" t="str">
        <f>VLOOKUP(C1083,'Location Summary'!$C$4:$D$678,2,0)</f>
        <v>DB1+6</v>
      </c>
      <c r="E1083" s="267" t="s">
        <v>403</v>
      </c>
      <c r="F1083" s="268" t="s">
        <v>683</v>
      </c>
      <c r="K1083" s="157">
        <v>1</v>
      </c>
      <c r="L1083" s="156">
        <v>1</v>
      </c>
      <c r="X1083" s="35">
        <f t="shared" si="100"/>
        <v>45720</v>
      </c>
      <c r="Y1083" s="35">
        <f t="shared" si="101"/>
        <v>45748</v>
      </c>
    </row>
    <row r="1084" spans="1:25" ht="20.149999999999999" customHeight="1">
      <c r="A1084" s="10">
        <f>SUBTOTAL(103,$B$4:B1084)</f>
        <v>1081</v>
      </c>
      <c r="B1084" s="111">
        <v>45720</v>
      </c>
      <c r="C1084" s="114" t="s">
        <v>68</v>
      </c>
      <c r="D1084" s="3" t="str">
        <f>VLOOKUP(C1084,'Location Summary'!$C$4:$D$678,2,0)</f>
        <v>DA+9</v>
      </c>
      <c r="E1084" s="267" t="s">
        <v>403</v>
      </c>
      <c r="F1084" s="268" t="s">
        <v>683</v>
      </c>
      <c r="M1084" s="158">
        <v>1</v>
      </c>
      <c r="P1084" s="158">
        <v>1</v>
      </c>
      <c r="X1084" s="35">
        <f t="shared" si="100"/>
        <v>45720</v>
      </c>
      <c r="Y1084" s="35">
        <f t="shared" si="101"/>
        <v>45748</v>
      </c>
    </row>
    <row r="1085" spans="1:25" ht="20.149999999999999" customHeight="1">
      <c r="A1085" s="10">
        <f>SUBTOTAL(103,$B$4:B1085)</f>
        <v>1082</v>
      </c>
      <c r="B1085" s="111">
        <v>45720</v>
      </c>
      <c r="C1085" s="114" t="s">
        <v>1240</v>
      </c>
      <c r="D1085" s="3" t="str">
        <f>VLOOKUP(C1085,'Location Summary'!$C$4:$D$678,2,0)</f>
        <v>DA+3</v>
      </c>
      <c r="E1085" s="267" t="s">
        <v>403</v>
      </c>
      <c r="F1085" s="268" t="s">
        <v>683</v>
      </c>
      <c r="G1085" s="158">
        <v>1</v>
      </c>
      <c r="M1085" s="158">
        <v>1</v>
      </c>
      <c r="P1085" s="158">
        <v>1</v>
      </c>
      <c r="X1085" s="35">
        <f t="shared" si="100"/>
        <v>45720</v>
      </c>
      <c r="Y1085" s="35">
        <f t="shared" si="101"/>
        <v>45748</v>
      </c>
    </row>
    <row r="1086" spans="1:25" ht="20.149999999999999" customHeight="1">
      <c r="A1086" s="10">
        <f>SUBTOTAL(103,$B$4:B1086)</f>
        <v>1083</v>
      </c>
      <c r="B1086" s="111">
        <v>45720</v>
      </c>
      <c r="C1086" s="114" t="s">
        <v>59</v>
      </c>
      <c r="D1086" s="3" t="str">
        <f>VLOOKUP(C1086,'Location Summary'!$C$4:$D$678,2,0)</f>
        <v>DD60+35</v>
      </c>
      <c r="E1086" s="267" t="s">
        <v>403</v>
      </c>
      <c r="F1086" s="268" t="s">
        <v>683</v>
      </c>
      <c r="Q1086" s="157">
        <v>1</v>
      </c>
      <c r="X1086" s="35">
        <f t="shared" si="100"/>
        <v>45720</v>
      </c>
      <c r="Y1086" s="35">
        <f t="shared" si="101"/>
        <v>45748</v>
      </c>
    </row>
    <row r="1087" spans="1:25" ht="20.149999999999999" customHeight="1">
      <c r="A1087" s="10">
        <f>SUBTOTAL(103,$B$4:B1087)</f>
        <v>1084</v>
      </c>
      <c r="B1087" s="111">
        <v>45720</v>
      </c>
      <c r="C1087" s="114" t="s">
        <v>167</v>
      </c>
      <c r="D1087" s="3" t="str">
        <f>VLOOKUP(C1087,'Location Summary'!$C$4:$D$678,2,0)</f>
        <v>DD60+25</v>
      </c>
      <c r="E1087" s="267" t="s">
        <v>403</v>
      </c>
      <c r="F1087" s="268" t="s">
        <v>683</v>
      </c>
      <c r="L1087" s="156">
        <v>1</v>
      </c>
      <c r="P1087" s="158">
        <v>1</v>
      </c>
      <c r="X1087" s="35">
        <f t="shared" si="100"/>
        <v>45720</v>
      </c>
      <c r="Y1087" s="35">
        <f t="shared" si="101"/>
        <v>45748</v>
      </c>
    </row>
    <row r="1088" spans="1:25" ht="20.149999999999999" customHeight="1">
      <c r="A1088" s="10">
        <f>SUBTOTAL(103,$B$4:B1088)</f>
        <v>1085</v>
      </c>
      <c r="B1088" s="111">
        <v>45720</v>
      </c>
      <c r="C1088" s="114" t="s">
        <v>407</v>
      </c>
      <c r="D1088" s="3" t="str">
        <f>VLOOKUP(C1088,'Location Summary'!$C$4:$D$678,2,0)</f>
        <v>DA+0</v>
      </c>
      <c r="E1088" s="267" t="s">
        <v>403</v>
      </c>
      <c r="F1088" s="268" t="s">
        <v>683</v>
      </c>
      <c r="P1088" s="158">
        <v>1</v>
      </c>
      <c r="X1088" s="35">
        <f t="shared" si="100"/>
        <v>45720</v>
      </c>
      <c r="Y1088" s="35">
        <f t="shared" si="101"/>
        <v>45748</v>
      </c>
    </row>
    <row r="1089" spans="1:25" ht="20.149999999999999" customHeight="1">
      <c r="A1089" s="10">
        <f>SUBTOTAL(103,$B$4:B1089)</f>
        <v>1086</v>
      </c>
      <c r="B1089" s="111">
        <v>45721</v>
      </c>
      <c r="C1089" s="114" t="s">
        <v>74</v>
      </c>
      <c r="D1089" s="3" t="str">
        <f>VLOOKUP(C1089,'Location Summary'!$C$4:$D$678,2,0)</f>
        <v>DB1+6</v>
      </c>
      <c r="E1089" s="267" t="s">
        <v>403</v>
      </c>
      <c r="F1089" s="268" t="s">
        <v>683</v>
      </c>
      <c r="P1089" s="158">
        <v>1</v>
      </c>
      <c r="X1089" s="35">
        <f t="shared" si="100"/>
        <v>45721</v>
      </c>
      <c r="Y1089" s="35">
        <f t="shared" si="101"/>
        <v>45749</v>
      </c>
    </row>
    <row r="1090" spans="1:25" ht="20.149999999999999" customHeight="1">
      <c r="A1090" s="10">
        <f>SUBTOTAL(103,$B$4:B1090)</f>
        <v>1087</v>
      </c>
      <c r="B1090" s="111">
        <v>45721</v>
      </c>
      <c r="C1090" s="114" t="s">
        <v>68</v>
      </c>
      <c r="D1090" s="3" t="str">
        <f>VLOOKUP(C1090,'Location Summary'!$C$4:$D$678,2,0)</f>
        <v>DA+9</v>
      </c>
      <c r="E1090" s="267" t="s">
        <v>403</v>
      </c>
      <c r="F1090" s="268" t="s">
        <v>683</v>
      </c>
      <c r="G1090" s="158">
        <v>1</v>
      </c>
      <c r="J1090" s="158">
        <v>1</v>
      </c>
      <c r="N1090" s="157">
        <v>1</v>
      </c>
      <c r="O1090" s="156">
        <v>0.5</v>
      </c>
      <c r="Q1090" s="157">
        <v>1</v>
      </c>
      <c r="R1090" s="156">
        <v>0.5</v>
      </c>
      <c r="X1090" s="35">
        <f t="shared" si="100"/>
        <v>45721</v>
      </c>
      <c r="Y1090" s="35">
        <f t="shared" si="101"/>
        <v>45749</v>
      </c>
    </row>
    <row r="1091" spans="1:25" ht="20.149999999999999" customHeight="1">
      <c r="A1091" s="10">
        <f>SUBTOTAL(103,$B$4:B1091)</f>
        <v>1088</v>
      </c>
      <c r="B1091" s="111">
        <v>45721</v>
      </c>
      <c r="C1091" s="114" t="s">
        <v>1240</v>
      </c>
      <c r="D1091" s="3" t="str">
        <f>VLOOKUP(C1091,'Location Summary'!$C$4:$D$678,2,0)</f>
        <v>DA+3</v>
      </c>
      <c r="E1091" s="267" t="s">
        <v>403</v>
      </c>
      <c r="F1091" s="268" t="s">
        <v>683</v>
      </c>
      <c r="H1091" s="157">
        <v>1</v>
      </c>
      <c r="I1091" s="156">
        <v>1</v>
      </c>
      <c r="J1091" s="158">
        <v>1</v>
      </c>
      <c r="N1091" s="157">
        <v>1</v>
      </c>
      <c r="O1091" s="156">
        <v>1</v>
      </c>
      <c r="Q1091" s="157">
        <v>1</v>
      </c>
      <c r="R1091" s="156">
        <v>1</v>
      </c>
      <c r="X1091" s="35">
        <f t="shared" si="100"/>
        <v>45721</v>
      </c>
      <c r="Y1091" s="35">
        <f t="shared" si="101"/>
        <v>45749</v>
      </c>
    </row>
    <row r="1092" spans="1:25" ht="20.149999999999999" customHeight="1">
      <c r="A1092" s="10">
        <f>SUBTOTAL(103,$B$4:B1092)</f>
        <v>1089</v>
      </c>
      <c r="B1092" s="111">
        <v>45721</v>
      </c>
      <c r="C1092" s="114" t="s">
        <v>59</v>
      </c>
      <c r="D1092" s="3" t="str">
        <f>VLOOKUP(C1092,'Location Summary'!$C$4:$D$678,2,0)</f>
        <v>DD60+35</v>
      </c>
      <c r="E1092" s="267" t="s">
        <v>403</v>
      </c>
      <c r="F1092" s="268" t="s">
        <v>683</v>
      </c>
      <c r="R1092" s="156">
        <v>1</v>
      </c>
      <c r="X1092" s="35">
        <f t="shared" si="100"/>
        <v>45721</v>
      </c>
      <c r="Y1092" s="35">
        <f t="shared" si="101"/>
        <v>45749</v>
      </c>
    </row>
    <row r="1093" spans="1:25" ht="20.149999999999999" customHeight="1">
      <c r="A1093" s="10">
        <f>SUBTOTAL(103,$B$4:B1093)</f>
        <v>1090</v>
      </c>
      <c r="B1093" s="111">
        <v>45721</v>
      </c>
      <c r="C1093" s="114" t="s">
        <v>167</v>
      </c>
      <c r="D1093" s="3" t="str">
        <f>VLOOKUP(C1093,'Location Summary'!$C$4:$D$678,2,0)</f>
        <v>DD60+25</v>
      </c>
      <c r="E1093" s="267" t="s">
        <v>403</v>
      </c>
      <c r="F1093" s="268" t="s">
        <v>683</v>
      </c>
      <c r="Q1093" s="157">
        <v>1</v>
      </c>
      <c r="X1093" s="35">
        <f t="shared" si="100"/>
        <v>45721</v>
      </c>
      <c r="Y1093" s="35">
        <f t="shared" si="101"/>
        <v>45749</v>
      </c>
    </row>
    <row r="1094" spans="1:25" ht="20.149999999999999" customHeight="1">
      <c r="A1094" s="10">
        <f>SUBTOTAL(103,$B$4:B1094)</f>
        <v>1091</v>
      </c>
      <c r="B1094" s="111">
        <v>45721</v>
      </c>
      <c r="C1094" s="114" t="s">
        <v>407</v>
      </c>
      <c r="D1094" s="3" t="str">
        <f>VLOOKUP(C1094,'Location Summary'!$C$4:$D$678,2,0)</f>
        <v>DA+0</v>
      </c>
      <c r="E1094" s="267" t="s">
        <v>403</v>
      </c>
      <c r="F1094" s="268" t="s">
        <v>683</v>
      </c>
      <c r="Q1094" s="157">
        <v>1</v>
      </c>
      <c r="R1094" s="156">
        <v>1</v>
      </c>
      <c r="X1094" s="35">
        <f t="shared" si="100"/>
        <v>45721</v>
      </c>
      <c r="Y1094" s="35">
        <f t="shared" si="101"/>
        <v>45749</v>
      </c>
    </row>
    <row r="1095" spans="1:25" ht="20.149999999999999" customHeight="1">
      <c r="A1095" s="10">
        <f>SUBTOTAL(103,$B$4:B1095)</f>
        <v>1092</v>
      </c>
      <c r="B1095" s="111">
        <v>45721</v>
      </c>
      <c r="C1095" s="114" t="s">
        <v>58</v>
      </c>
      <c r="D1095" s="3" t="str">
        <f>VLOOKUP(C1095,'Location Summary'!$C$4:$D$678,2,0)</f>
        <v>DD60+18</v>
      </c>
      <c r="E1095" s="267" t="s">
        <v>403</v>
      </c>
      <c r="F1095" s="268" t="s">
        <v>683</v>
      </c>
      <c r="G1095" s="158">
        <v>1</v>
      </c>
      <c r="P1095" s="158">
        <v>1</v>
      </c>
      <c r="X1095" s="35">
        <f t="shared" si="100"/>
        <v>45721</v>
      </c>
      <c r="Y1095" s="35">
        <f t="shared" si="101"/>
        <v>45749</v>
      </c>
    </row>
    <row r="1096" spans="1:25" ht="20.149999999999999" customHeight="1">
      <c r="A1096" s="10">
        <f>SUBTOTAL(103,$B$4:B1096)</f>
        <v>1093</v>
      </c>
      <c r="B1096" s="111">
        <v>45722</v>
      </c>
      <c r="C1096" s="114" t="s">
        <v>74</v>
      </c>
      <c r="D1096" s="3" t="str">
        <f>VLOOKUP(C1096,'Location Summary'!$C$4:$D$678,2,0)</f>
        <v>DB1+6</v>
      </c>
      <c r="E1096" s="267" t="s">
        <v>403</v>
      </c>
      <c r="F1096" s="268" t="s">
        <v>683</v>
      </c>
      <c r="Q1096" s="157">
        <v>1</v>
      </c>
      <c r="R1096" s="156">
        <v>1</v>
      </c>
      <c r="X1096" s="35">
        <f t="shared" si="100"/>
        <v>45722</v>
      </c>
      <c r="Y1096" s="35">
        <f t="shared" si="101"/>
        <v>45750</v>
      </c>
    </row>
    <row r="1097" spans="1:25" ht="20.149999999999999" customHeight="1">
      <c r="A1097" s="10">
        <f>SUBTOTAL(103,$B$4:B1097)</f>
        <v>1094</v>
      </c>
      <c r="B1097" s="111">
        <v>45722</v>
      </c>
      <c r="C1097" s="114" t="s">
        <v>68</v>
      </c>
      <c r="D1097" s="3" t="str">
        <f>VLOOKUP(C1097,'Location Summary'!$C$4:$D$678,2,0)</f>
        <v>DA+9</v>
      </c>
      <c r="E1097" s="267" t="s">
        <v>403</v>
      </c>
      <c r="F1097" s="268" t="s">
        <v>683</v>
      </c>
      <c r="H1097" s="157">
        <v>1</v>
      </c>
      <c r="I1097" s="156">
        <v>0.5</v>
      </c>
      <c r="K1097" s="157">
        <v>1</v>
      </c>
      <c r="L1097" s="156">
        <v>0.5</v>
      </c>
      <c r="X1097" s="35">
        <f t="shared" si="100"/>
        <v>45722</v>
      </c>
      <c r="Y1097" s="35">
        <f t="shared" si="101"/>
        <v>45750</v>
      </c>
    </row>
    <row r="1098" spans="1:25" ht="20.149999999999999" customHeight="1">
      <c r="A1098" s="10">
        <f>SUBTOTAL(103,$B$4:B1098)</f>
        <v>1095</v>
      </c>
      <c r="B1098" s="111">
        <v>45722</v>
      </c>
      <c r="C1098" s="114" t="s">
        <v>1240</v>
      </c>
      <c r="D1098" s="3" t="str">
        <f>VLOOKUP(C1098,'Location Summary'!$C$4:$D$678,2,0)</f>
        <v>DA+3</v>
      </c>
      <c r="E1098" s="267" t="s">
        <v>403</v>
      </c>
      <c r="F1098" s="268" t="s">
        <v>683</v>
      </c>
      <c r="K1098" s="157">
        <v>1</v>
      </c>
      <c r="L1098" s="156">
        <v>1</v>
      </c>
      <c r="X1098" s="35">
        <f t="shared" si="100"/>
        <v>45722</v>
      </c>
      <c r="Y1098" s="35">
        <f t="shared" si="101"/>
        <v>45750</v>
      </c>
    </row>
    <row r="1099" spans="1:25" ht="20.149999999999999" customHeight="1">
      <c r="A1099" s="10">
        <f>SUBTOTAL(103,$B$4:B1099)</f>
        <v>1096</v>
      </c>
      <c r="B1099" s="111">
        <v>45722</v>
      </c>
      <c r="C1099" s="114" t="s">
        <v>167</v>
      </c>
      <c r="D1099" s="3" t="str">
        <f>VLOOKUP(C1099,'Location Summary'!$C$4:$D$678,2,0)</f>
        <v>DD60+25</v>
      </c>
      <c r="E1099" s="267" t="s">
        <v>403</v>
      </c>
      <c r="F1099" s="268" t="s">
        <v>683</v>
      </c>
      <c r="R1099" s="156">
        <v>1</v>
      </c>
      <c r="X1099" s="35">
        <f t="shared" si="100"/>
        <v>45722</v>
      </c>
      <c r="Y1099" s="35">
        <f t="shared" si="101"/>
        <v>45750</v>
      </c>
    </row>
    <row r="1100" spans="1:25" ht="21" customHeight="1">
      <c r="A1100" s="10">
        <f>SUBTOTAL(103,$B$4:B1100)</f>
        <v>1097</v>
      </c>
      <c r="B1100" s="111">
        <v>45722</v>
      </c>
      <c r="C1100" s="114" t="s">
        <v>58</v>
      </c>
      <c r="D1100" s="3" t="str">
        <f>VLOOKUP(C1100,'Location Summary'!$C$4:$D$678,2,0)</f>
        <v>DD60+18</v>
      </c>
      <c r="E1100" s="267" t="s">
        <v>403</v>
      </c>
      <c r="F1100" s="268" t="s">
        <v>683</v>
      </c>
      <c r="H1100" s="157">
        <v>1</v>
      </c>
      <c r="I1100" s="156">
        <v>1</v>
      </c>
      <c r="Q1100" s="157">
        <v>1</v>
      </c>
      <c r="X1100" s="35">
        <f t="shared" si="100"/>
        <v>45722</v>
      </c>
      <c r="Y1100" s="35">
        <f t="shared" si="101"/>
        <v>45750</v>
      </c>
    </row>
    <row r="1101" spans="1:25" ht="21" customHeight="1">
      <c r="A1101" s="10">
        <f>SUBTOTAL(103,$B$4:B1101)</f>
        <v>1098</v>
      </c>
      <c r="B1101" s="111">
        <v>45723</v>
      </c>
      <c r="C1101" s="114" t="s">
        <v>74</v>
      </c>
      <c r="D1101" s="3" t="str">
        <f>VLOOKUP(C1101,'Location Summary'!$C$4:$D$678,2,0)</f>
        <v>DB1+6</v>
      </c>
      <c r="E1101" s="267" t="s">
        <v>403</v>
      </c>
      <c r="F1101" s="268" t="s">
        <v>683</v>
      </c>
      <c r="M1101" s="158">
        <v>1</v>
      </c>
      <c r="X1101" s="35">
        <f t="shared" si="100"/>
        <v>45723</v>
      </c>
      <c r="Y1101" s="35">
        <f t="shared" si="101"/>
        <v>45751</v>
      </c>
    </row>
    <row r="1102" spans="1:25" ht="21" customHeight="1">
      <c r="A1102" s="10">
        <f>SUBTOTAL(103,$B$4:B1102)</f>
        <v>1099</v>
      </c>
      <c r="B1102" s="111">
        <v>45723</v>
      </c>
      <c r="C1102" s="114" t="s">
        <v>1241</v>
      </c>
      <c r="D1102" s="3" t="str">
        <f>VLOOKUP(C1102,'Location Summary'!$C$4:$D$678,2,0)</f>
        <v>DA+3</v>
      </c>
      <c r="E1102" s="267" t="s">
        <v>403</v>
      </c>
      <c r="F1102" s="268" t="s">
        <v>683</v>
      </c>
      <c r="G1102" s="158">
        <v>1</v>
      </c>
      <c r="J1102" s="158">
        <v>1</v>
      </c>
      <c r="X1102" s="35">
        <f t="shared" si="100"/>
        <v>45723</v>
      </c>
      <c r="Y1102" s="35">
        <f t="shared" si="101"/>
        <v>45751</v>
      </c>
    </row>
    <row r="1103" spans="1:25" ht="21" customHeight="1">
      <c r="A1103" s="10">
        <f>SUBTOTAL(103,$B$4:B1103)</f>
        <v>1100</v>
      </c>
      <c r="B1103" s="111">
        <v>45723</v>
      </c>
      <c r="C1103" s="114" t="s">
        <v>58</v>
      </c>
      <c r="D1103" s="3" t="str">
        <f>VLOOKUP(C1103,'Location Summary'!$C$4:$D$678,2,0)</f>
        <v>DD60+18</v>
      </c>
      <c r="E1103" s="267" t="s">
        <v>403</v>
      </c>
      <c r="F1103" s="268" t="s">
        <v>683</v>
      </c>
      <c r="J1103" s="158">
        <v>1</v>
      </c>
      <c r="M1103" s="158">
        <v>1</v>
      </c>
      <c r="R1103" s="156">
        <v>1</v>
      </c>
      <c r="X1103" s="35">
        <f t="shared" si="100"/>
        <v>45723</v>
      </c>
      <c r="Y1103" s="35">
        <f t="shared" si="101"/>
        <v>45751</v>
      </c>
    </row>
    <row r="1104" spans="1:25" ht="21" customHeight="1">
      <c r="A1104" s="10">
        <f>SUBTOTAL(103,$B$4:B1104)</f>
        <v>1101</v>
      </c>
      <c r="B1104" s="111">
        <v>45724</v>
      </c>
      <c r="C1104" s="114" t="s">
        <v>74</v>
      </c>
      <c r="D1104" s="3" t="str">
        <f>VLOOKUP(C1104,'Location Summary'!$C$4:$D$678,2,0)</f>
        <v>DB1+6</v>
      </c>
      <c r="E1104" s="267" t="s">
        <v>403</v>
      </c>
      <c r="F1104" s="268" t="s">
        <v>683</v>
      </c>
      <c r="N1104" s="157">
        <v>1</v>
      </c>
      <c r="O1104" s="156">
        <v>1</v>
      </c>
      <c r="X1104" s="35">
        <f t="shared" si="100"/>
        <v>45724</v>
      </c>
      <c r="Y1104" s="35">
        <f t="shared" si="101"/>
        <v>45752</v>
      </c>
    </row>
    <row r="1105" spans="1:25" ht="21" customHeight="1">
      <c r="A1105" s="10">
        <f>SUBTOTAL(103,$B$4:B1105)</f>
        <v>1102</v>
      </c>
      <c r="B1105" s="111">
        <v>45724</v>
      </c>
      <c r="C1105" s="114" t="s">
        <v>876</v>
      </c>
      <c r="D1105" s="3" t="str">
        <f>VLOOKUP(C1105,'Location Summary'!$C$4:$D$678,2,0)</f>
        <v>DA+9</v>
      </c>
      <c r="E1105" s="267" t="s">
        <v>403</v>
      </c>
      <c r="F1105" s="268" t="s">
        <v>311</v>
      </c>
      <c r="G1105" s="158">
        <v>1</v>
      </c>
      <c r="P1105" s="158">
        <v>1</v>
      </c>
      <c r="X1105" s="35">
        <f t="shared" si="100"/>
        <v>45724</v>
      </c>
      <c r="Y1105" s="35">
        <f t="shared" si="101"/>
        <v>45752</v>
      </c>
    </row>
    <row r="1106" spans="1:25" ht="21" customHeight="1">
      <c r="A1106" s="10">
        <f>SUBTOTAL(103,$B$4:B1106)</f>
        <v>1103</v>
      </c>
      <c r="B1106" s="111">
        <v>45724</v>
      </c>
      <c r="C1106" s="114" t="s">
        <v>1241</v>
      </c>
      <c r="D1106" s="3" t="str">
        <f>VLOOKUP(C1106,'Location Summary'!$C$4:$D$678,2,0)</f>
        <v>DA+3</v>
      </c>
      <c r="E1106" s="267" t="s">
        <v>403</v>
      </c>
      <c r="F1106" s="268" t="s">
        <v>683</v>
      </c>
      <c r="K1106" s="157">
        <v>1</v>
      </c>
      <c r="L1106" s="156">
        <v>1</v>
      </c>
      <c r="P1106" s="158">
        <v>1</v>
      </c>
      <c r="X1106" s="35">
        <f t="shared" si="100"/>
        <v>45724</v>
      </c>
      <c r="Y1106" s="35">
        <f t="shared" si="101"/>
        <v>45752</v>
      </c>
    </row>
    <row r="1107" spans="1:25" ht="21" customHeight="1">
      <c r="A1107" s="10">
        <f>SUBTOTAL(103,$B$4:B1107)</f>
        <v>1104</v>
      </c>
      <c r="B1107" s="111">
        <v>45724</v>
      </c>
      <c r="C1107" s="114" t="s">
        <v>58</v>
      </c>
      <c r="D1107" s="3" t="str">
        <f>VLOOKUP(C1107,'Location Summary'!$C$4:$D$678,2,0)</f>
        <v>DD60+18</v>
      </c>
      <c r="E1107" s="267" t="s">
        <v>403</v>
      </c>
      <c r="F1107" s="268" t="s">
        <v>683</v>
      </c>
      <c r="K1107" s="157">
        <v>1</v>
      </c>
      <c r="L1107" s="156">
        <v>1</v>
      </c>
      <c r="N1107" s="157">
        <v>1</v>
      </c>
      <c r="O1107" s="156">
        <v>1</v>
      </c>
      <c r="X1107" s="35">
        <f t="shared" si="100"/>
        <v>45724</v>
      </c>
      <c r="Y1107" s="35">
        <f t="shared" si="101"/>
        <v>45752</v>
      </c>
    </row>
    <row r="1108" spans="1:25" ht="21" customHeight="1">
      <c r="A1108" s="10">
        <f>SUBTOTAL(103,$B$4:B1108)</f>
        <v>1105</v>
      </c>
      <c r="B1108" s="111">
        <v>45725</v>
      </c>
      <c r="C1108" s="114" t="s">
        <v>876</v>
      </c>
      <c r="D1108" s="3" t="str">
        <f>VLOOKUP(C1108,'Location Summary'!$C$4:$D$678,2,0)</f>
        <v>DA+9</v>
      </c>
      <c r="E1108" s="267" t="s">
        <v>403</v>
      </c>
      <c r="F1108" s="268" t="s">
        <v>311</v>
      </c>
      <c r="H1108" s="157">
        <v>1</v>
      </c>
      <c r="I1108" s="156">
        <v>0.5</v>
      </c>
      <c r="J1108" s="158">
        <v>1</v>
      </c>
      <c r="M1108" s="158">
        <v>1</v>
      </c>
      <c r="Q1108" s="157">
        <v>1</v>
      </c>
      <c r="R1108" s="156">
        <v>0.5</v>
      </c>
      <c r="X1108" s="35">
        <f t="shared" si="100"/>
        <v>45725</v>
      </c>
      <c r="Y1108" s="35">
        <f t="shared" si="101"/>
        <v>45753</v>
      </c>
    </row>
    <row r="1109" spans="1:25" ht="21" customHeight="1">
      <c r="A1109" s="10">
        <f>SUBTOTAL(103,$B$4:B1109)</f>
        <v>1106</v>
      </c>
      <c r="B1109" s="111">
        <v>45725</v>
      </c>
      <c r="C1109" s="114" t="s">
        <v>1241</v>
      </c>
      <c r="D1109" s="3" t="str">
        <f>VLOOKUP(C1109,'Location Summary'!$C$4:$D$678,2,0)</f>
        <v>DA+3</v>
      </c>
      <c r="E1109" s="267" t="s">
        <v>403</v>
      </c>
      <c r="F1109" s="268" t="s">
        <v>683</v>
      </c>
      <c r="H1109" s="157">
        <v>1</v>
      </c>
      <c r="I1109" s="156">
        <v>1</v>
      </c>
      <c r="Q1109" s="157">
        <v>1</v>
      </c>
      <c r="R1109" s="156">
        <v>1</v>
      </c>
      <c r="X1109" s="35">
        <f t="shared" si="100"/>
        <v>45725</v>
      </c>
      <c r="Y1109" s="35">
        <f t="shared" si="101"/>
        <v>45753</v>
      </c>
    </row>
    <row r="1110" spans="1:25" ht="21" customHeight="1">
      <c r="A1110" s="10">
        <f>SUBTOTAL(103,$B$4:B1110)</f>
        <v>1107</v>
      </c>
      <c r="B1110" s="111">
        <v>45725</v>
      </c>
      <c r="C1110" s="114" t="s">
        <v>257</v>
      </c>
      <c r="D1110" s="3" t="str">
        <f>VLOOKUP(C1110,'Location Summary'!$C$4:$D$678,2,0)</f>
        <v>DB1+6</v>
      </c>
      <c r="E1110" s="267" t="s">
        <v>403</v>
      </c>
      <c r="F1110" s="268" t="s">
        <v>683</v>
      </c>
      <c r="G1110" s="158">
        <v>1</v>
      </c>
      <c r="X1110" s="35">
        <f t="shared" si="100"/>
        <v>45725</v>
      </c>
      <c r="Y1110" s="35">
        <f t="shared" si="101"/>
        <v>45753</v>
      </c>
    </row>
    <row r="1111" spans="1:25" ht="21" customHeight="1">
      <c r="A1111" s="10">
        <f>SUBTOTAL(103,$B$4:B1111)</f>
        <v>1108</v>
      </c>
      <c r="B1111" s="111">
        <v>45726</v>
      </c>
      <c r="C1111" s="114" t="s">
        <v>876</v>
      </c>
      <c r="D1111" s="3" t="str">
        <f>VLOOKUP(C1111,'Location Summary'!$C$4:$D$678,2,0)</f>
        <v>DA+9</v>
      </c>
      <c r="E1111" s="267" t="s">
        <v>403</v>
      </c>
      <c r="F1111" s="268" t="s">
        <v>311</v>
      </c>
      <c r="K1111" s="157">
        <v>1</v>
      </c>
      <c r="L1111" s="156">
        <v>0.5</v>
      </c>
      <c r="N1111" s="157">
        <v>1</v>
      </c>
      <c r="O1111" s="156">
        <v>0.5</v>
      </c>
      <c r="X1111" s="35">
        <f t="shared" si="100"/>
        <v>45726</v>
      </c>
      <c r="Y1111" s="35">
        <f t="shared" si="101"/>
        <v>45754</v>
      </c>
    </row>
    <row r="1112" spans="1:25" ht="21" customHeight="1">
      <c r="A1112" s="10">
        <f>SUBTOTAL(103,$B$4:B1112)</f>
        <v>1109</v>
      </c>
      <c r="B1112" s="111">
        <v>45726</v>
      </c>
      <c r="C1112" s="114" t="s">
        <v>257</v>
      </c>
      <c r="D1112" s="3" t="str">
        <f>VLOOKUP(C1112,'Location Summary'!$C$4:$D$678,2,0)</f>
        <v>DB1+6</v>
      </c>
      <c r="E1112" s="267" t="s">
        <v>403</v>
      </c>
      <c r="F1112" s="268" t="s">
        <v>683</v>
      </c>
      <c r="H1112" s="157">
        <v>1</v>
      </c>
      <c r="M1112" s="158">
        <v>1</v>
      </c>
      <c r="X1112" s="35">
        <f t="shared" si="100"/>
        <v>45726</v>
      </c>
      <c r="Y1112" s="35">
        <f t="shared" si="101"/>
        <v>45754</v>
      </c>
    </row>
    <row r="1113" spans="1:25" ht="21" customHeight="1">
      <c r="A1113" s="10">
        <f>SUBTOTAL(103,$B$4:B1113)</f>
        <v>1110</v>
      </c>
      <c r="B1113" s="111">
        <v>45727</v>
      </c>
      <c r="C1113" s="114" t="s">
        <v>875</v>
      </c>
      <c r="D1113" s="3" t="str">
        <f>VLOOKUP(C1113,'Location Summary'!$C$4:$D$678,2,0)</f>
        <v>DA+9</v>
      </c>
      <c r="E1113" s="267" t="s">
        <v>403</v>
      </c>
      <c r="F1113" s="268" t="s">
        <v>683</v>
      </c>
      <c r="M1113" s="158">
        <v>1</v>
      </c>
      <c r="P1113" s="158">
        <v>1</v>
      </c>
      <c r="X1113" s="35">
        <f t="shared" si="100"/>
        <v>45727</v>
      </c>
      <c r="Y1113" s="35">
        <f t="shared" si="101"/>
        <v>45755</v>
      </c>
    </row>
    <row r="1114" spans="1:25" ht="21" customHeight="1">
      <c r="A1114" s="10">
        <f>SUBTOTAL(103,$B$4:B1114)</f>
        <v>1111</v>
      </c>
      <c r="B1114" s="111">
        <v>45727</v>
      </c>
      <c r="C1114" s="114" t="s">
        <v>257</v>
      </c>
      <c r="D1114" s="3" t="str">
        <f>VLOOKUP(C1114,'Location Summary'!$C$4:$D$678,2,0)</f>
        <v>DB1+6</v>
      </c>
      <c r="E1114" s="267" t="s">
        <v>403</v>
      </c>
      <c r="F1114" s="268" t="s">
        <v>683</v>
      </c>
      <c r="I1114" s="156">
        <v>1</v>
      </c>
      <c r="N1114" s="157">
        <v>1</v>
      </c>
      <c r="X1114" s="35">
        <f t="shared" si="100"/>
        <v>45727</v>
      </c>
      <c r="Y1114" s="35">
        <f t="shared" si="101"/>
        <v>45755</v>
      </c>
    </row>
    <row r="1115" spans="1:25" ht="21" customHeight="1">
      <c r="A1115" s="10">
        <f>SUBTOTAL(103,$B$4:B1115)</f>
        <v>1112</v>
      </c>
      <c r="B1115" s="111">
        <v>45727</v>
      </c>
      <c r="C1115" s="114" t="s">
        <v>1242</v>
      </c>
      <c r="D1115" s="3" t="str">
        <f>VLOOKUP(C1115,'Location Summary'!$C$4:$D$678,2,0)</f>
        <v>DA+0</v>
      </c>
      <c r="E1115" s="267" t="s">
        <v>403</v>
      </c>
      <c r="F1115" s="268" t="s">
        <v>683</v>
      </c>
      <c r="G1115" s="158">
        <v>1</v>
      </c>
      <c r="J1115" s="158">
        <v>1</v>
      </c>
      <c r="M1115" s="158">
        <v>1</v>
      </c>
      <c r="P1115" s="158">
        <v>1</v>
      </c>
      <c r="X1115" s="35">
        <f t="shared" si="100"/>
        <v>45727</v>
      </c>
      <c r="Y1115" s="35">
        <f t="shared" si="101"/>
        <v>45755</v>
      </c>
    </row>
    <row r="1116" spans="1:25" ht="21" customHeight="1">
      <c r="A1116" s="10">
        <f>SUBTOTAL(103,$B$4:B1116)</f>
        <v>1113</v>
      </c>
      <c r="B1116" s="111">
        <v>45728</v>
      </c>
      <c r="C1116" s="114" t="s">
        <v>875</v>
      </c>
      <c r="D1116" s="3" t="str">
        <f>VLOOKUP(C1116,'Location Summary'!$C$4:$D$678,2,0)</f>
        <v>DA+9</v>
      </c>
      <c r="E1116" s="267" t="s">
        <v>403</v>
      </c>
      <c r="F1116" s="268" t="s">
        <v>683</v>
      </c>
      <c r="J1116" s="158">
        <v>1</v>
      </c>
      <c r="N1116" s="157">
        <v>1</v>
      </c>
      <c r="O1116" s="156">
        <v>0.5</v>
      </c>
      <c r="Q1116" s="157">
        <v>1</v>
      </c>
      <c r="R1116" s="156">
        <v>0.5</v>
      </c>
      <c r="X1116" s="35">
        <f t="shared" si="100"/>
        <v>45728</v>
      </c>
      <c r="Y1116" s="35">
        <f t="shared" si="101"/>
        <v>45756</v>
      </c>
    </row>
    <row r="1117" spans="1:25" ht="21" customHeight="1">
      <c r="A1117" s="10">
        <f>SUBTOTAL(103,$B$4:B1117)</f>
        <v>1114</v>
      </c>
      <c r="B1117" s="111">
        <v>45728</v>
      </c>
      <c r="C1117" s="114" t="s">
        <v>1241</v>
      </c>
      <c r="D1117" s="3" t="str">
        <f>VLOOKUP(C1117,'Location Summary'!$C$4:$D$678,2,0)</f>
        <v>DA+3</v>
      </c>
      <c r="E1117" s="267" t="s">
        <v>403</v>
      </c>
      <c r="F1117" s="268" t="s">
        <v>683</v>
      </c>
      <c r="M1117" s="158">
        <v>1</v>
      </c>
      <c r="X1117" s="35">
        <f t="shared" si="100"/>
        <v>45728</v>
      </c>
      <c r="Y1117" s="35">
        <f t="shared" si="101"/>
        <v>45756</v>
      </c>
    </row>
    <row r="1118" spans="1:25" ht="21" customHeight="1">
      <c r="A1118" s="10">
        <f>SUBTOTAL(103,$B$4:B1118)</f>
        <v>1115</v>
      </c>
      <c r="B1118" s="111">
        <v>45728</v>
      </c>
      <c r="C1118" s="114" t="s">
        <v>257</v>
      </c>
      <c r="D1118" s="3" t="str">
        <f>VLOOKUP(C1118,'Location Summary'!$C$4:$D$678,2,0)</f>
        <v>DB1+6</v>
      </c>
      <c r="E1118" s="267" t="s">
        <v>403</v>
      </c>
      <c r="F1118" s="268" t="s">
        <v>683</v>
      </c>
      <c r="O1118" s="156">
        <v>1</v>
      </c>
      <c r="P1118" s="158">
        <v>1</v>
      </c>
      <c r="X1118" s="35">
        <f t="shared" si="100"/>
        <v>45728</v>
      </c>
      <c r="Y1118" s="35">
        <f t="shared" si="101"/>
        <v>45756</v>
      </c>
    </row>
    <row r="1119" spans="1:25" ht="21" customHeight="1">
      <c r="A1119" s="10">
        <f>SUBTOTAL(103,$B$4:B1119)</f>
        <v>1116</v>
      </c>
      <c r="B1119" s="111">
        <v>45728</v>
      </c>
      <c r="C1119" s="114" t="s">
        <v>1242</v>
      </c>
      <c r="D1119" s="3" t="str">
        <f>VLOOKUP(C1119,'Location Summary'!$C$4:$D$678,2,0)</f>
        <v>DA+0</v>
      </c>
      <c r="E1119" s="267" t="s">
        <v>403</v>
      </c>
      <c r="F1119" s="268" t="s">
        <v>683</v>
      </c>
      <c r="H1119" s="157">
        <v>1</v>
      </c>
      <c r="I1119" s="156">
        <v>1</v>
      </c>
      <c r="K1119" s="157">
        <v>1</v>
      </c>
      <c r="L1119" s="156">
        <v>1</v>
      </c>
      <c r="N1119" s="157">
        <v>1</v>
      </c>
      <c r="O1119" s="156">
        <v>1</v>
      </c>
      <c r="Q1119" s="157">
        <v>1</v>
      </c>
      <c r="R1119" s="156">
        <v>1</v>
      </c>
      <c r="X1119" s="35">
        <f t="shared" si="100"/>
        <v>45728</v>
      </c>
      <c r="Y1119" s="35">
        <f t="shared" si="101"/>
        <v>45756</v>
      </c>
    </row>
    <row r="1120" spans="1:25" ht="21" customHeight="1">
      <c r="A1120" s="10">
        <f>SUBTOTAL(103,$B$4:B1120)</f>
        <v>1117</v>
      </c>
      <c r="B1120" s="111">
        <v>45729</v>
      </c>
      <c r="C1120" s="114" t="s">
        <v>875</v>
      </c>
      <c r="D1120" s="3" t="str">
        <f>VLOOKUP(C1120,'Location Summary'!$C$4:$D$678,2,0)</f>
        <v>DA+9</v>
      </c>
      <c r="E1120" s="267" t="s">
        <v>403</v>
      </c>
      <c r="F1120" s="268" t="s">
        <v>683</v>
      </c>
      <c r="G1120" s="158">
        <v>1</v>
      </c>
      <c r="H1120" s="157">
        <v>1</v>
      </c>
      <c r="I1120" s="156">
        <v>0.5</v>
      </c>
      <c r="X1120" s="35">
        <f t="shared" si="100"/>
        <v>45729</v>
      </c>
      <c r="Y1120" s="35">
        <f t="shared" si="101"/>
        <v>45757</v>
      </c>
    </row>
    <row r="1121" spans="1:25" ht="21" customHeight="1">
      <c r="A1121" s="10">
        <f>SUBTOTAL(103,$B$4:B1121)</f>
        <v>1118</v>
      </c>
      <c r="B1121" s="111">
        <v>45729</v>
      </c>
      <c r="C1121" s="114" t="s">
        <v>1241</v>
      </c>
      <c r="D1121" s="3" t="str">
        <f>VLOOKUP(C1121,'Location Summary'!$C$4:$D$678,2,0)</f>
        <v>DA+3</v>
      </c>
      <c r="E1121" s="267" t="s">
        <v>403</v>
      </c>
      <c r="F1121" s="268" t="s">
        <v>683</v>
      </c>
      <c r="N1121" s="157">
        <v>1</v>
      </c>
      <c r="O1121" s="156">
        <v>1</v>
      </c>
      <c r="X1121" s="35">
        <f t="shared" si="100"/>
        <v>45729</v>
      </c>
      <c r="Y1121" s="35">
        <f t="shared" si="101"/>
        <v>45757</v>
      </c>
    </row>
    <row r="1122" spans="1:25" ht="21" customHeight="1">
      <c r="A1122" s="10">
        <f>SUBTOTAL(103,$B$4:B1122)</f>
        <v>1119</v>
      </c>
      <c r="B1122" s="111">
        <v>45729</v>
      </c>
      <c r="C1122" s="114" t="s">
        <v>257</v>
      </c>
      <c r="D1122" s="3" t="str">
        <f>VLOOKUP(C1122,'Location Summary'!$C$4:$D$678,2,0)</f>
        <v>DB1+6</v>
      </c>
      <c r="E1122" s="267" t="s">
        <v>403</v>
      </c>
      <c r="F1122" s="268" t="s">
        <v>683</v>
      </c>
      <c r="J1122" s="158">
        <v>1</v>
      </c>
      <c r="X1122" s="35">
        <f t="shared" si="100"/>
        <v>45729</v>
      </c>
      <c r="Y1122" s="35">
        <f t="shared" si="101"/>
        <v>45757</v>
      </c>
    </row>
    <row r="1123" spans="1:25" ht="21" customHeight="1">
      <c r="A1123" s="10">
        <f>SUBTOTAL(103,$B$4:B1123)</f>
        <v>1120</v>
      </c>
      <c r="B1123" s="111">
        <v>45731</v>
      </c>
      <c r="C1123" s="114" t="s">
        <v>875</v>
      </c>
      <c r="D1123" s="3" t="str">
        <f>VLOOKUP(C1123,'Location Summary'!$C$4:$D$678,2,0)</f>
        <v>DA+9</v>
      </c>
      <c r="E1123" s="267" t="s">
        <v>403</v>
      </c>
      <c r="F1123" s="268" t="s">
        <v>683</v>
      </c>
      <c r="K1123" s="157">
        <v>1</v>
      </c>
      <c r="L1123" s="156">
        <v>0.5</v>
      </c>
      <c r="X1123" s="35">
        <f t="shared" si="100"/>
        <v>45731</v>
      </c>
      <c r="Y1123" s="35">
        <f t="shared" si="101"/>
        <v>45759</v>
      </c>
    </row>
    <row r="1124" spans="1:25" ht="21" customHeight="1">
      <c r="A1124" s="10">
        <f>SUBTOTAL(103,$B$4:B1124)</f>
        <v>1121</v>
      </c>
      <c r="B1124" s="111">
        <v>45731</v>
      </c>
      <c r="C1124" s="114" t="s">
        <v>257</v>
      </c>
      <c r="D1124" s="3" t="str">
        <f>VLOOKUP(C1124,'Location Summary'!$C$4:$D$678,2,0)</f>
        <v>DB1+6</v>
      </c>
      <c r="E1124" s="267" t="s">
        <v>403</v>
      </c>
      <c r="F1124" s="268" t="s">
        <v>683</v>
      </c>
      <c r="K1124" s="157">
        <v>1</v>
      </c>
      <c r="Q1124" s="157">
        <v>1</v>
      </c>
      <c r="R1124" s="156">
        <v>1</v>
      </c>
      <c r="X1124" s="35">
        <f t="shared" si="100"/>
        <v>45731</v>
      </c>
      <c r="Y1124" s="35">
        <f t="shared" si="101"/>
        <v>45759</v>
      </c>
    </row>
    <row r="1125" spans="1:25" ht="21" customHeight="1">
      <c r="A1125" s="10">
        <f>SUBTOTAL(103,$B$4:B1125)</f>
        <v>1122</v>
      </c>
      <c r="B1125" s="111">
        <v>45732</v>
      </c>
      <c r="C1125" s="114" t="s">
        <v>1243</v>
      </c>
      <c r="D1125" s="3" t="str">
        <f>VLOOKUP(C1125,'Location Summary'!$C$4:$D$678,2,0)</f>
        <v>DA+0</v>
      </c>
      <c r="E1125" s="267" t="s">
        <v>403</v>
      </c>
      <c r="F1125" s="268" t="s">
        <v>683</v>
      </c>
      <c r="G1125" s="158">
        <v>1</v>
      </c>
      <c r="J1125" s="158">
        <v>1</v>
      </c>
      <c r="M1125" s="158">
        <v>1</v>
      </c>
      <c r="P1125" s="158">
        <v>1</v>
      </c>
      <c r="X1125" s="35">
        <f t="shared" si="100"/>
        <v>45732</v>
      </c>
      <c r="Y1125" s="35">
        <f t="shared" si="101"/>
        <v>45760</v>
      </c>
    </row>
    <row r="1126" spans="1:25" ht="21" customHeight="1">
      <c r="A1126" s="10">
        <f>SUBTOTAL(103,$B$4:B1126)</f>
        <v>1123</v>
      </c>
      <c r="B1126" s="111">
        <v>45732</v>
      </c>
      <c r="C1126" s="114" t="s">
        <v>257</v>
      </c>
      <c r="D1126" s="3" t="str">
        <f>VLOOKUP(C1126,'Location Summary'!$C$4:$D$678,2,0)</f>
        <v>DB1+6</v>
      </c>
      <c r="E1126" s="267" t="s">
        <v>403</v>
      </c>
      <c r="F1126" s="268" t="s">
        <v>683</v>
      </c>
      <c r="L1126" s="156">
        <v>1</v>
      </c>
      <c r="X1126" s="35">
        <f t="shared" si="100"/>
        <v>45732</v>
      </c>
      <c r="Y1126" s="35">
        <f t="shared" si="101"/>
        <v>45760</v>
      </c>
    </row>
    <row r="1127" spans="1:25" ht="21" customHeight="1">
      <c r="A1127" s="10">
        <f>SUBTOTAL(103,$B$4:B1127)</f>
        <v>1124</v>
      </c>
      <c r="B1127" s="111">
        <v>45733</v>
      </c>
      <c r="C1127" s="114" t="s">
        <v>1243</v>
      </c>
      <c r="D1127" s="3" t="str">
        <f>VLOOKUP(C1127,'Location Summary'!$C$4:$D$678,2,0)</f>
        <v>DA+0</v>
      </c>
      <c r="E1127" s="267" t="s">
        <v>403</v>
      </c>
      <c r="F1127" s="268" t="s">
        <v>683</v>
      </c>
      <c r="H1127" s="157">
        <v>1</v>
      </c>
      <c r="I1127" s="156">
        <v>1</v>
      </c>
      <c r="K1127" s="157">
        <v>1</v>
      </c>
      <c r="L1127" s="156">
        <v>1</v>
      </c>
      <c r="N1127" s="157">
        <v>1</v>
      </c>
      <c r="O1127" s="156">
        <v>1</v>
      </c>
      <c r="Q1127" s="157">
        <v>1</v>
      </c>
      <c r="R1127" s="156">
        <v>1</v>
      </c>
      <c r="X1127" s="35">
        <f t="shared" si="100"/>
        <v>45733</v>
      </c>
      <c r="Y1127" s="35">
        <f t="shared" si="101"/>
        <v>45761</v>
      </c>
    </row>
    <row r="1128" spans="1:25" ht="21" customHeight="1">
      <c r="A1128" s="10">
        <f>SUBTOTAL(103,$B$4:B1128)</f>
        <v>1125</v>
      </c>
      <c r="B1128" s="111">
        <v>45733</v>
      </c>
      <c r="C1128" s="114" t="s">
        <v>457</v>
      </c>
      <c r="D1128" s="3" t="str">
        <f>VLOOKUP(C1128,'Location Summary'!$C$4:$D$678,2,0)</f>
        <v>DA+6</v>
      </c>
      <c r="E1128" s="267" t="s">
        <v>403</v>
      </c>
      <c r="F1128" s="268" t="s">
        <v>683</v>
      </c>
      <c r="J1128" s="158">
        <v>1</v>
      </c>
      <c r="M1128" s="158">
        <v>1</v>
      </c>
      <c r="X1128" s="35">
        <f t="shared" si="100"/>
        <v>45733</v>
      </c>
      <c r="Y1128" s="35">
        <f t="shared" si="101"/>
        <v>45761</v>
      </c>
    </row>
    <row r="1129" spans="1:25" ht="21" customHeight="1">
      <c r="A1129" s="10">
        <f>SUBTOTAL(103,$B$4:B1129)</f>
        <v>1126</v>
      </c>
      <c r="B1129" s="111">
        <v>45734</v>
      </c>
      <c r="C1129" s="114" t="s">
        <v>457</v>
      </c>
      <c r="D1129" s="3" t="str">
        <f>VLOOKUP(C1129,'Location Summary'!$C$4:$D$678,2,0)</f>
        <v>DA+6</v>
      </c>
      <c r="E1129" s="267" t="s">
        <v>403</v>
      </c>
      <c r="F1129" s="268" t="s">
        <v>683</v>
      </c>
      <c r="K1129" s="157">
        <v>1</v>
      </c>
      <c r="L1129" s="156">
        <v>1</v>
      </c>
      <c r="N1129" s="157">
        <v>1</v>
      </c>
      <c r="O1129" s="156">
        <v>1</v>
      </c>
      <c r="X1129" s="35">
        <f t="shared" si="100"/>
        <v>45734</v>
      </c>
      <c r="Y1129" s="35">
        <f t="shared" si="101"/>
        <v>45762</v>
      </c>
    </row>
    <row r="1130" spans="1:25" ht="21" customHeight="1">
      <c r="A1130" s="10">
        <f>SUBTOTAL(103,$B$4:B1130)</f>
        <v>1127</v>
      </c>
      <c r="B1130" s="111">
        <v>45735</v>
      </c>
      <c r="C1130" s="114" t="s">
        <v>457</v>
      </c>
      <c r="D1130" s="3" t="str">
        <f>VLOOKUP(C1130,'Location Summary'!$C$4:$D$678,2,0)</f>
        <v>DA+6</v>
      </c>
      <c r="E1130" s="267" t="s">
        <v>403</v>
      </c>
      <c r="F1130" s="268" t="s">
        <v>683</v>
      </c>
      <c r="G1130" s="158">
        <v>1</v>
      </c>
      <c r="X1130" s="35">
        <f t="shared" si="100"/>
        <v>45735</v>
      </c>
      <c r="Y1130" s="35">
        <f t="shared" si="101"/>
        <v>45763</v>
      </c>
    </row>
    <row r="1131" spans="1:25" ht="21" customHeight="1">
      <c r="A1131" s="10">
        <f>SUBTOTAL(103,$B$4:B1131)</f>
        <v>1128</v>
      </c>
      <c r="B1131" s="111">
        <v>45735</v>
      </c>
      <c r="C1131" s="114" t="s">
        <v>1251</v>
      </c>
      <c r="D1131" s="3" t="str">
        <f>VLOOKUP(C1131,'Location Summary'!$C$4:$D$678,2,0)</f>
        <v>DA+3</v>
      </c>
      <c r="E1131" s="267" t="s">
        <v>403</v>
      </c>
      <c r="F1131" s="268" t="s">
        <v>683</v>
      </c>
      <c r="G1131" s="158">
        <v>1</v>
      </c>
      <c r="P1131" s="158">
        <v>1</v>
      </c>
      <c r="X1131" s="35">
        <f t="shared" si="100"/>
        <v>45735</v>
      </c>
      <c r="Y1131" s="35">
        <f t="shared" si="101"/>
        <v>45763</v>
      </c>
    </row>
    <row r="1132" spans="1:25" ht="21" customHeight="1">
      <c r="A1132" s="10">
        <f>SUBTOTAL(103,$B$4:B1132)</f>
        <v>1129</v>
      </c>
      <c r="B1132" s="111">
        <v>45736</v>
      </c>
      <c r="C1132" s="114" t="s">
        <v>206</v>
      </c>
      <c r="D1132" s="3" t="str">
        <f>VLOOKUP(C1132,'Location Summary'!$C$4:$D$678,2,0)</f>
        <v>DA+9</v>
      </c>
      <c r="E1132" s="267" t="s">
        <v>403</v>
      </c>
      <c r="F1132" s="268" t="s">
        <v>311</v>
      </c>
      <c r="G1132" s="158">
        <v>1</v>
      </c>
      <c r="X1132" s="35">
        <f t="shared" si="100"/>
        <v>45736</v>
      </c>
      <c r="Y1132" s="35">
        <f t="shared" si="101"/>
        <v>45764</v>
      </c>
    </row>
    <row r="1133" spans="1:25" ht="21" customHeight="1">
      <c r="A1133" s="10">
        <f>SUBTOTAL(103,$B$4:B1133)</f>
        <v>1130</v>
      </c>
      <c r="B1133" s="111">
        <v>45736</v>
      </c>
      <c r="C1133" s="114" t="s">
        <v>457</v>
      </c>
      <c r="D1133" s="3" t="str">
        <f>VLOOKUP(C1133,'Location Summary'!$C$4:$D$678,2,0)</f>
        <v>DA+6</v>
      </c>
      <c r="E1133" s="267" t="s">
        <v>403</v>
      </c>
      <c r="F1133" s="268" t="s">
        <v>683</v>
      </c>
      <c r="H1133" s="157">
        <v>1</v>
      </c>
      <c r="I1133" s="156">
        <v>1</v>
      </c>
      <c r="X1133" s="35">
        <f t="shared" si="100"/>
        <v>45736</v>
      </c>
      <c r="Y1133" s="35">
        <f t="shared" si="101"/>
        <v>45764</v>
      </c>
    </row>
    <row r="1134" spans="1:25" ht="21" customHeight="1">
      <c r="A1134" s="10">
        <f>SUBTOTAL(103,$B$4:B1134)</f>
        <v>1131</v>
      </c>
      <c r="B1134" s="111">
        <v>45736</v>
      </c>
      <c r="C1134" s="114" t="s">
        <v>1251</v>
      </c>
      <c r="D1134" s="3" t="str">
        <f>VLOOKUP(C1134,'Location Summary'!$C$4:$D$678,2,0)</f>
        <v>DA+3</v>
      </c>
      <c r="E1134" s="267" t="s">
        <v>403</v>
      </c>
      <c r="F1134" s="268" t="s">
        <v>683</v>
      </c>
      <c r="H1134" s="157">
        <v>1</v>
      </c>
      <c r="J1134" s="158">
        <v>1</v>
      </c>
      <c r="M1134" s="158">
        <v>1</v>
      </c>
      <c r="Q1134" s="157">
        <v>1</v>
      </c>
      <c r="X1134" s="35">
        <f t="shared" si="100"/>
        <v>45736</v>
      </c>
      <c r="Y1134" s="35">
        <f t="shared" si="101"/>
        <v>45764</v>
      </c>
    </row>
    <row r="1135" spans="1:25" ht="21" customHeight="1">
      <c r="A1135" s="10">
        <f>SUBTOTAL(103,$B$4:B1135)</f>
        <v>1132</v>
      </c>
      <c r="B1135" s="111">
        <v>45737</v>
      </c>
      <c r="C1135" s="114" t="s">
        <v>206</v>
      </c>
      <c r="D1135" s="3" t="str">
        <f>VLOOKUP(C1135,'Location Summary'!$C$4:$D$678,2,0)</f>
        <v>DA+9</v>
      </c>
      <c r="E1135" s="267" t="s">
        <v>403</v>
      </c>
      <c r="F1135" s="268" t="s">
        <v>311</v>
      </c>
      <c r="H1135" s="157">
        <v>1</v>
      </c>
      <c r="J1135" s="158">
        <v>1</v>
      </c>
      <c r="X1135" s="35">
        <f t="shared" si="100"/>
        <v>45737</v>
      </c>
      <c r="Y1135" s="35">
        <f t="shared" si="101"/>
        <v>45765</v>
      </c>
    </row>
    <row r="1136" spans="1:25" ht="21" customHeight="1">
      <c r="A1136" s="10">
        <f>SUBTOTAL(103,$B$4:B1136)</f>
        <v>1133</v>
      </c>
      <c r="B1136" s="111">
        <v>45737</v>
      </c>
      <c r="C1136" s="114" t="s">
        <v>1251</v>
      </c>
      <c r="D1136" s="3" t="str">
        <f>VLOOKUP(C1136,'Location Summary'!$C$4:$D$678,2,0)</f>
        <v>DA+3</v>
      </c>
      <c r="E1136" s="267" t="s">
        <v>403</v>
      </c>
      <c r="F1136" s="268" t="s">
        <v>683</v>
      </c>
      <c r="I1136" s="156">
        <v>1</v>
      </c>
      <c r="N1136" s="157">
        <v>1</v>
      </c>
      <c r="R1136" s="156">
        <v>1</v>
      </c>
      <c r="X1136" s="35">
        <f t="shared" si="100"/>
        <v>45737</v>
      </c>
      <c r="Y1136" s="35">
        <f t="shared" si="101"/>
        <v>45765</v>
      </c>
    </row>
    <row r="1137" spans="1:25" ht="21" customHeight="1">
      <c r="A1137" s="10">
        <f>SUBTOTAL(103,$B$4:B1137)</f>
        <v>1134</v>
      </c>
      <c r="B1137" s="111">
        <v>45737</v>
      </c>
      <c r="C1137" s="114" t="s">
        <v>1265</v>
      </c>
      <c r="D1137" s="3" t="str">
        <f>VLOOKUP(C1137,'Location Summary'!$C$4:$D$678,2,0)</f>
        <v>DA+9</v>
      </c>
      <c r="E1137" s="267" t="s">
        <v>403</v>
      </c>
      <c r="F1137" s="268" t="s">
        <v>311</v>
      </c>
      <c r="G1137" s="158">
        <v>1</v>
      </c>
      <c r="J1137" s="158">
        <v>1</v>
      </c>
      <c r="X1137" s="35">
        <f t="shared" si="100"/>
        <v>45737</v>
      </c>
      <c r="Y1137" s="35">
        <f t="shared" si="101"/>
        <v>45765</v>
      </c>
    </row>
    <row r="1138" spans="1:25" ht="21" customHeight="1">
      <c r="A1138" s="10">
        <f>SUBTOTAL(103,$B$4:B1138)</f>
        <v>1135</v>
      </c>
      <c r="B1138" s="111">
        <v>45738</v>
      </c>
      <c r="C1138" s="114" t="s">
        <v>206</v>
      </c>
      <c r="D1138" s="3" t="str">
        <f>VLOOKUP(C1138,'Location Summary'!$C$4:$D$678,2,0)</f>
        <v>DA+9</v>
      </c>
      <c r="E1138" s="267" t="s">
        <v>403</v>
      </c>
      <c r="F1138" s="268" t="s">
        <v>311</v>
      </c>
      <c r="I1138" s="156">
        <v>1</v>
      </c>
      <c r="K1138" s="157">
        <v>1</v>
      </c>
      <c r="X1138" s="35">
        <f t="shared" si="100"/>
        <v>45738</v>
      </c>
      <c r="Y1138" s="35">
        <f t="shared" si="101"/>
        <v>45766</v>
      </c>
    </row>
    <row r="1139" spans="1:25" ht="21" customHeight="1">
      <c r="A1139" s="10">
        <f>SUBTOTAL(103,$B$4:B1139)</f>
        <v>1136</v>
      </c>
      <c r="B1139" s="111">
        <v>45738</v>
      </c>
      <c r="C1139" s="114" t="s">
        <v>457</v>
      </c>
      <c r="D1139" s="3" t="str">
        <f>VLOOKUP(C1139,'Location Summary'!$C$4:$D$678,2,0)</f>
        <v>DA+6</v>
      </c>
      <c r="E1139" s="267" t="s">
        <v>403</v>
      </c>
      <c r="F1139" s="268" t="s">
        <v>683</v>
      </c>
      <c r="P1139" s="158">
        <v>1</v>
      </c>
      <c r="X1139" s="35">
        <f t="shared" ref="X1139:X1170" si="102">B1139</f>
        <v>45738</v>
      </c>
      <c r="Y1139" s="35">
        <f t="shared" ref="Y1139:Y1170" si="103">B1139+28</f>
        <v>45766</v>
      </c>
    </row>
    <row r="1140" spans="1:25" ht="21" customHeight="1">
      <c r="A1140" s="10">
        <f>SUBTOTAL(103,$B$4:B1140)</f>
        <v>1137</v>
      </c>
      <c r="B1140" s="111">
        <v>45738</v>
      </c>
      <c r="C1140" s="114" t="s">
        <v>1252</v>
      </c>
      <c r="D1140" s="3" t="str">
        <f>VLOOKUP(C1140,'Location Summary'!$C$4:$D$678,2,0)</f>
        <v>DA+3</v>
      </c>
      <c r="E1140" s="267" t="s">
        <v>403</v>
      </c>
      <c r="F1140" s="268" t="s">
        <v>311</v>
      </c>
      <c r="G1140" s="158">
        <v>1</v>
      </c>
      <c r="J1140" s="158">
        <v>1</v>
      </c>
      <c r="X1140" s="35">
        <f t="shared" si="102"/>
        <v>45738</v>
      </c>
      <c r="Y1140" s="35">
        <f t="shared" si="103"/>
        <v>45766</v>
      </c>
    </row>
    <row r="1141" spans="1:25" ht="21" customHeight="1">
      <c r="A1141" s="10">
        <f>SUBTOTAL(103,$B$4:B1141)</f>
        <v>1138</v>
      </c>
      <c r="B1141" s="111">
        <v>45738</v>
      </c>
      <c r="C1141" s="111" t="s">
        <v>1265</v>
      </c>
      <c r="D1141" s="3" t="str">
        <f>VLOOKUP(C1141,'Location Summary'!$C$4:$D$678,2,0)</f>
        <v>DA+9</v>
      </c>
      <c r="E1141" s="267" t="s">
        <v>403</v>
      </c>
      <c r="F1141" s="268" t="s">
        <v>311</v>
      </c>
      <c r="H1141" s="157">
        <v>1</v>
      </c>
      <c r="K1141" s="157">
        <v>1</v>
      </c>
      <c r="M1141" s="158">
        <v>1</v>
      </c>
      <c r="P1141" s="158">
        <v>1</v>
      </c>
      <c r="X1141" s="35">
        <f t="shared" si="102"/>
        <v>45738</v>
      </c>
      <c r="Y1141" s="35">
        <f t="shared" si="103"/>
        <v>45766</v>
      </c>
    </row>
    <row r="1142" spans="1:25">
      <c r="A1142" s="10">
        <f>SUBTOTAL(103,$B$4:B1142)</f>
        <v>1139</v>
      </c>
      <c r="B1142" s="35">
        <v>45739</v>
      </c>
      <c r="C1142" s="23" t="s">
        <v>206</v>
      </c>
      <c r="D1142" s="3" t="str">
        <f>VLOOKUP(C1142,'Location Summary'!$C$4:$D$678,2,0)</f>
        <v>DA+9</v>
      </c>
      <c r="E1142" s="267" t="s">
        <v>403</v>
      </c>
      <c r="F1142" s="92" t="s">
        <v>311</v>
      </c>
      <c r="P1142" s="158">
        <v>1</v>
      </c>
      <c r="X1142" s="35">
        <f t="shared" si="102"/>
        <v>45739</v>
      </c>
      <c r="Y1142" s="35">
        <f t="shared" si="103"/>
        <v>45767</v>
      </c>
    </row>
    <row r="1143" spans="1:25">
      <c r="A1143" s="10">
        <f>SUBTOTAL(103,$B$4:B1143)</f>
        <v>1140</v>
      </c>
      <c r="B1143" s="35">
        <v>45739</v>
      </c>
      <c r="C1143" s="23" t="s">
        <v>457</v>
      </c>
      <c r="D1143" s="3" t="str">
        <f>VLOOKUP(C1143,'Location Summary'!$C$4:$D$678,2,0)</f>
        <v>DA+6</v>
      </c>
      <c r="E1143" s="267" t="s">
        <v>403</v>
      </c>
      <c r="F1143" s="92" t="s">
        <v>683</v>
      </c>
      <c r="Q1143" s="157">
        <v>1</v>
      </c>
      <c r="R1143" s="156">
        <v>1</v>
      </c>
      <c r="X1143" s="35">
        <f t="shared" si="102"/>
        <v>45739</v>
      </c>
      <c r="Y1143" s="35">
        <f t="shared" si="103"/>
        <v>45767</v>
      </c>
    </row>
    <row r="1144" spans="1:25">
      <c r="A1144" s="10">
        <f>SUBTOTAL(103,$B$4:B1144)</f>
        <v>1141</v>
      </c>
      <c r="B1144" s="35">
        <v>45739</v>
      </c>
      <c r="C1144" s="23" t="s">
        <v>1372</v>
      </c>
      <c r="D1144" s="3" t="str">
        <f>VLOOKUP(C1144,'Location Summary'!$C$4:$D$678,2,0)</f>
        <v>DA+3</v>
      </c>
      <c r="E1144" s="267" t="s">
        <v>403</v>
      </c>
      <c r="F1144" s="92" t="s">
        <v>683</v>
      </c>
      <c r="K1144" s="157">
        <v>1</v>
      </c>
      <c r="L1144" s="156">
        <v>1</v>
      </c>
      <c r="O1144" s="156">
        <v>1</v>
      </c>
      <c r="X1144" s="35">
        <f t="shared" si="102"/>
        <v>45739</v>
      </c>
      <c r="Y1144" s="35">
        <f t="shared" si="103"/>
        <v>45767</v>
      </c>
    </row>
    <row r="1145" spans="1:25">
      <c r="A1145" s="10">
        <f>SUBTOTAL(103,$B$4:B1145)</f>
        <v>1142</v>
      </c>
      <c r="B1145" s="35">
        <v>45739</v>
      </c>
      <c r="C1145" s="23" t="s">
        <v>1265</v>
      </c>
      <c r="D1145" s="3" t="str">
        <f>VLOOKUP(C1145,'Location Summary'!$C$4:$D$678,2,0)</f>
        <v>DA+9</v>
      </c>
      <c r="E1145" s="267" t="s">
        <v>403</v>
      </c>
      <c r="F1145" s="92" t="s">
        <v>683</v>
      </c>
      <c r="N1145" s="157">
        <v>1</v>
      </c>
      <c r="O1145" s="156">
        <v>1</v>
      </c>
      <c r="Q1145" s="157">
        <v>1</v>
      </c>
      <c r="R1145" s="156">
        <v>1</v>
      </c>
      <c r="X1145" s="35">
        <f t="shared" si="102"/>
        <v>45739</v>
      </c>
      <c r="Y1145" s="35">
        <f t="shared" si="103"/>
        <v>45767</v>
      </c>
    </row>
    <row r="1146" spans="1:25">
      <c r="A1146" s="10">
        <f>SUBTOTAL(103,$B$4:B1146)</f>
        <v>1143</v>
      </c>
      <c r="B1146" s="35">
        <v>45740</v>
      </c>
      <c r="C1146" s="23" t="s">
        <v>206</v>
      </c>
      <c r="D1146" s="3" t="str">
        <f>VLOOKUP(C1146,'Location Summary'!$C$4:$D$678,2,0)</f>
        <v>DA+9</v>
      </c>
      <c r="E1146" s="267" t="s">
        <v>403</v>
      </c>
      <c r="F1146" s="92" t="s">
        <v>311</v>
      </c>
      <c r="L1146" s="156">
        <v>1</v>
      </c>
      <c r="Q1146" s="157">
        <v>1</v>
      </c>
      <c r="X1146" s="35">
        <f t="shared" si="102"/>
        <v>45740</v>
      </c>
      <c r="Y1146" s="35">
        <f t="shared" si="103"/>
        <v>45768</v>
      </c>
    </row>
    <row r="1147" spans="1:25">
      <c r="A1147" s="10">
        <f>SUBTOTAL(103,$B$4:B1147)</f>
        <v>1144</v>
      </c>
      <c r="B1147" s="35">
        <v>45740</v>
      </c>
      <c r="C1147" s="23" t="s">
        <v>1374</v>
      </c>
      <c r="D1147" s="3" t="str">
        <f>VLOOKUP(C1147,'Location Summary'!$C$4:$D$678,2,0)</f>
        <v>DA+3</v>
      </c>
      <c r="E1147" s="267" t="s">
        <v>403</v>
      </c>
      <c r="F1147" s="92" t="s">
        <v>311</v>
      </c>
      <c r="G1147" s="158">
        <v>1</v>
      </c>
      <c r="M1147" s="158">
        <v>1</v>
      </c>
      <c r="P1147" s="158">
        <v>1</v>
      </c>
      <c r="X1147" s="35">
        <f t="shared" si="102"/>
        <v>45740</v>
      </c>
      <c r="Y1147" s="35">
        <f t="shared" si="103"/>
        <v>45768</v>
      </c>
    </row>
    <row r="1148" spans="1:25">
      <c r="A1148" s="10">
        <f>SUBTOTAL(103,$B$4:B1148)</f>
        <v>1145</v>
      </c>
      <c r="B1148" s="35">
        <v>45740</v>
      </c>
      <c r="C1148" s="23" t="s">
        <v>1252</v>
      </c>
      <c r="D1148" s="3" t="str">
        <f>VLOOKUP(C1148,'Location Summary'!$C$4:$D$678,2,0)</f>
        <v>DA+3</v>
      </c>
      <c r="E1148" s="267" t="s">
        <v>403</v>
      </c>
      <c r="F1148" s="92" t="s">
        <v>683</v>
      </c>
      <c r="H1148" s="157">
        <v>1</v>
      </c>
      <c r="M1148" s="158">
        <v>1</v>
      </c>
      <c r="X1148" s="35">
        <f t="shared" si="102"/>
        <v>45740</v>
      </c>
      <c r="Y1148" s="35">
        <f t="shared" si="103"/>
        <v>45768</v>
      </c>
    </row>
    <row r="1149" spans="1:25">
      <c r="A1149" s="10">
        <f>SUBTOTAL(103,$B$4:B1149)</f>
        <v>1146</v>
      </c>
      <c r="B1149" s="35">
        <v>45741</v>
      </c>
      <c r="C1149" s="23" t="s">
        <v>1264</v>
      </c>
      <c r="D1149" s="3" t="str">
        <f>VLOOKUP(C1149,'Location Summary'!$C$4:$D$678,2,0)</f>
        <v>DA+3</v>
      </c>
      <c r="E1149" s="267" t="s">
        <v>403</v>
      </c>
      <c r="F1149" s="92" t="s">
        <v>311</v>
      </c>
      <c r="H1149" s="157">
        <v>1</v>
      </c>
      <c r="I1149" s="156">
        <v>1</v>
      </c>
      <c r="J1149" s="158">
        <v>1</v>
      </c>
      <c r="N1149" s="157">
        <v>1</v>
      </c>
      <c r="O1149" s="156">
        <v>1</v>
      </c>
      <c r="Q1149" s="157">
        <v>1</v>
      </c>
      <c r="R1149" s="156">
        <v>1</v>
      </c>
      <c r="X1149" s="35">
        <f t="shared" si="102"/>
        <v>45741</v>
      </c>
      <c r="Y1149" s="35">
        <f t="shared" si="103"/>
        <v>45769</v>
      </c>
    </row>
    <row r="1150" spans="1:25">
      <c r="A1150" s="10">
        <f>SUBTOTAL(103,$B$4:B1150)</f>
        <v>1147</v>
      </c>
      <c r="B1150" s="35">
        <v>45741</v>
      </c>
      <c r="C1150" s="23" t="s">
        <v>1252</v>
      </c>
      <c r="D1150" s="3" t="str">
        <f>VLOOKUP(C1150,'Location Summary'!$C$4:$D$678,2,0)</f>
        <v>DA+3</v>
      </c>
      <c r="E1150" s="267" t="s">
        <v>403</v>
      </c>
      <c r="F1150" s="92" t="s">
        <v>683</v>
      </c>
      <c r="I1150" s="156">
        <v>1</v>
      </c>
      <c r="K1150" s="157">
        <v>1</v>
      </c>
      <c r="L1150" s="156">
        <v>1</v>
      </c>
      <c r="N1150" s="157">
        <v>1</v>
      </c>
      <c r="X1150" s="35">
        <f t="shared" si="102"/>
        <v>45741</v>
      </c>
      <c r="Y1150" s="35">
        <f t="shared" si="103"/>
        <v>45769</v>
      </c>
    </row>
    <row r="1151" spans="1:25">
      <c r="A1151" s="10">
        <f>SUBTOTAL(103,$B$4:B1151)</f>
        <v>1148</v>
      </c>
      <c r="B1151" s="35">
        <v>45742</v>
      </c>
      <c r="C1151" s="23" t="s">
        <v>1264</v>
      </c>
      <c r="D1151" s="3" t="str">
        <f>VLOOKUP(C1151,'Location Summary'!$C$4:$D$678,2,0)</f>
        <v>DA+3</v>
      </c>
      <c r="E1151" s="267" t="s">
        <v>403</v>
      </c>
      <c r="F1151" s="92" t="s">
        <v>683</v>
      </c>
      <c r="K1151" s="157">
        <v>1</v>
      </c>
      <c r="L1151" s="156">
        <v>1</v>
      </c>
      <c r="X1151" s="35">
        <f t="shared" si="102"/>
        <v>45742</v>
      </c>
      <c r="Y1151" s="35">
        <f t="shared" si="103"/>
        <v>45770</v>
      </c>
    </row>
    <row r="1152" spans="1:25">
      <c r="A1152" s="10">
        <f>SUBTOTAL(103,$B$4:B1152)</f>
        <v>1149</v>
      </c>
      <c r="B1152" s="35">
        <v>45742</v>
      </c>
      <c r="C1152" s="23" t="s">
        <v>1252</v>
      </c>
      <c r="D1152" s="3" t="str">
        <f>VLOOKUP(C1152,'Location Summary'!$C$4:$D$678,2,0)</f>
        <v>DA+3</v>
      </c>
      <c r="E1152" s="267" t="s">
        <v>403</v>
      </c>
      <c r="F1152" s="92" t="s">
        <v>683</v>
      </c>
      <c r="O1152" s="156">
        <v>1</v>
      </c>
      <c r="P1152" s="158">
        <v>1</v>
      </c>
      <c r="Q1152" s="157">
        <v>1</v>
      </c>
      <c r="X1152" s="35">
        <f t="shared" si="102"/>
        <v>45742</v>
      </c>
      <c r="Y1152" s="35">
        <f t="shared" si="103"/>
        <v>45770</v>
      </c>
    </row>
    <row r="1153" spans="1:25">
      <c r="A1153" s="10">
        <f>SUBTOTAL(103,$B$4:B1153)</f>
        <v>1150</v>
      </c>
      <c r="B1153" s="35">
        <v>45743</v>
      </c>
      <c r="C1153" s="23" t="s">
        <v>206</v>
      </c>
      <c r="D1153" s="3" t="str">
        <f>VLOOKUP(C1153,'Location Summary'!$C$4:$D$678,2,0)</f>
        <v>DA+9</v>
      </c>
      <c r="E1153" s="267" t="s">
        <v>403</v>
      </c>
      <c r="F1153" s="92" t="s">
        <v>311</v>
      </c>
      <c r="I1153" s="156">
        <v>1</v>
      </c>
      <c r="X1153" s="35">
        <f t="shared" si="102"/>
        <v>45743</v>
      </c>
      <c r="Y1153" s="35">
        <f t="shared" si="103"/>
        <v>45771</v>
      </c>
    </row>
    <row r="1154" spans="1:25">
      <c r="A1154" s="10">
        <f>SUBTOTAL(103,$B$4:B1154)</f>
        <v>1151</v>
      </c>
      <c r="B1154" s="35">
        <v>45743</v>
      </c>
      <c r="C1154" s="23" t="s">
        <v>672</v>
      </c>
      <c r="D1154" s="3" t="str">
        <f>VLOOKUP(C1154,'Location Summary'!$C$4:$D$678,2,0)</f>
        <v>DB1+12</v>
      </c>
      <c r="E1154" s="267" t="s">
        <v>403</v>
      </c>
      <c r="F1154" s="92" t="s">
        <v>311</v>
      </c>
      <c r="G1154" s="158">
        <v>1</v>
      </c>
      <c r="J1154" s="158">
        <v>1</v>
      </c>
      <c r="X1154" s="35">
        <f t="shared" si="102"/>
        <v>45743</v>
      </c>
      <c r="Y1154" s="35">
        <f t="shared" si="103"/>
        <v>45771</v>
      </c>
    </row>
    <row r="1155" spans="1:25">
      <c r="A1155" s="10">
        <f>SUBTOTAL(103,$B$4:B1155)</f>
        <v>1152</v>
      </c>
      <c r="B1155" s="35">
        <v>45743</v>
      </c>
      <c r="C1155" s="23" t="s">
        <v>1252</v>
      </c>
      <c r="D1155" s="3" t="str">
        <f>VLOOKUP(C1155,'Location Summary'!$C$4:$D$678,2,0)</f>
        <v>DA+3</v>
      </c>
      <c r="E1155" s="267" t="s">
        <v>403</v>
      </c>
      <c r="F1155" s="92" t="s">
        <v>683</v>
      </c>
      <c r="R1155" s="156">
        <v>1</v>
      </c>
      <c r="X1155" s="35">
        <f t="shared" si="102"/>
        <v>45743</v>
      </c>
      <c r="Y1155" s="35">
        <f t="shared" si="103"/>
        <v>45771</v>
      </c>
    </row>
    <row r="1156" spans="1:25">
      <c r="A1156" s="10">
        <f>SUBTOTAL(103,$B$4:B1156)</f>
        <v>1153</v>
      </c>
      <c r="B1156" s="35">
        <v>45744</v>
      </c>
      <c r="C1156" s="23" t="s">
        <v>206</v>
      </c>
      <c r="D1156" s="3" t="str">
        <f>VLOOKUP(C1156,'Location Summary'!$C$4:$D$678,2,0)</f>
        <v>DA+9</v>
      </c>
      <c r="E1156" s="267" t="s">
        <v>403</v>
      </c>
      <c r="F1156" s="92" t="s">
        <v>311</v>
      </c>
      <c r="M1156" s="158">
        <v>1</v>
      </c>
      <c r="X1156" s="35">
        <f t="shared" si="102"/>
        <v>45744</v>
      </c>
      <c r="Y1156" s="35">
        <f t="shared" si="103"/>
        <v>45772</v>
      </c>
    </row>
    <row r="1157" spans="1:25">
      <c r="A1157" s="10">
        <f>SUBTOTAL(103,$B$4:B1157)</f>
        <v>1154</v>
      </c>
      <c r="B1157" s="35">
        <v>45744</v>
      </c>
      <c r="C1157" s="23" t="s">
        <v>672</v>
      </c>
      <c r="D1157" s="3" t="str">
        <f>VLOOKUP(C1157,'Location Summary'!$C$4:$D$678,2,0)</f>
        <v>DB1+12</v>
      </c>
      <c r="E1157" s="267" t="s">
        <v>403</v>
      </c>
      <c r="F1157" s="92" t="s">
        <v>311</v>
      </c>
      <c r="H1157" s="157">
        <v>1</v>
      </c>
      <c r="I1157" s="156">
        <v>1</v>
      </c>
      <c r="K1157" s="157">
        <v>1</v>
      </c>
      <c r="L1157" s="156">
        <v>1</v>
      </c>
      <c r="X1157" s="35">
        <f t="shared" si="102"/>
        <v>45744</v>
      </c>
      <c r="Y1157" s="35">
        <f t="shared" si="103"/>
        <v>45772</v>
      </c>
    </row>
    <row r="1158" spans="1:25">
      <c r="A1158" s="10">
        <f>SUBTOTAL(103,$B$4:B1158)</f>
        <v>1155</v>
      </c>
      <c r="B1158" s="35">
        <v>45744</v>
      </c>
      <c r="C1158" s="23" t="s">
        <v>1263</v>
      </c>
      <c r="D1158" s="3" t="str">
        <f>VLOOKUP(C1158,'Location Summary'!$C$4:$D$678,2,0)</f>
        <v>DB1+9</v>
      </c>
      <c r="E1158" s="267" t="s">
        <v>403</v>
      </c>
      <c r="F1158" s="92" t="s">
        <v>311</v>
      </c>
      <c r="J1158" s="158">
        <v>1</v>
      </c>
      <c r="M1158" s="158">
        <v>1</v>
      </c>
      <c r="X1158" s="35">
        <f t="shared" si="102"/>
        <v>45744</v>
      </c>
      <c r="Y1158" s="35">
        <f t="shared" si="103"/>
        <v>45772</v>
      </c>
    </row>
    <row r="1159" spans="1:25">
      <c r="A1159" s="10">
        <f>SUBTOTAL(103,$B$4:B1159)</f>
        <v>1156</v>
      </c>
      <c r="B1159" s="35">
        <v>45744</v>
      </c>
      <c r="C1159" s="23" t="s">
        <v>1253</v>
      </c>
      <c r="D1159" s="3" t="str">
        <f>VLOOKUP(C1159,'Location Summary'!$C$4:$D$678,2,0)</f>
        <v>DA+3</v>
      </c>
      <c r="E1159" s="267" t="s">
        <v>403</v>
      </c>
      <c r="F1159" s="92" t="s">
        <v>683</v>
      </c>
      <c r="G1159" s="158">
        <v>1</v>
      </c>
      <c r="M1159" s="158">
        <v>1</v>
      </c>
      <c r="P1159" s="158">
        <v>1</v>
      </c>
      <c r="X1159" s="35">
        <f t="shared" si="102"/>
        <v>45744</v>
      </c>
      <c r="Y1159" s="35">
        <f t="shared" si="103"/>
        <v>45772</v>
      </c>
    </row>
    <row r="1160" spans="1:25">
      <c r="A1160" s="10">
        <f>SUBTOTAL(103,$B$4:B1160)</f>
        <v>1157</v>
      </c>
      <c r="B1160" s="35">
        <v>45745</v>
      </c>
      <c r="C1160" s="23" t="s">
        <v>206</v>
      </c>
      <c r="D1160" s="3" t="str">
        <f>VLOOKUP(C1160,'Location Summary'!$C$4:$D$678,2,0)</f>
        <v>DA+9</v>
      </c>
      <c r="E1160" s="267" t="s">
        <v>403</v>
      </c>
      <c r="F1160" s="92" t="s">
        <v>311</v>
      </c>
      <c r="L1160" s="156">
        <v>1</v>
      </c>
      <c r="N1160" s="157">
        <v>1</v>
      </c>
      <c r="O1160" s="156">
        <v>1</v>
      </c>
      <c r="X1160" s="35">
        <f t="shared" si="102"/>
        <v>45745</v>
      </c>
      <c r="Y1160" s="35">
        <f t="shared" si="103"/>
        <v>45773</v>
      </c>
    </row>
    <row r="1161" spans="1:25">
      <c r="A1161" s="10">
        <f>SUBTOTAL(103,$B$4:B1161)</f>
        <v>1158</v>
      </c>
      <c r="B1161" s="35">
        <v>45745</v>
      </c>
      <c r="C1161" s="23" t="s">
        <v>672</v>
      </c>
      <c r="D1161" s="3" t="str">
        <f>VLOOKUP(C1161,'Location Summary'!$C$4:$D$678,2,0)</f>
        <v>DB1+12</v>
      </c>
      <c r="E1161" s="267" t="s">
        <v>403</v>
      </c>
      <c r="F1161" s="92" t="s">
        <v>311</v>
      </c>
      <c r="P1161" s="158">
        <v>1</v>
      </c>
      <c r="X1161" s="35">
        <f t="shared" si="102"/>
        <v>45745</v>
      </c>
      <c r="Y1161" s="35">
        <f t="shared" si="103"/>
        <v>45773</v>
      </c>
    </row>
    <row r="1162" spans="1:25">
      <c r="A1162" s="10">
        <f>SUBTOTAL(103,$B$4:B1162)</f>
        <v>1159</v>
      </c>
      <c r="B1162" s="35">
        <v>45745</v>
      </c>
      <c r="C1162" s="23" t="s">
        <v>1263</v>
      </c>
      <c r="D1162" s="3" t="str">
        <f>VLOOKUP(C1162,'Location Summary'!$C$4:$D$678,2,0)</f>
        <v>DB1+9</v>
      </c>
      <c r="E1162" s="267" t="s">
        <v>403</v>
      </c>
      <c r="F1162" s="92" t="s">
        <v>311</v>
      </c>
      <c r="G1162" s="158">
        <v>1</v>
      </c>
      <c r="K1162" s="157">
        <v>1</v>
      </c>
      <c r="L1162" s="156">
        <v>1</v>
      </c>
      <c r="P1162" s="158">
        <v>1</v>
      </c>
      <c r="Q1162" s="157">
        <v>1</v>
      </c>
      <c r="R1162" s="156">
        <v>1</v>
      </c>
      <c r="X1162" s="35">
        <f t="shared" si="102"/>
        <v>45745</v>
      </c>
      <c r="Y1162" s="35">
        <f t="shared" si="103"/>
        <v>45773</v>
      </c>
    </row>
    <row r="1163" spans="1:25">
      <c r="A1163" s="10">
        <f>SUBTOTAL(103,$B$4:B1163)</f>
        <v>1160</v>
      </c>
      <c r="B1163" s="35">
        <v>45745</v>
      </c>
      <c r="C1163" s="23" t="s">
        <v>1253</v>
      </c>
      <c r="D1163" s="3" t="str">
        <f>VLOOKUP(C1163,'Location Summary'!$C$4:$D$678,2,0)</f>
        <v>DA+3</v>
      </c>
      <c r="E1163" s="267" t="s">
        <v>403</v>
      </c>
      <c r="F1163" s="92" t="s">
        <v>683</v>
      </c>
      <c r="J1163" s="158">
        <v>1</v>
      </c>
      <c r="N1163" s="157">
        <v>1</v>
      </c>
      <c r="O1163" s="156">
        <v>1</v>
      </c>
      <c r="Q1163" s="157">
        <v>1</v>
      </c>
      <c r="R1163" s="156">
        <v>1</v>
      </c>
      <c r="X1163" s="35">
        <f t="shared" si="102"/>
        <v>45745</v>
      </c>
      <c r="Y1163" s="35">
        <f t="shared" si="103"/>
        <v>45773</v>
      </c>
    </row>
    <row r="1164" spans="1:25">
      <c r="A1164" s="10">
        <f>SUBTOTAL(103,$B$4:B1164)</f>
        <v>1161</v>
      </c>
      <c r="B1164" s="35">
        <v>45746</v>
      </c>
      <c r="C1164" s="23" t="s">
        <v>206</v>
      </c>
      <c r="D1164" s="3" t="str">
        <f>VLOOKUP(C1164,'Location Summary'!$C$4:$D$678,2,0)</f>
        <v>DA+9</v>
      </c>
      <c r="E1164" s="267" t="s">
        <v>403</v>
      </c>
      <c r="F1164" s="92" t="s">
        <v>683</v>
      </c>
      <c r="O1164" s="156">
        <v>1</v>
      </c>
      <c r="R1164" s="156">
        <v>1</v>
      </c>
      <c r="X1164" s="35">
        <f t="shared" si="102"/>
        <v>45746</v>
      </c>
      <c r="Y1164" s="35">
        <f t="shared" si="103"/>
        <v>45774</v>
      </c>
    </row>
    <row r="1165" spans="1:25">
      <c r="A1165" s="10">
        <f>SUBTOTAL(103,$B$4:B1165)</f>
        <v>1162</v>
      </c>
      <c r="B1165" s="35">
        <v>45746</v>
      </c>
      <c r="C1165" s="23" t="s">
        <v>1263</v>
      </c>
      <c r="D1165" s="3" t="str">
        <f>VLOOKUP(C1165,'Location Summary'!$C$4:$D$678,2,0)</f>
        <v>DB1+9</v>
      </c>
      <c r="E1165" s="267" t="s">
        <v>403</v>
      </c>
      <c r="F1165" s="92" t="s">
        <v>683</v>
      </c>
      <c r="H1165" s="157">
        <v>1</v>
      </c>
      <c r="I1165" s="156">
        <v>1</v>
      </c>
      <c r="Q1165" s="157">
        <v>1</v>
      </c>
      <c r="R1165" s="156">
        <v>1</v>
      </c>
      <c r="X1165" s="35">
        <f t="shared" si="102"/>
        <v>45746</v>
      </c>
      <c r="Y1165" s="35">
        <f t="shared" si="103"/>
        <v>45774</v>
      </c>
    </row>
    <row r="1166" spans="1:25">
      <c r="A1166" s="10">
        <f>SUBTOTAL(103,$B$4:B1166)</f>
        <v>1163</v>
      </c>
      <c r="B1166" s="35">
        <v>45746</v>
      </c>
      <c r="C1166" s="23" t="s">
        <v>1253</v>
      </c>
      <c r="D1166" s="3" t="str">
        <f>VLOOKUP(C1166,'Location Summary'!$C$4:$D$678,2,0)</f>
        <v>DA+3</v>
      </c>
      <c r="E1166" s="267" t="s">
        <v>403</v>
      </c>
      <c r="F1166" s="92" t="s">
        <v>683</v>
      </c>
      <c r="H1166" s="157">
        <v>1</v>
      </c>
      <c r="I1166" s="156">
        <v>1</v>
      </c>
      <c r="K1166" s="157">
        <v>1</v>
      </c>
      <c r="L1166" s="156">
        <v>1</v>
      </c>
      <c r="X1166" s="35">
        <f t="shared" si="102"/>
        <v>45746</v>
      </c>
      <c r="Y1166" s="35">
        <f t="shared" si="103"/>
        <v>45774</v>
      </c>
    </row>
    <row r="1167" spans="1:25">
      <c r="A1167" s="10">
        <f>SUBTOTAL(103,$B$4:B1167)</f>
        <v>1164</v>
      </c>
      <c r="B1167" s="35">
        <v>45747</v>
      </c>
      <c r="C1167" s="120" t="s">
        <v>672</v>
      </c>
      <c r="D1167" s="3" t="str">
        <f>VLOOKUP(C1167,'Location Summary'!$C$4:$D$678,2,0)</f>
        <v>DB1+12</v>
      </c>
      <c r="E1167" s="267" t="s">
        <v>403</v>
      </c>
      <c r="F1167" s="92" t="s">
        <v>683</v>
      </c>
      <c r="M1167" s="158">
        <v>1</v>
      </c>
      <c r="Q1167" s="157">
        <v>1</v>
      </c>
      <c r="X1167" s="35">
        <f t="shared" si="102"/>
        <v>45747</v>
      </c>
      <c r="Y1167" s="35">
        <f t="shared" si="103"/>
        <v>45775</v>
      </c>
    </row>
    <row r="1168" spans="1:25">
      <c r="A1168" s="10">
        <f>SUBTOTAL(103,$B$4:B1168)</f>
        <v>1165</v>
      </c>
      <c r="B1168" s="35">
        <v>45748</v>
      </c>
      <c r="C1168" s="120" t="s">
        <v>672</v>
      </c>
      <c r="D1168" s="3" t="str">
        <f>VLOOKUP(C1168,'Location Summary'!$C$4:$D$678,2,0)</f>
        <v>DB1+12</v>
      </c>
      <c r="E1168" s="267" t="s">
        <v>403</v>
      </c>
      <c r="F1168" s="92" t="s">
        <v>683</v>
      </c>
      <c r="N1168" s="157">
        <v>1</v>
      </c>
      <c r="O1168" s="156">
        <v>1</v>
      </c>
      <c r="R1168" s="156">
        <v>1</v>
      </c>
      <c r="X1168" s="35">
        <f t="shared" si="102"/>
        <v>45748</v>
      </c>
      <c r="Y1168" s="35">
        <f t="shared" si="103"/>
        <v>45776</v>
      </c>
    </row>
    <row r="1169" spans="1:25">
      <c r="A1169" s="10">
        <f>SUBTOTAL(103,$B$4:B1169)</f>
        <v>1166</v>
      </c>
      <c r="B1169" s="35">
        <v>45748</v>
      </c>
      <c r="C1169" s="23" t="s">
        <v>1262</v>
      </c>
      <c r="D1169" s="3" t="str">
        <f>VLOOKUP(C1169,'Location Summary'!$C$4:$D$678,2,0)</f>
        <v>DA+0</v>
      </c>
      <c r="E1169" s="267" t="s">
        <v>403</v>
      </c>
      <c r="F1169" s="92" t="s">
        <v>311</v>
      </c>
      <c r="G1169" s="158">
        <v>1</v>
      </c>
      <c r="J1169" s="158">
        <v>1</v>
      </c>
      <c r="M1169" s="158">
        <v>1</v>
      </c>
      <c r="P1169" s="158">
        <v>1</v>
      </c>
      <c r="X1169" s="35">
        <f t="shared" si="102"/>
        <v>45748</v>
      </c>
      <c r="Y1169" s="35">
        <f t="shared" si="103"/>
        <v>45776</v>
      </c>
    </row>
    <row r="1170" spans="1:25">
      <c r="A1170" s="10">
        <f>SUBTOTAL(103,$B$4:B1170)</f>
        <v>1167</v>
      </c>
      <c r="B1170" s="35">
        <v>45748</v>
      </c>
      <c r="C1170" s="23" t="s">
        <v>1254</v>
      </c>
      <c r="D1170" s="3" t="str">
        <f>VLOOKUP(C1170,'Location Summary'!$C$4:$D$678,2,0)</f>
        <v>DA+3</v>
      </c>
      <c r="E1170" s="267" t="s">
        <v>403</v>
      </c>
      <c r="F1170" s="92" t="s">
        <v>311</v>
      </c>
      <c r="G1170" s="158">
        <v>1</v>
      </c>
      <c r="J1170" s="158">
        <v>1</v>
      </c>
      <c r="X1170" s="35">
        <f t="shared" si="102"/>
        <v>45748</v>
      </c>
      <c r="Y1170" s="35">
        <f t="shared" si="103"/>
        <v>45776</v>
      </c>
    </row>
    <row r="1171" spans="1:25">
      <c r="A1171" s="10">
        <f>SUBTOTAL(103,$B$4:B1171)</f>
        <v>1168</v>
      </c>
      <c r="B1171" s="35">
        <v>45749</v>
      </c>
      <c r="C1171" s="23" t="s">
        <v>1262</v>
      </c>
      <c r="D1171" s="3" t="str">
        <f>VLOOKUP(C1171,'Location Summary'!$C$4:$D$678,2,0)</f>
        <v>DA+0</v>
      </c>
      <c r="E1171" s="267" t="s">
        <v>403</v>
      </c>
      <c r="F1171" s="92" t="s">
        <v>311</v>
      </c>
      <c r="H1171" s="157">
        <v>1</v>
      </c>
      <c r="K1171" s="157">
        <v>1</v>
      </c>
      <c r="N1171" s="157">
        <v>1</v>
      </c>
      <c r="Q1171" s="157">
        <v>1</v>
      </c>
      <c r="X1171" s="35">
        <f t="shared" ref="X1171:X1200" si="104">B1171</f>
        <v>45749</v>
      </c>
      <c r="Y1171" s="35">
        <f t="shared" ref="Y1171:Y1200" si="105">B1171+28</f>
        <v>45777</v>
      </c>
    </row>
    <row r="1172" spans="1:25">
      <c r="A1172" s="10">
        <f>SUBTOTAL(103,$B$4:B1172)</f>
        <v>1169</v>
      </c>
      <c r="B1172" s="35">
        <v>45749</v>
      </c>
      <c r="C1172" s="120" t="s">
        <v>1254</v>
      </c>
      <c r="D1172" s="3" t="str">
        <f>VLOOKUP(C1172,'Location Summary'!$C$4:$D$678,2,0)</f>
        <v>DA+3</v>
      </c>
      <c r="E1172" s="267" t="s">
        <v>403</v>
      </c>
      <c r="F1172" s="92" t="s">
        <v>311</v>
      </c>
      <c r="H1172" s="157">
        <v>1</v>
      </c>
      <c r="I1172" s="156">
        <v>1</v>
      </c>
      <c r="K1172" s="157">
        <v>1</v>
      </c>
      <c r="L1172" s="156">
        <v>1</v>
      </c>
      <c r="M1172" s="158">
        <v>1</v>
      </c>
      <c r="P1172" s="158">
        <v>1</v>
      </c>
      <c r="X1172" s="35">
        <f t="shared" si="104"/>
        <v>45749</v>
      </c>
      <c r="Y1172" s="35">
        <f t="shared" si="105"/>
        <v>45777</v>
      </c>
    </row>
    <row r="1173" spans="1:25">
      <c r="A1173" s="10">
        <f>SUBTOTAL(103,$B$4:B1173)</f>
        <v>1170</v>
      </c>
      <c r="B1173" s="35">
        <v>45750</v>
      </c>
      <c r="C1173" s="23" t="s">
        <v>1262</v>
      </c>
      <c r="D1173" s="3" t="str">
        <f>VLOOKUP(C1173,'Location Summary'!$C$4:$D$678,2,0)</f>
        <v>DA+0</v>
      </c>
      <c r="E1173" s="267" t="s">
        <v>403</v>
      </c>
      <c r="F1173" s="92" t="s">
        <v>683</v>
      </c>
      <c r="I1173" s="156">
        <v>1</v>
      </c>
      <c r="L1173" s="156">
        <v>1</v>
      </c>
      <c r="O1173" s="156">
        <v>1</v>
      </c>
      <c r="R1173" s="156">
        <v>1</v>
      </c>
      <c r="X1173" s="35">
        <f t="shared" si="104"/>
        <v>45750</v>
      </c>
      <c r="Y1173" s="35">
        <f t="shared" si="105"/>
        <v>45778</v>
      </c>
    </row>
    <row r="1174" spans="1:25">
      <c r="A1174" s="10">
        <f>SUBTOTAL(103,$B$4:B1174)</f>
        <v>1171</v>
      </c>
      <c r="B1174" s="35">
        <v>45750</v>
      </c>
      <c r="C1174" s="120" t="s">
        <v>1254</v>
      </c>
      <c r="D1174" s="3" t="str">
        <f>VLOOKUP(C1174,'Location Summary'!$C$4:$D$678,2,0)</f>
        <v>DA+3</v>
      </c>
      <c r="E1174" s="267" t="s">
        <v>403</v>
      </c>
      <c r="F1174" s="92" t="s">
        <v>311</v>
      </c>
      <c r="N1174" s="157">
        <v>1</v>
      </c>
      <c r="Q1174" s="157">
        <v>1</v>
      </c>
      <c r="X1174" s="35">
        <f t="shared" si="104"/>
        <v>45750</v>
      </c>
      <c r="Y1174" s="35">
        <f t="shared" si="105"/>
        <v>45778</v>
      </c>
    </row>
    <row r="1175" spans="1:25">
      <c r="A1175" s="10">
        <f>SUBTOTAL(103,$B$4:B1175)</f>
        <v>1172</v>
      </c>
      <c r="B1175" s="35">
        <v>45751</v>
      </c>
      <c r="C1175" s="23" t="s">
        <v>590</v>
      </c>
      <c r="D1175" s="3" t="str">
        <f>VLOOKUP(C1175,'Location Summary'!$C$4:$D$678,2,0)</f>
        <v>DA-3</v>
      </c>
      <c r="E1175" s="267" t="s">
        <v>403</v>
      </c>
      <c r="F1175" s="92" t="s">
        <v>311</v>
      </c>
      <c r="P1175" s="158">
        <v>1</v>
      </c>
      <c r="X1175" s="35">
        <f t="shared" si="104"/>
        <v>45751</v>
      </c>
      <c r="Y1175" s="35">
        <f t="shared" si="105"/>
        <v>45779</v>
      </c>
    </row>
    <row r="1176" spans="1:25">
      <c r="A1176" s="10">
        <f>SUBTOTAL(103,$B$4:B1176)</f>
        <v>1173</v>
      </c>
      <c r="B1176" s="35">
        <v>45752</v>
      </c>
      <c r="C1176" s="23" t="s">
        <v>590</v>
      </c>
      <c r="D1176" s="3" t="str">
        <f>VLOOKUP(C1176,'Location Summary'!$C$4:$D$678,2,0)</f>
        <v>DA-3</v>
      </c>
      <c r="E1176" s="267" t="s">
        <v>403</v>
      </c>
      <c r="F1176" s="92" t="s">
        <v>311</v>
      </c>
      <c r="G1176" s="158">
        <v>1</v>
      </c>
      <c r="Q1176" s="157">
        <v>1</v>
      </c>
      <c r="X1176" s="35">
        <f t="shared" si="104"/>
        <v>45752</v>
      </c>
      <c r="Y1176" s="35">
        <f t="shared" si="105"/>
        <v>45780</v>
      </c>
    </row>
    <row r="1177" spans="1:25">
      <c r="A1177" s="10">
        <f>SUBTOTAL(103,$B$4:B1177)</f>
        <v>1174</v>
      </c>
      <c r="B1177" s="35">
        <v>45752</v>
      </c>
      <c r="C1177" s="23" t="s">
        <v>11</v>
      </c>
      <c r="D1177" s="3" t="str">
        <f>VLOOKUP(C1177,'Location Summary'!$C$4:$D$678,2,0)</f>
        <v>DD60+18</v>
      </c>
      <c r="E1177" s="267" t="s">
        <v>403</v>
      </c>
      <c r="F1177" s="92" t="s">
        <v>683</v>
      </c>
      <c r="P1177" s="158">
        <v>1</v>
      </c>
      <c r="X1177" s="35">
        <f t="shared" si="104"/>
        <v>45752</v>
      </c>
      <c r="Y1177" s="35">
        <f t="shared" si="105"/>
        <v>45780</v>
      </c>
    </row>
    <row r="1178" spans="1:25">
      <c r="A1178" s="10">
        <f>SUBTOTAL(103,$B$4:B1178)</f>
        <v>1175</v>
      </c>
      <c r="B1178" s="35">
        <v>45752</v>
      </c>
      <c r="C1178" s="23" t="s">
        <v>1254</v>
      </c>
      <c r="D1178" s="3" t="str">
        <f>VLOOKUP(C1178,'Location Summary'!$C$4:$D$678,2,0)</f>
        <v>DA+3</v>
      </c>
      <c r="E1178" s="267" t="s">
        <v>403</v>
      </c>
      <c r="F1178" s="92" t="s">
        <v>683</v>
      </c>
      <c r="O1178" s="156">
        <v>1</v>
      </c>
      <c r="R1178" s="156">
        <v>1</v>
      </c>
      <c r="X1178" s="35">
        <f t="shared" si="104"/>
        <v>45752</v>
      </c>
      <c r="Y1178" s="35">
        <f t="shared" si="105"/>
        <v>45780</v>
      </c>
    </row>
    <row r="1179" spans="1:25">
      <c r="A1179" s="10">
        <f>SUBTOTAL(103,$B$4:B1179)</f>
        <v>1176</v>
      </c>
      <c r="B1179" s="35">
        <v>45752</v>
      </c>
      <c r="C1179" s="23" t="s">
        <v>1261</v>
      </c>
      <c r="D1179" s="3" t="str">
        <f>VLOOKUP(C1179,'Location Summary'!$C$4:$D$678,2,0)</f>
        <v>DA+3</v>
      </c>
      <c r="E1179" s="267" t="s">
        <v>403</v>
      </c>
      <c r="F1179" s="92" t="s">
        <v>311</v>
      </c>
      <c r="M1179" s="158">
        <v>1</v>
      </c>
      <c r="P1179" s="158">
        <v>1</v>
      </c>
      <c r="X1179" s="35">
        <f t="shared" si="104"/>
        <v>45752</v>
      </c>
      <c r="Y1179" s="35">
        <f t="shared" si="105"/>
        <v>45780</v>
      </c>
    </row>
    <row r="1180" spans="1:25">
      <c r="A1180" s="10">
        <f>SUBTOTAL(103,$B$4:B1180)</f>
        <v>1177</v>
      </c>
      <c r="B1180" s="35">
        <v>45753</v>
      </c>
      <c r="C1180" s="23" t="s">
        <v>590</v>
      </c>
      <c r="D1180" s="3" t="str">
        <f>VLOOKUP(C1180,'Location Summary'!$C$4:$D$678,2,0)</f>
        <v>DA-3</v>
      </c>
      <c r="E1180" s="267" t="s">
        <v>403</v>
      </c>
      <c r="F1180" s="92" t="s">
        <v>311</v>
      </c>
      <c r="H1180" s="157">
        <v>1</v>
      </c>
      <c r="X1180" s="35">
        <f t="shared" si="104"/>
        <v>45753</v>
      </c>
      <c r="Y1180" s="35">
        <f t="shared" si="105"/>
        <v>45781</v>
      </c>
    </row>
    <row r="1181" spans="1:25">
      <c r="A1181" s="10">
        <f>SUBTOTAL(103,$B$4:B1181)</f>
        <v>1178</v>
      </c>
      <c r="B1181" s="35">
        <v>45753</v>
      </c>
      <c r="C1181" s="23" t="s">
        <v>1257</v>
      </c>
      <c r="D1181" s="3" t="str">
        <f>VLOOKUP(C1181,'Location Summary'!$C$4:$D$678,2,0)</f>
        <v>DA+3</v>
      </c>
      <c r="E1181" s="267" t="s">
        <v>403</v>
      </c>
      <c r="F1181" s="92" t="s">
        <v>683</v>
      </c>
      <c r="G1181" s="158">
        <v>1</v>
      </c>
      <c r="M1181" s="158">
        <v>1</v>
      </c>
      <c r="P1181" s="158">
        <v>1</v>
      </c>
      <c r="X1181" s="35">
        <f t="shared" si="104"/>
        <v>45753</v>
      </c>
      <c r="Y1181" s="35">
        <f t="shared" si="105"/>
        <v>45781</v>
      </c>
    </row>
    <row r="1182" spans="1:25">
      <c r="A1182" s="10">
        <f>SUBTOTAL(103,$B$4:B1182)</f>
        <v>1179</v>
      </c>
      <c r="B1182" s="35">
        <v>45753</v>
      </c>
      <c r="C1182" s="120" t="s">
        <v>11</v>
      </c>
      <c r="D1182" s="3" t="str">
        <f>VLOOKUP(C1182,'Location Summary'!$C$4:$D$678,2,0)</f>
        <v>DD60+18</v>
      </c>
      <c r="E1182" s="267" t="s">
        <v>403</v>
      </c>
      <c r="F1182" s="92" t="s">
        <v>683</v>
      </c>
      <c r="R1182" s="156">
        <v>0.5</v>
      </c>
      <c r="X1182" s="35">
        <f t="shared" si="104"/>
        <v>45753</v>
      </c>
      <c r="Y1182" s="35">
        <f t="shared" si="105"/>
        <v>45781</v>
      </c>
    </row>
    <row r="1183" spans="1:25">
      <c r="A1183" s="10">
        <f>SUBTOTAL(103,$B$4:B1183)</f>
        <v>1180</v>
      </c>
      <c r="B1183" s="35">
        <v>45753</v>
      </c>
      <c r="C1183" s="23" t="s">
        <v>1261</v>
      </c>
      <c r="D1183" s="3" t="str">
        <f>VLOOKUP(C1183,'Location Summary'!$C$4:$D$678,2,0)</f>
        <v>DA+3</v>
      </c>
      <c r="E1183" s="267" t="s">
        <v>403</v>
      </c>
      <c r="F1183" s="92" t="s">
        <v>311</v>
      </c>
      <c r="G1183" s="158">
        <v>1</v>
      </c>
      <c r="J1183" s="158">
        <v>1</v>
      </c>
      <c r="X1183" s="35">
        <f t="shared" si="104"/>
        <v>45753</v>
      </c>
      <c r="Y1183" s="35">
        <f t="shared" si="105"/>
        <v>45781</v>
      </c>
    </row>
    <row r="1184" spans="1:25">
      <c r="A1184" s="10">
        <f>SUBTOTAL(103,$B$4:B1184)</f>
        <v>1181</v>
      </c>
      <c r="B1184" s="35">
        <v>45754</v>
      </c>
      <c r="C1184" s="23" t="s">
        <v>1257</v>
      </c>
      <c r="D1184" s="3" t="str">
        <f>VLOOKUP(C1184,'Location Summary'!$C$4:$D$678,2,0)</f>
        <v>DA+3</v>
      </c>
      <c r="E1184" s="118" t="s">
        <v>403</v>
      </c>
      <c r="F1184" s="92" t="s">
        <v>683</v>
      </c>
      <c r="H1184" s="157">
        <v>1</v>
      </c>
      <c r="I1184" s="156">
        <v>1</v>
      </c>
      <c r="J1184" s="158">
        <v>1</v>
      </c>
      <c r="N1184" s="157">
        <v>1</v>
      </c>
      <c r="O1184" s="156">
        <v>1</v>
      </c>
      <c r="X1184" s="35">
        <f t="shared" si="104"/>
        <v>45754</v>
      </c>
      <c r="Y1184" s="35">
        <f t="shared" si="105"/>
        <v>45782</v>
      </c>
    </row>
    <row r="1185" spans="1:25">
      <c r="A1185" s="10">
        <f>SUBTOTAL(103,$B$4:B1185)</f>
        <v>1182</v>
      </c>
      <c r="B1185" s="35">
        <v>45754</v>
      </c>
      <c r="C1185" s="23" t="s">
        <v>11</v>
      </c>
      <c r="D1185" s="3" t="str">
        <f>VLOOKUP(C1185,'Location Summary'!$C$4:$D$678,2,0)</f>
        <v>DD60+18</v>
      </c>
      <c r="E1185" s="118" t="s">
        <v>403</v>
      </c>
      <c r="F1185" s="92" t="s">
        <v>683</v>
      </c>
      <c r="M1185" s="158">
        <v>1</v>
      </c>
      <c r="R1185" s="156">
        <v>0.5</v>
      </c>
      <c r="X1185" s="35">
        <f t="shared" si="104"/>
        <v>45754</v>
      </c>
      <c r="Y1185" s="35">
        <f t="shared" si="105"/>
        <v>45782</v>
      </c>
    </row>
    <row r="1186" spans="1:25">
      <c r="A1186" s="10">
        <f>SUBTOTAL(103,$B$4:B1186)</f>
        <v>1183</v>
      </c>
      <c r="B1186" s="35">
        <v>45754</v>
      </c>
      <c r="C1186" s="23" t="s">
        <v>1261</v>
      </c>
      <c r="D1186" s="3" t="str">
        <f>VLOOKUP(C1186,'Location Summary'!$C$4:$D$678,2,0)</f>
        <v>DA+3</v>
      </c>
      <c r="E1186" s="118" t="s">
        <v>403</v>
      </c>
      <c r="F1186" s="92" t="s">
        <v>311</v>
      </c>
      <c r="H1186" s="157">
        <v>1</v>
      </c>
      <c r="K1186" s="157">
        <v>1</v>
      </c>
      <c r="N1186" s="157">
        <v>1</v>
      </c>
      <c r="O1186" s="156">
        <v>1</v>
      </c>
      <c r="Q1186" s="157">
        <v>1</v>
      </c>
      <c r="R1186" s="156">
        <v>1</v>
      </c>
      <c r="X1186" s="35">
        <f t="shared" si="104"/>
        <v>45754</v>
      </c>
      <c r="Y1186" s="35">
        <f t="shared" si="105"/>
        <v>45782</v>
      </c>
    </row>
    <row r="1187" spans="1:25">
      <c r="A1187" s="10">
        <f>SUBTOTAL(103,$B$4:B1187)</f>
        <v>1184</v>
      </c>
      <c r="B1187" s="35">
        <v>45755</v>
      </c>
      <c r="C1187" s="23" t="s">
        <v>590</v>
      </c>
      <c r="D1187" s="3" t="str">
        <f>VLOOKUP(C1187,'Location Summary'!$C$4:$D$678,2,0)</f>
        <v>DA-3</v>
      </c>
      <c r="E1187" s="118" t="s">
        <v>403</v>
      </c>
      <c r="F1187" s="92" t="s">
        <v>683</v>
      </c>
      <c r="I1187" s="156">
        <v>1</v>
      </c>
      <c r="M1187" s="158">
        <v>1</v>
      </c>
      <c r="R1187" s="156">
        <v>1</v>
      </c>
      <c r="X1187" s="35">
        <f t="shared" si="104"/>
        <v>45755</v>
      </c>
      <c r="Y1187" s="35">
        <f t="shared" si="105"/>
        <v>45783</v>
      </c>
    </row>
    <row r="1188" spans="1:25">
      <c r="A1188" s="10">
        <f>SUBTOTAL(103,$B$4:B1188)</f>
        <v>1185</v>
      </c>
      <c r="B1188" s="35">
        <v>45755</v>
      </c>
      <c r="C1188" s="23" t="s">
        <v>1257</v>
      </c>
      <c r="D1188" s="3" t="str">
        <f>VLOOKUP(C1188,'Location Summary'!$C$4:$D$678,2,0)</f>
        <v>DA+3</v>
      </c>
      <c r="E1188" s="118" t="s">
        <v>403</v>
      </c>
      <c r="F1188" s="92" t="s">
        <v>683</v>
      </c>
      <c r="K1188" s="157">
        <v>1</v>
      </c>
      <c r="L1188" s="156">
        <v>1</v>
      </c>
      <c r="Q1188" s="157">
        <v>1</v>
      </c>
      <c r="R1188" s="156">
        <v>1</v>
      </c>
      <c r="X1188" s="35">
        <f t="shared" si="104"/>
        <v>45755</v>
      </c>
      <c r="Y1188" s="35">
        <f t="shared" si="105"/>
        <v>45783</v>
      </c>
    </row>
    <row r="1189" spans="1:25">
      <c r="A1189" s="10">
        <f>SUBTOTAL(103,$B$4:B1189)</f>
        <v>1186</v>
      </c>
      <c r="B1189" s="35">
        <v>45755</v>
      </c>
      <c r="C1189" s="23" t="s">
        <v>1261</v>
      </c>
      <c r="D1189" s="3" t="str">
        <f>VLOOKUP(C1189,'Location Summary'!$C$4:$D$678,2,0)</f>
        <v>DA+3</v>
      </c>
      <c r="E1189" s="267" t="s">
        <v>403</v>
      </c>
      <c r="F1189" s="92" t="s">
        <v>683</v>
      </c>
      <c r="I1189" s="156">
        <v>1</v>
      </c>
      <c r="L1189" s="156">
        <v>1</v>
      </c>
      <c r="X1189" s="35">
        <f t="shared" si="104"/>
        <v>45755</v>
      </c>
      <c r="Y1189" s="35">
        <f t="shared" si="105"/>
        <v>45783</v>
      </c>
    </row>
    <row r="1190" spans="1:25">
      <c r="A1190" s="10">
        <f>SUBTOTAL(103,$B$4:B1190)</f>
        <v>1187</v>
      </c>
      <c r="B1190" s="35">
        <v>45755</v>
      </c>
      <c r="C1190" s="23" t="s">
        <v>875</v>
      </c>
      <c r="D1190" s="3" t="s">
        <v>1416</v>
      </c>
      <c r="E1190" s="118" t="s">
        <v>403</v>
      </c>
      <c r="F1190" s="92" t="s">
        <v>683</v>
      </c>
      <c r="I1190" s="156">
        <v>0.5</v>
      </c>
      <c r="L1190" s="156">
        <v>0.5</v>
      </c>
      <c r="O1190" s="156">
        <v>0.5</v>
      </c>
      <c r="R1190" s="156">
        <v>0.5</v>
      </c>
      <c r="X1190" s="35">
        <f t="shared" si="104"/>
        <v>45755</v>
      </c>
      <c r="Y1190" s="35">
        <f t="shared" si="105"/>
        <v>45783</v>
      </c>
    </row>
    <row r="1191" spans="1:25">
      <c r="A1191" s="10">
        <f>SUBTOTAL(103,$B$4:B1191)</f>
        <v>1188</v>
      </c>
      <c r="B1191" s="35">
        <v>45756</v>
      </c>
      <c r="C1191" s="23" t="s">
        <v>1260</v>
      </c>
      <c r="D1191" s="3" t="str">
        <f>VLOOKUP(C1191,'Location Summary'!$C$4:$D$678,2,0)</f>
        <v>DA+0</v>
      </c>
      <c r="E1191" s="118" t="s">
        <v>403</v>
      </c>
      <c r="F1191" s="92" t="s">
        <v>311</v>
      </c>
      <c r="G1191" s="158">
        <v>1</v>
      </c>
      <c r="H1191" s="157">
        <v>1</v>
      </c>
      <c r="J1191" s="158">
        <v>1</v>
      </c>
      <c r="K1191" s="157">
        <v>1</v>
      </c>
      <c r="M1191" s="158">
        <v>1</v>
      </c>
      <c r="P1191" s="158">
        <v>1</v>
      </c>
      <c r="X1191" s="35">
        <f t="shared" si="104"/>
        <v>45756</v>
      </c>
      <c r="Y1191" s="35">
        <f t="shared" si="105"/>
        <v>45784</v>
      </c>
    </row>
    <row r="1192" spans="1:25">
      <c r="A1192" s="10">
        <f>SUBTOTAL(103,$B$4:B1192)</f>
        <v>1189</v>
      </c>
      <c r="B1192" s="35">
        <v>45757</v>
      </c>
      <c r="C1192" s="23" t="s">
        <v>11</v>
      </c>
      <c r="D1192" s="3" t="str">
        <f>VLOOKUP(C1192,'Location Summary'!$C$4:$D$678,2,0)</f>
        <v>DD60+18</v>
      </c>
      <c r="E1192" s="118" t="s">
        <v>403</v>
      </c>
      <c r="F1192" s="92" t="s">
        <v>683</v>
      </c>
      <c r="O1192" s="156">
        <v>0.5</v>
      </c>
      <c r="X1192" s="35">
        <f t="shared" si="104"/>
        <v>45757</v>
      </c>
      <c r="Y1192" s="35">
        <f t="shared" si="105"/>
        <v>45785</v>
      </c>
    </row>
    <row r="1193" spans="1:25">
      <c r="A1193" s="10">
        <f>SUBTOTAL(103,$B$4:B1193)</f>
        <v>1190</v>
      </c>
      <c r="B1193" s="35">
        <v>45757</v>
      </c>
      <c r="C1193" s="23" t="s">
        <v>1260</v>
      </c>
      <c r="D1193" s="3" t="str">
        <f>VLOOKUP(C1193,'Location Summary'!$C$4:$D$678,2,0)</f>
        <v>DA+0</v>
      </c>
      <c r="E1193" s="118" t="s">
        <v>403</v>
      </c>
      <c r="F1193" s="92" t="s">
        <v>683</v>
      </c>
      <c r="I1193" s="156">
        <v>1</v>
      </c>
      <c r="L1193" s="156">
        <v>1</v>
      </c>
      <c r="N1193" s="157">
        <v>1</v>
      </c>
      <c r="O1193" s="156">
        <v>1</v>
      </c>
      <c r="Q1193" s="157">
        <v>1</v>
      </c>
      <c r="R1193" s="156">
        <v>1</v>
      </c>
      <c r="X1193" s="35">
        <f t="shared" si="104"/>
        <v>45757</v>
      </c>
      <c r="Y1193" s="35">
        <f t="shared" si="105"/>
        <v>45785</v>
      </c>
    </row>
    <row r="1194" spans="1:25">
      <c r="A1194" s="10">
        <f>SUBTOTAL(103,$B$4:B1194)</f>
        <v>1191</v>
      </c>
      <c r="B1194" s="35">
        <v>45758</v>
      </c>
      <c r="C1194" s="23" t="s">
        <v>590</v>
      </c>
      <c r="D1194" s="3" t="str">
        <f>VLOOKUP(C1194,'Location Summary'!$C$4:$D$678,2,0)</f>
        <v>DA-3</v>
      </c>
      <c r="E1194" s="118" t="s">
        <v>403</v>
      </c>
      <c r="F1194" s="92" t="s">
        <v>683</v>
      </c>
      <c r="J1194" s="158">
        <v>1</v>
      </c>
      <c r="K1194" s="157">
        <v>1</v>
      </c>
      <c r="N1194" s="157">
        <v>1</v>
      </c>
      <c r="X1194" s="35">
        <f t="shared" si="104"/>
        <v>45758</v>
      </c>
      <c r="Y1194" s="35">
        <f t="shared" si="105"/>
        <v>45786</v>
      </c>
    </row>
    <row r="1195" spans="1:25">
      <c r="A1195" s="10">
        <f>SUBTOTAL(103,$B$4:B1195)</f>
        <v>1192</v>
      </c>
      <c r="B1195" s="35">
        <v>45758</v>
      </c>
      <c r="C1195" s="23" t="s">
        <v>1256</v>
      </c>
      <c r="D1195" s="3" t="str">
        <f>VLOOKUP(C1195,'Location Summary'!$C$4:$D$678,2,0)</f>
        <v>DD45+3</v>
      </c>
      <c r="E1195" s="118" t="s">
        <v>403</v>
      </c>
      <c r="F1195" s="92" t="s">
        <v>683</v>
      </c>
      <c r="J1195" s="158">
        <v>1</v>
      </c>
      <c r="X1195" s="35">
        <f t="shared" si="104"/>
        <v>45758</v>
      </c>
      <c r="Y1195" s="35">
        <f t="shared" si="105"/>
        <v>45786</v>
      </c>
    </row>
    <row r="1196" spans="1:25">
      <c r="A1196" s="10">
        <f>SUBTOTAL(103,$B$4:B1196)</f>
        <v>1193</v>
      </c>
      <c r="B1196" s="35">
        <v>45758</v>
      </c>
      <c r="C1196" s="23" t="s">
        <v>11</v>
      </c>
      <c r="D1196" s="3" t="str">
        <f>VLOOKUP(C1196,'Location Summary'!$C$4:$D$678,2,0)</f>
        <v>DD60+18</v>
      </c>
      <c r="E1196" s="118" t="s">
        <v>403</v>
      </c>
      <c r="F1196" s="92" t="s">
        <v>683</v>
      </c>
      <c r="G1196" s="158">
        <v>1</v>
      </c>
      <c r="X1196" s="35">
        <f t="shared" si="104"/>
        <v>45758</v>
      </c>
      <c r="Y1196" s="35">
        <f t="shared" si="105"/>
        <v>45786</v>
      </c>
    </row>
    <row r="1197" spans="1:25">
      <c r="A1197" s="10">
        <f>SUBTOTAL(103,$B$4:B1197)</f>
        <v>1194</v>
      </c>
      <c r="B1197" s="35">
        <v>45758</v>
      </c>
      <c r="C1197" s="23" t="s">
        <v>181</v>
      </c>
      <c r="D1197" s="3" t="str">
        <f>VLOOKUP(C1197,'Location Summary'!$C$4:$D$678,2,0)</f>
        <v>DA+6</v>
      </c>
      <c r="E1197" s="118" t="s">
        <v>403</v>
      </c>
      <c r="F1197" s="92" t="s">
        <v>683</v>
      </c>
      <c r="G1197" s="158">
        <v>1</v>
      </c>
      <c r="J1197" s="158">
        <v>1</v>
      </c>
      <c r="X1197" s="35">
        <f t="shared" si="104"/>
        <v>45758</v>
      </c>
      <c r="Y1197" s="35">
        <f t="shared" si="105"/>
        <v>45786</v>
      </c>
    </row>
    <row r="1198" spans="1:25">
      <c r="A1198" s="10">
        <f>SUBTOTAL(103,$B$4:B1198)</f>
        <v>1195</v>
      </c>
      <c r="B1198" s="35">
        <v>45758</v>
      </c>
      <c r="C1198" s="23" t="s">
        <v>1259</v>
      </c>
      <c r="D1198" s="3" t="str">
        <f>VLOOKUP(C1198,'Location Summary'!$C$4:$D$678,2,0)</f>
        <v>DA+0</v>
      </c>
      <c r="E1198" s="118" t="s">
        <v>403</v>
      </c>
      <c r="F1198" s="92" t="s">
        <v>683</v>
      </c>
      <c r="G1198" s="158">
        <v>1</v>
      </c>
      <c r="J1198" s="158">
        <v>1</v>
      </c>
      <c r="M1198" s="158">
        <v>1</v>
      </c>
      <c r="P1198" s="158">
        <v>1</v>
      </c>
      <c r="X1198" s="35">
        <f t="shared" si="104"/>
        <v>45758</v>
      </c>
      <c r="Y1198" s="35">
        <f t="shared" si="105"/>
        <v>45786</v>
      </c>
    </row>
    <row r="1199" spans="1:25">
      <c r="A1199" s="10">
        <f>SUBTOTAL(103,$B$4:B1199)</f>
        <v>1196</v>
      </c>
      <c r="B1199" s="35">
        <v>45758</v>
      </c>
      <c r="C1199" s="23" t="s">
        <v>876</v>
      </c>
      <c r="D1199" s="3" t="str">
        <f>VLOOKUP(C1199,'Location Summary'!$C$4:$D$678,2,0)</f>
        <v>DA+9</v>
      </c>
      <c r="E1199" s="118" t="s">
        <v>403</v>
      </c>
      <c r="F1199" s="92" t="s">
        <v>683</v>
      </c>
      <c r="I1199" s="156">
        <v>0.5</v>
      </c>
      <c r="L1199" s="156">
        <v>0.5</v>
      </c>
      <c r="O1199" s="156">
        <v>0.5</v>
      </c>
      <c r="R1199" s="156">
        <v>0.5</v>
      </c>
      <c r="X1199" s="35">
        <f t="shared" si="104"/>
        <v>45758</v>
      </c>
      <c r="Y1199" s="35">
        <f t="shared" si="105"/>
        <v>45786</v>
      </c>
    </row>
    <row r="1200" spans="1:25">
      <c r="A1200" s="10">
        <f>SUBTOTAL(103,$B$4:B1200)</f>
        <v>1197</v>
      </c>
      <c r="B1200" s="35">
        <v>45759</v>
      </c>
      <c r="C1200" s="23" t="s">
        <v>590</v>
      </c>
      <c r="D1200" s="3" t="str">
        <f>VLOOKUP(C1200,'Location Summary'!$C$4:$D$678,2,0)</f>
        <v>DA-3</v>
      </c>
      <c r="E1200" s="118" t="s">
        <v>403</v>
      </c>
      <c r="F1200" s="92" t="s">
        <v>683</v>
      </c>
      <c r="L1200" s="156">
        <v>1</v>
      </c>
      <c r="O1200" s="156">
        <v>1</v>
      </c>
      <c r="X1200" s="35">
        <f t="shared" si="104"/>
        <v>45759</v>
      </c>
      <c r="Y1200" s="35">
        <f t="shared" si="105"/>
        <v>45787</v>
      </c>
    </row>
    <row r="1201" spans="1:25">
      <c r="A1201" s="10">
        <f>SUBTOTAL(103,$B$4:B1201)</f>
        <v>1198</v>
      </c>
      <c r="B1201" s="35">
        <v>45759</v>
      </c>
      <c r="C1201" s="23" t="s">
        <v>181</v>
      </c>
      <c r="D1201" s="3" t="str">
        <f>VLOOKUP(C1201,'Location Summary'!$C$4:$D$678,2,0)</f>
        <v>DA+6</v>
      </c>
      <c r="E1201" s="118" t="s">
        <v>403</v>
      </c>
      <c r="F1201" s="92" t="s">
        <v>683</v>
      </c>
      <c r="H1201" s="157">
        <v>1</v>
      </c>
      <c r="K1201" s="157">
        <v>1</v>
      </c>
      <c r="M1201" s="158">
        <v>1</v>
      </c>
      <c r="X1201" s="35">
        <f t="shared" ref="X1201:X1207" si="106">B1201</f>
        <v>45759</v>
      </c>
      <c r="Y1201" s="35">
        <f t="shared" ref="Y1201:Y1207" si="107">B1201+28</f>
        <v>45787</v>
      </c>
    </row>
    <row r="1202" spans="1:25">
      <c r="A1202" s="10">
        <f>SUBTOTAL(103,$B$4:B1202)</f>
        <v>1199</v>
      </c>
      <c r="B1202" s="35">
        <v>45759</v>
      </c>
      <c r="C1202" s="23" t="s">
        <v>1259</v>
      </c>
      <c r="D1202" s="3" t="str">
        <f>VLOOKUP(C1202,'Location Summary'!$C$4:$D$678,2,0)</f>
        <v>DA+0</v>
      </c>
      <c r="E1202" s="118" t="s">
        <v>403</v>
      </c>
      <c r="F1202" s="92" t="s">
        <v>683</v>
      </c>
      <c r="H1202" s="157">
        <v>1</v>
      </c>
      <c r="I1202" s="156">
        <v>1</v>
      </c>
      <c r="K1202" s="157">
        <v>1</v>
      </c>
      <c r="L1202" s="156">
        <v>1</v>
      </c>
      <c r="N1202" s="157">
        <v>1</v>
      </c>
      <c r="O1202" s="156">
        <v>1</v>
      </c>
      <c r="Q1202" s="157">
        <v>1</v>
      </c>
      <c r="R1202" s="156">
        <v>1</v>
      </c>
      <c r="X1202" s="35">
        <f t="shared" si="106"/>
        <v>45759</v>
      </c>
      <c r="Y1202" s="35">
        <f t="shared" si="107"/>
        <v>45787</v>
      </c>
    </row>
    <row r="1203" spans="1:25">
      <c r="A1203" s="10">
        <f>SUBTOTAL(103,$B$4:B1203)</f>
        <v>1200</v>
      </c>
      <c r="B1203" s="35">
        <v>45759</v>
      </c>
      <c r="C1203" s="23" t="s">
        <v>589</v>
      </c>
      <c r="D1203" s="3" t="str">
        <f>VLOOKUP(C1203,'Location Summary'!$C$4:$D$678,2,0)</f>
        <v>DA+6</v>
      </c>
      <c r="E1203" s="118" t="s">
        <v>403</v>
      </c>
      <c r="F1203" s="92" t="s">
        <v>311</v>
      </c>
      <c r="J1203" s="158">
        <v>1</v>
      </c>
      <c r="X1203" s="35">
        <f t="shared" si="106"/>
        <v>45759</v>
      </c>
      <c r="Y1203" s="35">
        <f t="shared" si="107"/>
        <v>45787</v>
      </c>
    </row>
    <row r="1204" spans="1:25">
      <c r="A1204" s="10">
        <f>SUBTOTAL(103,$B$4:B1204)</f>
        <v>1201</v>
      </c>
      <c r="B1204" s="35">
        <v>45760</v>
      </c>
      <c r="C1204" s="23" t="s">
        <v>589</v>
      </c>
      <c r="D1204" s="3" t="str">
        <f>VLOOKUP(C1204,'Location Summary'!$C$4:$D$678,2,0)</f>
        <v>DA+6</v>
      </c>
      <c r="E1204" s="118" t="s">
        <v>403</v>
      </c>
      <c r="F1204" s="92" t="s">
        <v>311</v>
      </c>
      <c r="G1204" s="158">
        <v>1</v>
      </c>
      <c r="K1204" s="157">
        <v>1</v>
      </c>
      <c r="L1204" s="156">
        <v>1</v>
      </c>
      <c r="P1204" s="158">
        <v>1</v>
      </c>
      <c r="X1204" s="35">
        <f t="shared" si="106"/>
        <v>45760</v>
      </c>
      <c r="Y1204" s="35">
        <f t="shared" si="107"/>
        <v>45788</v>
      </c>
    </row>
    <row r="1205" spans="1:25">
      <c r="A1205" s="10">
        <f>SUBTOTAL(103,$B$4:B1205)</f>
        <v>1202</v>
      </c>
      <c r="B1205" s="35">
        <v>45760</v>
      </c>
      <c r="C1205" s="23" t="s">
        <v>1256</v>
      </c>
      <c r="D1205" s="3" t="str">
        <f>VLOOKUP(C1205,'Location Summary'!$C$4:$D$678,2,0)</f>
        <v>DD45+3</v>
      </c>
      <c r="E1205" s="118" t="s">
        <v>403</v>
      </c>
      <c r="F1205" s="92" t="s">
        <v>683</v>
      </c>
      <c r="P1205" s="158">
        <v>1</v>
      </c>
      <c r="X1205" s="35">
        <f t="shared" si="106"/>
        <v>45760</v>
      </c>
      <c r="Y1205" s="35">
        <f t="shared" si="107"/>
        <v>45788</v>
      </c>
    </row>
    <row r="1206" spans="1:25">
      <c r="A1206" s="10">
        <f>SUBTOTAL(103,$B$4:B1206)</f>
        <v>1203</v>
      </c>
      <c r="B1206" s="35">
        <v>45760</v>
      </c>
      <c r="C1206" s="23" t="s">
        <v>11</v>
      </c>
      <c r="D1206" s="3" t="str">
        <f>VLOOKUP(C1206,'Location Summary'!$C$4:$D$678,2,0)</f>
        <v>DD60+18</v>
      </c>
      <c r="E1206" s="118" t="s">
        <v>403</v>
      </c>
      <c r="F1206" s="92" t="s">
        <v>683</v>
      </c>
      <c r="I1206" s="156">
        <v>0.5</v>
      </c>
      <c r="J1206" s="158">
        <v>1</v>
      </c>
      <c r="X1206" s="35">
        <f t="shared" si="106"/>
        <v>45760</v>
      </c>
      <c r="Y1206" s="35">
        <f t="shared" si="107"/>
        <v>45788</v>
      </c>
    </row>
    <row r="1207" spans="1:25">
      <c r="A1207" s="10">
        <f>SUBTOTAL(103,$B$4:B1207)</f>
        <v>1204</v>
      </c>
      <c r="B1207" s="35">
        <v>45761</v>
      </c>
      <c r="C1207" s="23" t="s">
        <v>589</v>
      </c>
      <c r="D1207" s="3" t="str">
        <f>VLOOKUP(C1207,'Location Summary'!$C$4:$D$678,2,0)</f>
        <v>DA+6</v>
      </c>
      <c r="E1207" s="118" t="s">
        <v>403</v>
      </c>
      <c r="F1207" s="92" t="s">
        <v>683</v>
      </c>
      <c r="H1207" s="157">
        <v>1</v>
      </c>
      <c r="I1207" s="156">
        <v>1</v>
      </c>
      <c r="M1207" s="158">
        <v>1</v>
      </c>
      <c r="Q1207" s="157">
        <v>1</v>
      </c>
      <c r="R1207" s="156">
        <v>1</v>
      </c>
      <c r="X1207" s="35">
        <f t="shared" si="106"/>
        <v>45761</v>
      </c>
      <c r="Y1207" s="35">
        <f t="shared" si="107"/>
        <v>45789</v>
      </c>
    </row>
    <row r="1208" spans="1:25">
      <c r="A1208" s="10">
        <f>SUBTOTAL(103,$B$4:B1208)</f>
        <v>1205</v>
      </c>
      <c r="B1208" s="35">
        <v>45761</v>
      </c>
      <c r="C1208" s="23" t="s">
        <v>11</v>
      </c>
      <c r="D1208" s="3" t="str">
        <f>VLOOKUP(C1208,'Location Summary'!$C$4:$D$678,2,0)</f>
        <v>DD60+18</v>
      </c>
      <c r="E1208" s="118" t="s">
        <v>403</v>
      </c>
      <c r="F1208" s="92" t="s">
        <v>683</v>
      </c>
      <c r="L1208" s="156">
        <v>0.5</v>
      </c>
      <c r="X1208" s="35">
        <f>B1208</f>
        <v>45761</v>
      </c>
      <c r="Y1208" s="35">
        <f>B1208+28</f>
        <v>45789</v>
      </c>
    </row>
    <row r="1209" spans="1:25">
      <c r="A1209" s="10">
        <f>SUBTOTAL(103,$B$4:B1209)</f>
        <v>1206</v>
      </c>
      <c r="B1209" s="35">
        <v>45761</v>
      </c>
      <c r="C1209" s="23" t="s">
        <v>1258</v>
      </c>
      <c r="D1209" s="3" t="str">
        <f>VLOOKUP(C1209,'Location Summary'!$C$4:$D$678,2,0)</f>
        <v>DA+3</v>
      </c>
      <c r="E1209" s="118" t="s">
        <v>403</v>
      </c>
      <c r="F1209" s="92" t="s">
        <v>683</v>
      </c>
      <c r="G1209" s="158">
        <v>1</v>
      </c>
      <c r="J1209" s="158">
        <v>1</v>
      </c>
      <c r="M1209" s="158">
        <v>1</v>
      </c>
      <c r="P1209" s="158">
        <v>1</v>
      </c>
      <c r="X1209" s="35">
        <f>B1209</f>
        <v>45761</v>
      </c>
      <c r="Y1209" s="35">
        <f>B1209+28</f>
        <v>45789</v>
      </c>
    </row>
    <row r="1210" spans="1:25">
      <c r="A1210" s="10">
        <f>SUBTOTAL(103,$B$4:B1210)</f>
        <v>1207</v>
      </c>
      <c r="B1210" s="35">
        <v>45761</v>
      </c>
      <c r="C1210" s="23" t="s">
        <v>68</v>
      </c>
      <c r="D1210" s="3" t="str">
        <f>VLOOKUP(C1210,'Location Summary'!$C$4:$D$678,2,0)</f>
        <v>DA+9</v>
      </c>
      <c r="E1210" s="118" t="s">
        <v>403</v>
      </c>
      <c r="F1210" s="92" t="s">
        <v>683</v>
      </c>
      <c r="I1210" s="156">
        <v>0.5</v>
      </c>
      <c r="L1210" s="156">
        <v>0.5</v>
      </c>
      <c r="O1210" s="156">
        <v>0.5</v>
      </c>
      <c r="R1210" s="156">
        <v>0.5</v>
      </c>
      <c r="X1210" s="35">
        <f>B1210</f>
        <v>45761</v>
      </c>
      <c r="Y1210" s="35">
        <f>B1210+28</f>
        <v>45789</v>
      </c>
    </row>
    <row r="1211" spans="1:25">
      <c r="A1211" s="10">
        <f>SUBTOTAL(103,$B$4:B1211)</f>
        <v>1208</v>
      </c>
      <c r="B1211" s="35">
        <v>45762</v>
      </c>
      <c r="C1211" s="23" t="s">
        <v>589</v>
      </c>
      <c r="D1211" s="3" t="str">
        <f>VLOOKUP(C1211,'Location Summary'!$C$4:$D$678,2,0)</f>
        <v>DA+6</v>
      </c>
      <c r="E1211" s="118" t="s">
        <v>403</v>
      </c>
      <c r="F1211" s="92" t="s">
        <v>683</v>
      </c>
      <c r="N1211" s="157">
        <v>1</v>
      </c>
      <c r="O1211" s="156">
        <v>1</v>
      </c>
      <c r="X1211" s="35">
        <f>B1211</f>
        <v>45762</v>
      </c>
      <c r="Y1211" s="35">
        <f>B1211+28</f>
        <v>45790</v>
      </c>
    </row>
    <row r="1212" spans="1:25">
      <c r="A1212" s="10">
        <f>SUBTOTAL(103,$B$4:B1212)</f>
        <v>1209</v>
      </c>
      <c r="B1212" s="35">
        <v>45762</v>
      </c>
      <c r="C1212" s="23" t="s">
        <v>1256</v>
      </c>
      <c r="D1212" s="3" t="str">
        <f>VLOOKUP(C1212,'Location Summary'!$C$4:$D$678,2,0)</f>
        <v>DD45+3</v>
      </c>
      <c r="E1212" s="118" t="s">
        <v>403</v>
      </c>
      <c r="F1212" s="92" t="s">
        <v>683</v>
      </c>
      <c r="L1212" s="156">
        <v>1</v>
      </c>
      <c r="R1212" s="156">
        <v>1</v>
      </c>
      <c r="X1212" s="35">
        <f t="shared" ref="X1212:X1229" si="108">B1212</f>
        <v>45762</v>
      </c>
      <c r="Y1212" s="35">
        <f t="shared" ref="Y1212:Y1229" si="109">B1212+28</f>
        <v>45790</v>
      </c>
    </row>
    <row r="1213" spans="1:25">
      <c r="A1213" s="10">
        <f>SUBTOTAL(103,$B$4:B1213)</f>
        <v>1210</v>
      </c>
      <c r="B1213" s="35">
        <v>45762</v>
      </c>
      <c r="C1213" s="23" t="s">
        <v>11</v>
      </c>
      <c r="D1213" s="3" t="str">
        <f>VLOOKUP(C1213,'Location Summary'!$C$4:$D$678,2,0)</f>
        <v>DD60+18</v>
      </c>
      <c r="E1213" s="118" t="s">
        <v>403</v>
      </c>
      <c r="F1213" s="92" t="s">
        <v>683</v>
      </c>
      <c r="I1213" s="156">
        <v>0.5</v>
      </c>
      <c r="O1213" s="156">
        <v>0.5</v>
      </c>
      <c r="X1213" s="35">
        <f t="shared" si="108"/>
        <v>45762</v>
      </c>
      <c r="Y1213" s="35">
        <f t="shared" si="109"/>
        <v>45790</v>
      </c>
    </row>
    <row r="1214" spans="1:25">
      <c r="A1214" s="10">
        <f>SUBTOTAL(103,$B$4:B1214)</f>
        <v>1211</v>
      </c>
      <c r="B1214" s="35">
        <v>45762</v>
      </c>
      <c r="C1214" s="23" t="s">
        <v>1258</v>
      </c>
      <c r="D1214" s="3" t="str">
        <f>VLOOKUP(C1214,'Location Summary'!$C$4:$D$678,2,0)</f>
        <v>DA+3</v>
      </c>
      <c r="E1214" s="118" t="s">
        <v>403</v>
      </c>
      <c r="F1214" s="92" t="s">
        <v>683</v>
      </c>
      <c r="H1214" s="157">
        <v>1</v>
      </c>
      <c r="I1214" s="156">
        <v>1</v>
      </c>
      <c r="K1214" s="157">
        <v>1</v>
      </c>
      <c r="L1214" s="156">
        <v>1</v>
      </c>
      <c r="N1214" s="157">
        <v>1</v>
      </c>
      <c r="O1214" s="156">
        <v>1</v>
      </c>
      <c r="Q1214" s="157">
        <v>1</v>
      </c>
      <c r="R1214" s="156">
        <v>1</v>
      </c>
      <c r="X1214" s="35">
        <f t="shared" si="108"/>
        <v>45762</v>
      </c>
      <c r="Y1214" s="35">
        <f t="shared" si="109"/>
        <v>45790</v>
      </c>
    </row>
    <row r="1215" spans="1:25">
      <c r="A1215" s="10">
        <f>SUBTOTAL(103,$B$4:B1215)</f>
        <v>1212</v>
      </c>
      <c r="B1215" s="35">
        <v>45763</v>
      </c>
      <c r="C1215" s="23" t="s">
        <v>1256</v>
      </c>
      <c r="D1215" s="3" t="str">
        <f>VLOOKUP(C1215,'Location Summary'!$C$4:$D$678,2,0)</f>
        <v>DD45+3</v>
      </c>
      <c r="E1215" s="118" t="s">
        <v>403</v>
      </c>
      <c r="F1215" s="92" t="s">
        <v>683</v>
      </c>
      <c r="G1215" s="158">
        <v>1</v>
      </c>
      <c r="X1215" s="35">
        <f t="shared" si="108"/>
        <v>45763</v>
      </c>
      <c r="Y1215" s="35">
        <f t="shared" si="109"/>
        <v>45791</v>
      </c>
    </row>
    <row r="1216" spans="1:25">
      <c r="A1216" s="10">
        <f>SUBTOTAL(103,$B$4:B1216)</f>
        <v>1213</v>
      </c>
      <c r="B1216" s="35">
        <v>45763</v>
      </c>
      <c r="C1216" s="23" t="s">
        <v>11</v>
      </c>
      <c r="D1216" s="3" t="str">
        <f>VLOOKUP(C1216,'Location Summary'!$C$4:$D$678,2,0)</f>
        <v>DD60+18</v>
      </c>
      <c r="E1216" s="118" t="s">
        <v>403</v>
      </c>
      <c r="F1216" s="92" t="s">
        <v>683</v>
      </c>
      <c r="L1216" s="156">
        <v>0.5</v>
      </c>
      <c r="X1216" s="35">
        <f t="shared" si="108"/>
        <v>45763</v>
      </c>
      <c r="Y1216" s="35">
        <f t="shared" si="109"/>
        <v>45791</v>
      </c>
    </row>
    <row r="1217" spans="1:25">
      <c r="A1217" s="10">
        <f>SUBTOTAL(103,$B$4:B1217)</f>
        <v>1214</v>
      </c>
      <c r="B1217" s="35">
        <v>45764</v>
      </c>
      <c r="C1217" s="23" t="s">
        <v>1256</v>
      </c>
      <c r="D1217" s="3" t="str">
        <f>VLOOKUP(C1217,'Location Summary'!$C$4:$D$678,2,0)</f>
        <v>DD45+3</v>
      </c>
      <c r="E1217" s="118" t="s">
        <v>403</v>
      </c>
      <c r="F1217" s="92" t="s">
        <v>683</v>
      </c>
      <c r="M1217" s="158">
        <v>1</v>
      </c>
      <c r="X1217" s="35">
        <f t="shared" si="108"/>
        <v>45764</v>
      </c>
      <c r="Y1217" s="35">
        <f t="shared" si="109"/>
        <v>45792</v>
      </c>
    </row>
    <row r="1218" spans="1:25">
      <c r="A1218" s="10">
        <f>SUBTOTAL(103,$B$4:B1218)</f>
        <v>1215</v>
      </c>
      <c r="B1218" s="35">
        <v>45764</v>
      </c>
      <c r="C1218" s="23" t="s">
        <v>67</v>
      </c>
      <c r="D1218" s="3" t="str">
        <f>VLOOKUP(C1218,'Location Summary'!$C$4:$D$678,2,0)</f>
        <v>DB1+9</v>
      </c>
      <c r="E1218" s="118" t="s">
        <v>403</v>
      </c>
      <c r="F1218" s="92" t="s">
        <v>683</v>
      </c>
      <c r="I1218" s="156">
        <v>0.5</v>
      </c>
      <c r="L1218" s="156">
        <v>0.5</v>
      </c>
      <c r="O1218" s="156">
        <v>0.5</v>
      </c>
      <c r="R1218" s="156">
        <v>0.5</v>
      </c>
      <c r="X1218" s="35">
        <f t="shared" si="108"/>
        <v>45764</v>
      </c>
      <c r="Y1218" s="35">
        <f t="shared" si="109"/>
        <v>45792</v>
      </c>
    </row>
    <row r="1219" spans="1:25">
      <c r="A1219" s="10">
        <f>SUBTOTAL(103,$B$4:B1219)</f>
        <v>1216</v>
      </c>
      <c r="B1219" s="35">
        <v>45765</v>
      </c>
      <c r="C1219" s="23" t="s">
        <v>1256</v>
      </c>
      <c r="D1219" s="3" t="str">
        <f>VLOOKUP(C1219,'Location Summary'!$C$4:$D$678,2,0)</f>
        <v>DD45+3</v>
      </c>
      <c r="E1219" s="118" t="s">
        <v>403</v>
      </c>
      <c r="F1219" s="92" t="s">
        <v>683</v>
      </c>
      <c r="I1219" s="156">
        <v>1</v>
      </c>
      <c r="O1219" s="156">
        <v>1</v>
      </c>
      <c r="X1219" s="35">
        <f t="shared" si="108"/>
        <v>45765</v>
      </c>
      <c r="Y1219" s="35">
        <f t="shared" si="109"/>
        <v>45793</v>
      </c>
    </row>
    <row r="1220" spans="1:25">
      <c r="A1220" s="10">
        <f>SUBTOTAL(103,$B$4:B1220)</f>
        <v>1217</v>
      </c>
      <c r="B1220" s="35">
        <v>45765</v>
      </c>
      <c r="C1220" s="23" t="s">
        <v>1266</v>
      </c>
      <c r="D1220" s="3" t="str">
        <f>VLOOKUP(C1220,'Location Summary'!$C$4:$D$678,2,0)</f>
        <v>DA+6</v>
      </c>
      <c r="E1220" s="118" t="s">
        <v>403</v>
      </c>
      <c r="F1220" s="92" t="s">
        <v>683</v>
      </c>
      <c r="G1220" s="158">
        <v>1</v>
      </c>
      <c r="J1220" s="158">
        <v>1</v>
      </c>
      <c r="M1220" s="158">
        <v>1</v>
      </c>
      <c r="P1220" s="158">
        <v>1</v>
      </c>
      <c r="X1220" s="35">
        <f t="shared" si="108"/>
        <v>45765</v>
      </c>
      <c r="Y1220" s="35">
        <f t="shared" si="109"/>
        <v>45793</v>
      </c>
    </row>
    <row r="1221" spans="1:25">
      <c r="A1221" s="10">
        <f>SUBTOTAL(103,$B$4:B1221)</f>
        <v>1218</v>
      </c>
      <c r="B1221" s="35">
        <v>45766</v>
      </c>
      <c r="C1221" s="23" t="s">
        <v>1266</v>
      </c>
      <c r="D1221" s="3" t="str">
        <f>VLOOKUP(C1221,'Location Summary'!$C$4:$D$678,2,0)</f>
        <v>DA+6</v>
      </c>
      <c r="E1221" s="118" t="s">
        <v>403</v>
      </c>
      <c r="F1221" s="92" t="s">
        <v>683</v>
      </c>
      <c r="H1221" s="157">
        <v>1</v>
      </c>
      <c r="I1221" s="156">
        <v>1</v>
      </c>
      <c r="K1221" s="157">
        <v>1</v>
      </c>
      <c r="L1221" s="156">
        <v>1</v>
      </c>
      <c r="N1221" s="157">
        <v>1</v>
      </c>
      <c r="O1221" s="156">
        <v>1</v>
      </c>
      <c r="Q1221" s="157">
        <v>1</v>
      </c>
      <c r="R1221" s="156">
        <v>1</v>
      </c>
      <c r="X1221" s="35">
        <f t="shared" si="108"/>
        <v>45766</v>
      </c>
      <c r="Y1221" s="35">
        <f t="shared" si="109"/>
        <v>45794</v>
      </c>
    </row>
    <row r="1222" spans="1:25">
      <c r="A1222" s="10">
        <f>SUBTOTAL(103,$B$4:B1222)</f>
        <v>1219</v>
      </c>
      <c r="B1222" s="35">
        <v>45767</v>
      </c>
      <c r="C1222" s="23" t="s">
        <v>482</v>
      </c>
      <c r="D1222" s="3" t="str">
        <f>VLOOKUP(C1222,'Location Summary'!$C$4:$D$678,2,0)</f>
        <v>DB1+12</v>
      </c>
      <c r="E1222" s="118" t="s">
        <v>403</v>
      </c>
      <c r="F1222" s="92" t="s">
        <v>683</v>
      </c>
      <c r="M1222" s="158">
        <v>1</v>
      </c>
      <c r="X1222" s="35">
        <f t="shared" si="108"/>
        <v>45767</v>
      </c>
      <c r="Y1222" s="35">
        <f t="shared" si="109"/>
        <v>45795</v>
      </c>
    </row>
    <row r="1223" spans="1:25">
      <c r="A1223" s="10">
        <f>SUBTOTAL(103,$B$4:B1223)</f>
        <v>1220</v>
      </c>
      <c r="B1223" s="35">
        <v>45767</v>
      </c>
      <c r="C1223" s="23" t="s">
        <v>181</v>
      </c>
      <c r="D1223" s="3" t="str">
        <f>VLOOKUP(C1223,'Location Summary'!$C$4:$D$678,2,0)</f>
        <v>DA+6</v>
      </c>
      <c r="E1223" s="118" t="s">
        <v>403</v>
      </c>
      <c r="F1223" s="92" t="s">
        <v>683</v>
      </c>
      <c r="I1223" s="156">
        <v>1</v>
      </c>
      <c r="L1223" s="156">
        <v>1</v>
      </c>
      <c r="P1223" s="158">
        <v>1</v>
      </c>
      <c r="X1223" s="35">
        <f t="shared" si="108"/>
        <v>45767</v>
      </c>
      <c r="Y1223" s="35">
        <f t="shared" si="109"/>
        <v>45795</v>
      </c>
    </row>
    <row r="1224" spans="1:25">
      <c r="A1224" s="10">
        <f>SUBTOTAL(103,$B$4:B1224)</f>
        <v>1221</v>
      </c>
      <c r="B1224" s="35">
        <v>45767</v>
      </c>
      <c r="C1224" s="120" t="s">
        <v>180</v>
      </c>
      <c r="D1224" s="3" t="str">
        <f>VLOOKUP(C1224,'Location Summary'!$C$4:$D$678,2,0)</f>
        <v>DA+6</v>
      </c>
      <c r="E1224" s="118" t="s">
        <v>403</v>
      </c>
      <c r="F1224" s="92" t="s">
        <v>683</v>
      </c>
      <c r="J1224" s="158">
        <v>1</v>
      </c>
      <c r="X1224" s="35">
        <f t="shared" si="108"/>
        <v>45767</v>
      </c>
      <c r="Y1224" s="35">
        <f t="shared" si="109"/>
        <v>45795</v>
      </c>
    </row>
    <row r="1225" spans="1:25">
      <c r="A1225" s="10">
        <f>SUBTOTAL(103,$B$4:B1225)</f>
        <v>1222</v>
      </c>
      <c r="B1225" s="35">
        <v>45768</v>
      </c>
      <c r="C1225" s="23" t="s">
        <v>1255</v>
      </c>
      <c r="D1225" s="3" t="str">
        <f>VLOOKUP(C1225,'Location Summary'!$C$4:$D$678,2,0)</f>
        <v>DA+6</v>
      </c>
      <c r="E1225" s="118" t="s">
        <v>403</v>
      </c>
      <c r="F1225" s="92" t="s">
        <v>683</v>
      </c>
      <c r="G1225" s="158">
        <v>1</v>
      </c>
      <c r="P1225" s="158">
        <v>1</v>
      </c>
      <c r="X1225" s="35">
        <f t="shared" si="108"/>
        <v>45768</v>
      </c>
      <c r="Y1225" s="35">
        <f t="shared" si="109"/>
        <v>45796</v>
      </c>
    </row>
    <row r="1226" spans="1:25">
      <c r="A1226" s="10">
        <f>SUBTOTAL(103,$B$4:B1226)</f>
        <v>1223</v>
      </c>
      <c r="B1226" s="35">
        <v>45768</v>
      </c>
      <c r="C1226" s="23" t="s">
        <v>482</v>
      </c>
      <c r="D1226" s="3" t="str">
        <f>VLOOKUP(C1226,'Location Summary'!$C$4:$D$678,2,0)</f>
        <v>DB1+12</v>
      </c>
      <c r="E1226" s="118" t="s">
        <v>403</v>
      </c>
      <c r="F1226" s="92" t="s">
        <v>683</v>
      </c>
      <c r="N1226" s="157">
        <v>1</v>
      </c>
      <c r="O1226" s="156">
        <v>1</v>
      </c>
      <c r="P1226" s="158">
        <v>1</v>
      </c>
      <c r="X1226" s="35">
        <f t="shared" si="108"/>
        <v>45768</v>
      </c>
      <c r="Y1226" s="35">
        <f t="shared" si="109"/>
        <v>45796</v>
      </c>
    </row>
    <row r="1227" spans="1:25">
      <c r="A1227" s="10">
        <f>SUBTOTAL(103,$B$4:B1227)</f>
        <v>1224</v>
      </c>
      <c r="B1227" s="35">
        <v>45768</v>
      </c>
      <c r="C1227" s="23" t="s">
        <v>181</v>
      </c>
      <c r="D1227" s="3" t="str">
        <f>VLOOKUP(C1227,'Location Summary'!$C$4:$D$678,2,0)</f>
        <v>DA+6</v>
      </c>
      <c r="E1227" s="118" t="s">
        <v>403</v>
      </c>
      <c r="F1227" s="92" t="s">
        <v>683</v>
      </c>
      <c r="N1227" s="157">
        <v>1</v>
      </c>
      <c r="Q1227" s="157">
        <v>1</v>
      </c>
      <c r="X1227" s="35">
        <f t="shared" si="108"/>
        <v>45768</v>
      </c>
      <c r="Y1227" s="35">
        <f t="shared" si="109"/>
        <v>45796</v>
      </c>
    </row>
    <row r="1228" spans="1:25">
      <c r="A1228" s="10">
        <f>SUBTOTAL(103,$B$4:B1228)</f>
        <v>1225</v>
      </c>
      <c r="B1228" s="35">
        <v>45769</v>
      </c>
      <c r="C1228" s="23" t="s">
        <v>1255</v>
      </c>
      <c r="D1228" s="3" t="str">
        <f>VLOOKUP(C1228,'Location Summary'!$C$4:$D$678,2,0)</f>
        <v>DA+6</v>
      </c>
      <c r="E1228" s="118" t="s">
        <v>403</v>
      </c>
      <c r="F1228" s="92" t="s">
        <v>683</v>
      </c>
      <c r="H1228" s="157">
        <v>1</v>
      </c>
      <c r="I1228" s="156">
        <v>1</v>
      </c>
      <c r="J1228" s="158">
        <v>1</v>
      </c>
      <c r="M1228" s="158">
        <v>1</v>
      </c>
      <c r="Q1228" s="157">
        <v>1</v>
      </c>
      <c r="R1228" s="156">
        <v>1</v>
      </c>
      <c r="X1228" s="35">
        <f t="shared" si="108"/>
        <v>45769</v>
      </c>
      <c r="Y1228" s="35">
        <f t="shared" si="109"/>
        <v>45797</v>
      </c>
    </row>
    <row r="1229" spans="1:25">
      <c r="A1229" s="10">
        <f>SUBTOTAL(103,$B$4:B1229)</f>
        <v>1226</v>
      </c>
      <c r="B1229" s="35">
        <v>45769</v>
      </c>
      <c r="C1229" s="23" t="s">
        <v>181</v>
      </c>
      <c r="D1229" s="3" t="str">
        <f>VLOOKUP(C1229,'Location Summary'!$C$4:$D$678,2,0)</f>
        <v>DA+6</v>
      </c>
      <c r="E1229" s="118" t="s">
        <v>403</v>
      </c>
      <c r="F1229" s="92" t="s">
        <v>683</v>
      </c>
      <c r="O1229" s="156">
        <v>1</v>
      </c>
      <c r="R1229" s="156">
        <v>1</v>
      </c>
      <c r="X1229" s="35">
        <f t="shared" si="108"/>
        <v>45769</v>
      </c>
      <c r="Y1229" s="35">
        <f t="shared" si="109"/>
        <v>45797</v>
      </c>
    </row>
    <row r="1230" spans="1:25">
      <c r="A1230" s="10">
        <f>SUBTOTAL(103,$B$4:B1230)</f>
        <v>1227</v>
      </c>
      <c r="B1230" s="35">
        <v>45769</v>
      </c>
      <c r="C1230" s="23" t="s">
        <v>180</v>
      </c>
      <c r="D1230" s="3" t="str">
        <f>VLOOKUP(C1230,'Location Summary'!$C$4:$D$678,2,0)</f>
        <v>DA+6</v>
      </c>
      <c r="E1230" s="118" t="s">
        <v>403</v>
      </c>
      <c r="F1230" s="92" t="s">
        <v>683</v>
      </c>
      <c r="G1230" s="158">
        <v>1</v>
      </c>
      <c r="P1230" s="158">
        <v>1</v>
      </c>
      <c r="X1230" s="35">
        <f t="shared" ref="X1230:X1240" si="110">B1230</f>
        <v>45769</v>
      </c>
      <c r="Y1230" s="35">
        <f t="shared" ref="Y1230:Y1240" si="111">B1230+28</f>
        <v>45797</v>
      </c>
    </row>
    <row r="1231" spans="1:25">
      <c r="A1231" s="10">
        <f>SUBTOTAL(103,$B$4:B1231)</f>
        <v>1228</v>
      </c>
      <c r="B1231" s="35">
        <v>45769</v>
      </c>
      <c r="C1231" s="23" t="s">
        <v>263</v>
      </c>
      <c r="D1231" s="3" t="str">
        <f>VLOOKUP(C1231,'Location Summary'!$C$4:$D$678,2,0)</f>
        <v>DB1+12</v>
      </c>
      <c r="E1231" s="118" t="s">
        <v>403</v>
      </c>
      <c r="F1231" s="92" t="s">
        <v>311</v>
      </c>
      <c r="G1231" s="158">
        <v>1</v>
      </c>
      <c r="X1231" s="35">
        <f t="shared" si="110"/>
        <v>45769</v>
      </c>
      <c r="Y1231" s="35">
        <f t="shared" si="111"/>
        <v>45797</v>
      </c>
    </row>
    <row r="1232" spans="1:25">
      <c r="A1232" s="10">
        <f>SUBTOTAL(103,$B$4:B1232)</f>
        <v>1229</v>
      </c>
      <c r="B1232" s="35">
        <v>45769</v>
      </c>
      <c r="C1232" s="23" t="s">
        <v>256</v>
      </c>
      <c r="D1232" s="3" t="str">
        <f>VLOOKUP(C1232,'Location Summary'!$C$4:$D$678,2,0)</f>
        <v>DB2+9</v>
      </c>
      <c r="E1232" s="118" t="s">
        <v>403</v>
      </c>
      <c r="F1232" s="92" t="s">
        <v>683</v>
      </c>
      <c r="G1232" s="158">
        <v>1</v>
      </c>
      <c r="J1232" s="158">
        <v>1</v>
      </c>
      <c r="X1232" s="35">
        <f t="shared" si="110"/>
        <v>45769</v>
      </c>
      <c r="Y1232" s="35">
        <f t="shared" si="111"/>
        <v>45797</v>
      </c>
    </row>
    <row r="1233" spans="1:25">
      <c r="A1233" s="10">
        <f>SUBTOTAL(103,$B$4:B1233)</f>
        <v>1230</v>
      </c>
      <c r="B1233" s="35">
        <v>45770</v>
      </c>
      <c r="C1233" s="23" t="s">
        <v>1255</v>
      </c>
      <c r="D1233" s="3" t="str">
        <f>VLOOKUP(C1233,'Location Summary'!$C$4:$D$678,2,0)</f>
        <v>DA+6</v>
      </c>
      <c r="E1233" s="118" t="s">
        <v>403</v>
      </c>
      <c r="F1233" s="92" t="s">
        <v>683</v>
      </c>
      <c r="K1233" s="157">
        <v>1</v>
      </c>
      <c r="L1233" s="156">
        <v>1</v>
      </c>
      <c r="N1233" s="157">
        <v>1</v>
      </c>
      <c r="O1233" s="156">
        <v>1</v>
      </c>
      <c r="X1233" s="35">
        <f t="shared" si="110"/>
        <v>45770</v>
      </c>
      <c r="Y1233" s="35">
        <f t="shared" si="111"/>
        <v>45798</v>
      </c>
    </row>
    <row r="1234" spans="1:25">
      <c r="A1234" s="10">
        <f>SUBTOTAL(103,$B$4:B1234)</f>
        <v>1231</v>
      </c>
      <c r="B1234" s="35">
        <v>45770</v>
      </c>
      <c r="C1234" s="23" t="s">
        <v>482</v>
      </c>
      <c r="D1234" s="3" t="str">
        <f>VLOOKUP(C1234,'Location Summary'!$C$4:$D$678,2,0)</f>
        <v>DB1+12</v>
      </c>
      <c r="E1234" s="118" t="s">
        <v>403</v>
      </c>
      <c r="F1234" s="92" t="s">
        <v>683</v>
      </c>
      <c r="G1234" s="158">
        <v>1</v>
      </c>
      <c r="Q1234" s="157">
        <v>1</v>
      </c>
      <c r="R1234" s="156">
        <v>1</v>
      </c>
      <c r="X1234" s="35">
        <f t="shared" si="110"/>
        <v>45770</v>
      </c>
      <c r="Y1234" s="35">
        <f t="shared" si="111"/>
        <v>45798</v>
      </c>
    </row>
    <row r="1235" spans="1:25">
      <c r="A1235" s="10">
        <f>SUBTOTAL(103,$B$4:B1235)</f>
        <v>1232</v>
      </c>
      <c r="B1235" s="35">
        <v>45770</v>
      </c>
      <c r="C1235" s="23" t="s">
        <v>180</v>
      </c>
      <c r="D1235" s="3" t="str">
        <f>VLOOKUP(C1235,'Location Summary'!$C$4:$D$678,2,0)</f>
        <v>DA+6</v>
      </c>
      <c r="E1235" s="118" t="s">
        <v>403</v>
      </c>
      <c r="F1235" s="92" t="s">
        <v>683</v>
      </c>
      <c r="H1235" s="157">
        <v>1</v>
      </c>
      <c r="I1235" s="156">
        <v>1</v>
      </c>
      <c r="K1235" s="157">
        <v>1</v>
      </c>
      <c r="L1235" s="156">
        <v>1</v>
      </c>
      <c r="M1235" s="158">
        <v>1</v>
      </c>
      <c r="X1235" s="35">
        <f t="shared" si="110"/>
        <v>45770</v>
      </c>
      <c r="Y1235" s="35">
        <f t="shared" si="111"/>
        <v>45798</v>
      </c>
    </row>
    <row r="1236" spans="1:25">
      <c r="A1236" s="10">
        <f>SUBTOTAL(103,$B$4:B1236)</f>
        <v>1233</v>
      </c>
      <c r="B1236" s="35">
        <v>45770</v>
      </c>
      <c r="C1236" s="23" t="s">
        <v>256</v>
      </c>
      <c r="D1236" s="3" t="str">
        <f>VLOOKUP(C1236,'Location Summary'!$C$4:$D$678,2,0)</f>
        <v>DB2+9</v>
      </c>
      <c r="E1236" s="118" t="s">
        <v>403</v>
      </c>
      <c r="F1236" s="92" t="s">
        <v>683</v>
      </c>
      <c r="H1236" s="157">
        <v>1</v>
      </c>
      <c r="K1236" s="157">
        <v>1</v>
      </c>
      <c r="X1236" s="35">
        <f t="shared" si="110"/>
        <v>45770</v>
      </c>
      <c r="Y1236" s="35">
        <f t="shared" si="111"/>
        <v>45798</v>
      </c>
    </row>
    <row r="1237" spans="1:25">
      <c r="A1237" s="10">
        <f>SUBTOTAL(103,$B$4:B1237)</f>
        <v>1234</v>
      </c>
      <c r="B1237" s="35">
        <v>45771</v>
      </c>
      <c r="C1237" s="23" t="s">
        <v>256</v>
      </c>
      <c r="D1237" s="3" t="str">
        <f>VLOOKUP(C1237,'Location Summary'!$C$4:$D$678,2,0)</f>
        <v>DB2+9</v>
      </c>
      <c r="E1237" s="118" t="s">
        <v>403</v>
      </c>
      <c r="F1237" s="92" t="s">
        <v>683</v>
      </c>
      <c r="I1237" s="156">
        <v>1</v>
      </c>
      <c r="L1237" s="156">
        <v>1</v>
      </c>
      <c r="M1237" s="158">
        <v>1</v>
      </c>
      <c r="P1237" s="158">
        <v>1</v>
      </c>
      <c r="X1237" s="35">
        <f t="shared" si="110"/>
        <v>45771</v>
      </c>
      <c r="Y1237" s="35">
        <f t="shared" si="111"/>
        <v>45799</v>
      </c>
    </row>
    <row r="1238" spans="1:25">
      <c r="A1238" s="10">
        <f>SUBTOTAL(103,$B$4:B1238)</f>
        <v>1235</v>
      </c>
      <c r="B1238" s="35">
        <v>45771</v>
      </c>
      <c r="C1238" s="23" t="s">
        <v>482</v>
      </c>
      <c r="D1238" s="3" t="str">
        <f>VLOOKUP(C1238,'Location Summary'!$C$4:$D$678,2,0)</f>
        <v>DB1+12</v>
      </c>
      <c r="E1238" s="118" t="s">
        <v>403</v>
      </c>
      <c r="F1238" s="92" t="s">
        <v>683</v>
      </c>
      <c r="H1238" s="157">
        <v>1</v>
      </c>
      <c r="I1238" s="156">
        <v>1</v>
      </c>
      <c r="J1238" s="158">
        <v>1</v>
      </c>
      <c r="X1238" s="35">
        <f t="shared" si="110"/>
        <v>45771</v>
      </c>
      <c r="Y1238" s="35">
        <f t="shared" si="111"/>
        <v>45799</v>
      </c>
    </row>
    <row r="1239" spans="1:25">
      <c r="A1239" s="10">
        <f>SUBTOTAL(103,$B$4:B1239)</f>
        <v>1236</v>
      </c>
      <c r="B1239" s="35">
        <v>45771</v>
      </c>
      <c r="C1239" s="23" t="s">
        <v>180</v>
      </c>
      <c r="D1239" s="3" t="str">
        <f>VLOOKUP(C1239,'Location Summary'!$C$4:$D$678,2,0)</f>
        <v>DA+6</v>
      </c>
      <c r="E1239" s="118" t="s">
        <v>403</v>
      </c>
      <c r="F1239" s="92" t="s">
        <v>683</v>
      </c>
      <c r="N1239" s="157">
        <v>1</v>
      </c>
      <c r="O1239" s="156">
        <v>1</v>
      </c>
      <c r="Q1239" s="157">
        <v>1</v>
      </c>
      <c r="R1239" s="156">
        <v>1</v>
      </c>
      <c r="X1239" s="35">
        <f t="shared" si="110"/>
        <v>45771</v>
      </c>
      <c r="Y1239" s="35">
        <f t="shared" si="111"/>
        <v>45799</v>
      </c>
    </row>
    <row r="1240" spans="1:25">
      <c r="A1240" s="10">
        <f>SUBTOTAL(103,$B$4:B1240)</f>
        <v>1237</v>
      </c>
      <c r="B1240" s="35">
        <v>45772</v>
      </c>
      <c r="C1240" s="23" t="s">
        <v>482</v>
      </c>
      <c r="D1240" s="3" t="str">
        <f>VLOOKUP(C1240,'Location Summary'!$C$4:$D$678,2,0)</f>
        <v>DB1+12</v>
      </c>
      <c r="E1240" s="118" t="s">
        <v>403</v>
      </c>
      <c r="F1240" s="92" t="s">
        <v>683</v>
      </c>
      <c r="K1240" s="157">
        <v>1</v>
      </c>
      <c r="L1240" s="156">
        <v>1</v>
      </c>
      <c r="X1240" s="35">
        <f t="shared" si="110"/>
        <v>45772</v>
      </c>
      <c r="Y1240" s="35">
        <f t="shared" si="111"/>
        <v>45800</v>
      </c>
    </row>
    <row r="1241" spans="1:25">
      <c r="A1241" s="10">
        <f>SUBTOTAL(103,$B$4:B1241)</f>
        <v>1238</v>
      </c>
      <c r="B1241" s="35">
        <v>45772</v>
      </c>
      <c r="C1241" s="23" t="s">
        <v>256</v>
      </c>
      <c r="D1241" s="3" t="str">
        <f>VLOOKUP(C1241,'Location Summary'!$C$4:$D$678,2,0)</f>
        <v>DB2+9</v>
      </c>
      <c r="E1241" s="118" t="s">
        <v>403</v>
      </c>
      <c r="F1241" s="92" t="s">
        <v>683</v>
      </c>
      <c r="N1241" s="157">
        <v>1</v>
      </c>
      <c r="O1241" s="156">
        <v>1</v>
      </c>
      <c r="Q1241" s="157">
        <v>1</v>
      </c>
      <c r="R1241" s="156">
        <v>1</v>
      </c>
      <c r="X1241" s="35">
        <f>B1241</f>
        <v>45772</v>
      </c>
      <c r="Y1241" s="35">
        <f t="shared" ref="Y1241:Y1266" si="112">B1241+28</f>
        <v>45800</v>
      </c>
    </row>
    <row r="1242" spans="1:25">
      <c r="A1242" s="10">
        <f>SUBTOTAL(103,$B$4:B1242)</f>
        <v>1239</v>
      </c>
      <c r="B1242" s="35">
        <v>45773</v>
      </c>
      <c r="C1242" s="23" t="s">
        <v>179</v>
      </c>
      <c r="D1242" s="3" t="str">
        <f>VLOOKUP(C1242,'Location Summary'!$C$4:$D$678,2,0)</f>
        <v>DA+0</v>
      </c>
      <c r="E1242" s="118" t="s">
        <v>403</v>
      </c>
      <c r="F1242" s="92" t="s">
        <v>683</v>
      </c>
      <c r="J1242" s="158">
        <v>1</v>
      </c>
      <c r="M1242" s="158">
        <v>1</v>
      </c>
      <c r="X1242" s="35">
        <f>B1242</f>
        <v>45773</v>
      </c>
      <c r="Y1242" s="35">
        <f t="shared" si="112"/>
        <v>45801</v>
      </c>
    </row>
    <row r="1243" spans="1:25">
      <c r="A1243" s="10">
        <f>SUBTOTAL(103,$B$4:B1243)</f>
        <v>1240</v>
      </c>
      <c r="B1243" s="35">
        <v>45774</v>
      </c>
      <c r="C1243" s="23" t="s">
        <v>179</v>
      </c>
      <c r="D1243" s="3" t="str">
        <f>VLOOKUP(C1243,'Location Summary'!$C$4:$D$678,2,0)</f>
        <v>DA+0</v>
      </c>
      <c r="E1243" s="118" t="s">
        <v>403</v>
      </c>
      <c r="F1243" s="92" t="s">
        <v>683</v>
      </c>
      <c r="K1243" s="157">
        <v>1</v>
      </c>
      <c r="L1243" s="156">
        <v>1</v>
      </c>
      <c r="N1243" s="157">
        <v>1</v>
      </c>
      <c r="O1243" s="156">
        <v>1</v>
      </c>
      <c r="P1243" s="158">
        <v>1</v>
      </c>
      <c r="X1243" s="35">
        <f t="shared" ref="X1243:X1266" si="113">B1243</f>
        <v>45774</v>
      </c>
      <c r="Y1243" s="35">
        <f t="shared" si="112"/>
        <v>45802</v>
      </c>
    </row>
    <row r="1244" spans="1:25">
      <c r="A1244" s="10">
        <f>SUBTOTAL(103,$B$4:B1244)</f>
        <v>1241</v>
      </c>
      <c r="B1244" s="35">
        <v>45775</v>
      </c>
      <c r="C1244" s="23" t="s">
        <v>179</v>
      </c>
      <c r="D1244" s="3" t="str">
        <f>VLOOKUP(C1244,'Location Summary'!$C$4:$D$678,2,0)</f>
        <v>DA+0</v>
      </c>
      <c r="E1244" s="118" t="s">
        <v>403</v>
      </c>
      <c r="F1244" s="92" t="s">
        <v>683</v>
      </c>
      <c r="G1244" s="158">
        <v>1</v>
      </c>
      <c r="Q1244" s="157">
        <v>1</v>
      </c>
      <c r="R1244" s="156">
        <v>1</v>
      </c>
      <c r="X1244" s="35">
        <f t="shared" si="113"/>
        <v>45775</v>
      </c>
      <c r="Y1244" s="35">
        <f t="shared" si="112"/>
        <v>45803</v>
      </c>
    </row>
    <row r="1245" spans="1:25">
      <c r="A1245" s="10">
        <f>SUBTOTAL(103,$B$4:B1245)</f>
        <v>1242</v>
      </c>
      <c r="B1245" s="35">
        <v>45776</v>
      </c>
      <c r="C1245" s="23" t="s">
        <v>179</v>
      </c>
      <c r="D1245" s="3" t="str">
        <f>VLOOKUP(C1245,'Location Summary'!$C$4:$D$678,2,0)</f>
        <v>DA+0</v>
      </c>
      <c r="E1245" s="118" t="s">
        <v>403</v>
      </c>
      <c r="F1245" s="92" t="s">
        <v>683</v>
      </c>
      <c r="H1245" s="157">
        <v>1</v>
      </c>
      <c r="I1245" s="156">
        <v>1</v>
      </c>
      <c r="X1245" s="35">
        <f t="shared" si="113"/>
        <v>45776</v>
      </c>
      <c r="Y1245" s="35">
        <f t="shared" si="112"/>
        <v>45804</v>
      </c>
    </row>
    <row r="1246" spans="1:25">
      <c r="A1246" s="10">
        <f>SUBTOTAL(103,$B$4:B1246)</f>
        <v>1243</v>
      </c>
      <c r="B1246" s="35">
        <v>45776</v>
      </c>
      <c r="C1246" s="120" t="s">
        <v>263</v>
      </c>
      <c r="D1246" s="3" t="str">
        <f>VLOOKUP(C1246,'Location Summary'!$C$4:$D$678,2,0)</f>
        <v>DB1+12</v>
      </c>
      <c r="E1246" s="118" t="s">
        <v>403</v>
      </c>
      <c r="F1246" s="92" t="s">
        <v>311</v>
      </c>
      <c r="H1246" s="157">
        <v>1</v>
      </c>
      <c r="I1246" s="156">
        <v>1</v>
      </c>
      <c r="M1246" s="158">
        <v>1</v>
      </c>
      <c r="P1246" s="158">
        <v>1</v>
      </c>
      <c r="X1246" s="35">
        <f t="shared" si="113"/>
        <v>45776</v>
      </c>
      <c r="Y1246" s="35">
        <f t="shared" si="112"/>
        <v>45804</v>
      </c>
    </row>
    <row r="1247" spans="1:25">
      <c r="A1247" s="10">
        <f>SUBTOTAL(103,$B$4:B1247)</f>
        <v>1244</v>
      </c>
      <c r="B1247" s="35">
        <v>45777</v>
      </c>
      <c r="C1247" s="23" t="s">
        <v>597</v>
      </c>
      <c r="D1247" s="3" t="str">
        <f>VLOOKUP(C1247,'Location Summary'!$C$4:$D$678,2,0)</f>
        <v>DA+3</v>
      </c>
      <c r="E1247" s="118" t="s">
        <v>403</v>
      </c>
      <c r="F1247" s="92" t="s">
        <v>683</v>
      </c>
      <c r="M1247" s="158">
        <v>1</v>
      </c>
      <c r="N1247" s="157">
        <v>1</v>
      </c>
      <c r="O1247" s="156">
        <v>1</v>
      </c>
      <c r="P1247" s="158">
        <v>1</v>
      </c>
      <c r="Q1247" s="157">
        <v>1</v>
      </c>
      <c r="R1247" s="156">
        <v>1</v>
      </c>
      <c r="X1247" s="35">
        <f t="shared" si="113"/>
        <v>45777</v>
      </c>
      <c r="Y1247" s="35">
        <f t="shared" si="112"/>
        <v>45805</v>
      </c>
    </row>
    <row r="1248" spans="1:25">
      <c r="A1248" s="10">
        <f>SUBTOTAL(103,$B$4:B1248)</f>
        <v>1245</v>
      </c>
      <c r="B1248" s="35">
        <v>45778</v>
      </c>
      <c r="C1248" s="120" t="s">
        <v>263</v>
      </c>
      <c r="D1248" s="3" t="str">
        <f>VLOOKUP(C1248,'Location Summary'!$C$4:$D$678,2,0)</f>
        <v>DB1+12</v>
      </c>
      <c r="E1248" s="118" t="s">
        <v>403</v>
      </c>
      <c r="F1248" s="92" t="s">
        <v>683</v>
      </c>
      <c r="N1248" s="157">
        <v>1</v>
      </c>
      <c r="O1248" s="156">
        <v>1</v>
      </c>
      <c r="Q1248" s="157">
        <v>1</v>
      </c>
      <c r="R1248" s="156">
        <v>1</v>
      </c>
      <c r="X1248" s="35">
        <f t="shared" si="113"/>
        <v>45778</v>
      </c>
      <c r="Y1248" s="35">
        <f t="shared" si="112"/>
        <v>45806</v>
      </c>
    </row>
    <row r="1249" spans="1:25">
      <c r="A1249" s="10">
        <f>SUBTOTAL(103,$B$4:B1249)</f>
        <v>1246</v>
      </c>
      <c r="B1249" s="35">
        <v>45778</v>
      </c>
      <c r="C1249" s="23" t="s">
        <v>597</v>
      </c>
      <c r="D1249" s="3" t="str">
        <f>VLOOKUP(C1249,'Location Summary'!$C$4:$D$678,2,0)</f>
        <v>DA+3</v>
      </c>
      <c r="E1249" s="118" t="s">
        <v>403</v>
      </c>
      <c r="F1249" s="92" t="s">
        <v>683</v>
      </c>
      <c r="J1249" s="158">
        <v>1</v>
      </c>
      <c r="X1249" s="35">
        <f t="shared" si="113"/>
        <v>45778</v>
      </c>
      <c r="Y1249" s="35">
        <f t="shared" si="112"/>
        <v>45806</v>
      </c>
    </row>
    <row r="1250" spans="1:25">
      <c r="A1250" s="10">
        <f>SUBTOTAL(103,$B$4:B1250)</f>
        <v>1247</v>
      </c>
      <c r="B1250" s="35">
        <v>45778</v>
      </c>
      <c r="C1250" s="23" t="s">
        <v>1244</v>
      </c>
      <c r="D1250" s="3" t="str">
        <f>VLOOKUP(C1250,'Location Summary'!$C$4:$D$678,2,0)</f>
        <v>DB1+9</v>
      </c>
      <c r="E1250" s="118" t="s">
        <v>403</v>
      </c>
      <c r="F1250" s="92" t="s">
        <v>683</v>
      </c>
      <c r="G1250" s="158">
        <v>1</v>
      </c>
      <c r="X1250" s="35">
        <f t="shared" si="113"/>
        <v>45778</v>
      </c>
      <c r="Y1250" s="35">
        <f t="shared" si="112"/>
        <v>45806</v>
      </c>
    </row>
    <row r="1251" spans="1:25">
      <c r="A1251" s="10">
        <f>SUBTOTAL(103,$B$4:B1251)</f>
        <v>1248</v>
      </c>
      <c r="B1251" s="35">
        <v>45779</v>
      </c>
      <c r="C1251" s="23" t="s">
        <v>597</v>
      </c>
      <c r="D1251" s="3" t="str">
        <f>VLOOKUP(C1251,'Location Summary'!$C$4:$D$678,2,0)</f>
        <v>DA+3</v>
      </c>
      <c r="E1251" s="118" t="s">
        <v>403</v>
      </c>
      <c r="F1251" s="92" t="s">
        <v>683</v>
      </c>
      <c r="G1251" s="158">
        <v>1</v>
      </c>
      <c r="H1251" s="157">
        <v>1</v>
      </c>
      <c r="I1251" s="156">
        <v>1</v>
      </c>
      <c r="K1251" s="157">
        <v>1</v>
      </c>
      <c r="L1251" s="156">
        <v>1</v>
      </c>
      <c r="X1251" s="35">
        <f t="shared" si="113"/>
        <v>45779</v>
      </c>
      <c r="Y1251" s="35">
        <f t="shared" si="112"/>
        <v>45807</v>
      </c>
    </row>
    <row r="1252" spans="1:25">
      <c r="A1252" s="10">
        <f>SUBTOTAL(103,$B$4:B1252)</f>
        <v>1249</v>
      </c>
      <c r="B1252" s="35">
        <v>45779</v>
      </c>
      <c r="C1252" s="23" t="s">
        <v>1244</v>
      </c>
      <c r="D1252" s="3" t="str">
        <f>VLOOKUP(C1252,'Location Summary'!$C$4:$D$678,2,0)</f>
        <v>DB1+9</v>
      </c>
      <c r="E1252" s="118" t="s">
        <v>403</v>
      </c>
      <c r="F1252" s="92" t="s">
        <v>683</v>
      </c>
      <c r="H1252" s="157">
        <v>1</v>
      </c>
      <c r="I1252" s="156">
        <v>1</v>
      </c>
      <c r="J1252" s="158">
        <v>1</v>
      </c>
      <c r="X1252" s="35">
        <f t="shared" si="113"/>
        <v>45779</v>
      </c>
      <c r="Y1252" s="35">
        <f t="shared" si="112"/>
        <v>45807</v>
      </c>
    </row>
    <row r="1253" spans="1:25">
      <c r="A1253" s="10">
        <f>SUBTOTAL(103,$B$4:B1253)</f>
        <v>1250</v>
      </c>
      <c r="B1253" s="35">
        <v>45779</v>
      </c>
      <c r="C1253" s="120" t="s">
        <v>263</v>
      </c>
      <c r="D1253" s="3" t="str">
        <f>VLOOKUP(C1253,'Location Summary'!$C$4:$D$678,2,0)</f>
        <v>DB1+12</v>
      </c>
      <c r="E1253" s="118" t="s">
        <v>403</v>
      </c>
      <c r="F1253" s="92" t="s">
        <v>683</v>
      </c>
      <c r="J1253" s="158">
        <v>1</v>
      </c>
      <c r="X1253" s="35">
        <f t="shared" si="113"/>
        <v>45779</v>
      </c>
      <c r="Y1253" s="35">
        <f t="shared" si="112"/>
        <v>45807</v>
      </c>
    </row>
    <row r="1254" spans="1:25">
      <c r="A1254" s="10">
        <f>SUBTOTAL(103,$B$4:B1254)</f>
        <v>1251</v>
      </c>
      <c r="B1254" s="35">
        <v>45780</v>
      </c>
      <c r="C1254" s="23" t="s">
        <v>1244</v>
      </c>
      <c r="D1254" s="3" t="str">
        <f>VLOOKUP(C1254,'Location Summary'!$C$4:$D$678,2,0)</f>
        <v>DB1+9</v>
      </c>
      <c r="E1254" s="118" t="s">
        <v>403</v>
      </c>
      <c r="F1254" s="92" t="s">
        <v>683</v>
      </c>
      <c r="K1254" s="157">
        <v>1</v>
      </c>
      <c r="L1254" s="156">
        <v>1</v>
      </c>
      <c r="M1254" s="158">
        <v>1</v>
      </c>
      <c r="P1254" s="158">
        <v>1</v>
      </c>
      <c r="X1254" s="35">
        <f t="shared" si="113"/>
        <v>45780</v>
      </c>
      <c r="Y1254" s="35">
        <f t="shared" si="112"/>
        <v>45808</v>
      </c>
    </row>
    <row r="1255" spans="1:25">
      <c r="A1255" s="10">
        <f>SUBTOTAL(103,$B$4:B1255)</f>
        <v>1252</v>
      </c>
      <c r="B1255" s="35">
        <v>45780</v>
      </c>
      <c r="C1255" s="120" t="s">
        <v>263</v>
      </c>
      <c r="D1255" s="3" t="str">
        <f>VLOOKUP(C1255,'Location Summary'!$C$4:$D$678,2,0)</f>
        <v>DB1+12</v>
      </c>
      <c r="E1255" s="118" t="s">
        <v>403</v>
      </c>
      <c r="F1255" s="92" t="s">
        <v>683</v>
      </c>
      <c r="K1255" s="157">
        <v>1</v>
      </c>
      <c r="L1255" s="156">
        <v>1</v>
      </c>
      <c r="X1255" s="35">
        <f t="shared" si="113"/>
        <v>45780</v>
      </c>
      <c r="Y1255" s="35">
        <f t="shared" si="112"/>
        <v>45808</v>
      </c>
    </row>
    <row r="1256" spans="1:25">
      <c r="A1256" s="10">
        <f>SUBTOTAL(103,$B$4:B1256)</f>
        <v>1253</v>
      </c>
      <c r="B1256" s="35">
        <v>45781</v>
      </c>
      <c r="C1256" s="23" t="s">
        <v>426</v>
      </c>
      <c r="D1256" s="3" t="str">
        <f>VLOOKUP(C1256,'Location Summary'!$C$4:$D$678,2,0)</f>
        <v>DA-3</v>
      </c>
      <c r="E1256" s="118" t="s">
        <v>403</v>
      </c>
      <c r="F1256" s="92" t="s">
        <v>683</v>
      </c>
      <c r="G1256" s="158">
        <v>1</v>
      </c>
      <c r="X1256" s="35">
        <f t="shared" si="113"/>
        <v>45781</v>
      </c>
      <c r="Y1256" s="35">
        <f t="shared" si="112"/>
        <v>45809</v>
      </c>
    </row>
    <row r="1257" spans="1:25">
      <c r="A1257" s="10">
        <f>SUBTOTAL(103,$B$4:B1257)</f>
        <v>1254</v>
      </c>
      <c r="B1257" s="35">
        <v>45781</v>
      </c>
      <c r="C1257" s="23" t="s">
        <v>1244</v>
      </c>
      <c r="D1257" s="3" t="str">
        <f>VLOOKUP(C1257,'Location Summary'!$C$4:$D$678,2,0)</f>
        <v>DB1+9</v>
      </c>
      <c r="E1257" s="118" t="s">
        <v>403</v>
      </c>
      <c r="F1257" s="92" t="s">
        <v>683</v>
      </c>
      <c r="N1257" s="157">
        <v>1</v>
      </c>
      <c r="Q1257" s="157">
        <v>1</v>
      </c>
      <c r="R1257" s="156">
        <v>1</v>
      </c>
      <c r="X1257" s="35">
        <f t="shared" si="113"/>
        <v>45781</v>
      </c>
      <c r="Y1257" s="35">
        <f t="shared" si="112"/>
        <v>45809</v>
      </c>
    </row>
    <row r="1258" spans="1:25">
      <c r="A1258" s="10">
        <f>SUBTOTAL(103,$B$4:B1258)</f>
        <v>1255</v>
      </c>
      <c r="B1258" s="35">
        <v>45782</v>
      </c>
      <c r="C1258" s="23" t="s">
        <v>426</v>
      </c>
      <c r="D1258" s="3" t="str">
        <f>VLOOKUP(C1258,'Location Summary'!$C$4:$D$678,2,0)</f>
        <v>DA-3</v>
      </c>
      <c r="E1258" s="118" t="s">
        <v>403</v>
      </c>
      <c r="F1258" s="92" t="s">
        <v>683</v>
      </c>
      <c r="H1258" s="157">
        <v>1</v>
      </c>
      <c r="M1258" s="158">
        <v>1</v>
      </c>
      <c r="P1258" s="158">
        <v>1</v>
      </c>
      <c r="X1258" s="35">
        <f t="shared" si="113"/>
        <v>45782</v>
      </c>
      <c r="Y1258" s="35">
        <f t="shared" si="112"/>
        <v>45810</v>
      </c>
    </row>
    <row r="1259" spans="1:25">
      <c r="A1259" s="10">
        <f>SUBTOTAL(103,$B$4:B1259)</f>
        <v>1256</v>
      </c>
      <c r="B1259" s="35">
        <v>45782</v>
      </c>
      <c r="C1259" s="23" t="s">
        <v>1244</v>
      </c>
      <c r="D1259" s="3" t="str">
        <f>VLOOKUP(C1259,'Location Summary'!$C$4:$D$678,2,0)</f>
        <v>DB1+9</v>
      </c>
      <c r="E1259" s="118" t="s">
        <v>403</v>
      </c>
      <c r="F1259" s="92" t="s">
        <v>683</v>
      </c>
      <c r="O1259" s="156">
        <v>1</v>
      </c>
      <c r="X1259" s="35">
        <f t="shared" si="113"/>
        <v>45782</v>
      </c>
      <c r="Y1259" s="35">
        <f t="shared" si="112"/>
        <v>45810</v>
      </c>
    </row>
    <row r="1260" spans="1:25">
      <c r="A1260" s="10">
        <f>SUBTOTAL(103,$B$4:B1260)</f>
        <v>1257</v>
      </c>
      <c r="B1260" s="35">
        <v>45782</v>
      </c>
      <c r="C1260" s="23" t="s">
        <v>1245</v>
      </c>
      <c r="D1260" s="3" t="str">
        <f>VLOOKUP(C1260,'Location Summary'!$C$4:$D$678,2,0)</f>
        <v>DB1+12</v>
      </c>
      <c r="E1260" s="118" t="s">
        <v>403</v>
      </c>
      <c r="F1260" s="92" t="s">
        <v>683</v>
      </c>
      <c r="M1260" s="158">
        <v>1</v>
      </c>
      <c r="P1260" s="158">
        <v>1</v>
      </c>
      <c r="X1260" s="35">
        <f t="shared" si="113"/>
        <v>45782</v>
      </c>
      <c r="Y1260" s="35">
        <f t="shared" si="112"/>
        <v>45810</v>
      </c>
    </row>
    <row r="1261" spans="1:25">
      <c r="A1261" s="10">
        <f>SUBTOTAL(103,$B$4:B1261)</f>
        <v>1258</v>
      </c>
      <c r="B1261" s="35">
        <v>45783</v>
      </c>
      <c r="C1261" s="23" t="s">
        <v>1245</v>
      </c>
      <c r="D1261" s="3" t="str">
        <f>VLOOKUP(C1261,'Location Summary'!$C$4:$D$678,2,0)</f>
        <v>DB1+12</v>
      </c>
      <c r="E1261" s="118" t="s">
        <v>403</v>
      </c>
      <c r="F1261" s="92" t="s">
        <v>683</v>
      </c>
      <c r="G1261" s="158">
        <v>1</v>
      </c>
      <c r="J1261" s="158">
        <v>1</v>
      </c>
      <c r="N1261" s="157">
        <v>1</v>
      </c>
      <c r="O1261" s="156">
        <v>1</v>
      </c>
      <c r="Q1261" s="157">
        <v>1</v>
      </c>
      <c r="R1261" s="156">
        <v>1</v>
      </c>
      <c r="X1261" s="35">
        <f t="shared" si="113"/>
        <v>45783</v>
      </c>
      <c r="Y1261" s="35">
        <f t="shared" si="112"/>
        <v>45811</v>
      </c>
    </row>
    <row r="1262" spans="1:25">
      <c r="A1262" s="10">
        <f>SUBTOTAL(103,$B$4:B1262)</f>
        <v>1259</v>
      </c>
      <c r="B1262" s="35">
        <v>45784</v>
      </c>
      <c r="C1262" s="120" t="s">
        <v>426</v>
      </c>
      <c r="D1262" s="3" t="str">
        <f>VLOOKUP(C1262,'Location Summary'!$C$4:$D$678,2,0)</f>
        <v>DA-3</v>
      </c>
      <c r="E1262" s="118" t="s">
        <v>403</v>
      </c>
      <c r="F1262" s="92" t="s">
        <v>683</v>
      </c>
      <c r="Q1262" s="157">
        <v>1</v>
      </c>
      <c r="X1262" s="35">
        <f t="shared" si="113"/>
        <v>45784</v>
      </c>
      <c r="Y1262" s="35">
        <f t="shared" si="112"/>
        <v>45812</v>
      </c>
    </row>
    <row r="1263" spans="1:25">
      <c r="A1263" s="10">
        <f>SUBTOTAL(103,$B$4:B1263)</f>
        <v>1260</v>
      </c>
      <c r="B1263" s="35">
        <v>45784</v>
      </c>
      <c r="C1263" s="23" t="s">
        <v>1245</v>
      </c>
      <c r="D1263" s="3" t="str">
        <f>VLOOKUP(C1263,'Location Summary'!$C$4:$D$678,2,0)</f>
        <v>DB1+12</v>
      </c>
      <c r="E1263" s="118" t="s">
        <v>403</v>
      </c>
      <c r="F1263" s="92" t="s">
        <v>683</v>
      </c>
      <c r="H1263" s="157">
        <v>1</v>
      </c>
      <c r="I1263" s="156">
        <v>1</v>
      </c>
      <c r="K1263" s="157">
        <v>1</v>
      </c>
      <c r="L1263" s="156">
        <v>1</v>
      </c>
      <c r="X1263" s="35">
        <f t="shared" si="113"/>
        <v>45784</v>
      </c>
      <c r="Y1263" s="35">
        <f t="shared" si="112"/>
        <v>45812</v>
      </c>
    </row>
    <row r="1264" spans="1:25">
      <c r="A1264" s="10">
        <f>SUBTOTAL(103,$B$4:B1264)</f>
        <v>1261</v>
      </c>
      <c r="B1264" s="35">
        <v>45785</v>
      </c>
      <c r="C1264" s="23" t="s">
        <v>54</v>
      </c>
      <c r="D1264" s="3" t="str">
        <f>VLOOKUP(C1264,'Location Summary'!$C$4:$D$678,2,0)</f>
        <v>DB1+0</v>
      </c>
      <c r="E1264" s="118" t="s">
        <v>403</v>
      </c>
      <c r="F1264" s="92" t="s">
        <v>683</v>
      </c>
      <c r="G1264" s="158">
        <v>1</v>
      </c>
      <c r="P1264" s="158">
        <v>1</v>
      </c>
      <c r="X1264" s="35">
        <f t="shared" si="113"/>
        <v>45785</v>
      </c>
      <c r="Y1264" s="35">
        <f t="shared" si="112"/>
        <v>45813</v>
      </c>
    </row>
    <row r="1265" spans="1:25">
      <c r="A1265" s="10">
        <f>SUBTOTAL(103,$B$4:B1265)</f>
        <v>1262</v>
      </c>
      <c r="B1265" s="35">
        <v>45785</v>
      </c>
      <c r="C1265" s="23" t="s">
        <v>426</v>
      </c>
      <c r="D1265" s="3" t="str">
        <f>VLOOKUP(C1265,'Location Summary'!$C$4:$D$678,2,0)</f>
        <v>DA-3</v>
      </c>
      <c r="E1265" s="118" t="s">
        <v>403</v>
      </c>
      <c r="F1265" s="92" t="s">
        <v>683</v>
      </c>
      <c r="I1265" s="156">
        <v>1</v>
      </c>
      <c r="J1265" s="158">
        <v>1</v>
      </c>
      <c r="R1265" s="156">
        <v>1</v>
      </c>
      <c r="X1265" s="35">
        <f t="shared" si="113"/>
        <v>45785</v>
      </c>
      <c r="Y1265" s="35">
        <f t="shared" si="112"/>
        <v>45813</v>
      </c>
    </row>
    <row r="1266" spans="1:25">
      <c r="A1266" s="10">
        <f>SUBTOTAL(103,$B$4:B1266)</f>
        <v>1263</v>
      </c>
      <c r="B1266" s="35">
        <v>45786</v>
      </c>
      <c r="C1266" s="23" t="s">
        <v>426</v>
      </c>
      <c r="D1266" s="3" t="str">
        <f>VLOOKUP(C1266,'Location Summary'!$C$4:$D$678,2,0)</f>
        <v>DA-3</v>
      </c>
      <c r="E1266" s="118" t="s">
        <v>403</v>
      </c>
      <c r="F1266" s="92" t="s">
        <v>683</v>
      </c>
      <c r="K1266" s="157">
        <v>1</v>
      </c>
      <c r="L1266" s="156">
        <v>1</v>
      </c>
      <c r="N1266" s="157">
        <v>1</v>
      </c>
      <c r="O1266" s="156">
        <v>1</v>
      </c>
      <c r="X1266" s="35">
        <f t="shared" si="113"/>
        <v>45786</v>
      </c>
      <c r="Y1266" s="35">
        <f t="shared" si="112"/>
        <v>45814</v>
      </c>
    </row>
    <row r="1267" spans="1:25">
      <c r="A1267" s="10">
        <f>SUBTOTAL(103,$B$4:B1267)</f>
        <v>1264</v>
      </c>
      <c r="B1267" s="35">
        <v>45786</v>
      </c>
      <c r="C1267" s="23" t="s">
        <v>54</v>
      </c>
      <c r="D1267" s="3" t="str">
        <f>VLOOKUP(C1267,'Location Summary'!$C$4:$D$678,2,0)</f>
        <v>DB1+0</v>
      </c>
      <c r="E1267" s="118" t="s">
        <v>403</v>
      </c>
      <c r="F1267" s="92" t="s">
        <v>683</v>
      </c>
      <c r="H1267" s="157">
        <v>1</v>
      </c>
      <c r="Q1267" s="157">
        <v>1</v>
      </c>
      <c r="X1267" s="35">
        <f t="shared" ref="X1267:X1301" si="114">B1267</f>
        <v>45786</v>
      </c>
      <c r="Y1267" s="35">
        <f t="shared" ref="Y1267:Y1301" si="115">B1267+28</f>
        <v>45814</v>
      </c>
    </row>
    <row r="1268" spans="1:25">
      <c r="A1268" s="10">
        <f>SUBTOTAL(103,$B$4:B1268)</f>
        <v>1265</v>
      </c>
      <c r="B1268" s="35">
        <v>45787</v>
      </c>
      <c r="C1268" s="23" t="s">
        <v>425</v>
      </c>
      <c r="D1268" s="3" t="str">
        <f>VLOOKUP(C1268,'Location Summary'!$C$4:$D$678,2,0)</f>
        <v>DA+0</v>
      </c>
      <c r="E1268" s="118" t="s">
        <v>403</v>
      </c>
      <c r="F1268" s="92" t="s">
        <v>683</v>
      </c>
      <c r="G1268" s="158">
        <v>1</v>
      </c>
      <c r="J1268" s="158">
        <v>1</v>
      </c>
      <c r="M1268" s="158">
        <v>1</v>
      </c>
      <c r="P1268" s="158">
        <v>1</v>
      </c>
      <c r="X1268" s="35">
        <f t="shared" si="114"/>
        <v>45787</v>
      </c>
      <c r="Y1268" s="35">
        <f t="shared" si="115"/>
        <v>45815</v>
      </c>
    </row>
    <row r="1269" spans="1:25">
      <c r="A1269" s="10">
        <f>SUBTOTAL(103,$B$4:B1269)</f>
        <v>1266</v>
      </c>
      <c r="B1269" s="35">
        <v>45787</v>
      </c>
      <c r="C1269" s="23" t="s">
        <v>54</v>
      </c>
      <c r="D1269" s="3" t="str">
        <f>VLOOKUP(C1269,'Location Summary'!$C$4:$D$678,2,0)</f>
        <v>DB1+0</v>
      </c>
      <c r="E1269" s="118" t="s">
        <v>403</v>
      </c>
      <c r="F1269" s="92" t="s">
        <v>683</v>
      </c>
      <c r="I1269" s="156">
        <v>1</v>
      </c>
      <c r="J1269" s="158">
        <v>1</v>
      </c>
      <c r="R1269" s="156">
        <v>1</v>
      </c>
      <c r="X1269" s="35">
        <f t="shared" si="114"/>
        <v>45787</v>
      </c>
      <c r="Y1269" s="35">
        <f t="shared" si="115"/>
        <v>45815</v>
      </c>
    </row>
    <row r="1270" spans="1:25">
      <c r="A1270" s="10">
        <f>SUBTOTAL(103,$B$4:B1270)</f>
        <v>1267</v>
      </c>
      <c r="B1270" s="35">
        <v>45788</v>
      </c>
      <c r="C1270" s="23" t="s">
        <v>54</v>
      </c>
      <c r="D1270" s="3" t="str">
        <f>VLOOKUP(C1270,'Location Summary'!$C$4:$D$678,2,0)</f>
        <v>DB1+0</v>
      </c>
      <c r="E1270" s="118" t="s">
        <v>403</v>
      </c>
      <c r="F1270" s="92" t="s">
        <v>683</v>
      </c>
      <c r="K1270" s="157">
        <v>1</v>
      </c>
      <c r="M1270" s="158">
        <v>1</v>
      </c>
      <c r="X1270" s="35">
        <f t="shared" si="114"/>
        <v>45788</v>
      </c>
      <c r="Y1270" s="35">
        <f t="shared" si="115"/>
        <v>45816</v>
      </c>
    </row>
    <row r="1271" spans="1:25">
      <c r="A1271" s="10">
        <f>SUBTOTAL(103,$B$4:B1271)</f>
        <v>1268</v>
      </c>
      <c r="B1271" s="35">
        <v>45788</v>
      </c>
      <c r="C1271" s="23" t="s">
        <v>425</v>
      </c>
      <c r="D1271" s="3" t="str">
        <f>VLOOKUP(C1271,'Location Summary'!$C$4:$D$678,2,0)</f>
        <v>DA+0</v>
      </c>
      <c r="E1271" s="118" t="s">
        <v>403</v>
      </c>
      <c r="F1271" s="92" t="s">
        <v>683</v>
      </c>
      <c r="K1271" s="157">
        <v>1</v>
      </c>
      <c r="L1271" s="156">
        <v>1</v>
      </c>
      <c r="N1271" s="157">
        <v>1</v>
      </c>
      <c r="X1271" s="35">
        <f t="shared" si="114"/>
        <v>45788</v>
      </c>
      <c r="Y1271" s="35">
        <f t="shared" si="115"/>
        <v>45816</v>
      </c>
    </row>
    <row r="1272" spans="1:25">
      <c r="A1272" s="10">
        <f>SUBTOTAL(103,$B$4:B1272)</f>
        <v>1269</v>
      </c>
      <c r="B1272" s="35">
        <v>45789</v>
      </c>
      <c r="C1272" s="23" t="s">
        <v>425</v>
      </c>
      <c r="D1272" s="3" t="str">
        <f>VLOOKUP(C1272,'Location Summary'!$C$4:$D$678,2,0)</f>
        <v>DA+0</v>
      </c>
      <c r="E1272" s="118" t="s">
        <v>403</v>
      </c>
      <c r="F1272" s="92" t="s">
        <v>683</v>
      </c>
      <c r="O1272" s="156">
        <v>1</v>
      </c>
      <c r="Q1272" s="157">
        <v>1</v>
      </c>
      <c r="X1272" s="35">
        <f t="shared" si="114"/>
        <v>45789</v>
      </c>
      <c r="Y1272" s="35">
        <f t="shared" si="115"/>
        <v>45817</v>
      </c>
    </row>
    <row r="1273" spans="1:25">
      <c r="A1273" s="10">
        <f>SUBTOTAL(103,$B$4:B1273)</f>
        <v>1270</v>
      </c>
      <c r="B1273" s="35">
        <v>45790</v>
      </c>
      <c r="C1273" s="120" t="s">
        <v>54</v>
      </c>
      <c r="D1273" s="3" t="str">
        <f>VLOOKUP(C1273,'Location Summary'!$C$4:$D$678,2,0)</f>
        <v>DB1+0</v>
      </c>
      <c r="E1273" s="118" t="s">
        <v>403</v>
      </c>
      <c r="F1273" s="92" t="s">
        <v>683</v>
      </c>
      <c r="L1273" s="156">
        <v>1</v>
      </c>
      <c r="N1273" s="157">
        <v>1</v>
      </c>
      <c r="O1273" s="156">
        <v>1</v>
      </c>
      <c r="X1273" s="35">
        <f t="shared" si="114"/>
        <v>45790</v>
      </c>
      <c r="Y1273" s="35">
        <f t="shared" si="115"/>
        <v>45818</v>
      </c>
    </row>
    <row r="1274" spans="1:25">
      <c r="A1274" s="10">
        <f>SUBTOTAL(103,$B$4:B1274)</f>
        <v>1271</v>
      </c>
      <c r="B1274" s="35">
        <v>45790</v>
      </c>
      <c r="C1274" s="120" t="s">
        <v>425</v>
      </c>
      <c r="D1274" s="3" t="str">
        <f>VLOOKUP(C1274,'Location Summary'!$C$4:$D$678,2,0)</f>
        <v>DA+0</v>
      </c>
      <c r="E1274" s="118" t="s">
        <v>403</v>
      </c>
      <c r="F1274" s="92" t="s">
        <v>683</v>
      </c>
      <c r="H1274" s="157">
        <v>1</v>
      </c>
      <c r="I1274" s="156">
        <v>1</v>
      </c>
      <c r="R1274" s="156">
        <v>1</v>
      </c>
      <c r="X1274" s="35">
        <f t="shared" si="114"/>
        <v>45790</v>
      </c>
      <c r="Y1274" s="35">
        <f t="shared" si="115"/>
        <v>45818</v>
      </c>
    </row>
    <row r="1275" spans="1:25">
      <c r="A1275" s="10">
        <f>SUBTOTAL(103,$B$4:B1275)</f>
        <v>1272</v>
      </c>
      <c r="B1275" s="35">
        <v>45790</v>
      </c>
      <c r="C1275" s="120" t="s">
        <v>177</v>
      </c>
      <c r="D1275" s="3" t="str">
        <f>VLOOKUP(C1275,'Location Summary'!$C$4:$D$678,2,0)</f>
        <v>DA+3</v>
      </c>
      <c r="E1275" s="118" t="s">
        <v>403</v>
      </c>
      <c r="F1275" s="92" t="s">
        <v>683</v>
      </c>
      <c r="G1275" s="158">
        <v>1</v>
      </c>
      <c r="X1275" s="35">
        <f t="shared" si="114"/>
        <v>45790</v>
      </c>
      <c r="Y1275" s="35">
        <f t="shared" si="115"/>
        <v>45818</v>
      </c>
    </row>
    <row r="1276" spans="1:25">
      <c r="A1276" s="10">
        <f>SUBTOTAL(103,$B$4:B1276)</f>
        <v>1273</v>
      </c>
      <c r="B1276" s="35">
        <v>45792</v>
      </c>
      <c r="C1276" s="120" t="s">
        <v>177</v>
      </c>
      <c r="D1276" s="3" t="str">
        <f>VLOOKUP(C1276,'Location Summary'!$C$4:$D$678,2,0)</f>
        <v>DA+3</v>
      </c>
      <c r="E1276" s="118" t="s">
        <v>403</v>
      </c>
      <c r="F1276" s="92" t="s">
        <v>683</v>
      </c>
      <c r="H1276" s="157">
        <v>1</v>
      </c>
      <c r="P1276" s="158">
        <v>1</v>
      </c>
      <c r="X1276" s="35">
        <f t="shared" si="114"/>
        <v>45792</v>
      </c>
      <c r="Y1276" s="35">
        <f t="shared" si="115"/>
        <v>45820</v>
      </c>
    </row>
    <row r="1277" spans="1:25">
      <c r="A1277" s="10">
        <f>SUBTOTAL(103,$B$4:B1277)</f>
        <v>1274</v>
      </c>
      <c r="B1277" s="35">
        <v>45794</v>
      </c>
      <c r="C1277" s="120" t="s">
        <v>177</v>
      </c>
      <c r="D1277" s="3" t="str">
        <f>VLOOKUP(C1277,'Location Summary'!$C$4:$D$678,2,0)</f>
        <v>DA+3</v>
      </c>
      <c r="E1277" s="118" t="s">
        <v>403</v>
      </c>
      <c r="F1277" s="92" t="s">
        <v>683</v>
      </c>
      <c r="I1277" s="156">
        <v>1</v>
      </c>
      <c r="J1277" s="158">
        <v>1</v>
      </c>
      <c r="M1277" s="158">
        <v>1</v>
      </c>
      <c r="Q1277" s="157">
        <v>1</v>
      </c>
      <c r="R1277" s="156">
        <v>1</v>
      </c>
      <c r="X1277" s="35">
        <f t="shared" si="114"/>
        <v>45794</v>
      </c>
      <c r="Y1277" s="35">
        <f t="shared" si="115"/>
        <v>45822</v>
      </c>
    </row>
    <row r="1278" spans="1:25">
      <c r="A1278" s="10">
        <f>SUBTOTAL(103,$B$4:B1278)</f>
        <v>1275</v>
      </c>
      <c r="B1278" s="35">
        <v>45795</v>
      </c>
      <c r="C1278" s="120" t="s">
        <v>177</v>
      </c>
      <c r="D1278" s="3" t="str">
        <f>VLOOKUP(C1278,'Location Summary'!$C$4:$D$678,2,0)</f>
        <v>DA+3</v>
      </c>
      <c r="E1278" s="118" t="s">
        <v>403</v>
      </c>
      <c r="F1278" s="92" t="s">
        <v>683</v>
      </c>
      <c r="K1278" s="157">
        <v>1</v>
      </c>
      <c r="L1278" s="156">
        <v>1</v>
      </c>
      <c r="N1278" s="157">
        <v>1</v>
      </c>
      <c r="O1278" s="156">
        <v>1</v>
      </c>
      <c r="X1278" s="35">
        <f t="shared" si="114"/>
        <v>45795</v>
      </c>
      <c r="Y1278" s="35">
        <f t="shared" si="115"/>
        <v>45823</v>
      </c>
    </row>
    <row r="1279" spans="1:25">
      <c r="A1279" s="10">
        <f>SUBTOTAL(103,$B$4:B1279)</f>
        <v>1276</v>
      </c>
      <c r="B1279" s="35">
        <v>45798</v>
      </c>
      <c r="C1279" s="120" t="s">
        <v>176</v>
      </c>
      <c r="D1279" s="3" t="str">
        <f>VLOOKUP(C1279,'Location Summary'!$C$4:$D$678,2,0)</f>
        <v>DA+1.5</v>
      </c>
      <c r="E1279" s="118" t="s">
        <v>403</v>
      </c>
      <c r="F1279" s="92" t="s">
        <v>683</v>
      </c>
      <c r="G1279" s="158">
        <v>1</v>
      </c>
      <c r="J1279" s="158">
        <v>1</v>
      </c>
      <c r="M1279" s="158">
        <v>1</v>
      </c>
      <c r="P1279" s="158">
        <v>1</v>
      </c>
      <c r="X1279" s="35">
        <f t="shared" si="114"/>
        <v>45798</v>
      </c>
      <c r="Y1279" s="35">
        <f t="shared" si="115"/>
        <v>45826</v>
      </c>
    </row>
    <row r="1280" spans="1:25">
      <c r="A1280" s="10">
        <f>SUBTOTAL(103,$B$4:B1280)</f>
        <v>1277</v>
      </c>
      <c r="B1280" s="35">
        <v>45799</v>
      </c>
      <c r="C1280" s="120" t="s">
        <v>176</v>
      </c>
      <c r="D1280" s="3" t="str">
        <f>VLOOKUP(C1280,'Location Summary'!$C$4:$D$678,2,0)</f>
        <v>DA+1.5</v>
      </c>
      <c r="E1280" s="118" t="s">
        <v>403</v>
      </c>
      <c r="F1280" s="92" t="s">
        <v>683</v>
      </c>
      <c r="H1280" s="157">
        <v>1</v>
      </c>
      <c r="I1280" s="156">
        <v>1</v>
      </c>
      <c r="K1280" s="157">
        <v>1</v>
      </c>
      <c r="L1280" s="156">
        <v>1</v>
      </c>
      <c r="N1280" s="157">
        <v>1</v>
      </c>
      <c r="O1280" s="156">
        <v>1</v>
      </c>
      <c r="Q1280" s="157">
        <v>1</v>
      </c>
      <c r="R1280" s="156">
        <v>1</v>
      </c>
      <c r="X1280" s="35">
        <f t="shared" si="114"/>
        <v>45799</v>
      </c>
      <c r="Y1280" s="35">
        <f t="shared" si="115"/>
        <v>45827</v>
      </c>
    </row>
    <row r="1281" spans="1:25">
      <c r="A1281" s="10">
        <f>SUBTOTAL(103,$B$4:B1281)</f>
        <v>1278</v>
      </c>
      <c r="B1281" s="35">
        <v>45799</v>
      </c>
      <c r="C1281" s="120" t="s">
        <v>52</v>
      </c>
      <c r="D1281" s="3" t="str">
        <f>VLOOKUP(C1281,'Location Summary'!$C$4:$D$678,2,0)</f>
        <v>DD60+3</v>
      </c>
      <c r="E1281" s="118" t="s">
        <v>403</v>
      </c>
      <c r="F1281" s="92" t="s">
        <v>683</v>
      </c>
      <c r="G1281" s="158">
        <v>1</v>
      </c>
      <c r="X1281" s="35">
        <f t="shared" si="114"/>
        <v>45799</v>
      </c>
      <c r="Y1281" s="35">
        <f t="shared" si="115"/>
        <v>45827</v>
      </c>
    </row>
    <row r="1282" spans="1:25">
      <c r="A1282" s="10">
        <f>SUBTOTAL(103,$B$4:B1282)</f>
        <v>1279</v>
      </c>
      <c r="B1282" s="35">
        <v>45800</v>
      </c>
      <c r="C1282" s="120" t="s">
        <v>52</v>
      </c>
      <c r="D1282" s="3" t="str">
        <f>VLOOKUP(C1282,'Location Summary'!$C$4:$D$678,2,0)</f>
        <v>DD60+3</v>
      </c>
      <c r="E1282" s="118" t="s">
        <v>403</v>
      </c>
      <c r="F1282" s="92" t="s">
        <v>683</v>
      </c>
      <c r="H1282" s="157">
        <v>1</v>
      </c>
      <c r="I1282" s="156">
        <v>1</v>
      </c>
      <c r="P1282" s="158">
        <v>1</v>
      </c>
      <c r="X1282" s="35">
        <f t="shared" si="114"/>
        <v>45800</v>
      </c>
      <c r="Y1282" s="35">
        <f t="shared" si="115"/>
        <v>45828</v>
      </c>
    </row>
    <row r="1283" spans="1:25">
      <c r="A1283" s="10">
        <f>SUBTOTAL(103,$B$4:B1283)</f>
        <v>1280</v>
      </c>
      <c r="B1283" s="35">
        <v>45801</v>
      </c>
      <c r="C1283" s="120" t="s">
        <v>52</v>
      </c>
      <c r="D1283" s="3" t="str">
        <f>VLOOKUP(C1283,'Location Summary'!$C$4:$D$678,2,0)</f>
        <v>DD60+3</v>
      </c>
      <c r="E1283" s="118" t="s">
        <v>403</v>
      </c>
      <c r="F1283" s="92" t="s">
        <v>683</v>
      </c>
      <c r="M1283" s="158">
        <v>1</v>
      </c>
      <c r="Q1283" s="157">
        <v>1</v>
      </c>
      <c r="R1283" s="156">
        <v>1</v>
      </c>
      <c r="X1283" s="35">
        <f t="shared" si="114"/>
        <v>45801</v>
      </c>
      <c r="Y1283" s="35">
        <f t="shared" si="115"/>
        <v>45829</v>
      </c>
    </row>
    <row r="1284" spans="1:25">
      <c r="A1284" s="10">
        <f>SUBTOTAL(103,$B$4:B1284)</f>
        <v>1281</v>
      </c>
      <c r="B1284" s="35">
        <v>45802</v>
      </c>
      <c r="C1284" s="120" t="s">
        <v>52</v>
      </c>
      <c r="D1284" s="3" t="str">
        <f>VLOOKUP(C1284,'Location Summary'!$C$4:$D$678,2,0)</f>
        <v>DD60+3</v>
      </c>
      <c r="E1284" s="118" t="s">
        <v>403</v>
      </c>
      <c r="F1284" s="92" t="s">
        <v>683</v>
      </c>
      <c r="J1284" s="158">
        <v>1</v>
      </c>
      <c r="X1284" s="35">
        <f t="shared" si="114"/>
        <v>45802</v>
      </c>
      <c r="Y1284" s="35">
        <f t="shared" si="115"/>
        <v>45830</v>
      </c>
    </row>
    <row r="1285" spans="1:25">
      <c r="A1285" s="10">
        <f>SUBTOTAL(103,$B$4:B1285)</f>
        <v>1282</v>
      </c>
      <c r="B1285" s="35">
        <v>45803</v>
      </c>
      <c r="C1285" s="120" t="s">
        <v>52</v>
      </c>
      <c r="D1285" s="3" t="str">
        <f>VLOOKUP(C1285,'Location Summary'!$C$4:$D$678,2,0)</f>
        <v>DD60+3</v>
      </c>
      <c r="E1285" s="118" t="s">
        <v>403</v>
      </c>
      <c r="F1285" s="92" t="s">
        <v>683</v>
      </c>
      <c r="K1285" s="157">
        <v>1</v>
      </c>
      <c r="L1285" s="156">
        <v>1</v>
      </c>
      <c r="N1285" s="157">
        <v>1</v>
      </c>
      <c r="O1285" s="156">
        <v>1</v>
      </c>
      <c r="X1285" s="35">
        <f t="shared" si="114"/>
        <v>45803</v>
      </c>
      <c r="Y1285" s="35">
        <f t="shared" si="115"/>
        <v>45831</v>
      </c>
    </row>
    <row r="1286" spans="1:25">
      <c r="A1286" s="10">
        <f>SUBTOTAL(103,$B$4:B1286)</f>
        <v>1283</v>
      </c>
      <c r="B1286" s="35">
        <v>45806</v>
      </c>
      <c r="C1286" s="23" t="s">
        <v>53</v>
      </c>
      <c r="D1286" s="3" t="str">
        <f>VLOOKUP(C1286,'Location Summary'!$C$4:$D$678,2,0)</f>
        <v>DD60+3</v>
      </c>
      <c r="E1286" s="118" t="s">
        <v>403</v>
      </c>
      <c r="F1286" s="92" t="s">
        <v>683</v>
      </c>
      <c r="J1286" s="158">
        <v>1</v>
      </c>
      <c r="X1286" s="35">
        <f t="shared" si="114"/>
        <v>45806</v>
      </c>
      <c r="Y1286" s="35">
        <f t="shared" si="115"/>
        <v>45834</v>
      </c>
    </row>
    <row r="1287" spans="1:25">
      <c r="A1287" s="10">
        <f>SUBTOTAL(103,$B$4:B1287)</f>
        <v>1284</v>
      </c>
      <c r="B1287" s="35">
        <v>45807</v>
      </c>
      <c r="C1287" s="23" t="s">
        <v>53</v>
      </c>
      <c r="D1287" s="3" t="str">
        <f>VLOOKUP(C1287,'Location Summary'!$C$4:$D$678,2,0)</f>
        <v>DD60+3</v>
      </c>
      <c r="E1287" s="118" t="s">
        <v>403</v>
      </c>
      <c r="F1287" s="92" t="s">
        <v>683</v>
      </c>
      <c r="P1287" s="158">
        <v>1</v>
      </c>
      <c r="X1287" s="35">
        <f t="shared" si="114"/>
        <v>45807</v>
      </c>
      <c r="Y1287" s="35">
        <f t="shared" si="115"/>
        <v>45835</v>
      </c>
    </row>
    <row r="1288" spans="1:25">
      <c r="A1288" s="10">
        <f>SUBTOTAL(103,$B$4:B1288)</f>
        <v>1285</v>
      </c>
      <c r="B1288" s="35">
        <v>45807</v>
      </c>
      <c r="C1288" s="120" t="s">
        <v>265</v>
      </c>
      <c r="D1288" s="3" t="str">
        <f>VLOOKUP(C1288,'Location Summary'!$C$4:$D$678,2,0)</f>
        <v>DD45+0</v>
      </c>
      <c r="E1288" s="118" t="s">
        <v>403</v>
      </c>
      <c r="F1288" s="92" t="s">
        <v>683</v>
      </c>
      <c r="M1288" s="158">
        <v>1</v>
      </c>
      <c r="N1288" s="157">
        <v>1</v>
      </c>
      <c r="X1288" s="35">
        <f t="shared" si="114"/>
        <v>45807</v>
      </c>
      <c r="Y1288" s="35">
        <f t="shared" si="115"/>
        <v>45835</v>
      </c>
    </row>
    <row r="1289" spans="1:25">
      <c r="A1289" s="10">
        <f>SUBTOTAL(103,$B$4:B1289)</f>
        <v>1286</v>
      </c>
      <c r="B1289" s="35">
        <v>45808</v>
      </c>
      <c r="C1289" s="120" t="s">
        <v>53</v>
      </c>
      <c r="D1289" s="3" t="str">
        <f>VLOOKUP(C1289,'Location Summary'!$C$4:$D$678,2,0)</f>
        <v>DD60+3</v>
      </c>
      <c r="E1289" s="118" t="s">
        <v>403</v>
      </c>
      <c r="F1289" s="92" t="s">
        <v>683</v>
      </c>
      <c r="K1289" s="157">
        <v>1</v>
      </c>
      <c r="L1289" s="156">
        <v>1</v>
      </c>
      <c r="M1289" s="158">
        <v>1</v>
      </c>
      <c r="Q1289" s="157">
        <v>1</v>
      </c>
      <c r="R1289" s="156">
        <v>1</v>
      </c>
      <c r="X1289" s="35">
        <f t="shared" si="114"/>
        <v>45808</v>
      </c>
      <c r="Y1289" s="35">
        <f t="shared" si="115"/>
        <v>45836</v>
      </c>
    </row>
    <row r="1290" spans="1:25">
      <c r="A1290" s="10">
        <f>SUBTOTAL(103,$B$4:B1290)</f>
        <v>1287</v>
      </c>
      <c r="B1290" s="35">
        <v>45809</v>
      </c>
      <c r="C1290" s="120" t="s">
        <v>53</v>
      </c>
      <c r="D1290" s="3" t="str">
        <f>VLOOKUP(C1290,'Location Summary'!$C$4:$D$678,2,0)</f>
        <v>DD60+3</v>
      </c>
      <c r="E1290" s="118" t="s">
        <v>403</v>
      </c>
      <c r="F1290" s="92" t="s">
        <v>683</v>
      </c>
      <c r="G1290" s="158">
        <v>1</v>
      </c>
      <c r="N1290" s="157">
        <v>1</v>
      </c>
      <c r="O1290" s="156">
        <v>1</v>
      </c>
      <c r="X1290" s="35">
        <f t="shared" si="114"/>
        <v>45809</v>
      </c>
      <c r="Y1290" s="35">
        <f t="shared" si="115"/>
        <v>45837</v>
      </c>
    </row>
    <row r="1291" spans="1:25">
      <c r="A1291" s="10">
        <f>SUBTOTAL(103,$B$4:B1291)</f>
        <v>1288</v>
      </c>
      <c r="B1291" s="35">
        <v>45809</v>
      </c>
      <c r="C1291" s="120" t="s">
        <v>265</v>
      </c>
      <c r="D1291" s="3" t="str">
        <f>VLOOKUP(C1291,'Location Summary'!$C$4:$D$678,2,0)</f>
        <v>DD45+0</v>
      </c>
      <c r="E1291" s="118" t="s">
        <v>403</v>
      </c>
      <c r="F1291" s="92" t="s">
        <v>683</v>
      </c>
      <c r="G1291" s="158">
        <v>1</v>
      </c>
      <c r="H1291" s="157">
        <v>1</v>
      </c>
      <c r="X1291" s="35">
        <f t="shared" si="114"/>
        <v>45809</v>
      </c>
      <c r="Y1291" s="35">
        <f t="shared" si="115"/>
        <v>45837</v>
      </c>
    </row>
    <row r="1292" spans="1:25">
      <c r="A1292" s="10">
        <f>SUBTOTAL(103,$B$4:B1292)</f>
        <v>1289</v>
      </c>
      <c r="B1292" s="35">
        <v>45810</v>
      </c>
      <c r="C1292" s="120" t="s">
        <v>53</v>
      </c>
      <c r="D1292" s="3" t="str">
        <f>VLOOKUP(C1292,'Location Summary'!$C$4:$D$678,2,0)</f>
        <v>DD60+3</v>
      </c>
      <c r="E1292" s="118" t="s">
        <v>403</v>
      </c>
      <c r="F1292" s="92" t="s">
        <v>683</v>
      </c>
      <c r="H1292" s="157">
        <v>1</v>
      </c>
      <c r="I1292" s="156">
        <v>1</v>
      </c>
      <c r="X1292" s="35">
        <f t="shared" si="114"/>
        <v>45810</v>
      </c>
      <c r="Y1292" s="35">
        <f t="shared" si="115"/>
        <v>45838</v>
      </c>
    </row>
    <row r="1293" spans="1:25">
      <c r="A1293" s="10">
        <f>SUBTOTAL(103,$B$4:B1293)</f>
        <v>1290</v>
      </c>
      <c r="B1293" s="35">
        <v>45811</v>
      </c>
      <c r="C1293" s="23" t="s">
        <v>265</v>
      </c>
      <c r="D1293" s="3" t="str">
        <f>VLOOKUP(C1293,'Location Summary'!$C$4:$D$678,2,0)</f>
        <v>DD45+0</v>
      </c>
      <c r="E1293" s="118" t="s">
        <v>403</v>
      </c>
      <c r="F1293" s="92" t="s">
        <v>683</v>
      </c>
      <c r="I1293" s="156">
        <v>1</v>
      </c>
      <c r="O1293" s="156">
        <v>1</v>
      </c>
      <c r="X1293" s="35">
        <f t="shared" si="114"/>
        <v>45811</v>
      </c>
      <c r="Y1293" s="35">
        <f t="shared" si="115"/>
        <v>45839</v>
      </c>
    </row>
    <row r="1294" spans="1:25">
      <c r="A1294" s="10">
        <f>SUBTOTAL(103,$B$4:B1294)</f>
        <v>1291</v>
      </c>
      <c r="B1294" s="35">
        <v>45813</v>
      </c>
      <c r="C1294" s="23" t="s">
        <v>265</v>
      </c>
      <c r="D1294" s="3" t="str">
        <f>VLOOKUP(C1294,'Location Summary'!$C$4:$D$678,2,0)</f>
        <v>DD45+0</v>
      </c>
      <c r="E1294" s="118" t="s">
        <v>403</v>
      </c>
      <c r="F1294" s="92" t="s">
        <v>683</v>
      </c>
      <c r="P1294" s="158">
        <v>1</v>
      </c>
      <c r="Q1294" s="157">
        <v>1</v>
      </c>
      <c r="X1294" s="35">
        <f t="shared" si="114"/>
        <v>45813</v>
      </c>
      <c r="Y1294" s="35">
        <f t="shared" si="115"/>
        <v>45841</v>
      </c>
    </row>
    <row r="1295" spans="1:25">
      <c r="A1295" s="10">
        <f>SUBTOTAL(103,$B$4:B1295)</f>
        <v>1292</v>
      </c>
      <c r="B1295" s="35">
        <v>45815</v>
      </c>
      <c r="C1295" s="23" t="s">
        <v>265</v>
      </c>
      <c r="D1295" s="3" t="str">
        <f>VLOOKUP(C1295,'Location Summary'!$C$4:$D$678,2,0)</f>
        <v>DD45+0</v>
      </c>
      <c r="E1295" s="118" t="s">
        <v>403</v>
      </c>
      <c r="F1295" s="92" t="s">
        <v>683</v>
      </c>
      <c r="J1295" s="158">
        <v>1</v>
      </c>
      <c r="K1295" s="157">
        <v>1</v>
      </c>
      <c r="X1295" s="35">
        <f t="shared" si="114"/>
        <v>45815</v>
      </c>
      <c r="Y1295" s="35">
        <f t="shared" si="115"/>
        <v>45843</v>
      </c>
    </row>
    <row r="1296" spans="1:25">
      <c r="A1296" s="10">
        <f>SUBTOTAL(103,$B$4:B1296)</f>
        <v>1293</v>
      </c>
      <c r="B1296" s="35">
        <v>45816</v>
      </c>
      <c r="C1296" s="23" t="s">
        <v>265</v>
      </c>
      <c r="D1296" s="3" t="str">
        <f>VLOOKUP(C1296,'Location Summary'!$C$4:$D$678,2,0)</f>
        <v>DD45+0</v>
      </c>
      <c r="E1296" s="118" t="s">
        <v>403</v>
      </c>
      <c r="F1296" s="92" t="s">
        <v>683</v>
      </c>
      <c r="L1296" s="156">
        <v>1</v>
      </c>
      <c r="R1296" s="156">
        <v>1</v>
      </c>
      <c r="X1296" s="35">
        <f t="shared" si="114"/>
        <v>45816</v>
      </c>
      <c r="Y1296" s="35">
        <f t="shared" si="115"/>
        <v>45844</v>
      </c>
    </row>
    <row r="1297" spans="1:25">
      <c r="A1297" s="10">
        <f>SUBTOTAL(103,$B$4:B1297)</f>
        <v>1294</v>
      </c>
      <c r="B1297" s="35">
        <v>45818</v>
      </c>
      <c r="C1297" s="120" t="s">
        <v>266</v>
      </c>
      <c r="D1297" s="3" t="str">
        <f>VLOOKUP(C1297,'Location Summary'!$C$4:$D$678,2,0)</f>
        <v>DB1+9</v>
      </c>
      <c r="E1297" s="118" t="s">
        <v>403</v>
      </c>
      <c r="F1297" s="92" t="s">
        <v>683</v>
      </c>
      <c r="G1297" s="158">
        <v>1</v>
      </c>
      <c r="P1297" s="158">
        <v>1</v>
      </c>
      <c r="X1297" s="35">
        <f t="shared" si="114"/>
        <v>45818</v>
      </c>
      <c r="Y1297" s="35">
        <f t="shared" si="115"/>
        <v>45846</v>
      </c>
    </row>
    <row r="1298" spans="1:25">
      <c r="A1298" s="10">
        <f>SUBTOTAL(103,$B$4:B1298)</f>
        <v>1295</v>
      </c>
      <c r="B1298" s="35">
        <v>45819</v>
      </c>
      <c r="C1298" s="120" t="s">
        <v>266</v>
      </c>
      <c r="D1298" s="3" t="str">
        <f>VLOOKUP(C1298,'Location Summary'!$C$4:$D$678,2,0)</f>
        <v>DB1+9</v>
      </c>
      <c r="E1298" s="118" t="s">
        <v>403</v>
      </c>
      <c r="F1298" s="92" t="s">
        <v>683</v>
      </c>
      <c r="H1298" s="157">
        <v>1</v>
      </c>
      <c r="I1298" s="156">
        <v>1</v>
      </c>
      <c r="Q1298" s="157">
        <v>1</v>
      </c>
      <c r="R1298" s="156">
        <v>1</v>
      </c>
      <c r="X1298" s="35">
        <f t="shared" si="114"/>
        <v>45819</v>
      </c>
      <c r="Y1298" s="35">
        <f t="shared" si="115"/>
        <v>45847</v>
      </c>
    </row>
    <row r="1299" spans="1:25">
      <c r="A1299" s="10">
        <f>SUBTOTAL(103,$B$4:B1299)</f>
        <v>1296</v>
      </c>
      <c r="B1299" s="35">
        <v>45821</v>
      </c>
      <c r="C1299" s="120" t="s">
        <v>266</v>
      </c>
      <c r="D1299" s="3" t="str">
        <f>VLOOKUP(C1299,'Location Summary'!$C$4:$D$678,2,0)</f>
        <v>DB1+9</v>
      </c>
      <c r="E1299" s="118" t="s">
        <v>403</v>
      </c>
      <c r="F1299" s="92" t="s">
        <v>683</v>
      </c>
      <c r="J1299" s="158">
        <v>1</v>
      </c>
      <c r="M1299" s="158">
        <v>1</v>
      </c>
      <c r="X1299" s="35">
        <f t="shared" si="114"/>
        <v>45821</v>
      </c>
      <c r="Y1299" s="35">
        <f t="shared" si="115"/>
        <v>45849</v>
      </c>
    </row>
    <row r="1300" spans="1:25">
      <c r="A1300" s="10">
        <f>SUBTOTAL(103,$B$4:B1300)</f>
        <v>1297</v>
      </c>
      <c r="B1300" s="35">
        <v>45822</v>
      </c>
      <c r="C1300" s="120" t="s">
        <v>266</v>
      </c>
      <c r="D1300" s="3" t="str">
        <f>VLOOKUP(C1300,'Location Summary'!$C$4:$D$678,2,0)</f>
        <v>DB1+9</v>
      </c>
      <c r="E1300" s="118" t="s">
        <v>403</v>
      </c>
      <c r="F1300" s="92" t="s">
        <v>683</v>
      </c>
      <c r="K1300" s="157">
        <v>1</v>
      </c>
      <c r="L1300" s="156">
        <v>1</v>
      </c>
      <c r="N1300" s="157">
        <v>1</v>
      </c>
      <c r="O1300" s="156">
        <v>1</v>
      </c>
      <c r="X1300" s="35">
        <f t="shared" si="114"/>
        <v>45822</v>
      </c>
      <c r="Y1300" s="35">
        <f t="shared" si="115"/>
        <v>45850</v>
      </c>
    </row>
    <row r="1301" spans="1:25">
      <c r="A1301" s="10">
        <f>SUBTOTAL(103,$B$4:B1301)</f>
        <v>1298</v>
      </c>
      <c r="B1301" s="35">
        <v>45824</v>
      </c>
      <c r="C1301" s="23" t="s">
        <v>268</v>
      </c>
      <c r="D1301" s="3" t="str">
        <f>VLOOKUP(C1301,'Location Summary'!$C$4:$D$678,2,0)</f>
        <v>DD60+0</v>
      </c>
      <c r="E1301" s="118" t="s">
        <v>403</v>
      </c>
      <c r="F1301" s="92" t="s">
        <v>683</v>
      </c>
      <c r="J1301" s="158">
        <v>1</v>
      </c>
      <c r="X1301" s="35">
        <f t="shared" si="114"/>
        <v>45824</v>
      </c>
      <c r="Y1301" s="35">
        <f t="shared" si="115"/>
        <v>45852</v>
      </c>
    </row>
    <row r="1302" spans="1:25">
      <c r="A1302" s="10">
        <f>SUBTOTAL(103,$B$4:B1302)</f>
        <v>1299</v>
      </c>
      <c r="B1302" s="35">
        <v>45826</v>
      </c>
      <c r="C1302" s="120" t="s">
        <v>268</v>
      </c>
      <c r="D1302" s="3" t="str">
        <f>VLOOKUP(C1302,'Location Summary'!$C$4:$D$678,2,0)</f>
        <v>DD60+0</v>
      </c>
      <c r="E1302" s="118" t="s">
        <v>403</v>
      </c>
      <c r="F1302" s="92" t="s">
        <v>683</v>
      </c>
      <c r="G1302" s="158">
        <v>1</v>
      </c>
      <c r="X1302" s="35">
        <f t="shared" ref="X1302:X1317" si="116">B1302</f>
        <v>45826</v>
      </c>
      <c r="Y1302" s="35">
        <f t="shared" ref="Y1302:Y1317" si="117">B1302+28</f>
        <v>45854</v>
      </c>
    </row>
    <row r="1303" spans="1:25">
      <c r="A1303" s="10">
        <f>SUBTOTAL(103,$B$4:B1303)</f>
        <v>1300</v>
      </c>
      <c r="B1303" s="35">
        <v>45828</v>
      </c>
      <c r="C1303" s="120" t="s">
        <v>268</v>
      </c>
      <c r="D1303" s="3" t="str">
        <f>VLOOKUP(C1303,'Location Summary'!$C$4:$D$678,2,0)</f>
        <v>DD60+0</v>
      </c>
      <c r="E1303" s="118" t="s">
        <v>403</v>
      </c>
      <c r="F1303" s="92" t="s">
        <v>683</v>
      </c>
      <c r="H1303" s="157">
        <v>1</v>
      </c>
      <c r="K1303" s="157">
        <v>1</v>
      </c>
      <c r="X1303" s="35">
        <f t="shared" si="116"/>
        <v>45828</v>
      </c>
      <c r="Y1303" s="35">
        <f t="shared" si="117"/>
        <v>45856</v>
      </c>
    </row>
    <row r="1304" spans="1:25">
      <c r="A1304" s="10">
        <f>SUBTOTAL(103,$B$4:B1304)</f>
        <v>1301</v>
      </c>
      <c r="B1304" s="35">
        <v>45829</v>
      </c>
      <c r="C1304" s="120" t="s">
        <v>268</v>
      </c>
      <c r="D1304" s="3" t="str">
        <f>VLOOKUP(C1304,'Location Summary'!$C$4:$D$678,2,0)</f>
        <v>DD60+0</v>
      </c>
      <c r="E1304" s="118" t="s">
        <v>403</v>
      </c>
      <c r="F1304" s="92" t="s">
        <v>683</v>
      </c>
      <c r="I1304" s="156">
        <v>1</v>
      </c>
      <c r="L1304" s="156">
        <v>1</v>
      </c>
      <c r="X1304" s="35">
        <f t="shared" si="116"/>
        <v>45829</v>
      </c>
      <c r="Y1304" s="35">
        <f t="shared" si="117"/>
        <v>45857</v>
      </c>
    </row>
    <row r="1305" spans="1:25">
      <c r="A1305" s="10">
        <f>SUBTOTAL(103,$B$4:B1305)</f>
        <v>1302</v>
      </c>
      <c r="B1305" s="35">
        <v>45830</v>
      </c>
      <c r="C1305" s="120" t="s">
        <v>268</v>
      </c>
      <c r="D1305" s="3" t="str">
        <f>VLOOKUP(C1305,'Location Summary'!$C$4:$D$678,2,0)</f>
        <v>DD60+0</v>
      </c>
      <c r="E1305" s="118" t="s">
        <v>403</v>
      </c>
      <c r="F1305" s="92" t="s">
        <v>683</v>
      </c>
      <c r="M1305" s="158">
        <v>1</v>
      </c>
      <c r="X1305" s="35">
        <f t="shared" si="116"/>
        <v>45830</v>
      </c>
      <c r="Y1305" s="35">
        <f t="shared" si="117"/>
        <v>45858</v>
      </c>
    </row>
    <row r="1306" spans="1:25">
      <c r="A1306" s="10">
        <f>SUBTOTAL(103,$B$4:B1306)</f>
        <v>1303</v>
      </c>
      <c r="B1306" s="35">
        <v>45833</v>
      </c>
      <c r="C1306" s="120" t="s">
        <v>268</v>
      </c>
      <c r="D1306" s="3" t="str">
        <f>VLOOKUP(C1306,'Location Summary'!$C$4:$D$678,2,0)</f>
        <v>DD60+0</v>
      </c>
      <c r="E1306" s="118" t="s">
        <v>403</v>
      </c>
      <c r="F1306" s="92" t="s">
        <v>683</v>
      </c>
      <c r="N1306" s="157">
        <v>1</v>
      </c>
      <c r="X1306" s="35">
        <f t="shared" si="116"/>
        <v>45833</v>
      </c>
      <c r="Y1306" s="35">
        <f t="shared" si="117"/>
        <v>45861</v>
      </c>
    </row>
    <row r="1307" spans="1:25">
      <c r="A1307" s="10">
        <f>SUBTOTAL(103,$B$4:B1307)</f>
        <v>1304</v>
      </c>
      <c r="B1307" s="35">
        <v>45834</v>
      </c>
      <c r="C1307" s="120" t="s">
        <v>268</v>
      </c>
      <c r="D1307" s="3" t="str">
        <f>VLOOKUP(C1307,'Location Summary'!$C$4:$D$678,2,0)</f>
        <v>DD60+0</v>
      </c>
      <c r="E1307" s="118" t="s">
        <v>403</v>
      </c>
      <c r="F1307" s="92" t="s">
        <v>683</v>
      </c>
      <c r="O1307" s="156">
        <v>1</v>
      </c>
      <c r="P1307" s="158">
        <v>1</v>
      </c>
      <c r="X1307" s="35">
        <f t="shared" si="116"/>
        <v>45834</v>
      </c>
      <c r="Y1307" s="35">
        <f t="shared" si="117"/>
        <v>45862</v>
      </c>
    </row>
    <row r="1308" spans="1:25">
      <c r="A1308" s="10">
        <f>SUBTOTAL(103,$B$4:B1308)</f>
        <v>1305</v>
      </c>
      <c r="B1308" s="35">
        <v>45835</v>
      </c>
      <c r="C1308" s="120" t="s">
        <v>268</v>
      </c>
      <c r="D1308" s="3" t="str">
        <f>VLOOKUP(C1308,'Location Summary'!$C$4:$D$678,2,0)</f>
        <v>DD60+0</v>
      </c>
      <c r="E1308" s="118" t="s">
        <v>403</v>
      </c>
      <c r="F1308" s="92" t="s">
        <v>683</v>
      </c>
      <c r="Q1308" s="157">
        <v>1</v>
      </c>
      <c r="R1308" s="156">
        <v>1</v>
      </c>
      <c r="X1308" s="35">
        <f t="shared" si="116"/>
        <v>45835</v>
      </c>
      <c r="Y1308" s="35">
        <f t="shared" si="117"/>
        <v>45863</v>
      </c>
    </row>
    <row r="1309" spans="1:25">
      <c r="A1309" s="10">
        <f>SUBTOTAL(103,$B$4:B1309)</f>
        <v>1306</v>
      </c>
      <c r="B1309" s="35">
        <v>45839</v>
      </c>
      <c r="C1309" s="23" t="s">
        <v>1250</v>
      </c>
      <c r="D1309" s="3" t="str">
        <f>VLOOKUP(C1309,'Location Summary'!$C$4:$D$678,2,0)</f>
        <v>DA+0</v>
      </c>
      <c r="E1309" s="118" t="s">
        <v>403</v>
      </c>
      <c r="F1309" s="92" t="s">
        <v>683</v>
      </c>
      <c r="G1309" s="158">
        <v>1</v>
      </c>
      <c r="J1309" s="158">
        <v>1</v>
      </c>
      <c r="M1309" s="158">
        <v>1</v>
      </c>
      <c r="P1309" s="158">
        <v>1</v>
      </c>
      <c r="X1309" s="35">
        <f t="shared" si="116"/>
        <v>45839</v>
      </c>
      <c r="Y1309" s="35">
        <f t="shared" si="117"/>
        <v>45867</v>
      </c>
    </row>
    <row r="1310" spans="1:25">
      <c r="A1310" s="10">
        <f>SUBTOTAL(103,$B$4:B1310)</f>
        <v>1307</v>
      </c>
      <c r="B1310" s="35">
        <v>45841</v>
      </c>
      <c r="C1310" s="23" t="s">
        <v>1250</v>
      </c>
      <c r="D1310" s="3" t="str">
        <f>VLOOKUP(C1310,'Location Summary'!$C$4:$D$678,2,0)</f>
        <v>DA+0</v>
      </c>
      <c r="E1310" s="118" t="s">
        <v>403</v>
      </c>
      <c r="F1310" s="92" t="s">
        <v>683</v>
      </c>
      <c r="H1310" s="157">
        <v>1</v>
      </c>
      <c r="I1310" s="156">
        <v>1</v>
      </c>
      <c r="K1310" s="157">
        <v>1</v>
      </c>
      <c r="L1310" s="156">
        <v>1</v>
      </c>
      <c r="X1310" s="35">
        <f t="shared" si="116"/>
        <v>45841</v>
      </c>
      <c r="Y1310" s="35">
        <f t="shared" si="117"/>
        <v>45869</v>
      </c>
    </row>
    <row r="1311" spans="1:25">
      <c r="A1311" s="10">
        <f>SUBTOTAL(103,$B$4:B1311)</f>
        <v>1308</v>
      </c>
      <c r="B1311" s="35">
        <v>45843</v>
      </c>
      <c r="C1311" s="23" t="s">
        <v>1250</v>
      </c>
      <c r="D1311" s="3" t="str">
        <f>VLOOKUP(C1311,'Location Summary'!$C$4:$D$678,2,0)</f>
        <v>DA+0</v>
      </c>
      <c r="E1311" s="118" t="s">
        <v>403</v>
      </c>
      <c r="F1311" s="92" t="s">
        <v>683</v>
      </c>
      <c r="N1311" s="157">
        <v>1</v>
      </c>
      <c r="O1311" s="156">
        <v>1</v>
      </c>
      <c r="Q1311" s="157">
        <v>1</v>
      </c>
      <c r="R1311" s="156">
        <v>1</v>
      </c>
      <c r="X1311" s="35">
        <f t="shared" si="116"/>
        <v>45843</v>
      </c>
      <c r="Y1311" s="35">
        <f t="shared" si="117"/>
        <v>45871</v>
      </c>
    </row>
    <row r="1312" spans="1:25">
      <c r="A1312" s="10">
        <f>SUBTOTAL(103,$B$4:B1312)</f>
        <v>1309</v>
      </c>
      <c r="B1312" s="35">
        <v>45846</v>
      </c>
      <c r="C1312" s="23" t="s">
        <v>1248</v>
      </c>
      <c r="D1312" s="3" t="str">
        <f>VLOOKUP(C1312,'Location Summary'!$C$4:$D$678,2,0)</f>
        <v>DD45+0</v>
      </c>
      <c r="E1312" s="118" t="s">
        <v>403</v>
      </c>
      <c r="F1312" s="92" t="s">
        <v>683</v>
      </c>
      <c r="J1312" s="158">
        <v>1</v>
      </c>
      <c r="K1312" s="157">
        <v>1</v>
      </c>
      <c r="X1312" s="35">
        <f t="shared" si="116"/>
        <v>45846</v>
      </c>
      <c r="Y1312" s="35">
        <f t="shared" si="117"/>
        <v>45874</v>
      </c>
    </row>
    <row r="1313" spans="1:25">
      <c r="A1313" s="10">
        <f>SUBTOTAL(103,$B$4:B1313)</f>
        <v>1310</v>
      </c>
      <c r="B1313" s="35">
        <v>45847</v>
      </c>
      <c r="C1313" s="23" t="s">
        <v>1248</v>
      </c>
      <c r="D1313" s="3" t="str">
        <f>VLOOKUP(C1313,'Location Summary'!$C$4:$D$678,2,0)</f>
        <v>DD45+0</v>
      </c>
      <c r="E1313" s="118" t="s">
        <v>403</v>
      </c>
      <c r="F1313" s="92" t="s">
        <v>683</v>
      </c>
      <c r="M1313" s="158">
        <v>1</v>
      </c>
      <c r="N1313" s="157">
        <v>1</v>
      </c>
      <c r="X1313" s="35">
        <f t="shared" si="116"/>
        <v>45847</v>
      </c>
      <c r="Y1313" s="35">
        <f t="shared" si="117"/>
        <v>45875</v>
      </c>
    </row>
    <row r="1314" spans="1:25">
      <c r="A1314" s="10">
        <f>SUBTOTAL(103,$B$4:B1314)</f>
        <v>1311</v>
      </c>
      <c r="B1314" s="35">
        <v>45848</v>
      </c>
      <c r="C1314" s="23" t="s">
        <v>1248</v>
      </c>
      <c r="D1314" s="3" t="str">
        <f>VLOOKUP(C1314,'Location Summary'!$C$4:$D$678,2,0)</f>
        <v>DD45+0</v>
      </c>
      <c r="E1314" s="118" t="s">
        <v>403</v>
      </c>
      <c r="F1314" s="92" t="s">
        <v>683</v>
      </c>
      <c r="L1314" s="156">
        <v>1</v>
      </c>
      <c r="O1314" s="156">
        <v>1</v>
      </c>
      <c r="X1314" s="35">
        <f t="shared" si="116"/>
        <v>45848</v>
      </c>
      <c r="Y1314" s="35">
        <f t="shared" si="117"/>
        <v>45876</v>
      </c>
    </row>
    <row r="1315" spans="1:25">
      <c r="A1315" s="10">
        <f>SUBTOTAL(103,$B$4:B1315)</f>
        <v>1312</v>
      </c>
      <c r="B1315" s="35">
        <v>45849</v>
      </c>
      <c r="C1315" s="23" t="s">
        <v>1248</v>
      </c>
      <c r="D1315" s="3" t="str">
        <f>VLOOKUP(C1315,'Location Summary'!$C$4:$D$678,2,0)</f>
        <v>DD45+0</v>
      </c>
      <c r="E1315" s="118" t="s">
        <v>403</v>
      </c>
      <c r="F1315" s="92" t="s">
        <v>683</v>
      </c>
      <c r="P1315" s="158">
        <v>1</v>
      </c>
      <c r="Q1315" s="157">
        <v>1</v>
      </c>
      <c r="X1315" s="35">
        <f t="shared" si="116"/>
        <v>45849</v>
      </c>
      <c r="Y1315" s="35">
        <f t="shared" si="117"/>
        <v>45877</v>
      </c>
    </row>
    <row r="1316" spans="1:25">
      <c r="A1316" s="10">
        <f>SUBTOTAL(103,$B$4:B1316)</f>
        <v>1313</v>
      </c>
      <c r="B1316" s="35">
        <v>45850</v>
      </c>
      <c r="C1316" s="23" t="s">
        <v>1248</v>
      </c>
      <c r="D1316" s="3" t="str">
        <f>VLOOKUP(C1316,'Location Summary'!$C$4:$D$678,2,0)</f>
        <v>DD45+0</v>
      </c>
      <c r="E1316" s="118" t="s">
        <v>403</v>
      </c>
      <c r="F1316" s="92" t="s">
        <v>683</v>
      </c>
      <c r="R1316" s="156">
        <v>1</v>
      </c>
      <c r="X1316" s="35">
        <f t="shared" si="116"/>
        <v>45850</v>
      </c>
      <c r="Y1316" s="35">
        <f t="shared" si="117"/>
        <v>45878</v>
      </c>
    </row>
    <row r="1317" spans="1:25">
      <c r="A1317" s="10">
        <f>SUBTOTAL(103,$B$4:B1317)</f>
        <v>1314</v>
      </c>
      <c r="B1317" s="35">
        <v>45851</v>
      </c>
      <c r="C1317" s="23" t="s">
        <v>1248</v>
      </c>
      <c r="D1317" s="3" t="str">
        <f>VLOOKUP(C1317,'Location Summary'!$C$4:$D$678,2,0)</f>
        <v>DD45+0</v>
      </c>
      <c r="E1317" s="118" t="s">
        <v>403</v>
      </c>
      <c r="F1317" s="92" t="s">
        <v>683</v>
      </c>
      <c r="G1317" s="158">
        <v>1</v>
      </c>
      <c r="H1317" s="157">
        <v>1</v>
      </c>
      <c r="X1317" s="35">
        <f t="shared" si="116"/>
        <v>45851</v>
      </c>
      <c r="Y1317" s="35">
        <f t="shared" si="117"/>
        <v>45879</v>
      </c>
    </row>
    <row r="1318" spans="1:25">
      <c r="A1318" s="10">
        <f>SUBTOTAL(103,$B$4:B1318)</f>
        <v>1315</v>
      </c>
      <c r="B1318" s="35">
        <v>45852</v>
      </c>
      <c r="C1318" s="23" t="s">
        <v>1248</v>
      </c>
      <c r="D1318" s="3" t="str">
        <f>VLOOKUP(C1318,'Location Summary'!$C$4:$D$678,2,0)</f>
        <v>DD45+0</v>
      </c>
      <c r="E1318" s="118" t="s">
        <v>403</v>
      </c>
      <c r="F1318" s="92" t="s">
        <v>683</v>
      </c>
      <c r="I1318" s="156">
        <v>1</v>
      </c>
      <c r="X1318" s="35">
        <f>B1318</f>
        <v>45852</v>
      </c>
      <c r="Y1318" s="35">
        <f>B1318+28</f>
        <v>45880</v>
      </c>
    </row>
    <row r="1319" spans="1:25">
      <c r="X1319" s="35"/>
      <c r="Y1319" s="35"/>
    </row>
    <row r="1320" spans="1:25">
      <c r="X1320" s="35"/>
      <c r="Y1320" s="35"/>
    </row>
    <row r="1321" spans="1:25">
      <c r="X1321" s="35"/>
      <c r="Y1321" s="35"/>
    </row>
    <row r="1322" spans="1:25">
      <c r="X1322" s="35"/>
      <c r="Y1322" s="35"/>
    </row>
    <row r="1323" spans="1:25">
      <c r="X1323" s="35"/>
      <c r="Y1323" s="35"/>
    </row>
    <row r="1324" spans="1:25">
      <c r="X1324" s="35"/>
      <c r="Y1324" s="35"/>
    </row>
    <row r="1325" spans="1:25">
      <c r="X1325" s="35"/>
      <c r="Y1325" s="35"/>
    </row>
    <row r="1326" spans="1:25">
      <c r="X1326" s="35"/>
      <c r="Y1326" s="35"/>
    </row>
    <row r="1327" spans="1:25">
      <c r="X1327" s="35"/>
      <c r="Y1327" s="35"/>
    </row>
    <row r="1328" spans="1:25">
      <c r="X1328" s="35"/>
      <c r="Y1328" s="35"/>
    </row>
    <row r="1329" spans="24:25">
      <c r="X1329" s="35"/>
      <c r="Y1329" s="35"/>
    </row>
    <row r="1330" spans="24:25">
      <c r="X1330" s="35"/>
      <c r="Y1330" s="35"/>
    </row>
    <row r="1331" spans="24:25">
      <c r="X1331" s="35"/>
      <c r="Y1331" s="35"/>
    </row>
    <row r="1332" spans="24:25">
      <c r="X1332" s="35"/>
      <c r="Y1332" s="35"/>
    </row>
    <row r="1333" spans="24:25">
      <c r="X1333" s="35"/>
      <c r="Y1333" s="35"/>
    </row>
    <row r="1334" spans="24:25">
      <c r="X1334" s="35"/>
      <c r="Y1334" s="35"/>
    </row>
    <row r="1335" spans="24:25">
      <c r="X1335" s="35"/>
      <c r="Y1335" s="35"/>
    </row>
    <row r="1336" spans="24:25">
      <c r="X1336" s="35"/>
      <c r="Y1336" s="35"/>
    </row>
    <row r="1337" spans="24:25">
      <c r="X1337" s="35"/>
      <c r="Y1337" s="35"/>
    </row>
    <row r="1338" spans="24:25">
      <c r="X1338" s="35"/>
      <c r="Y1338" s="35"/>
    </row>
    <row r="1339" spans="24:25">
      <c r="X1339" s="35"/>
      <c r="Y1339" s="35"/>
    </row>
    <row r="1340" spans="24:25">
      <c r="X1340" s="35"/>
      <c r="Y1340" s="35"/>
    </row>
  </sheetData>
  <autoFilter ref="B3:R1318" xr:uid="{B1FF8795-19A8-487A-85D8-85D72E7B2FE7}"/>
  <mergeCells count="5">
    <mergeCell ref="G1:I1"/>
    <mergeCell ref="J1:L1"/>
    <mergeCell ref="M1:O1"/>
    <mergeCell ref="P1:R1"/>
    <mergeCell ref="U3:W3"/>
  </mergeCells>
  <conditionalFormatting sqref="A1:A2 B2 A3:C3">
    <cfRule type="expression" dxfId="11" priority="1250" stopIfTrue="1">
      <formula>AND(COUNTIF($D$672:$D$66027, A1)+COUNTIF($D$83:$D$84, A1)+COUNTIF($D$65:$D$70, A1)+COUNTIF($D$1:$D$14, A1)+COUNTIF($D$16:$D$21, A1)+COUNTIF($D$25:$D$41, A1)+COUNTIF($D$44:$D$60, A1)+COUNTIF($D$73:$D$73, A1)+COUNTIF($D$91:$D$116, A1)+COUNTIF($D$320:$D$349, A1)+COUNTIF($D$352:$D$354, A1)+COUNTIF($D$417:$D$481, A1)+COUNTIF($D$507:$D$524, A1)&gt;1,NOT(ISBLANK(A1)))</formula>
    </cfRule>
    <cfRule type="expression" dxfId="10" priority="1251" stopIfTrue="1">
      <formula>AND(COUNTIF($D$672:$D$66027, A1)+COUNTIF($D$83:$D$84, A1)+COUNTIF($D$65:$D$70, A1)+COUNTIF($D$1:$D$21, A1)+COUNTIF($D$25:$D$41, A1)+COUNTIF($D$44:$D$60, A1)+COUNTIF($D$73:$D$73, A1)+COUNTIF($D$91:$D$116, A1)+COUNTIF($D$320:$D$349, A1)+COUNTIF($D$352:$D$354, A1)+COUNTIF($D$417:$D$481, A1)+COUNTIF($D$507:$D$524, A1)&gt;1,NOT(ISBLANK(A1)))</formula>
    </cfRule>
  </conditionalFormatting>
  <pageMargins left="0.39370078740157483" right="0.27559055118110237" top="0.74803149606299213" bottom="0.74803149606299213" header="0.31496062992125984" footer="0.31496062992125984"/>
  <pageSetup paperSize="9" scale="66" fitToHeight="0" orientation="portrait" blackAndWhite="1" horizontalDpi="300" verticalDpi="300" r:id="rId1"/>
  <rowBreaks count="5" manualBreakCount="5">
    <brk id="87" max="16383" man="1"/>
    <brk id="210" max="16383" man="1"/>
    <brk id="951" max="24" man="1"/>
    <brk id="1065" max="24" man="1"/>
    <brk id="1182" max="24" man="1"/>
  </rowBreaks>
  <ignoredErrors>
    <ignoredError sqref="A238:A293 A295:A996 A997:E997 G1004:N1004 G998:L998 N998:XFD998 G999:M999 O999:P999 R999:W999 G1000 S1000:W1000 J1000:P1000 G1001:I1001 K1001:W1001 A998:B1002 G1002:J1002 N1002:W1002 H1003:W1003 S1004:W1004 P1004:Q1004 Z999:XFD1004 G997:XFD997 A5:A236 A1003:A1311 A1313 A1312 A1314 A1315:A1317" formulaRange="1"/>
    <ignoredError sqref="D459:D462 D464:D477 D479:D484 D486:D490" evalError="1"/>
  </ignoredErrors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3EDFA-3A1A-4D5E-AD20-A90E2A5A48E7}">
  <sheetPr codeName="Sheet27">
    <tabColor rgb="FFFFFF00"/>
    <pageSetUpPr fitToPage="1"/>
  </sheetPr>
  <dimension ref="A1:K43"/>
  <sheetViews>
    <sheetView showGridLines="0" workbookViewId="0">
      <selection activeCell="N38" sqref="N38"/>
    </sheetView>
  </sheetViews>
  <sheetFormatPr defaultColWidth="9.1796875" defaultRowHeight="14.5"/>
  <cols>
    <col min="1" max="1" width="9.1796875" style="13"/>
    <col min="2" max="2" width="16.26953125" style="7" bestFit="1" customWidth="1"/>
    <col min="3" max="3" width="10.54296875" style="13" bestFit="1" customWidth="1"/>
    <col min="4" max="4" width="16.54296875" style="13" customWidth="1"/>
    <col min="5" max="5" width="18" style="13" customWidth="1"/>
    <col min="6" max="6" width="12.54296875" style="13" bestFit="1" customWidth="1"/>
    <col min="7" max="8" width="12.54296875" style="13" customWidth="1"/>
    <col min="9" max="9" width="9.7265625" style="13" bestFit="1" customWidth="1"/>
    <col min="10" max="10" width="11.453125" style="13" bestFit="1" customWidth="1"/>
    <col min="11" max="11" width="16.453125" style="13" customWidth="1"/>
    <col min="12" max="16384" width="9.1796875" style="7"/>
  </cols>
  <sheetData>
    <row r="1" spans="1:11" ht="27" customHeight="1" thickBot="1">
      <c r="A1" s="1729" t="s">
        <v>906</v>
      </c>
      <c r="B1" s="1729"/>
      <c r="C1" s="1729"/>
      <c r="D1" s="1729"/>
      <c r="E1" s="1729"/>
      <c r="F1" s="1729"/>
      <c r="G1" s="1729"/>
      <c r="H1" s="1729"/>
      <c r="I1" s="1729"/>
      <c r="J1" s="1729"/>
      <c r="K1" s="1729"/>
    </row>
    <row r="2" spans="1:11">
      <c r="A2" s="1730" t="s">
        <v>81</v>
      </c>
      <c r="B2" s="1731"/>
      <c r="C2" s="278">
        <f>SUM(C5:C43)</f>
        <v>287</v>
      </c>
      <c r="D2" s="278">
        <f t="shared" ref="D2:K2" si="0">SUM(D5:D43)</f>
        <v>298</v>
      </c>
      <c r="E2" s="278">
        <f t="shared" si="0"/>
        <v>306</v>
      </c>
      <c r="F2" s="279">
        <f t="shared" si="0"/>
        <v>306</v>
      </c>
      <c r="G2" s="279">
        <f t="shared" si="0"/>
        <v>309</v>
      </c>
      <c r="H2" s="279">
        <f>SUM(H5:H43)</f>
        <v>-3</v>
      </c>
      <c r="I2" s="280">
        <f t="shared" si="0"/>
        <v>306</v>
      </c>
      <c r="J2" s="280">
        <f t="shared" si="0"/>
        <v>309</v>
      </c>
      <c r="K2" s="281">
        <f t="shared" si="0"/>
        <v>-3</v>
      </c>
    </row>
    <row r="3" spans="1:11" ht="28.5" customHeight="1" thickBot="1">
      <c r="A3" s="282"/>
      <c r="B3" s="261"/>
      <c r="C3" s="261"/>
      <c r="D3" s="261"/>
      <c r="E3" s="921"/>
      <c r="F3" s="1732" t="s">
        <v>983</v>
      </c>
      <c r="G3" s="1733"/>
      <c r="H3" s="1734"/>
      <c r="I3" s="1735" t="s">
        <v>907</v>
      </c>
      <c r="J3" s="1736"/>
      <c r="K3" s="1737"/>
    </row>
    <row r="4" spans="1:11" s="288" customFormat="1" ht="30" customHeight="1" thickBot="1">
      <c r="A4" s="277" t="s">
        <v>374</v>
      </c>
      <c r="B4" s="283" t="s">
        <v>908</v>
      </c>
      <c r="C4" s="284" t="s">
        <v>245</v>
      </c>
      <c r="D4" s="284" t="s">
        <v>1360</v>
      </c>
      <c r="E4" s="284" t="s">
        <v>1361</v>
      </c>
      <c r="F4" s="285" t="s">
        <v>909</v>
      </c>
      <c r="G4" s="285" t="s">
        <v>910</v>
      </c>
      <c r="H4" s="285" t="s">
        <v>0</v>
      </c>
      <c r="I4" s="286" t="s">
        <v>50</v>
      </c>
      <c r="J4" s="286" t="s">
        <v>910</v>
      </c>
      <c r="K4" s="287" t="s">
        <v>0</v>
      </c>
    </row>
    <row r="5" spans="1:11">
      <c r="A5" s="24">
        <v>1</v>
      </c>
      <c r="B5" s="289" t="s">
        <v>4</v>
      </c>
      <c r="C5" s="1738">
        <v>241</v>
      </c>
      <c r="D5" s="1738">
        <v>241</v>
      </c>
      <c r="E5" s="1741">
        <v>246</v>
      </c>
      <c r="F5" s="290">
        <f>COUNTIF('Location Summary'!$D$4:$D$616,'Tower PRS abstract '!B5)</f>
        <v>12</v>
      </c>
      <c r="G5" s="290">
        <v>12</v>
      </c>
      <c r="H5" s="290">
        <f t="shared" ref="H5:H42" si="1">F5-G5</f>
        <v>0</v>
      </c>
      <c r="I5" s="291">
        <f t="shared" ref="I5:I12" si="2">F5</f>
        <v>12</v>
      </c>
      <c r="J5" s="291">
        <f t="shared" ref="J5:J42" si="3">G5</f>
        <v>12</v>
      </c>
      <c r="K5" s="292">
        <f t="shared" ref="K5:K42" si="4">I5-J5</f>
        <v>0</v>
      </c>
    </row>
    <row r="6" spans="1:11">
      <c r="A6" s="4">
        <f t="shared" ref="A6:A42" si="5">A5+1</f>
        <v>2</v>
      </c>
      <c r="B6" s="65" t="s">
        <v>154</v>
      </c>
      <c r="C6" s="1739"/>
      <c r="D6" s="1739"/>
      <c r="E6" s="1742"/>
      <c r="F6" s="293">
        <f>COUNTIF('Location Summary'!$D$4:$D$616,'Tower PRS abstract '!B6)</f>
        <v>12</v>
      </c>
      <c r="G6" s="293">
        <v>12</v>
      </c>
      <c r="H6" s="293">
        <f t="shared" si="1"/>
        <v>0</v>
      </c>
      <c r="I6" s="294">
        <f t="shared" si="2"/>
        <v>12</v>
      </c>
      <c r="J6" s="294">
        <f t="shared" si="3"/>
        <v>12</v>
      </c>
      <c r="K6" s="295">
        <f t="shared" si="4"/>
        <v>0</v>
      </c>
    </row>
    <row r="7" spans="1:11">
      <c r="A7" s="4">
        <f t="shared" si="5"/>
        <v>3</v>
      </c>
      <c r="B7" s="65" t="s">
        <v>3</v>
      </c>
      <c r="C7" s="1739"/>
      <c r="D7" s="1739"/>
      <c r="E7" s="1742"/>
      <c r="F7" s="293">
        <f>COUNTIF('Location Summary'!$D$4:$D$616,'Tower PRS abstract '!B7)</f>
        <v>33</v>
      </c>
      <c r="G7" s="293">
        <v>33</v>
      </c>
      <c r="H7" s="293">
        <f t="shared" si="1"/>
        <v>0</v>
      </c>
      <c r="I7" s="294">
        <f t="shared" si="2"/>
        <v>33</v>
      </c>
      <c r="J7" s="294">
        <f t="shared" si="3"/>
        <v>33</v>
      </c>
      <c r="K7" s="295">
        <f t="shared" si="4"/>
        <v>0</v>
      </c>
    </row>
    <row r="8" spans="1:11">
      <c r="A8" s="4">
        <f t="shared" si="5"/>
        <v>4</v>
      </c>
      <c r="B8" s="65" t="s">
        <v>170</v>
      </c>
      <c r="C8" s="1739"/>
      <c r="D8" s="1739"/>
      <c r="E8" s="1742"/>
      <c r="F8" s="293">
        <f>COUNTIF('Location Summary'!$D$4:$D$616,'Tower PRS abstract '!B8)</f>
        <v>24</v>
      </c>
      <c r="G8" s="293">
        <v>24</v>
      </c>
      <c r="H8" s="293">
        <f t="shared" si="1"/>
        <v>0</v>
      </c>
      <c r="I8" s="294">
        <f t="shared" si="2"/>
        <v>24</v>
      </c>
      <c r="J8" s="294">
        <f t="shared" si="3"/>
        <v>24</v>
      </c>
      <c r="K8" s="295">
        <f t="shared" si="4"/>
        <v>0</v>
      </c>
    </row>
    <row r="9" spans="1:11">
      <c r="A9" s="4">
        <f t="shared" si="5"/>
        <v>5</v>
      </c>
      <c r="B9" s="65" t="s">
        <v>2</v>
      </c>
      <c r="C9" s="1739"/>
      <c r="D9" s="1739"/>
      <c r="E9" s="1742"/>
      <c r="F9" s="293">
        <f>COUNTIF('Location Summary'!$D$4:$D$616,'Tower PRS abstract '!B9)</f>
        <v>69</v>
      </c>
      <c r="G9" s="293">
        <v>70</v>
      </c>
      <c r="H9" s="293">
        <f t="shared" si="1"/>
        <v>-1</v>
      </c>
      <c r="I9" s="294">
        <f t="shared" si="2"/>
        <v>69</v>
      </c>
      <c r="J9" s="294">
        <f t="shared" si="3"/>
        <v>70</v>
      </c>
      <c r="K9" s="295">
        <f t="shared" si="4"/>
        <v>-1</v>
      </c>
    </row>
    <row r="10" spans="1:11">
      <c r="A10" s="4">
        <f t="shared" si="5"/>
        <v>6</v>
      </c>
      <c r="B10" s="65" t="s">
        <v>987</v>
      </c>
      <c r="C10" s="1739"/>
      <c r="D10" s="1739"/>
      <c r="E10" s="1742"/>
      <c r="F10" s="293">
        <f>COUNTIF('Location Summary'!$D$4:$D$616,'Tower PRS abstract '!B10)</f>
        <v>1</v>
      </c>
      <c r="G10" s="293">
        <v>1</v>
      </c>
      <c r="H10" s="293">
        <f t="shared" si="1"/>
        <v>0</v>
      </c>
      <c r="I10" s="294">
        <f t="shared" si="2"/>
        <v>1</v>
      </c>
      <c r="J10" s="294">
        <f t="shared" si="3"/>
        <v>1</v>
      </c>
      <c r="K10" s="295">
        <f t="shared" si="4"/>
        <v>0</v>
      </c>
    </row>
    <row r="11" spans="1:11">
      <c r="A11" s="4">
        <f t="shared" si="5"/>
        <v>7</v>
      </c>
      <c r="B11" s="65" t="s">
        <v>79</v>
      </c>
      <c r="C11" s="1739"/>
      <c r="D11" s="1739"/>
      <c r="E11" s="1742"/>
      <c r="F11" s="293">
        <f>COUNTIF('Location Summary'!$D$4:$D$616,'Tower PRS abstract '!B11)</f>
        <v>47</v>
      </c>
      <c r="G11" s="293">
        <v>49</v>
      </c>
      <c r="H11" s="918">
        <f t="shared" si="1"/>
        <v>-2</v>
      </c>
      <c r="I11" s="294">
        <f t="shared" si="2"/>
        <v>47</v>
      </c>
      <c r="J11" s="294">
        <f t="shared" si="3"/>
        <v>49</v>
      </c>
      <c r="K11" s="295">
        <f t="shared" si="4"/>
        <v>-2</v>
      </c>
    </row>
    <row r="12" spans="1:11" ht="15" thickBot="1">
      <c r="A12" s="27">
        <f t="shared" si="5"/>
        <v>8</v>
      </c>
      <c r="B12" s="178" t="s">
        <v>49</v>
      </c>
      <c r="C12" s="1740"/>
      <c r="D12" s="1740"/>
      <c r="E12" s="1743"/>
      <c r="F12" s="296">
        <f>COUNTIF('Location Summary'!$D$4:$D$616,'Tower PRS abstract '!B12)</f>
        <v>46</v>
      </c>
      <c r="G12" s="296">
        <v>47</v>
      </c>
      <c r="H12" s="296">
        <f t="shared" si="1"/>
        <v>-1</v>
      </c>
      <c r="I12" s="297">
        <f t="shared" si="2"/>
        <v>46</v>
      </c>
      <c r="J12" s="297">
        <f t="shared" si="3"/>
        <v>47</v>
      </c>
      <c r="K12" s="298">
        <f t="shared" si="4"/>
        <v>-1</v>
      </c>
    </row>
    <row r="13" spans="1:11">
      <c r="A13" s="179">
        <f t="shared" si="5"/>
        <v>9</v>
      </c>
      <c r="B13" s="920" t="s">
        <v>197</v>
      </c>
      <c r="C13" s="1752">
        <v>12</v>
      </c>
      <c r="D13" s="1747">
        <v>29</v>
      </c>
      <c r="E13" s="1741">
        <v>31</v>
      </c>
      <c r="F13" s="290">
        <f>COUNTIF('Location Summary'!$D$4:$D$616,'Tower PRS abstract '!B13)</f>
        <v>7</v>
      </c>
      <c r="G13" s="290">
        <v>7</v>
      </c>
      <c r="H13" s="290">
        <f t="shared" si="1"/>
        <v>0</v>
      </c>
      <c r="I13" s="291">
        <f t="shared" ref="I13:I42" si="6">F13</f>
        <v>7</v>
      </c>
      <c r="J13" s="291">
        <f t="shared" si="3"/>
        <v>7</v>
      </c>
      <c r="K13" s="292">
        <f t="shared" si="4"/>
        <v>0</v>
      </c>
    </row>
    <row r="14" spans="1:11">
      <c r="A14" s="4">
        <f t="shared" si="5"/>
        <v>10</v>
      </c>
      <c r="B14" s="187" t="s">
        <v>226</v>
      </c>
      <c r="C14" s="1752"/>
      <c r="D14" s="1748"/>
      <c r="E14" s="1742"/>
      <c r="F14" s="293">
        <f>COUNTIF('Location Summary'!$D$4:$D$616,'Tower PRS abstract '!B14)</f>
        <v>2</v>
      </c>
      <c r="G14" s="293">
        <v>2</v>
      </c>
      <c r="H14" s="293">
        <f t="shared" si="1"/>
        <v>0</v>
      </c>
      <c r="I14" s="294">
        <f t="shared" si="6"/>
        <v>2</v>
      </c>
      <c r="J14" s="294">
        <f t="shared" si="3"/>
        <v>2</v>
      </c>
      <c r="K14" s="295">
        <f t="shared" si="4"/>
        <v>0</v>
      </c>
    </row>
    <row r="15" spans="1:11">
      <c r="A15" s="4">
        <f t="shared" si="5"/>
        <v>11</v>
      </c>
      <c r="B15" s="187" t="s">
        <v>227</v>
      </c>
      <c r="C15" s="1752"/>
      <c r="D15" s="1748"/>
      <c r="E15" s="1742"/>
      <c r="F15" s="293">
        <f>COUNTIF('Location Summary'!$D$4:$D$616,'Tower PRS abstract '!B15)</f>
        <v>6</v>
      </c>
      <c r="G15" s="293">
        <v>6</v>
      </c>
      <c r="H15" s="293">
        <f t="shared" si="1"/>
        <v>0</v>
      </c>
      <c r="I15" s="294">
        <f t="shared" si="6"/>
        <v>6</v>
      </c>
      <c r="J15" s="294">
        <f t="shared" si="3"/>
        <v>6</v>
      </c>
      <c r="K15" s="295">
        <f t="shared" si="4"/>
        <v>0</v>
      </c>
    </row>
    <row r="16" spans="1:11">
      <c r="A16" s="4">
        <f t="shared" si="5"/>
        <v>12</v>
      </c>
      <c r="B16" s="187" t="s">
        <v>211</v>
      </c>
      <c r="C16" s="1752"/>
      <c r="D16" s="1748"/>
      <c r="E16" s="1742"/>
      <c r="F16" s="293">
        <f>COUNTIF('Location Summary'!$D$4:$D$616,'Tower PRS abstract '!B16)</f>
        <v>12</v>
      </c>
      <c r="G16" s="293">
        <v>12</v>
      </c>
      <c r="H16" s="293">
        <f t="shared" si="1"/>
        <v>0</v>
      </c>
      <c r="I16" s="294">
        <f t="shared" si="6"/>
        <v>12</v>
      </c>
      <c r="J16" s="294">
        <f t="shared" si="3"/>
        <v>12</v>
      </c>
      <c r="K16" s="295">
        <f t="shared" si="4"/>
        <v>0</v>
      </c>
    </row>
    <row r="17" spans="1:11" ht="15" thickBot="1">
      <c r="A17" s="27">
        <f t="shared" si="5"/>
        <v>13</v>
      </c>
      <c r="B17" s="188" t="s">
        <v>401</v>
      </c>
      <c r="C17" s="1752"/>
      <c r="D17" s="1749"/>
      <c r="E17" s="1743"/>
      <c r="F17" s="296">
        <f>COUNTIF('Location Summary'!$D$4:$D$616,'Tower PRS abstract '!B17)</f>
        <v>4</v>
      </c>
      <c r="G17" s="296">
        <v>4</v>
      </c>
      <c r="H17" s="296">
        <f t="shared" si="1"/>
        <v>0</v>
      </c>
      <c r="I17" s="297">
        <f t="shared" si="6"/>
        <v>4</v>
      </c>
      <c r="J17" s="297">
        <f t="shared" si="3"/>
        <v>4</v>
      </c>
      <c r="K17" s="298">
        <f t="shared" si="4"/>
        <v>0</v>
      </c>
    </row>
    <row r="18" spans="1:11">
      <c r="A18" s="24">
        <f t="shared" si="5"/>
        <v>14</v>
      </c>
      <c r="B18" s="553" t="s">
        <v>184</v>
      </c>
      <c r="C18" s="1752"/>
      <c r="D18" s="1747">
        <v>10</v>
      </c>
      <c r="E18" s="1741">
        <v>10</v>
      </c>
      <c r="F18" s="290">
        <f>COUNTIF('Location Summary'!$D$4:$D$616,'Tower PRS abstract '!B18)</f>
        <v>5</v>
      </c>
      <c r="G18" s="290">
        <v>5</v>
      </c>
      <c r="H18" s="290">
        <f t="shared" si="1"/>
        <v>0</v>
      </c>
      <c r="I18" s="291">
        <f t="shared" si="6"/>
        <v>5</v>
      </c>
      <c r="J18" s="291">
        <f t="shared" si="3"/>
        <v>5</v>
      </c>
      <c r="K18" s="292">
        <f t="shared" si="4"/>
        <v>0</v>
      </c>
    </row>
    <row r="19" spans="1:11">
      <c r="A19" s="4">
        <f t="shared" si="5"/>
        <v>15</v>
      </c>
      <c r="B19" s="187" t="s">
        <v>228</v>
      </c>
      <c r="C19" s="1752"/>
      <c r="D19" s="1748"/>
      <c r="E19" s="1742"/>
      <c r="F19" s="293">
        <f>COUNTIF('Location Summary'!$D$4:$D$616,'Tower PRS abstract '!B19)</f>
        <v>1</v>
      </c>
      <c r="G19" s="293">
        <v>2</v>
      </c>
      <c r="H19" s="293">
        <f t="shared" si="1"/>
        <v>-1</v>
      </c>
      <c r="I19" s="294">
        <f t="shared" si="6"/>
        <v>1</v>
      </c>
      <c r="J19" s="294">
        <f t="shared" si="3"/>
        <v>2</v>
      </c>
      <c r="K19" s="295">
        <f t="shared" si="4"/>
        <v>-1</v>
      </c>
    </row>
    <row r="20" spans="1:11">
      <c r="A20" s="4">
        <f t="shared" si="5"/>
        <v>16</v>
      </c>
      <c r="B20" s="187" t="s">
        <v>229</v>
      </c>
      <c r="C20" s="1752"/>
      <c r="D20" s="1748"/>
      <c r="E20" s="1742"/>
      <c r="F20" s="293">
        <f>COUNTIF('Location Summary'!$D$4:$D$616,'Tower PRS abstract '!B20)</f>
        <v>1</v>
      </c>
      <c r="G20" s="293">
        <v>1</v>
      </c>
      <c r="H20" s="293">
        <f t="shared" si="1"/>
        <v>0</v>
      </c>
      <c r="I20" s="294">
        <f t="shared" si="6"/>
        <v>1</v>
      </c>
      <c r="J20" s="294">
        <f t="shared" si="3"/>
        <v>1</v>
      </c>
      <c r="K20" s="295">
        <f t="shared" si="4"/>
        <v>0</v>
      </c>
    </row>
    <row r="21" spans="1:11" ht="15" thickBot="1">
      <c r="A21" s="27">
        <f t="shared" si="5"/>
        <v>17</v>
      </c>
      <c r="B21" s="188" t="s">
        <v>215</v>
      </c>
      <c r="C21" s="1753"/>
      <c r="D21" s="1749"/>
      <c r="E21" s="1743"/>
      <c r="F21" s="296">
        <f>COUNTIF('Location Summary'!$D$4:$D$616,'Tower PRS abstract '!B21)</f>
        <v>4</v>
      </c>
      <c r="G21" s="296">
        <v>2</v>
      </c>
      <c r="H21" s="296">
        <f t="shared" si="1"/>
        <v>2</v>
      </c>
      <c r="I21" s="297">
        <f t="shared" si="6"/>
        <v>4</v>
      </c>
      <c r="J21" s="297">
        <f t="shared" si="3"/>
        <v>2</v>
      </c>
      <c r="K21" s="298">
        <f t="shared" si="4"/>
        <v>2</v>
      </c>
    </row>
    <row r="22" spans="1:11">
      <c r="A22" s="24">
        <f t="shared" si="5"/>
        <v>18</v>
      </c>
      <c r="B22" s="553" t="s">
        <v>185</v>
      </c>
      <c r="C22" s="1754">
        <v>5</v>
      </c>
      <c r="D22" s="1747">
        <v>2</v>
      </c>
      <c r="E22" s="1741">
        <v>2</v>
      </c>
      <c r="F22" s="290">
        <f>COUNTIF('Location Summary'!$D$4:$D$616,'Tower PRS abstract '!B22)</f>
        <v>1</v>
      </c>
      <c r="G22" s="290">
        <v>1</v>
      </c>
      <c r="H22" s="290">
        <f t="shared" si="1"/>
        <v>0</v>
      </c>
      <c r="I22" s="291">
        <f t="shared" si="6"/>
        <v>1</v>
      </c>
      <c r="J22" s="291">
        <f t="shared" si="3"/>
        <v>1</v>
      </c>
      <c r="K22" s="292">
        <f t="shared" si="4"/>
        <v>0</v>
      </c>
    </row>
    <row r="23" spans="1:11">
      <c r="A23" s="4">
        <f t="shared" si="5"/>
        <v>19</v>
      </c>
      <c r="B23" s="187" t="s">
        <v>217</v>
      </c>
      <c r="C23" s="1755"/>
      <c r="D23" s="1748"/>
      <c r="E23" s="1742"/>
      <c r="F23" s="293">
        <f>COUNTIF('Location Summary'!$D$4:$D$616,'Tower PRS abstract '!B23)</f>
        <v>1</v>
      </c>
      <c r="G23" s="293">
        <v>1</v>
      </c>
      <c r="H23" s="293">
        <f t="shared" si="1"/>
        <v>0</v>
      </c>
      <c r="I23" s="294">
        <f t="shared" si="6"/>
        <v>1</v>
      </c>
      <c r="J23" s="294">
        <f t="shared" si="3"/>
        <v>1</v>
      </c>
      <c r="K23" s="295">
        <f t="shared" si="4"/>
        <v>0</v>
      </c>
    </row>
    <row r="24" spans="1:11">
      <c r="A24" s="4">
        <f t="shared" si="5"/>
        <v>20</v>
      </c>
      <c r="B24" s="187" t="s">
        <v>214</v>
      </c>
      <c r="C24" s="1755"/>
      <c r="D24" s="1748"/>
      <c r="E24" s="1742"/>
      <c r="F24" s="293">
        <f>COUNTIF('Location Summary'!$D$4:$D$616,'Tower PRS abstract '!B24)</f>
        <v>0</v>
      </c>
      <c r="G24" s="293"/>
      <c r="H24" s="293">
        <f t="shared" si="1"/>
        <v>0</v>
      </c>
      <c r="I24" s="294">
        <f t="shared" si="6"/>
        <v>0</v>
      </c>
      <c r="J24" s="294">
        <f t="shared" si="3"/>
        <v>0</v>
      </c>
      <c r="K24" s="295">
        <f t="shared" si="4"/>
        <v>0</v>
      </c>
    </row>
    <row r="25" spans="1:11" ht="15" thickBot="1">
      <c r="A25" s="27">
        <f t="shared" si="5"/>
        <v>21</v>
      </c>
      <c r="B25" s="188" t="s">
        <v>210</v>
      </c>
      <c r="C25" s="1755"/>
      <c r="D25" s="1749"/>
      <c r="E25" s="1743"/>
      <c r="F25" s="296">
        <f>COUNTIF('Location Summary'!$D$4:$D$616,'Tower PRS abstract '!B25)</f>
        <v>0</v>
      </c>
      <c r="G25" s="296"/>
      <c r="H25" s="296">
        <f t="shared" si="1"/>
        <v>0</v>
      </c>
      <c r="I25" s="297">
        <f t="shared" si="6"/>
        <v>0</v>
      </c>
      <c r="J25" s="297">
        <f t="shared" si="3"/>
        <v>0</v>
      </c>
      <c r="K25" s="298">
        <f t="shared" si="4"/>
        <v>0</v>
      </c>
    </row>
    <row r="26" spans="1:11">
      <c r="A26" s="24">
        <f t="shared" si="5"/>
        <v>22</v>
      </c>
      <c r="B26" s="553" t="s">
        <v>173</v>
      </c>
      <c r="C26" s="1755"/>
      <c r="D26" s="1747">
        <v>4</v>
      </c>
      <c r="E26" s="1741">
        <v>4</v>
      </c>
      <c r="F26" s="290">
        <f>COUNTIF('Location Summary'!$D$4:$D$616,'Tower PRS abstract '!B26)</f>
        <v>2</v>
      </c>
      <c r="G26" s="290">
        <v>2</v>
      </c>
      <c r="H26" s="290">
        <f t="shared" si="1"/>
        <v>0</v>
      </c>
      <c r="I26" s="291">
        <f t="shared" si="6"/>
        <v>2</v>
      </c>
      <c r="J26" s="291">
        <f t="shared" si="3"/>
        <v>2</v>
      </c>
      <c r="K26" s="292">
        <f t="shared" si="4"/>
        <v>0</v>
      </c>
    </row>
    <row r="27" spans="1:11">
      <c r="A27" s="4">
        <f t="shared" si="5"/>
        <v>23</v>
      </c>
      <c r="B27" s="187" t="s">
        <v>250</v>
      </c>
      <c r="C27" s="1755"/>
      <c r="D27" s="1748"/>
      <c r="E27" s="1742"/>
      <c r="F27" s="293">
        <f>COUNTIF('Location Summary'!$D$4:$D$616,'Tower PRS abstract '!B27)</f>
        <v>1</v>
      </c>
      <c r="G27" s="293">
        <v>1</v>
      </c>
      <c r="H27" s="293">
        <f t="shared" si="1"/>
        <v>0</v>
      </c>
      <c r="I27" s="294">
        <f t="shared" si="6"/>
        <v>1</v>
      </c>
      <c r="J27" s="294">
        <f t="shared" si="3"/>
        <v>1</v>
      </c>
      <c r="K27" s="295">
        <f t="shared" si="4"/>
        <v>0</v>
      </c>
    </row>
    <row r="28" spans="1:11">
      <c r="A28" s="4">
        <f t="shared" si="5"/>
        <v>24</v>
      </c>
      <c r="B28" s="187" t="s">
        <v>230</v>
      </c>
      <c r="C28" s="1755"/>
      <c r="D28" s="1748"/>
      <c r="E28" s="1742"/>
      <c r="F28" s="293">
        <f>COUNTIF('Location Summary'!$D$4:$D$616,'Tower PRS abstract '!B28)</f>
        <v>0</v>
      </c>
      <c r="G28" s="293"/>
      <c r="H28" s="293">
        <f t="shared" si="1"/>
        <v>0</v>
      </c>
      <c r="I28" s="294">
        <f t="shared" si="6"/>
        <v>0</v>
      </c>
      <c r="J28" s="294">
        <f t="shared" si="3"/>
        <v>0</v>
      </c>
      <c r="K28" s="295">
        <f t="shared" si="4"/>
        <v>0</v>
      </c>
    </row>
    <row r="29" spans="1:11">
      <c r="A29" s="4">
        <f t="shared" si="5"/>
        <v>25</v>
      </c>
      <c r="B29" s="187" t="s">
        <v>216</v>
      </c>
      <c r="C29" s="1755"/>
      <c r="D29" s="1748"/>
      <c r="E29" s="1742"/>
      <c r="F29" s="293">
        <f>COUNTIF('Location Summary'!$D$4:$D$616,'Tower PRS abstract '!B29)</f>
        <v>0</v>
      </c>
      <c r="G29" s="293"/>
      <c r="H29" s="293">
        <f t="shared" si="1"/>
        <v>0</v>
      </c>
      <c r="I29" s="294">
        <f t="shared" si="6"/>
        <v>0</v>
      </c>
      <c r="J29" s="294">
        <f t="shared" si="3"/>
        <v>0</v>
      </c>
      <c r="K29" s="295">
        <f t="shared" si="4"/>
        <v>0</v>
      </c>
    </row>
    <row r="30" spans="1:11" ht="15" thickBot="1">
      <c r="A30" s="27">
        <f t="shared" si="5"/>
        <v>26</v>
      </c>
      <c r="B30" s="919" t="s">
        <v>428</v>
      </c>
      <c r="C30" s="1756"/>
      <c r="D30" s="1749"/>
      <c r="E30" s="1743"/>
      <c r="F30" s="296">
        <f>COUNTIF('Location Summary'!$D$4:$D$616,'Tower PRS abstract '!B30)</f>
        <v>2</v>
      </c>
      <c r="G30" s="296">
        <v>1</v>
      </c>
      <c r="H30" s="296">
        <f t="shared" si="1"/>
        <v>1</v>
      </c>
      <c r="I30" s="297">
        <f t="shared" si="6"/>
        <v>2</v>
      </c>
      <c r="J30" s="297">
        <f t="shared" si="3"/>
        <v>1</v>
      </c>
      <c r="K30" s="298">
        <f t="shared" si="4"/>
        <v>1</v>
      </c>
    </row>
    <row r="31" spans="1:11">
      <c r="A31" s="24">
        <f t="shared" si="5"/>
        <v>27</v>
      </c>
      <c r="B31" s="289" t="s">
        <v>280</v>
      </c>
      <c r="C31" s="1744">
        <v>5</v>
      </c>
      <c r="D31" s="1747">
        <v>2</v>
      </c>
      <c r="E31" s="1741">
        <v>3</v>
      </c>
      <c r="F31" s="290">
        <f>COUNTIF('Location Summary'!$D$4:$D$616,'Tower PRS abstract '!B31)</f>
        <v>0</v>
      </c>
      <c r="G31" s="290"/>
      <c r="H31" s="290">
        <f t="shared" si="1"/>
        <v>0</v>
      </c>
      <c r="I31" s="291">
        <f t="shared" si="6"/>
        <v>0</v>
      </c>
      <c r="J31" s="291">
        <f t="shared" si="3"/>
        <v>0</v>
      </c>
      <c r="K31" s="292">
        <f t="shared" si="4"/>
        <v>0</v>
      </c>
    </row>
    <row r="32" spans="1:11">
      <c r="A32" s="4">
        <f t="shared" si="5"/>
        <v>28</v>
      </c>
      <c r="B32" s="65" t="s">
        <v>178</v>
      </c>
      <c r="C32" s="1745"/>
      <c r="D32" s="1748"/>
      <c r="E32" s="1742"/>
      <c r="F32" s="293">
        <f>COUNTIF('Location Summary'!$D$4:$D$616,'Tower PRS abstract '!B32)</f>
        <v>2</v>
      </c>
      <c r="G32" s="293">
        <v>2</v>
      </c>
      <c r="H32" s="293">
        <f t="shared" si="1"/>
        <v>0</v>
      </c>
      <c r="I32" s="294">
        <f t="shared" si="6"/>
        <v>2</v>
      </c>
      <c r="J32" s="294">
        <f t="shared" si="3"/>
        <v>2</v>
      </c>
      <c r="K32" s="295">
        <f t="shared" si="4"/>
        <v>0</v>
      </c>
    </row>
    <row r="33" spans="1:11">
      <c r="A33" s="4">
        <f t="shared" si="5"/>
        <v>29</v>
      </c>
      <c r="B33" s="65" t="s">
        <v>183</v>
      </c>
      <c r="C33" s="1745"/>
      <c r="D33" s="1748"/>
      <c r="E33" s="1742"/>
      <c r="F33" s="293">
        <f>COUNTIF('Location Summary'!$D$4:$D$616,'Tower PRS abstract '!B33)</f>
        <v>1</v>
      </c>
      <c r="G33" s="293">
        <v>1</v>
      </c>
      <c r="H33" s="293">
        <f t="shared" si="1"/>
        <v>0</v>
      </c>
      <c r="I33" s="294">
        <f t="shared" si="6"/>
        <v>1</v>
      </c>
      <c r="J33" s="294">
        <f t="shared" si="3"/>
        <v>1</v>
      </c>
      <c r="K33" s="295">
        <f t="shared" si="4"/>
        <v>0</v>
      </c>
    </row>
    <row r="34" spans="1:11">
      <c r="A34" s="4">
        <f t="shared" si="5"/>
        <v>30</v>
      </c>
      <c r="B34" s="65" t="s">
        <v>231</v>
      </c>
      <c r="C34" s="1745"/>
      <c r="D34" s="1748"/>
      <c r="E34" s="1742"/>
      <c r="F34" s="293">
        <f>COUNTIF('Location Summary'!$D$4:$D$616,'Tower PRS abstract '!B34)</f>
        <v>0</v>
      </c>
      <c r="G34" s="293"/>
      <c r="H34" s="293">
        <f t="shared" si="1"/>
        <v>0</v>
      </c>
      <c r="I34" s="294">
        <f t="shared" si="6"/>
        <v>0</v>
      </c>
      <c r="J34" s="294">
        <f t="shared" si="3"/>
        <v>0</v>
      </c>
      <c r="K34" s="295">
        <f t="shared" si="4"/>
        <v>0</v>
      </c>
    </row>
    <row r="35" spans="1:11" ht="15" thickBot="1">
      <c r="A35" s="27">
        <f t="shared" si="5"/>
        <v>31</v>
      </c>
      <c r="B35" s="178" t="s">
        <v>208</v>
      </c>
      <c r="C35" s="1746"/>
      <c r="D35" s="1749"/>
      <c r="E35" s="1743"/>
      <c r="F35" s="296">
        <f>COUNTIF('Location Summary'!$D$4:$D$616,'Tower PRS abstract '!B35)</f>
        <v>0</v>
      </c>
      <c r="G35" s="296"/>
      <c r="H35" s="296">
        <f t="shared" si="1"/>
        <v>0</v>
      </c>
      <c r="I35" s="297">
        <f t="shared" si="6"/>
        <v>0</v>
      </c>
      <c r="J35" s="297">
        <f t="shared" si="3"/>
        <v>0</v>
      </c>
      <c r="K35" s="298">
        <f t="shared" si="4"/>
        <v>0</v>
      </c>
    </row>
    <row r="36" spans="1:11">
      <c r="A36" s="179">
        <f t="shared" si="5"/>
        <v>32</v>
      </c>
      <c r="B36" s="418" t="s">
        <v>188</v>
      </c>
      <c r="C36" s="1750">
        <v>24</v>
      </c>
      <c r="D36" s="1747">
        <v>10</v>
      </c>
      <c r="E36" s="1741">
        <v>10</v>
      </c>
      <c r="F36" s="290">
        <f>COUNTIF('Location Summary'!$D$4:$D$616,'Tower PRS abstract '!B36)</f>
        <v>1</v>
      </c>
      <c r="G36" s="290">
        <v>1</v>
      </c>
      <c r="H36" s="290">
        <f t="shared" si="1"/>
        <v>0</v>
      </c>
      <c r="I36" s="291">
        <f t="shared" si="6"/>
        <v>1</v>
      </c>
      <c r="J36" s="291">
        <f t="shared" si="3"/>
        <v>1</v>
      </c>
      <c r="K36" s="292">
        <f t="shared" si="4"/>
        <v>0</v>
      </c>
    </row>
    <row r="37" spans="1:11">
      <c r="A37" s="4">
        <f t="shared" si="5"/>
        <v>33</v>
      </c>
      <c r="B37" s="65" t="s">
        <v>213</v>
      </c>
      <c r="C37" s="1745"/>
      <c r="D37" s="1748"/>
      <c r="E37" s="1742"/>
      <c r="F37" s="293">
        <f>COUNTIF('Location Summary'!$D$4:$D$616,'Tower PRS abstract '!B37)</f>
        <v>2</v>
      </c>
      <c r="G37" s="293">
        <v>2</v>
      </c>
      <c r="H37" s="293">
        <f t="shared" si="1"/>
        <v>0</v>
      </c>
      <c r="I37" s="294">
        <f t="shared" si="6"/>
        <v>2</v>
      </c>
      <c r="J37" s="294">
        <f t="shared" si="3"/>
        <v>2</v>
      </c>
      <c r="K37" s="295">
        <f t="shared" si="4"/>
        <v>0</v>
      </c>
    </row>
    <row r="38" spans="1:11">
      <c r="A38" s="4">
        <f t="shared" si="5"/>
        <v>34</v>
      </c>
      <c r="B38" s="65" t="s">
        <v>212</v>
      </c>
      <c r="C38" s="1745"/>
      <c r="D38" s="1748"/>
      <c r="E38" s="1742"/>
      <c r="F38" s="293">
        <f>COUNTIF('Location Summary'!$D$4:$D$616,'Tower PRS abstract '!B38)</f>
        <v>0</v>
      </c>
      <c r="G38" s="293">
        <v>0</v>
      </c>
      <c r="H38" s="293">
        <f t="shared" si="1"/>
        <v>0</v>
      </c>
      <c r="I38" s="294">
        <f t="shared" si="6"/>
        <v>0</v>
      </c>
      <c r="J38" s="294">
        <f t="shared" si="3"/>
        <v>0</v>
      </c>
      <c r="K38" s="295">
        <f t="shared" si="4"/>
        <v>0</v>
      </c>
    </row>
    <row r="39" spans="1:11">
      <c r="A39" s="4">
        <f t="shared" si="5"/>
        <v>35</v>
      </c>
      <c r="B39" s="65" t="s">
        <v>209</v>
      </c>
      <c r="C39" s="1745"/>
      <c r="D39" s="1748"/>
      <c r="E39" s="1742"/>
      <c r="F39" s="293">
        <f>COUNTIF('Location Summary'!$D$4:$D$616,'Tower PRS abstract '!B39)</f>
        <v>1</v>
      </c>
      <c r="G39" s="293">
        <v>1</v>
      </c>
      <c r="H39" s="293">
        <f t="shared" si="1"/>
        <v>0</v>
      </c>
      <c r="I39" s="294">
        <f t="shared" si="6"/>
        <v>1</v>
      </c>
      <c r="J39" s="294">
        <f>G39</f>
        <v>1</v>
      </c>
      <c r="K39" s="295">
        <f t="shared" si="4"/>
        <v>0</v>
      </c>
    </row>
    <row r="40" spans="1:11">
      <c r="A40" s="4">
        <f t="shared" si="5"/>
        <v>36</v>
      </c>
      <c r="B40" s="65" t="s">
        <v>186</v>
      </c>
      <c r="C40" s="1745"/>
      <c r="D40" s="1748"/>
      <c r="E40" s="1742"/>
      <c r="F40" s="293">
        <f>COUNTIF('Location Summary'!$D$4:$D$616,'Tower PRS abstract '!B40)</f>
        <v>3</v>
      </c>
      <c r="G40" s="293">
        <v>3</v>
      </c>
      <c r="H40" s="293">
        <f t="shared" si="1"/>
        <v>0</v>
      </c>
      <c r="I40" s="294">
        <f t="shared" si="6"/>
        <v>3</v>
      </c>
      <c r="J40" s="294">
        <f t="shared" si="3"/>
        <v>3</v>
      </c>
      <c r="K40" s="295">
        <f t="shared" si="4"/>
        <v>0</v>
      </c>
    </row>
    <row r="41" spans="1:11">
      <c r="A41" s="4">
        <f t="shared" si="5"/>
        <v>37</v>
      </c>
      <c r="B41" s="65" t="s">
        <v>218</v>
      </c>
      <c r="C41" s="1745"/>
      <c r="D41" s="1748"/>
      <c r="E41" s="1742"/>
      <c r="F41" s="293">
        <f>COUNTIF('Location Summary'!$D$4:$D$616,'Tower PRS abstract '!B41)</f>
        <v>1</v>
      </c>
      <c r="G41" s="293">
        <v>2</v>
      </c>
      <c r="H41" s="918">
        <f t="shared" si="1"/>
        <v>-1</v>
      </c>
      <c r="I41" s="294">
        <f t="shared" si="6"/>
        <v>1</v>
      </c>
      <c r="J41" s="294">
        <f t="shared" si="3"/>
        <v>2</v>
      </c>
      <c r="K41" s="295">
        <f t="shared" si="4"/>
        <v>-1</v>
      </c>
    </row>
    <row r="42" spans="1:11" ht="15" thickBot="1">
      <c r="A42" s="912">
        <f t="shared" si="5"/>
        <v>38</v>
      </c>
      <c r="B42" s="913" t="s">
        <v>429</v>
      </c>
      <c r="C42" s="1751"/>
      <c r="D42" s="1749"/>
      <c r="E42" s="1743"/>
      <c r="F42" s="296">
        <f>COUNTIF('Location Summary'!$D$4:$D$616,'Tower PRS abstract '!B42)</f>
        <v>2</v>
      </c>
      <c r="G42" s="296">
        <v>2</v>
      </c>
      <c r="H42" s="296">
        <f t="shared" si="1"/>
        <v>0</v>
      </c>
      <c r="I42" s="297">
        <f t="shared" si="6"/>
        <v>2</v>
      </c>
      <c r="J42" s="297">
        <f t="shared" si="3"/>
        <v>2</v>
      </c>
      <c r="K42" s="298">
        <f t="shared" si="4"/>
        <v>0</v>
      </c>
    </row>
    <row r="43" spans="1:11" ht="15" thickBot="1">
      <c r="A43" s="914"/>
      <c r="B43" s="915"/>
      <c r="C43" s="916"/>
      <c r="D43" s="916"/>
      <c r="E43" s="916"/>
      <c r="F43" s="916"/>
      <c r="G43" s="916"/>
      <c r="H43" s="916"/>
      <c r="I43" s="916"/>
      <c r="J43" s="916"/>
      <c r="K43" s="917"/>
    </row>
  </sheetData>
  <mergeCells count="23">
    <mergeCell ref="E36:E42"/>
    <mergeCell ref="E13:E17"/>
    <mergeCell ref="E18:E21"/>
    <mergeCell ref="E22:E25"/>
    <mergeCell ref="E26:E30"/>
    <mergeCell ref="E31:E35"/>
    <mergeCell ref="C31:C35"/>
    <mergeCell ref="D31:D35"/>
    <mergeCell ref="C36:C42"/>
    <mergeCell ref="D36:D42"/>
    <mergeCell ref="C13:C21"/>
    <mergeCell ref="D13:D17"/>
    <mergeCell ref="D18:D21"/>
    <mergeCell ref="C22:C30"/>
    <mergeCell ref="D22:D25"/>
    <mergeCell ref="D26:D30"/>
    <mergeCell ref="A1:K1"/>
    <mergeCell ref="A2:B2"/>
    <mergeCell ref="F3:H3"/>
    <mergeCell ref="I3:K3"/>
    <mergeCell ref="C5:C12"/>
    <mergeCell ref="D5:D12"/>
    <mergeCell ref="E5:E12"/>
  </mergeCells>
  <pageMargins left="0.34" right="0.24" top="0.75" bottom="0.75" header="0.3" footer="0.3"/>
  <pageSetup paperSize="9" scale="67" fitToHeight="0" orientation="portrait" horizontalDpi="300" verticalDpi="300" r:id="rId1"/>
  <legacy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AED7C-7CE8-4C84-905C-9E3FDE12CA14}">
  <sheetPr codeName="Sheet8">
    <tabColor rgb="FFFFFF00"/>
    <pageSetUpPr fitToPage="1"/>
  </sheetPr>
  <dimension ref="A1:S75"/>
  <sheetViews>
    <sheetView showGridLines="0" topLeftCell="F1" zoomScale="85" zoomScaleNormal="100" zoomScaleSheetLayoutView="89" workbookViewId="0">
      <selection activeCell="R9" sqref="R9"/>
    </sheetView>
  </sheetViews>
  <sheetFormatPr defaultColWidth="9.1796875" defaultRowHeight="13"/>
  <cols>
    <col min="1" max="1" width="8.54296875" style="819" customWidth="1"/>
    <col min="2" max="2" width="18.54296875" style="819" customWidth="1"/>
    <col min="3" max="3" width="13.453125" style="819" customWidth="1"/>
    <col min="4" max="4" width="15.453125" style="819" customWidth="1"/>
    <col min="5" max="5" width="13" style="819" customWidth="1"/>
    <col min="6" max="6" width="14.26953125" style="819" customWidth="1"/>
    <col min="7" max="7" width="11.1796875" style="819" customWidth="1"/>
    <col min="8" max="8" width="7.26953125" style="819" customWidth="1"/>
    <col min="9" max="9" width="27.7265625" style="819" customWidth="1"/>
    <col min="10" max="10" width="13.26953125" style="819" customWidth="1"/>
    <col min="11" max="11" width="9.1796875" style="819"/>
    <col min="12" max="12" width="44.7265625" style="819" customWidth="1"/>
    <col min="13" max="13" width="10.81640625" style="819" customWidth="1"/>
    <col min="14" max="14" width="9.1796875" style="819"/>
    <col min="15" max="15" width="12.26953125" style="819" customWidth="1"/>
    <col min="16" max="16" width="9.1796875" style="819"/>
    <col min="17" max="17" width="9.1796875" style="819" customWidth="1"/>
    <col min="18" max="18" width="10.54296875" style="819" customWidth="1"/>
    <col min="19" max="19" width="13.453125" style="819" customWidth="1"/>
    <col min="20" max="16384" width="9.1796875" style="819"/>
  </cols>
  <sheetData>
    <row r="1" spans="1:19" ht="9.75" customHeight="1"/>
    <row r="2" spans="1:19" ht="16.5" customHeight="1">
      <c r="A2" s="1551" t="s">
        <v>1340</v>
      </c>
      <c r="B2" s="1551"/>
      <c r="C2" s="1551"/>
      <c r="D2" s="1551"/>
      <c r="E2" s="1551"/>
      <c r="F2" s="1551"/>
      <c r="G2" s="1551"/>
      <c r="H2" s="1551"/>
      <c r="I2" s="1551"/>
      <c r="J2" s="1551"/>
      <c r="K2" s="1551"/>
      <c r="L2" s="1551"/>
      <c r="M2" s="1551"/>
      <c r="N2" s="1551"/>
      <c r="O2" s="1551"/>
      <c r="P2" s="1551"/>
      <c r="Q2" s="1551"/>
    </row>
    <row r="3" spans="1:19" ht="16.5" customHeight="1">
      <c r="A3" s="831"/>
      <c r="B3" s="831"/>
      <c r="C3" s="831"/>
      <c r="D3" s="831"/>
      <c r="E3" s="831"/>
      <c r="F3" s="831"/>
      <c r="G3" s="831"/>
      <c r="H3" s="831"/>
      <c r="I3" s="831"/>
      <c r="J3" s="831"/>
      <c r="K3" s="831"/>
      <c r="L3" s="831"/>
      <c r="M3" s="831"/>
      <c r="N3" s="831"/>
      <c r="O3" s="831"/>
      <c r="P3" s="831"/>
      <c r="Q3" s="831"/>
    </row>
    <row r="4" spans="1:19" ht="28.5" customHeight="1">
      <c r="A4" s="831"/>
      <c r="B4" s="841" t="s">
        <v>131</v>
      </c>
      <c r="C4" s="1763" t="s">
        <v>1351</v>
      </c>
      <c r="D4" s="1763"/>
      <c r="E4" s="1764" t="s">
        <v>1352</v>
      </c>
      <c r="F4" s="1765"/>
      <c r="G4" s="1766" t="s">
        <v>255</v>
      </c>
      <c r="H4" s="1766"/>
      <c r="I4" s="1767" t="s">
        <v>1353</v>
      </c>
      <c r="J4" s="1767"/>
      <c r="K4" s="1767" t="s">
        <v>1354</v>
      </c>
      <c r="L4" s="1767"/>
      <c r="M4" s="831"/>
      <c r="N4" s="831"/>
      <c r="O4" s="831"/>
      <c r="P4" s="831"/>
      <c r="Q4" s="831"/>
    </row>
    <row r="5" spans="1:19" ht="16.5" customHeight="1">
      <c r="A5" s="831"/>
      <c r="B5" s="842" t="s">
        <v>1344</v>
      </c>
      <c r="C5" s="1760">
        <f>SUM(C12:C70)/1000</f>
        <v>117.85083100000003</v>
      </c>
      <c r="D5" s="1760"/>
      <c r="E5" s="1761"/>
      <c r="F5" s="1762"/>
      <c r="G5" s="1760"/>
      <c r="H5" s="1760"/>
      <c r="I5" s="1760"/>
      <c r="J5" s="1760"/>
      <c r="K5" s="1760"/>
      <c r="L5" s="1760"/>
      <c r="M5" s="831"/>
      <c r="N5" s="831"/>
      <c r="O5" s="831"/>
      <c r="P5" s="831"/>
      <c r="Q5" s="831"/>
    </row>
    <row r="6" spans="1:19" ht="16.5" customHeight="1">
      <c r="A6" s="831"/>
      <c r="B6" s="842" t="s">
        <v>1403</v>
      </c>
      <c r="C6" s="1760">
        <f>C5-C7</f>
        <v>110.17009600000003</v>
      </c>
      <c r="D6" s="1760"/>
      <c r="E6" s="1761"/>
      <c r="F6" s="1762"/>
      <c r="G6" s="1760"/>
      <c r="H6" s="1760"/>
      <c r="I6" s="1760"/>
      <c r="J6" s="1760"/>
      <c r="K6" s="1760"/>
      <c r="L6" s="1760"/>
      <c r="M6" s="831"/>
      <c r="N6" s="831"/>
      <c r="O6" s="831"/>
      <c r="P6" s="831"/>
      <c r="Q6" s="831"/>
    </row>
    <row r="7" spans="1:19" ht="16.5" customHeight="1">
      <c r="A7" s="831"/>
      <c r="B7" s="842" t="s">
        <v>1279</v>
      </c>
      <c r="C7" s="1760">
        <f>ROUNDUP(SUMIF($D$12:$D$70,$B7,$C$12:$C$70),3)/1000</f>
        <v>7.6807349999999994</v>
      </c>
      <c r="D7" s="1760"/>
      <c r="E7" s="1761"/>
      <c r="F7" s="1762"/>
      <c r="G7" s="1760"/>
      <c r="H7" s="1760"/>
      <c r="I7" s="1760"/>
      <c r="J7" s="1760"/>
      <c r="K7" s="1760"/>
      <c r="L7" s="1760"/>
      <c r="M7" s="831"/>
      <c r="N7" s="831"/>
      <c r="O7" s="831"/>
      <c r="P7" s="831"/>
      <c r="Q7" s="831"/>
    </row>
    <row r="8" spans="1:19" ht="16.5" customHeight="1" thickBot="1">
      <c r="A8" s="831"/>
      <c r="B8" s="831"/>
      <c r="C8" s="831"/>
      <c r="D8" s="831"/>
      <c r="E8" s="831"/>
      <c r="F8" s="831"/>
      <c r="G8" s="831"/>
      <c r="H8" s="831"/>
      <c r="I8" s="831"/>
      <c r="J8" s="831"/>
      <c r="K8" s="831"/>
      <c r="L8" s="831"/>
      <c r="M8" s="831"/>
      <c r="N8" s="831"/>
      <c r="O8" s="831"/>
      <c r="P8" s="831"/>
      <c r="Q8" s="831"/>
    </row>
    <row r="9" spans="1:19" ht="25.5" customHeight="1">
      <c r="A9" s="1552">
        <v>0</v>
      </c>
      <c r="B9" s="1545" t="s">
        <v>94</v>
      </c>
      <c r="C9" s="1545" t="s">
        <v>1341</v>
      </c>
      <c r="D9" s="1545" t="s">
        <v>1277</v>
      </c>
      <c r="E9" s="1545" t="s">
        <v>1278</v>
      </c>
      <c r="F9" s="1545" t="s">
        <v>1348</v>
      </c>
      <c r="G9" s="1547" t="s">
        <v>99</v>
      </c>
      <c r="H9" s="1548"/>
      <c r="I9" s="1757"/>
      <c r="J9" s="1547" t="s">
        <v>1343</v>
      </c>
      <c r="K9" s="1548"/>
      <c r="L9" s="1757"/>
      <c r="M9" s="1547" t="s">
        <v>1344</v>
      </c>
      <c r="N9" s="1548"/>
      <c r="O9" s="1548"/>
      <c r="P9" s="1757"/>
      <c r="Q9" s="254" t="s">
        <v>1</v>
      </c>
      <c r="R9" s="764" t="s">
        <v>1346</v>
      </c>
      <c r="S9" s="838" t="s">
        <v>1347</v>
      </c>
    </row>
    <row r="10" spans="1:19" ht="15" customHeight="1">
      <c r="A10" s="1614"/>
      <c r="B10" s="1620"/>
      <c r="C10" s="1620"/>
      <c r="D10" s="1620"/>
      <c r="E10" s="1620"/>
      <c r="F10" s="1620"/>
      <c r="G10" s="66"/>
      <c r="H10" s="1758" t="s">
        <v>0</v>
      </c>
      <c r="I10" s="1759"/>
      <c r="J10" s="66"/>
      <c r="K10" s="1758" t="s">
        <v>0</v>
      </c>
      <c r="L10" s="1759"/>
      <c r="M10" s="1758" t="s">
        <v>1345</v>
      </c>
      <c r="N10" s="1759"/>
      <c r="O10" s="1758" t="s">
        <v>18</v>
      </c>
      <c r="P10" s="1759"/>
      <c r="Q10" s="832"/>
      <c r="R10" s="832"/>
      <c r="S10" s="839"/>
    </row>
    <row r="11" spans="1:19" ht="16.5" customHeight="1" thickBot="1">
      <c r="A11" s="1553"/>
      <c r="B11" s="1546"/>
      <c r="C11" s="1546"/>
      <c r="D11" s="1546"/>
      <c r="E11" s="1546"/>
      <c r="F11" s="1546"/>
      <c r="G11" s="22" t="s">
        <v>255</v>
      </c>
      <c r="H11" s="22" t="s">
        <v>0</v>
      </c>
      <c r="I11" s="22" t="s">
        <v>1342</v>
      </c>
      <c r="J11" s="22" t="s">
        <v>255</v>
      </c>
      <c r="K11" s="22" t="s">
        <v>0</v>
      </c>
      <c r="L11" s="22" t="s">
        <v>1342</v>
      </c>
      <c r="M11" s="22" t="s">
        <v>255</v>
      </c>
      <c r="N11" s="22" t="s">
        <v>0</v>
      </c>
      <c r="O11" s="22" t="s">
        <v>255</v>
      </c>
      <c r="P11" s="22" t="s">
        <v>0</v>
      </c>
      <c r="Q11" s="828"/>
      <c r="R11" s="828"/>
      <c r="S11" s="840"/>
    </row>
    <row r="12" spans="1:19" customFormat="1" ht="14.25" customHeight="1">
      <c r="A12" s="843">
        <f>IF(B12="","",SUBTOTAL(3,$B$12:B12))</f>
        <v>1</v>
      </c>
      <c r="B12" s="844" t="s">
        <v>1350</v>
      </c>
      <c r="C12" s="845">
        <v>150.01400000000001</v>
      </c>
      <c r="D12" s="419" t="s">
        <v>1279</v>
      </c>
      <c r="E12" s="419"/>
      <c r="F12" s="419">
        <v>1</v>
      </c>
      <c r="G12" s="419">
        <v>0</v>
      </c>
      <c r="H12" s="419">
        <f>F12-G12</f>
        <v>1</v>
      </c>
      <c r="I12" s="419" t="s">
        <v>268</v>
      </c>
      <c r="J12" s="419">
        <v>0</v>
      </c>
      <c r="K12" s="3">
        <f t="shared" ref="K12:K69" si="0">F12-J12</f>
        <v>1</v>
      </c>
      <c r="L12" s="419" t="s">
        <v>268</v>
      </c>
      <c r="M12" s="845"/>
      <c r="N12" s="419"/>
      <c r="O12" s="845"/>
      <c r="P12" s="846"/>
      <c r="Q12" s="419"/>
      <c r="R12" s="846"/>
      <c r="S12" s="847"/>
    </row>
    <row r="13" spans="1:19" customFormat="1" ht="14.25" customHeight="1">
      <c r="A13" s="848">
        <f>IF(B13="","",SUBTOTAL(3,$B$12:B13))</f>
        <v>2</v>
      </c>
      <c r="B13" s="844" t="s">
        <v>1376</v>
      </c>
      <c r="C13" s="845">
        <v>290.20999999999998</v>
      </c>
      <c r="D13" s="293" t="s">
        <v>1279</v>
      </c>
      <c r="E13" s="293"/>
      <c r="F13" s="293">
        <v>1</v>
      </c>
      <c r="G13" s="293">
        <v>0</v>
      </c>
      <c r="H13" s="293">
        <f t="shared" ref="H13:H70" si="1">F13-G13</f>
        <v>1</v>
      </c>
      <c r="I13" s="293" t="s">
        <v>1248</v>
      </c>
      <c r="J13" s="293">
        <v>0</v>
      </c>
      <c r="K13" s="3">
        <f t="shared" si="0"/>
        <v>1</v>
      </c>
      <c r="L13" s="293" t="s">
        <v>1248</v>
      </c>
      <c r="M13" s="850"/>
      <c r="N13" s="293"/>
      <c r="O13" s="850"/>
      <c r="P13" s="851"/>
      <c r="Q13" s="293"/>
      <c r="R13" s="851"/>
      <c r="S13" s="852"/>
    </row>
    <row r="14" spans="1:19" customFormat="1" ht="14.25" customHeight="1">
      <c r="A14" s="843">
        <f>IF(B14="","",SUBTOTAL(3,$B$12:B14))</f>
        <v>3</v>
      </c>
      <c r="B14" s="844" t="s">
        <v>1377</v>
      </c>
      <c r="C14" s="845">
        <v>2836.9920000000002</v>
      </c>
      <c r="D14" s="293" t="s">
        <v>1280</v>
      </c>
      <c r="E14" s="293"/>
      <c r="F14" s="293">
        <v>7</v>
      </c>
      <c r="G14" s="293">
        <v>5</v>
      </c>
      <c r="H14" s="293">
        <f t="shared" si="1"/>
        <v>2</v>
      </c>
      <c r="I14" s="293" t="s">
        <v>1405</v>
      </c>
      <c r="J14" s="293">
        <v>0</v>
      </c>
      <c r="K14" s="3">
        <f t="shared" si="0"/>
        <v>7</v>
      </c>
      <c r="L14" s="293" t="s">
        <v>1378</v>
      </c>
      <c r="M14" s="850"/>
      <c r="N14" s="293"/>
      <c r="O14" s="850"/>
      <c r="P14" s="851"/>
      <c r="Q14" s="293"/>
      <c r="R14" s="851"/>
      <c r="S14" s="852"/>
    </row>
    <row r="15" spans="1:19" customFormat="1" ht="13.9" customHeight="1">
      <c r="A15" s="848">
        <f>IF(B15="","",SUBTOTAL(3,$B$12:B15))</f>
        <v>4</v>
      </c>
      <c r="B15" s="844" t="s">
        <v>1379</v>
      </c>
      <c r="C15" s="845">
        <v>2691.4670000000001</v>
      </c>
      <c r="D15" s="293" t="s">
        <v>1280</v>
      </c>
      <c r="E15" s="293"/>
      <c r="F15" s="293">
        <v>7</v>
      </c>
      <c r="G15" s="293">
        <v>7</v>
      </c>
      <c r="H15" s="293">
        <f t="shared" si="1"/>
        <v>0</v>
      </c>
      <c r="I15" s="293"/>
      <c r="J15" s="293">
        <v>0</v>
      </c>
      <c r="K15" s="3">
        <f t="shared" si="0"/>
        <v>7</v>
      </c>
      <c r="L15" s="293" t="s">
        <v>1380</v>
      </c>
      <c r="M15" s="850"/>
      <c r="N15" s="293"/>
      <c r="O15" s="850"/>
      <c r="P15" s="851"/>
      <c r="Q15" s="293"/>
      <c r="R15" s="851"/>
      <c r="S15" s="852"/>
    </row>
    <row r="16" spans="1:19" customFormat="1" ht="14.25" customHeight="1">
      <c r="A16" s="843">
        <f>IF(B16="","",SUBTOTAL(3,$B$12:B16))</f>
        <v>5</v>
      </c>
      <c r="B16" s="844" t="s">
        <v>1381</v>
      </c>
      <c r="C16" s="845">
        <v>1627.07</v>
      </c>
      <c r="D16" s="293" t="s">
        <v>1280</v>
      </c>
      <c r="E16" s="293"/>
      <c r="F16" s="293">
        <v>4</v>
      </c>
      <c r="G16" s="293">
        <v>2</v>
      </c>
      <c r="H16" s="293">
        <f t="shared" si="1"/>
        <v>2</v>
      </c>
      <c r="I16" s="293" t="s">
        <v>1398</v>
      </c>
      <c r="J16" s="293">
        <v>0</v>
      </c>
      <c r="K16" s="3">
        <f t="shared" si="0"/>
        <v>4</v>
      </c>
      <c r="L16" s="293" t="s">
        <v>1382</v>
      </c>
      <c r="M16" s="850"/>
      <c r="N16" s="293"/>
      <c r="O16" s="850"/>
      <c r="P16" s="851"/>
      <c r="Q16" s="293"/>
      <c r="R16" s="851"/>
      <c r="S16" s="852"/>
    </row>
    <row r="17" spans="1:19" customFormat="1" ht="14.25" customHeight="1">
      <c r="A17" s="848">
        <f>IF(B17="","",SUBTOTAL(3,$B$12:B17))</f>
        <v>6</v>
      </c>
      <c r="B17" s="849" t="s">
        <v>1288</v>
      </c>
      <c r="C17" s="845">
        <v>709.16300000000001</v>
      </c>
      <c r="D17" s="293" t="s">
        <v>1280</v>
      </c>
      <c r="E17" s="293"/>
      <c r="F17" s="293">
        <v>2</v>
      </c>
      <c r="G17" s="293">
        <v>2</v>
      </c>
      <c r="H17" s="293">
        <f t="shared" si="1"/>
        <v>0</v>
      </c>
      <c r="I17" s="293"/>
      <c r="J17" s="293">
        <v>0</v>
      </c>
      <c r="K17" s="3">
        <f t="shared" si="0"/>
        <v>2</v>
      </c>
      <c r="L17" s="293" t="s">
        <v>1383</v>
      </c>
      <c r="M17" s="850"/>
      <c r="N17" s="293"/>
      <c r="O17" s="850"/>
      <c r="P17" s="851"/>
      <c r="Q17" s="293"/>
      <c r="R17" s="851"/>
      <c r="S17" s="852"/>
    </row>
    <row r="18" spans="1:19" customFormat="1" ht="14.25" customHeight="1">
      <c r="A18" s="843">
        <f>IF(B18="","",SUBTOTAL(3,$B$12:B18))</f>
        <v>7</v>
      </c>
      <c r="B18" s="849" t="s">
        <v>1289</v>
      </c>
      <c r="C18" s="845">
        <v>2681.6109999999999</v>
      </c>
      <c r="D18" s="293" t="s">
        <v>1280</v>
      </c>
      <c r="E18" s="293"/>
      <c r="F18" s="293">
        <v>7</v>
      </c>
      <c r="G18" s="293">
        <v>7</v>
      </c>
      <c r="H18" s="293">
        <f t="shared" si="1"/>
        <v>0</v>
      </c>
      <c r="I18" s="293"/>
      <c r="J18" s="293">
        <v>0</v>
      </c>
      <c r="K18" s="3">
        <f t="shared" si="0"/>
        <v>7</v>
      </c>
      <c r="L18" s="293" t="s">
        <v>1384</v>
      </c>
      <c r="M18" s="850"/>
      <c r="N18" s="293"/>
      <c r="O18" s="850"/>
      <c r="P18" s="851"/>
      <c r="Q18" s="293"/>
      <c r="R18" s="851"/>
      <c r="S18" s="852"/>
    </row>
    <row r="19" spans="1:19" customFormat="1" ht="14.25" customHeight="1">
      <c r="A19" s="848">
        <f>IF(B19="","",SUBTOTAL(3,$B$12:B19))</f>
        <v>8</v>
      </c>
      <c r="B19" s="849" t="s">
        <v>1290</v>
      </c>
      <c r="C19" s="845">
        <v>4418.3890000000001</v>
      </c>
      <c r="D19" s="293" t="s">
        <v>1280</v>
      </c>
      <c r="E19" s="293"/>
      <c r="F19" s="293">
        <v>11</v>
      </c>
      <c r="G19" s="293">
        <v>11</v>
      </c>
      <c r="H19" s="293">
        <f t="shared" si="1"/>
        <v>0</v>
      </c>
      <c r="I19" s="293"/>
      <c r="J19" s="293">
        <v>0</v>
      </c>
      <c r="K19" s="3">
        <f t="shared" si="0"/>
        <v>11</v>
      </c>
      <c r="L19" s="293" t="s">
        <v>1385</v>
      </c>
      <c r="M19" s="850"/>
      <c r="N19" s="293"/>
      <c r="O19" s="850"/>
      <c r="P19" s="851"/>
      <c r="Q19" s="293"/>
      <c r="R19" s="851"/>
      <c r="S19" s="852"/>
    </row>
    <row r="20" spans="1:19" customFormat="1" ht="14.25" customHeight="1">
      <c r="A20" s="843">
        <f>IF(B20="","",SUBTOTAL(3,$B$12:B20))</f>
        <v>9</v>
      </c>
      <c r="B20" s="849" t="s">
        <v>1291</v>
      </c>
      <c r="C20" s="845">
        <v>419.48</v>
      </c>
      <c r="D20" s="293" t="s">
        <v>1279</v>
      </c>
      <c r="E20" s="293"/>
      <c r="F20" s="293">
        <v>1</v>
      </c>
      <c r="G20" s="293">
        <v>1</v>
      </c>
      <c r="H20" s="293">
        <f t="shared" si="1"/>
        <v>0</v>
      </c>
      <c r="I20" s="293"/>
      <c r="J20" s="293">
        <v>0</v>
      </c>
      <c r="K20" s="3">
        <f t="shared" si="0"/>
        <v>1</v>
      </c>
      <c r="L20" s="293" t="s">
        <v>258</v>
      </c>
      <c r="M20" s="850"/>
      <c r="N20" s="293"/>
      <c r="O20" s="850"/>
      <c r="P20" s="851"/>
      <c r="Q20" s="293"/>
      <c r="R20" s="851"/>
      <c r="S20" s="852"/>
    </row>
    <row r="21" spans="1:19" customFormat="1" ht="14.25" customHeight="1">
      <c r="A21" s="848">
        <f>IF(B21="","",SUBTOTAL(3,$B$12:B21))</f>
        <v>10</v>
      </c>
      <c r="B21" s="849" t="s">
        <v>1292</v>
      </c>
      <c r="C21" s="845">
        <v>4901.2360000000008</v>
      </c>
      <c r="D21" s="293" t="s">
        <v>1280</v>
      </c>
      <c r="E21" s="293"/>
      <c r="F21" s="293">
        <v>13</v>
      </c>
      <c r="G21" s="293">
        <v>13</v>
      </c>
      <c r="H21" s="293">
        <f t="shared" si="1"/>
        <v>0</v>
      </c>
      <c r="I21" s="293"/>
      <c r="J21" s="293">
        <v>0</v>
      </c>
      <c r="K21" s="3">
        <f t="shared" si="0"/>
        <v>13</v>
      </c>
      <c r="L21" s="293" t="s">
        <v>1386</v>
      </c>
      <c r="M21" s="850"/>
      <c r="N21" s="293"/>
      <c r="O21" s="850"/>
      <c r="P21" s="851"/>
      <c r="Q21" s="293"/>
      <c r="R21" s="851"/>
      <c r="S21" s="852"/>
    </row>
    <row r="22" spans="1:19" customFormat="1" ht="14.25" customHeight="1">
      <c r="A22" s="843">
        <f>IF(B22="","",SUBTOTAL(3,$B$12:B22))</f>
        <v>11</v>
      </c>
      <c r="B22" s="849" t="s">
        <v>1293</v>
      </c>
      <c r="C22" s="845">
        <v>2699.2840000000001</v>
      </c>
      <c r="D22" s="293" t="s">
        <v>1280</v>
      </c>
      <c r="E22" s="293"/>
      <c r="F22" s="293">
        <v>7</v>
      </c>
      <c r="G22" s="293">
        <v>7</v>
      </c>
      <c r="H22" s="293">
        <f t="shared" si="1"/>
        <v>0</v>
      </c>
      <c r="I22" s="293"/>
      <c r="J22" s="293">
        <v>6</v>
      </c>
      <c r="K22" s="3">
        <f t="shared" si="0"/>
        <v>1</v>
      </c>
      <c r="L22" s="934" t="s">
        <v>478</v>
      </c>
      <c r="M22" s="850"/>
      <c r="N22" s="293"/>
      <c r="O22" s="850"/>
      <c r="P22" s="851"/>
      <c r="Q22" s="293"/>
      <c r="R22" s="851"/>
      <c r="S22" s="852"/>
    </row>
    <row r="23" spans="1:19" customFormat="1" ht="14.25" customHeight="1">
      <c r="A23" s="843">
        <f>IF(B23="","",SUBTOTAL(3,$B$12:B23))</f>
        <v>12</v>
      </c>
      <c r="B23" s="849" t="s">
        <v>1294</v>
      </c>
      <c r="C23" s="845">
        <v>2434.77</v>
      </c>
      <c r="D23" s="293" t="s">
        <v>1280</v>
      </c>
      <c r="E23" s="293"/>
      <c r="F23" s="293">
        <v>6</v>
      </c>
      <c r="G23" s="293">
        <v>6</v>
      </c>
      <c r="H23" s="293">
        <f t="shared" si="1"/>
        <v>0</v>
      </c>
      <c r="I23" s="293"/>
      <c r="J23" s="293">
        <v>6</v>
      </c>
      <c r="K23" s="3">
        <f t="shared" si="0"/>
        <v>0</v>
      </c>
      <c r="L23" s="934"/>
      <c r="M23" s="850"/>
      <c r="N23" s="293"/>
      <c r="O23" s="850"/>
      <c r="P23" s="851"/>
      <c r="Q23" s="293"/>
      <c r="R23" s="851"/>
      <c r="S23" s="852"/>
    </row>
    <row r="24" spans="1:19" customFormat="1" ht="14.25" customHeight="1">
      <c r="A24" s="843">
        <f>IF(B24="","",SUBTOTAL(3,$B$12:B24))</f>
        <v>13</v>
      </c>
      <c r="B24" s="849" t="s">
        <v>1295</v>
      </c>
      <c r="C24" s="845">
        <v>4455</v>
      </c>
      <c r="D24" s="293" t="s">
        <v>1280</v>
      </c>
      <c r="E24" s="293"/>
      <c r="F24" s="293">
        <v>12</v>
      </c>
      <c r="G24" s="293">
        <v>11</v>
      </c>
      <c r="H24" s="293">
        <f t="shared" si="1"/>
        <v>1</v>
      </c>
      <c r="I24" s="293" t="s">
        <v>482</v>
      </c>
      <c r="J24" s="293">
        <v>10</v>
      </c>
      <c r="K24" s="3">
        <f t="shared" si="0"/>
        <v>2</v>
      </c>
      <c r="L24" s="293"/>
      <c r="M24" s="850"/>
      <c r="N24" s="293"/>
      <c r="O24" s="850"/>
      <c r="P24" s="851"/>
      <c r="Q24" s="293"/>
      <c r="R24" s="851"/>
      <c r="S24" s="852"/>
    </row>
    <row r="25" spans="1:19" customFormat="1" ht="14.25" customHeight="1">
      <c r="A25" s="848">
        <f>IF(B25="","",SUBTOTAL(3,$B$12:B25))</f>
        <v>14</v>
      </c>
      <c r="B25" s="849" t="s">
        <v>1296</v>
      </c>
      <c r="C25" s="845">
        <v>466.62900000000002</v>
      </c>
      <c r="D25" s="293" t="s">
        <v>1279</v>
      </c>
      <c r="E25" s="293"/>
      <c r="F25" s="293">
        <v>1</v>
      </c>
      <c r="G25" s="293">
        <v>0</v>
      </c>
      <c r="H25" s="293">
        <f t="shared" si="1"/>
        <v>1</v>
      </c>
      <c r="I25" s="293" t="s">
        <v>263</v>
      </c>
      <c r="J25" s="293">
        <v>0</v>
      </c>
      <c r="K25" s="3">
        <f t="shared" si="0"/>
        <v>1</v>
      </c>
      <c r="L25" s="293"/>
      <c r="M25" s="850"/>
      <c r="N25" s="293"/>
      <c r="O25" s="850"/>
      <c r="P25" s="851"/>
      <c r="Q25" s="293"/>
      <c r="R25" s="851"/>
      <c r="S25" s="852"/>
    </row>
    <row r="26" spans="1:19" customFormat="1" ht="14.25" customHeight="1">
      <c r="A26" s="843">
        <f>IF(B26="","",SUBTOTAL(3,$B$12:B26))</f>
        <v>15</v>
      </c>
      <c r="B26" s="849" t="s">
        <v>1297</v>
      </c>
      <c r="C26" s="845">
        <v>4964.92</v>
      </c>
      <c r="D26" s="293" t="s">
        <v>1280</v>
      </c>
      <c r="E26" s="293"/>
      <c r="F26" s="293">
        <v>12</v>
      </c>
      <c r="G26" s="293">
        <v>12</v>
      </c>
      <c r="H26" s="293">
        <f t="shared" si="1"/>
        <v>0</v>
      </c>
      <c r="I26" s="293"/>
      <c r="J26" s="293">
        <v>4</v>
      </c>
      <c r="K26" s="3">
        <f t="shared" si="0"/>
        <v>8</v>
      </c>
      <c r="L26" s="293"/>
      <c r="M26" s="850"/>
      <c r="N26" s="293"/>
      <c r="O26" s="850"/>
      <c r="P26" s="851"/>
      <c r="Q26" s="293"/>
      <c r="R26" s="851"/>
      <c r="S26" s="852"/>
    </row>
    <row r="27" spans="1:19" customFormat="1" ht="14.25" customHeight="1">
      <c r="A27" s="848">
        <f>IF(B27="","",SUBTOTAL(3,$B$12:B27))</f>
        <v>16</v>
      </c>
      <c r="B27" s="849" t="s">
        <v>1298</v>
      </c>
      <c r="C27" s="845">
        <v>1004.183</v>
      </c>
      <c r="D27" s="293" t="s">
        <v>1280</v>
      </c>
      <c r="E27" s="293"/>
      <c r="F27" s="293">
        <v>3</v>
      </c>
      <c r="G27" s="293">
        <v>2</v>
      </c>
      <c r="H27" s="293">
        <f t="shared" si="1"/>
        <v>1</v>
      </c>
      <c r="I27" s="293" t="s">
        <v>265</v>
      </c>
      <c r="J27" s="293"/>
      <c r="K27" s="3">
        <f t="shared" si="0"/>
        <v>3</v>
      </c>
      <c r="L27" s="293"/>
      <c r="M27" s="850"/>
      <c r="N27" s="293"/>
      <c r="O27" s="850"/>
      <c r="P27" s="851"/>
      <c r="Q27" s="293"/>
      <c r="R27" s="851"/>
      <c r="S27" s="852"/>
    </row>
    <row r="28" spans="1:19" customFormat="1" ht="14.25" customHeight="1">
      <c r="A28" s="843">
        <f>IF(B28="","",SUBTOTAL(3,$B$12:B28))</f>
        <v>17</v>
      </c>
      <c r="B28" s="849" t="s">
        <v>1299</v>
      </c>
      <c r="C28" s="845">
        <v>242.893</v>
      </c>
      <c r="D28" s="293" t="s">
        <v>1279</v>
      </c>
      <c r="E28" s="293" t="s">
        <v>687</v>
      </c>
      <c r="F28" s="293">
        <v>1</v>
      </c>
      <c r="G28" s="293">
        <v>0</v>
      </c>
      <c r="H28" s="293">
        <f t="shared" si="1"/>
        <v>1</v>
      </c>
      <c r="I28" s="293" t="s">
        <v>266</v>
      </c>
      <c r="J28" s="293"/>
      <c r="K28" s="3">
        <f t="shared" si="0"/>
        <v>1</v>
      </c>
      <c r="L28" s="293"/>
      <c r="M28" s="850"/>
      <c r="N28" s="293"/>
      <c r="O28" s="850"/>
      <c r="P28" s="851"/>
      <c r="Q28" s="293"/>
      <c r="R28" s="851"/>
      <c r="S28" s="852"/>
    </row>
    <row r="29" spans="1:19" customFormat="1" ht="14.25" customHeight="1">
      <c r="A29" s="848">
        <f>IF(B29="","",SUBTOTAL(3,$B$12:B29))</f>
        <v>18</v>
      </c>
      <c r="B29" s="849" t="s">
        <v>1300</v>
      </c>
      <c r="C29" s="845">
        <v>329.72800000000001</v>
      </c>
      <c r="D29" s="293" t="s">
        <v>1279</v>
      </c>
      <c r="E29" s="293" t="s">
        <v>1281</v>
      </c>
      <c r="F29" s="293">
        <v>1</v>
      </c>
      <c r="G29" s="293">
        <v>1</v>
      </c>
      <c r="H29" s="293">
        <f t="shared" si="1"/>
        <v>0</v>
      </c>
      <c r="I29" s="293"/>
      <c r="J29" s="293"/>
      <c r="K29" s="3">
        <f t="shared" si="0"/>
        <v>1</v>
      </c>
      <c r="L29" s="293"/>
      <c r="M29" s="850"/>
      <c r="N29" s="293"/>
      <c r="O29" s="850"/>
      <c r="P29" s="851"/>
      <c r="Q29" s="293"/>
      <c r="R29" s="851"/>
      <c r="S29" s="852"/>
    </row>
    <row r="30" spans="1:19" customFormat="1" ht="14.25" customHeight="1">
      <c r="A30" s="843">
        <f>IF(B30="","",SUBTOTAL(3,$B$12:B30))</f>
        <v>19</v>
      </c>
      <c r="B30" s="849" t="s">
        <v>1301</v>
      </c>
      <c r="C30" s="845">
        <v>416.87799999999999</v>
      </c>
      <c r="D30" s="293" t="s">
        <v>1279</v>
      </c>
      <c r="E30" s="293"/>
      <c r="F30" s="293">
        <v>1</v>
      </c>
      <c r="G30" s="293">
        <v>1</v>
      </c>
      <c r="H30" s="293">
        <f t="shared" si="1"/>
        <v>0</v>
      </c>
      <c r="I30" s="293"/>
      <c r="J30" s="293"/>
      <c r="K30" s="3">
        <f t="shared" si="0"/>
        <v>1</v>
      </c>
      <c r="L30" s="293"/>
      <c r="M30" s="850"/>
      <c r="N30" s="293"/>
      <c r="O30" s="850"/>
      <c r="P30" s="851"/>
      <c r="Q30" s="293"/>
      <c r="R30" s="851"/>
      <c r="S30" s="852"/>
    </row>
    <row r="31" spans="1:19" customFormat="1" ht="14.25" customHeight="1">
      <c r="A31" s="848">
        <f>IF(B31="","",SUBTOTAL(3,$B$12:B31))</f>
        <v>20</v>
      </c>
      <c r="B31" s="849" t="s">
        <v>1302</v>
      </c>
      <c r="C31" s="845">
        <v>480.26900000000001</v>
      </c>
      <c r="D31" s="293" t="s">
        <v>1279</v>
      </c>
      <c r="E31" s="293"/>
      <c r="F31" s="293">
        <v>1</v>
      </c>
      <c r="G31" s="293">
        <v>0</v>
      </c>
      <c r="H31" s="293">
        <f t="shared" si="1"/>
        <v>1</v>
      </c>
      <c r="I31" s="293" t="s">
        <v>11</v>
      </c>
      <c r="J31" s="293"/>
      <c r="K31" s="3">
        <f t="shared" si="0"/>
        <v>1</v>
      </c>
      <c r="L31" s="293"/>
      <c r="M31" s="850"/>
      <c r="N31" s="293"/>
      <c r="O31" s="850"/>
      <c r="P31" s="851"/>
      <c r="Q31" s="293"/>
      <c r="R31" s="851"/>
      <c r="S31" s="852"/>
    </row>
    <row r="32" spans="1:19" customFormat="1" ht="14.25" customHeight="1">
      <c r="A32" s="843">
        <f>IF(B32="","",SUBTOTAL(3,$B$12:B32))</f>
        <v>21</v>
      </c>
      <c r="B32" s="849" t="s">
        <v>1303</v>
      </c>
      <c r="C32" s="845">
        <v>223.816</v>
      </c>
      <c r="D32" s="293" t="s">
        <v>1279</v>
      </c>
      <c r="E32" s="293" t="s">
        <v>1282</v>
      </c>
      <c r="F32" s="293">
        <v>1</v>
      </c>
      <c r="G32" s="293">
        <v>1</v>
      </c>
      <c r="H32" s="293">
        <f t="shared" si="1"/>
        <v>0</v>
      </c>
      <c r="I32" s="293"/>
      <c r="J32" s="293"/>
      <c r="K32" s="3">
        <f t="shared" si="0"/>
        <v>1</v>
      </c>
      <c r="L32" s="293"/>
      <c r="M32" s="850"/>
      <c r="N32" s="293"/>
      <c r="O32" s="850"/>
      <c r="P32" s="851"/>
      <c r="Q32" s="293"/>
      <c r="R32" s="851"/>
      <c r="S32" s="852"/>
    </row>
    <row r="33" spans="1:19" customFormat="1" ht="14.25" customHeight="1">
      <c r="A33" s="848">
        <f>IF(B33="","",SUBTOTAL(3,$B$12:B33))</f>
        <v>22</v>
      </c>
      <c r="B33" s="849" t="s">
        <v>1304</v>
      </c>
      <c r="C33" s="845">
        <v>5019.34</v>
      </c>
      <c r="D33" s="293" t="s">
        <v>1280</v>
      </c>
      <c r="E33" s="293"/>
      <c r="F33" s="293">
        <v>13</v>
      </c>
      <c r="G33" s="293">
        <v>13</v>
      </c>
      <c r="H33" s="293">
        <f t="shared" si="1"/>
        <v>0</v>
      </c>
      <c r="I33" s="293"/>
      <c r="J33" s="293">
        <v>4</v>
      </c>
      <c r="K33" s="3">
        <f t="shared" si="0"/>
        <v>9</v>
      </c>
      <c r="L33" s="293"/>
      <c r="M33" s="850"/>
      <c r="N33" s="293"/>
      <c r="O33" s="850"/>
      <c r="P33" s="851"/>
      <c r="Q33" s="293"/>
      <c r="R33" s="851"/>
      <c r="S33" s="852"/>
    </row>
    <row r="34" spans="1:19" customFormat="1" ht="14.25" customHeight="1">
      <c r="A34" s="843">
        <f>IF(B34="","",SUBTOTAL(3,$B$12:B34))</f>
        <v>23</v>
      </c>
      <c r="B34" s="849" t="s">
        <v>1305</v>
      </c>
      <c r="C34" s="845">
        <v>392.69400000000002</v>
      </c>
      <c r="D34" s="293" t="s">
        <v>1279</v>
      </c>
      <c r="E34" s="293"/>
      <c r="F34" s="293">
        <v>1</v>
      </c>
      <c r="G34" s="293">
        <v>1</v>
      </c>
      <c r="H34" s="293">
        <f t="shared" si="1"/>
        <v>0</v>
      </c>
      <c r="I34" s="293"/>
      <c r="J34" s="293"/>
      <c r="K34" s="3">
        <f t="shared" si="0"/>
        <v>1</v>
      </c>
      <c r="L34" s="293"/>
      <c r="M34" s="850"/>
      <c r="N34" s="293"/>
      <c r="O34" s="850"/>
      <c r="P34" s="851"/>
      <c r="Q34" s="293"/>
      <c r="R34" s="851"/>
      <c r="S34" s="852"/>
    </row>
    <row r="35" spans="1:19" customFormat="1" ht="14.25" customHeight="1">
      <c r="A35" s="843">
        <f>IF(B35="","",SUBTOTAL(3,$B$12:B35))</f>
        <v>24</v>
      </c>
      <c r="B35" s="849" t="s">
        <v>1306</v>
      </c>
      <c r="C35" s="845">
        <v>398.404</v>
      </c>
      <c r="D35" s="293" t="s">
        <v>1279</v>
      </c>
      <c r="E35" s="293"/>
      <c r="F35" s="293">
        <v>1</v>
      </c>
      <c r="G35" s="293">
        <v>1</v>
      </c>
      <c r="H35" s="293">
        <f t="shared" si="1"/>
        <v>0</v>
      </c>
      <c r="I35" s="293"/>
      <c r="J35" s="293"/>
      <c r="K35" s="3">
        <f t="shared" si="0"/>
        <v>1</v>
      </c>
      <c r="L35" s="293"/>
      <c r="M35" s="850"/>
      <c r="N35" s="293"/>
      <c r="O35" s="850"/>
      <c r="P35" s="851"/>
      <c r="Q35" s="293"/>
      <c r="R35" s="851"/>
      <c r="S35" s="852"/>
    </row>
    <row r="36" spans="1:19" customFormat="1" ht="14.25" customHeight="1">
      <c r="A36" s="843">
        <f>IF(B36="","",SUBTOTAL(3,$B$12:B36))</f>
        <v>25</v>
      </c>
      <c r="B36" s="849" t="s">
        <v>1307</v>
      </c>
      <c r="C36" s="845">
        <v>3030.0290000000005</v>
      </c>
      <c r="D36" s="293" t="s">
        <v>1280</v>
      </c>
      <c r="E36" s="293"/>
      <c r="F36" s="293">
        <v>8</v>
      </c>
      <c r="G36" s="293">
        <v>7</v>
      </c>
      <c r="H36" s="293">
        <f t="shared" si="1"/>
        <v>1</v>
      </c>
      <c r="I36" s="293" t="s">
        <v>52</v>
      </c>
      <c r="J36" s="293"/>
      <c r="K36" s="3">
        <f t="shared" si="0"/>
        <v>8</v>
      </c>
      <c r="L36" s="293"/>
      <c r="M36" s="850"/>
      <c r="N36" s="293"/>
      <c r="O36" s="850"/>
      <c r="P36" s="851"/>
      <c r="Q36" s="293"/>
      <c r="R36" s="851"/>
      <c r="S36" s="852"/>
    </row>
    <row r="37" spans="1:19" customFormat="1" ht="14.25" customHeight="1">
      <c r="A37" s="843">
        <f>IF(B37="","",SUBTOTAL(3,$B$12:B37))</f>
        <v>26</v>
      </c>
      <c r="B37" s="849" t="s">
        <v>1308</v>
      </c>
      <c r="C37" s="845">
        <v>279.36</v>
      </c>
      <c r="D37" s="293" t="s">
        <v>1279</v>
      </c>
      <c r="E37" s="293" t="s">
        <v>1349</v>
      </c>
      <c r="F37" s="293">
        <v>1</v>
      </c>
      <c r="G37" s="293">
        <v>0</v>
      </c>
      <c r="H37" s="293">
        <f t="shared" si="1"/>
        <v>1</v>
      </c>
      <c r="I37" s="293" t="s">
        <v>53</v>
      </c>
      <c r="J37" s="293"/>
      <c r="K37" s="3">
        <f t="shared" si="0"/>
        <v>1</v>
      </c>
      <c r="L37" s="293"/>
      <c r="M37" s="850"/>
      <c r="N37" s="293"/>
      <c r="O37" s="850"/>
      <c r="P37" s="851"/>
      <c r="Q37" s="293"/>
      <c r="R37" s="851"/>
      <c r="S37" s="852"/>
    </row>
    <row r="38" spans="1:19" customFormat="1" ht="14.25" customHeight="1">
      <c r="A38" s="843">
        <f>IF(B38="","",SUBTOTAL(3,$B$12:B38))</f>
        <v>27</v>
      </c>
      <c r="B38" s="849" t="s">
        <v>1309</v>
      </c>
      <c r="C38" s="845">
        <v>2550.1669999999999</v>
      </c>
      <c r="D38" s="293" t="s">
        <v>1280</v>
      </c>
      <c r="E38" s="293"/>
      <c r="F38" s="293">
        <v>7</v>
      </c>
      <c r="G38" s="293">
        <v>2</v>
      </c>
      <c r="H38" s="293">
        <f t="shared" si="1"/>
        <v>5</v>
      </c>
      <c r="I38" s="293" t="s">
        <v>1387</v>
      </c>
      <c r="J38" s="293"/>
      <c r="K38" s="3">
        <f t="shared" si="0"/>
        <v>7</v>
      </c>
      <c r="L38" s="293"/>
      <c r="M38" s="850"/>
      <c r="N38" s="293"/>
      <c r="O38" s="850"/>
      <c r="P38" s="851"/>
      <c r="Q38" s="293"/>
      <c r="R38" s="851"/>
      <c r="S38" s="852"/>
    </row>
    <row r="39" spans="1:19" customFormat="1" ht="14.25" customHeight="1">
      <c r="A39" s="843">
        <f>IF(B39="","",SUBTOTAL(3,$B$12:B39))</f>
        <v>28</v>
      </c>
      <c r="B39" s="849" t="s">
        <v>1310</v>
      </c>
      <c r="C39" s="845">
        <v>2283.5349999999999</v>
      </c>
      <c r="D39" s="293" t="s">
        <v>1280</v>
      </c>
      <c r="E39" s="293"/>
      <c r="F39" s="293">
        <v>6</v>
      </c>
      <c r="G39" s="293">
        <v>3</v>
      </c>
      <c r="H39" s="293">
        <f t="shared" si="1"/>
        <v>3</v>
      </c>
      <c r="I39" s="293" t="s">
        <v>1388</v>
      </c>
      <c r="J39" s="293"/>
      <c r="K39" s="3">
        <f t="shared" si="0"/>
        <v>6</v>
      </c>
      <c r="L39" s="293"/>
      <c r="M39" s="850"/>
      <c r="N39" s="293"/>
      <c r="O39" s="850"/>
      <c r="P39" s="851"/>
      <c r="Q39" s="293"/>
      <c r="R39" s="851"/>
      <c r="S39" s="852"/>
    </row>
    <row r="40" spans="1:19" customFormat="1" ht="14.25" customHeight="1">
      <c r="A40" s="843">
        <f>IF(B40="","",SUBTOTAL(3,$B$12:B40))</f>
        <v>29</v>
      </c>
      <c r="B40" s="849" t="s">
        <v>1311</v>
      </c>
      <c r="C40" s="845">
        <v>259.048</v>
      </c>
      <c r="D40" s="293" t="s">
        <v>1279</v>
      </c>
      <c r="E40" s="293" t="s">
        <v>1283</v>
      </c>
      <c r="F40" s="293">
        <v>1</v>
      </c>
      <c r="G40" s="293">
        <v>1</v>
      </c>
      <c r="H40" s="293">
        <f t="shared" si="1"/>
        <v>0</v>
      </c>
      <c r="I40" s="293"/>
      <c r="J40" s="293"/>
      <c r="K40" s="3">
        <f t="shared" si="0"/>
        <v>1</v>
      </c>
      <c r="L40" s="293"/>
      <c r="M40" s="850"/>
      <c r="N40" s="293"/>
      <c r="O40" s="850"/>
      <c r="P40" s="851"/>
      <c r="Q40" s="293"/>
      <c r="R40" s="851"/>
      <c r="S40" s="852"/>
    </row>
    <row r="41" spans="1:19" customFormat="1" ht="14.25" customHeight="1">
      <c r="A41" s="843">
        <f>IF(B41="","",SUBTOTAL(3,$B$12:B41))</f>
        <v>30</v>
      </c>
      <c r="B41" s="849" t="s">
        <v>1312</v>
      </c>
      <c r="C41" s="845">
        <v>440.45499999999998</v>
      </c>
      <c r="D41" s="293" t="s">
        <v>1279</v>
      </c>
      <c r="E41" s="293"/>
      <c r="F41" s="293">
        <v>1</v>
      </c>
      <c r="G41" s="293">
        <v>1</v>
      </c>
      <c r="H41" s="293">
        <f t="shared" si="1"/>
        <v>0</v>
      </c>
      <c r="I41" s="293"/>
      <c r="J41" s="293"/>
      <c r="K41" s="3">
        <f t="shared" si="0"/>
        <v>1</v>
      </c>
      <c r="L41" s="293"/>
      <c r="M41" s="850"/>
      <c r="N41" s="293"/>
      <c r="O41" s="850"/>
      <c r="P41" s="851"/>
      <c r="Q41" s="293"/>
      <c r="R41" s="851"/>
      <c r="S41" s="852"/>
    </row>
    <row r="42" spans="1:19" customFormat="1" ht="14.25" customHeight="1">
      <c r="A42" s="843">
        <f>IF(B42="","",SUBTOTAL(3,$B$12:B42))</f>
        <v>31</v>
      </c>
      <c r="B42" s="849" t="s">
        <v>1313</v>
      </c>
      <c r="C42" s="845">
        <v>496.685</v>
      </c>
      <c r="D42" s="293" t="s">
        <v>1279</v>
      </c>
      <c r="E42" s="293"/>
      <c r="F42" s="293">
        <v>1</v>
      </c>
      <c r="G42" s="293">
        <v>1</v>
      </c>
      <c r="H42" s="293">
        <f t="shared" si="1"/>
        <v>0</v>
      </c>
      <c r="I42" s="293"/>
      <c r="J42" s="293"/>
      <c r="K42" s="3">
        <f t="shared" si="0"/>
        <v>1</v>
      </c>
      <c r="L42" s="293"/>
      <c r="M42" s="850"/>
      <c r="N42" s="293"/>
      <c r="O42" s="850"/>
      <c r="P42" s="851"/>
      <c r="Q42" s="293"/>
      <c r="R42" s="851"/>
      <c r="S42" s="852"/>
    </row>
    <row r="43" spans="1:19" customFormat="1" ht="14.25" customHeight="1">
      <c r="A43" s="843">
        <f>IF(B43="","",SUBTOTAL(3,$B$12:B43))</f>
        <v>32</v>
      </c>
      <c r="B43" s="849" t="s">
        <v>1314</v>
      </c>
      <c r="C43" s="845">
        <v>244.029</v>
      </c>
      <c r="D43" s="293" t="s">
        <v>1279</v>
      </c>
      <c r="E43" s="293" t="s">
        <v>1282</v>
      </c>
      <c r="F43" s="293">
        <v>1</v>
      </c>
      <c r="G43" s="293">
        <v>1</v>
      </c>
      <c r="H43" s="293">
        <f t="shared" si="1"/>
        <v>0</v>
      </c>
      <c r="I43" s="293"/>
      <c r="J43" s="293"/>
      <c r="K43" s="3">
        <f t="shared" si="0"/>
        <v>1</v>
      </c>
      <c r="L43" s="293"/>
      <c r="M43" s="850"/>
      <c r="N43" s="293"/>
      <c r="O43" s="850"/>
      <c r="P43" s="851"/>
      <c r="Q43" s="293"/>
      <c r="R43" s="851"/>
      <c r="S43" s="852"/>
    </row>
    <row r="44" spans="1:19" customFormat="1" ht="14.25" customHeight="1">
      <c r="A44" s="843">
        <f>IF(B44="","",SUBTOTAL(3,$B$12:B44))</f>
        <v>33</v>
      </c>
      <c r="B44" s="849" t="s">
        <v>1315</v>
      </c>
      <c r="C44" s="845">
        <v>237.428</v>
      </c>
      <c r="D44" s="293" t="s">
        <v>1279</v>
      </c>
      <c r="E44" s="293"/>
      <c r="F44" s="293">
        <v>1</v>
      </c>
      <c r="G44" s="293">
        <v>1</v>
      </c>
      <c r="H44" s="293">
        <f t="shared" si="1"/>
        <v>0</v>
      </c>
      <c r="I44" s="293"/>
      <c r="J44" s="293"/>
      <c r="K44" s="3">
        <f t="shared" si="0"/>
        <v>1</v>
      </c>
      <c r="L44" s="293"/>
      <c r="M44" s="850"/>
      <c r="N44" s="293"/>
      <c r="O44" s="850"/>
      <c r="P44" s="851"/>
      <c r="Q44" s="293"/>
      <c r="R44" s="851"/>
      <c r="S44" s="852"/>
    </row>
    <row r="45" spans="1:19" customFormat="1" ht="14.25" customHeight="1">
      <c r="A45" s="843">
        <f>IF(B45="","",SUBTOTAL(3,$B$12:B45))</f>
        <v>34</v>
      </c>
      <c r="B45" s="849" t="s">
        <v>1316</v>
      </c>
      <c r="C45" s="845">
        <v>203.47900000000001</v>
      </c>
      <c r="D45" s="293" t="s">
        <v>1279</v>
      </c>
      <c r="E45" s="293" t="s">
        <v>1284</v>
      </c>
      <c r="F45" s="293">
        <v>1</v>
      </c>
      <c r="G45" s="293">
        <v>1</v>
      </c>
      <c r="H45" s="293">
        <f t="shared" si="1"/>
        <v>0</v>
      </c>
      <c r="I45" s="293"/>
      <c r="J45" s="293"/>
      <c r="K45" s="3">
        <f t="shared" si="0"/>
        <v>1</v>
      </c>
      <c r="L45" s="293"/>
      <c r="M45" s="850"/>
      <c r="N45" s="293"/>
      <c r="O45" s="850"/>
      <c r="P45" s="851"/>
      <c r="Q45" s="293"/>
      <c r="R45" s="851"/>
      <c r="S45" s="852"/>
    </row>
    <row r="46" spans="1:19" customFormat="1" ht="14.25" customHeight="1">
      <c r="A46" s="843">
        <f>IF(B46="","",SUBTOTAL(3,$B$12:B46))</f>
        <v>35</v>
      </c>
      <c r="B46" s="849" t="s">
        <v>1317</v>
      </c>
      <c r="C46" s="845">
        <v>2548.2750000000001</v>
      </c>
      <c r="D46" s="293" t="s">
        <v>1280</v>
      </c>
      <c r="E46" s="293"/>
      <c r="F46" s="293">
        <v>7</v>
      </c>
      <c r="G46" s="293">
        <v>7</v>
      </c>
      <c r="H46" s="293">
        <f t="shared" si="1"/>
        <v>0</v>
      </c>
      <c r="I46" s="293"/>
      <c r="J46" s="293"/>
      <c r="K46" s="3">
        <f t="shared" si="0"/>
        <v>7</v>
      </c>
      <c r="L46" s="293"/>
      <c r="M46" s="850"/>
      <c r="N46" s="293"/>
      <c r="O46" s="850"/>
      <c r="P46" s="851"/>
      <c r="Q46" s="293"/>
      <c r="R46" s="851"/>
      <c r="S46" s="852"/>
    </row>
    <row r="47" spans="1:19" customFormat="1" ht="14.25" customHeight="1">
      <c r="A47" s="843">
        <f>IF(B47="","",SUBTOTAL(3,$B$12:B47))</f>
        <v>36</v>
      </c>
      <c r="B47" s="849" t="s">
        <v>1318</v>
      </c>
      <c r="C47" s="845">
        <v>211.209</v>
      </c>
      <c r="D47" s="293" t="s">
        <v>1279</v>
      </c>
      <c r="E47" s="293" t="s">
        <v>1285</v>
      </c>
      <c r="F47" s="293">
        <v>1</v>
      </c>
      <c r="G47" s="293">
        <v>1</v>
      </c>
      <c r="H47" s="293">
        <f t="shared" si="1"/>
        <v>0</v>
      </c>
      <c r="I47" s="293"/>
      <c r="J47" s="293"/>
      <c r="K47" s="3">
        <f t="shared" si="0"/>
        <v>1</v>
      </c>
      <c r="L47" s="293"/>
      <c r="M47" s="850"/>
      <c r="N47" s="293"/>
      <c r="O47" s="850"/>
      <c r="P47" s="851"/>
      <c r="Q47" s="293"/>
      <c r="R47" s="851"/>
      <c r="S47" s="852"/>
    </row>
    <row r="48" spans="1:19" customFormat="1" ht="14.25" customHeight="1">
      <c r="A48" s="843">
        <f>IF(B48="","",SUBTOTAL(3,$B$12:B48))</f>
        <v>37</v>
      </c>
      <c r="B48" s="849" t="s">
        <v>1319</v>
      </c>
      <c r="C48" s="845">
        <v>2379.2039999999997</v>
      </c>
      <c r="D48" s="293" t="s">
        <v>1280</v>
      </c>
      <c r="E48" s="293"/>
      <c r="F48" s="293">
        <v>6</v>
      </c>
      <c r="G48" s="293">
        <v>6</v>
      </c>
      <c r="H48" s="293">
        <f t="shared" si="1"/>
        <v>0</v>
      </c>
      <c r="I48" s="293"/>
      <c r="J48" s="293">
        <v>3</v>
      </c>
      <c r="K48" s="3">
        <f t="shared" si="0"/>
        <v>3</v>
      </c>
      <c r="L48" s="293"/>
      <c r="M48" s="850"/>
      <c r="N48" s="293"/>
      <c r="O48" s="850"/>
      <c r="P48" s="851"/>
      <c r="Q48" s="293"/>
      <c r="R48" s="851"/>
      <c r="S48" s="852"/>
    </row>
    <row r="49" spans="1:19" customFormat="1" ht="14.25" customHeight="1">
      <c r="A49" s="843">
        <f>IF(B49="","",SUBTOTAL(3,$B$12:B49))</f>
        <v>38</v>
      </c>
      <c r="B49" s="849" t="s">
        <v>1320</v>
      </c>
      <c r="C49" s="845">
        <v>2669.0070000000001</v>
      </c>
      <c r="D49" s="293" t="s">
        <v>1280</v>
      </c>
      <c r="E49" s="293"/>
      <c r="F49" s="293">
        <v>7</v>
      </c>
      <c r="G49" s="293">
        <v>7</v>
      </c>
      <c r="H49" s="293">
        <f t="shared" si="1"/>
        <v>0</v>
      </c>
      <c r="I49" s="293"/>
      <c r="J49" s="293">
        <v>3</v>
      </c>
      <c r="K49" s="3">
        <f t="shared" si="0"/>
        <v>4</v>
      </c>
      <c r="L49" s="293"/>
      <c r="M49" s="850"/>
      <c r="N49" s="293"/>
      <c r="O49" s="850"/>
      <c r="P49" s="851"/>
      <c r="Q49" s="293"/>
      <c r="R49" s="851"/>
      <c r="S49" s="852"/>
    </row>
    <row r="50" spans="1:19" customFormat="1" ht="14.25" customHeight="1">
      <c r="A50" s="843">
        <f>IF(B50="","",SUBTOTAL(3,$B$12:B50))</f>
        <v>39</v>
      </c>
      <c r="B50" s="849" t="s">
        <v>1321</v>
      </c>
      <c r="C50" s="845">
        <v>4124.232</v>
      </c>
      <c r="D50" s="293" t="s">
        <v>1280</v>
      </c>
      <c r="E50" s="293"/>
      <c r="F50" s="293">
        <v>11</v>
      </c>
      <c r="G50" s="293">
        <v>11</v>
      </c>
      <c r="H50" s="293">
        <f t="shared" si="1"/>
        <v>0</v>
      </c>
      <c r="I50" s="293"/>
      <c r="J50" s="293">
        <v>1</v>
      </c>
      <c r="K50" s="3">
        <f t="shared" si="0"/>
        <v>10</v>
      </c>
      <c r="L50" s="293"/>
      <c r="M50" s="850"/>
      <c r="N50" s="293"/>
      <c r="O50" s="850"/>
      <c r="P50" s="851"/>
      <c r="Q50" s="293"/>
      <c r="R50" s="851"/>
      <c r="S50" s="852"/>
    </row>
    <row r="51" spans="1:19" customFormat="1" ht="14.25" customHeight="1">
      <c r="A51" s="843">
        <f>IF(B51="","",SUBTOTAL(3,$B$12:B51))</f>
        <v>40</v>
      </c>
      <c r="B51" s="849" t="s">
        <v>1322</v>
      </c>
      <c r="C51" s="845">
        <v>4333.3689999999997</v>
      </c>
      <c r="D51" s="293" t="s">
        <v>1280</v>
      </c>
      <c r="E51" s="293"/>
      <c r="F51" s="293">
        <v>11</v>
      </c>
      <c r="G51" s="293">
        <v>11</v>
      </c>
      <c r="H51" s="293">
        <f t="shared" si="1"/>
        <v>0</v>
      </c>
      <c r="I51" s="293"/>
      <c r="J51" s="293"/>
      <c r="K51" s="3">
        <f t="shared" si="0"/>
        <v>11</v>
      </c>
      <c r="L51" s="293"/>
      <c r="M51" s="850"/>
      <c r="N51" s="293"/>
      <c r="O51" s="850"/>
      <c r="P51" s="851"/>
      <c r="Q51" s="293"/>
      <c r="R51" s="851"/>
      <c r="S51" s="852"/>
    </row>
    <row r="52" spans="1:19" customFormat="1" ht="14.25" customHeight="1">
      <c r="A52" s="843">
        <f>IF(B52="","",SUBTOTAL(3,$B$12:B52))</f>
        <v>41</v>
      </c>
      <c r="B52" s="849" t="s">
        <v>1323</v>
      </c>
      <c r="C52" s="845">
        <v>3283.51</v>
      </c>
      <c r="D52" s="293" t="s">
        <v>1280</v>
      </c>
      <c r="E52" s="293"/>
      <c r="F52" s="293">
        <v>8</v>
      </c>
      <c r="G52" s="293">
        <v>6</v>
      </c>
      <c r="H52" s="293">
        <f t="shared" si="1"/>
        <v>2</v>
      </c>
      <c r="I52" s="293"/>
      <c r="J52" s="293"/>
      <c r="K52" s="3">
        <f t="shared" si="0"/>
        <v>8</v>
      </c>
      <c r="L52" s="293"/>
      <c r="M52" s="850"/>
      <c r="N52" s="293"/>
      <c r="O52" s="850"/>
      <c r="P52" s="851"/>
      <c r="Q52" s="293"/>
      <c r="R52" s="851"/>
      <c r="S52" s="852"/>
    </row>
    <row r="53" spans="1:19" customFormat="1" ht="14.25" customHeight="1">
      <c r="A53" s="843">
        <f>IF(B53="","",SUBTOTAL(3,$B$12:B53))</f>
        <v>42</v>
      </c>
      <c r="B53" s="849" t="s">
        <v>1324</v>
      </c>
      <c r="C53" s="845">
        <v>840.43900000000008</v>
      </c>
      <c r="D53" s="293" t="s">
        <v>1280</v>
      </c>
      <c r="E53" s="293"/>
      <c r="F53" s="293">
        <v>2</v>
      </c>
      <c r="G53" s="293">
        <v>1</v>
      </c>
      <c r="H53" s="293">
        <f t="shared" si="1"/>
        <v>1</v>
      </c>
      <c r="I53" s="293" t="s">
        <v>67</v>
      </c>
      <c r="J53" s="293">
        <v>0</v>
      </c>
      <c r="K53" s="3">
        <f t="shared" si="0"/>
        <v>2</v>
      </c>
      <c r="L53" s="293" t="s">
        <v>1389</v>
      </c>
      <c r="M53" s="850"/>
      <c r="N53" s="293"/>
      <c r="O53" s="850"/>
      <c r="P53" s="851"/>
      <c r="Q53" s="293"/>
      <c r="R53" s="851"/>
      <c r="S53" s="852"/>
    </row>
    <row r="54" spans="1:19" customFormat="1" ht="14.25" customHeight="1">
      <c r="A54" s="843">
        <f>IF(B54="","",SUBTOTAL(3,$B$12:B54))</f>
        <v>43</v>
      </c>
      <c r="B54" s="849" t="s">
        <v>1325</v>
      </c>
      <c r="C54" s="845">
        <v>4049.7639999999997</v>
      </c>
      <c r="D54" s="293" t="s">
        <v>1280</v>
      </c>
      <c r="E54" s="293"/>
      <c r="F54" s="293">
        <v>10</v>
      </c>
      <c r="G54" s="293">
        <v>9</v>
      </c>
      <c r="H54" s="293">
        <f t="shared" si="1"/>
        <v>1</v>
      </c>
      <c r="I54" s="293" t="s">
        <v>68</v>
      </c>
      <c r="J54" s="293">
        <v>4</v>
      </c>
      <c r="K54" s="3">
        <f t="shared" si="0"/>
        <v>6</v>
      </c>
      <c r="L54" s="293" t="s">
        <v>1390</v>
      </c>
      <c r="M54" s="850"/>
      <c r="N54" s="293"/>
      <c r="O54" s="850"/>
      <c r="P54" s="851"/>
      <c r="Q54" s="293"/>
      <c r="R54" s="851"/>
      <c r="S54" s="852"/>
    </row>
    <row r="55" spans="1:19" customFormat="1" ht="14.25" customHeight="1">
      <c r="A55" s="843">
        <f>IF(B55="","",SUBTOTAL(3,$B$12:B55))</f>
        <v>44</v>
      </c>
      <c r="B55" s="937" t="s">
        <v>1326</v>
      </c>
      <c r="C55" s="845">
        <v>4898.5879999999997</v>
      </c>
      <c r="D55" s="293" t="s">
        <v>1280</v>
      </c>
      <c r="E55" s="293"/>
      <c r="F55" s="293">
        <v>13</v>
      </c>
      <c r="G55" s="293">
        <v>13</v>
      </c>
      <c r="H55" s="293">
        <f t="shared" si="1"/>
        <v>0</v>
      </c>
      <c r="I55" s="293"/>
      <c r="J55" s="293">
        <v>13</v>
      </c>
      <c r="K55" s="3">
        <f t="shared" si="0"/>
        <v>0</v>
      </c>
      <c r="L55" s="293"/>
      <c r="M55" s="850"/>
      <c r="N55" s="293"/>
      <c r="O55" s="850"/>
      <c r="P55" s="851"/>
      <c r="Q55" s="293"/>
      <c r="R55" s="851"/>
      <c r="S55" s="852"/>
    </row>
    <row r="56" spans="1:19" customFormat="1" ht="14.25" customHeight="1">
      <c r="A56" s="843">
        <f>IF(B56="","",SUBTOTAL(3,$B$12:B56))</f>
        <v>45</v>
      </c>
      <c r="B56" s="849" t="s">
        <v>1327</v>
      </c>
      <c r="C56" s="845">
        <v>4916.2929999999997</v>
      </c>
      <c r="D56" s="293" t="s">
        <v>1280</v>
      </c>
      <c r="E56" s="293"/>
      <c r="F56" s="293">
        <v>12</v>
      </c>
      <c r="G56" s="293">
        <v>9</v>
      </c>
      <c r="H56" s="293">
        <f t="shared" si="1"/>
        <v>3</v>
      </c>
      <c r="I56" s="293" t="s">
        <v>1391</v>
      </c>
      <c r="J56" s="293">
        <v>8</v>
      </c>
      <c r="K56" s="3">
        <f t="shared" si="0"/>
        <v>4</v>
      </c>
      <c r="L56" s="293" t="s">
        <v>1392</v>
      </c>
      <c r="M56" s="850"/>
      <c r="N56" s="293"/>
      <c r="O56" s="850"/>
      <c r="P56" s="851"/>
      <c r="Q56" s="293"/>
      <c r="R56" s="851"/>
      <c r="S56" s="852"/>
    </row>
    <row r="57" spans="1:19" customFormat="1" ht="14.25" customHeight="1">
      <c r="A57" s="843">
        <f>IF(B57="","",SUBTOTAL(3,$B$12:B57))</f>
        <v>46</v>
      </c>
      <c r="B57" s="849" t="s">
        <v>1328</v>
      </c>
      <c r="C57" s="845">
        <v>453.99900000000002</v>
      </c>
      <c r="D57" s="293" t="s">
        <v>1279</v>
      </c>
      <c r="E57" s="293"/>
      <c r="F57" s="293">
        <v>1</v>
      </c>
      <c r="G57" s="293">
        <v>1</v>
      </c>
      <c r="H57" s="293">
        <f t="shared" si="1"/>
        <v>0</v>
      </c>
      <c r="I57" s="293"/>
      <c r="J57" s="293">
        <v>0</v>
      </c>
      <c r="K57" s="3">
        <f t="shared" si="0"/>
        <v>1</v>
      </c>
      <c r="L57" s="293" t="s">
        <v>1069</v>
      </c>
      <c r="M57" s="850"/>
      <c r="N57" s="293"/>
      <c r="O57" s="850"/>
      <c r="P57" s="851"/>
      <c r="Q57" s="293"/>
      <c r="R57" s="851"/>
      <c r="S57" s="852"/>
    </row>
    <row r="58" spans="1:19" customFormat="1" ht="14.25" customHeight="1">
      <c r="A58" s="843">
        <f>IF(B58="","",SUBTOTAL(3,$B$12:B58))</f>
        <v>47</v>
      </c>
      <c r="B58" s="849" t="s">
        <v>1329</v>
      </c>
      <c r="C58" s="845">
        <v>1291.5230000000001</v>
      </c>
      <c r="D58" s="293" t="s">
        <v>1280</v>
      </c>
      <c r="E58" s="293"/>
      <c r="F58" s="293">
        <v>3</v>
      </c>
      <c r="G58" s="293">
        <v>3</v>
      </c>
      <c r="H58" s="293">
        <f t="shared" si="1"/>
        <v>0</v>
      </c>
      <c r="I58" s="293"/>
      <c r="J58" s="293">
        <v>2</v>
      </c>
      <c r="K58" s="3">
        <f t="shared" si="0"/>
        <v>1</v>
      </c>
      <c r="L58" s="293" t="s">
        <v>168</v>
      </c>
      <c r="M58" s="850"/>
      <c r="N58" s="293"/>
      <c r="O58" s="850"/>
      <c r="P58" s="851"/>
      <c r="Q58" s="293"/>
      <c r="R58" s="851"/>
      <c r="S58" s="852"/>
    </row>
    <row r="59" spans="1:19" customFormat="1" ht="13.9" customHeight="1">
      <c r="A59" s="843">
        <f>IF(B59="","",SUBTOTAL(3,$B$12:B59))</f>
        <v>48</v>
      </c>
      <c r="B59" s="849" t="s">
        <v>1330</v>
      </c>
      <c r="C59" s="845">
        <v>2496.3940000000002</v>
      </c>
      <c r="D59" s="293" t="s">
        <v>1280</v>
      </c>
      <c r="E59" s="293"/>
      <c r="F59" s="293">
        <v>6</v>
      </c>
      <c r="G59" s="293">
        <v>6</v>
      </c>
      <c r="H59" s="293">
        <f t="shared" si="1"/>
        <v>0</v>
      </c>
      <c r="I59" s="293"/>
      <c r="J59" s="293">
        <v>3</v>
      </c>
      <c r="K59" s="3">
        <f t="shared" si="0"/>
        <v>3</v>
      </c>
      <c r="L59" s="293" t="s">
        <v>1393</v>
      </c>
      <c r="M59" s="850"/>
      <c r="N59" s="293"/>
      <c r="O59" s="850"/>
      <c r="P59" s="851"/>
      <c r="Q59" s="293"/>
      <c r="R59" s="851"/>
      <c r="S59" s="852"/>
    </row>
    <row r="60" spans="1:19" customFormat="1" ht="14.25" customHeight="1">
      <c r="A60" s="843">
        <f>IF(B60="","",SUBTOTAL(3,$B$12:B60))</f>
        <v>49</v>
      </c>
      <c r="B60" s="938" t="s">
        <v>1331</v>
      </c>
      <c r="C60" s="931">
        <v>2583.5889999999999</v>
      </c>
      <c r="D60" s="293" t="s">
        <v>1280</v>
      </c>
      <c r="E60" s="293"/>
      <c r="F60" s="293">
        <v>7</v>
      </c>
      <c r="G60" s="293">
        <v>7</v>
      </c>
      <c r="H60" s="293">
        <f t="shared" si="1"/>
        <v>0</v>
      </c>
      <c r="I60" s="293"/>
      <c r="J60" s="293">
        <v>6</v>
      </c>
      <c r="K60" s="3">
        <f t="shared" si="0"/>
        <v>1</v>
      </c>
      <c r="L60" s="293" t="s">
        <v>72</v>
      </c>
      <c r="M60" s="850"/>
      <c r="N60" s="293"/>
      <c r="O60" s="850"/>
      <c r="P60" s="851"/>
      <c r="Q60" s="293"/>
      <c r="R60" s="851"/>
      <c r="S60" s="852"/>
    </row>
    <row r="61" spans="1:19" customFormat="1" ht="14.25" customHeight="1">
      <c r="A61" s="843">
        <f>IF(B61="","",SUBTOTAL(3,$B$12:B61))</f>
        <v>50</v>
      </c>
      <c r="B61" s="938" t="s">
        <v>1332</v>
      </c>
      <c r="C61" s="931">
        <v>4163.6769999999997</v>
      </c>
      <c r="D61" s="293" t="s">
        <v>1280</v>
      </c>
      <c r="E61" s="293"/>
      <c r="F61" s="293">
        <v>11</v>
      </c>
      <c r="G61" s="293">
        <v>11</v>
      </c>
      <c r="H61" s="293">
        <f t="shared" si="1"/>
        <v>0</v>
      </c>
      <c r="I61" s="293"/>
      <c r="J61" s="293">
        <v>11</v>
      </c>
      <c r="K61" s="3">
        <f t="shared" si="0"/>
        <v>0</v>
      </c>
      <c r="L61" s="293"/>
      <c r="M61" s="850"/>
      <c r="N61" s="293"/>
      <c r="O61" s="850"/>
      <c r="P61" s="851"/>
      <c r="Q61" s="293"/>
      <c r="R61" s="851"/>
      <c r="S61" s="852"/>
    </row>
    <row r="62" spans="1:19" customFormat="1" ht="14.25" customHeight="1">
      <c r="A62" s="843">
        <f>IF(B62="","",SUBTOTAL(3,$B$12:B62))</f>
        <v>51</v>
      </c>
      <c r="B62" s="849" t="s">
        <v>1333</v>
      </c>
      <c r="C62" s="845">
        <v>4716.8109999999997</v>
      </c>
      <c r="D62" s="293" t="s">
        <v>1280</v>
      </c>
      <c r="E62" s="293"/>
      <c r="F62" s="293">
        <v>12</v>
      </c>
      <c r="G62" s="293">
        <v>12</v>
      </c>
      <c r="H62" s="293">
        <f t="shared" si="1"/>
        <v>0</v>
      </c>
      <c r="I62" s="293"/>
      <c r="J62" s="293">
        <v>8</v>
      </c>
      <c r="K62" s="3">
        <f t="shared" si="0"/>
        <v>4</v>
      </c>
      <c r="L62" s="293" t="s">
        <v>1408</v>
      </c>
      <c r="M62" s="850"/>
      <c r="N62" s="293"/>
      <c r="O62" s="850"/>
      <c r="P62" s="851"/>
      <c r="Q62" s="293"/>
      <c r="R62" s="851"/>
      <c r="S62" s="852"/>
    </row>
    <row r="63" spans="1:19" customFormat="1" ht="14.25" customHeight="1">
      <c r="A63" s="843">
        <f>IF(B63="","",SUBTOTAL(3,$B$12:B63))</f>
        <v>52</v>
      </c>
      <c r="B63" s="849" t="s">
        <v>1334</v>
      </c>
      <c r="C63" s="845">
        <v>4665.9179999999997</v>
      </c>
      <c r="D63" s="293" t="s">
        <v>1280</v>
      </c>
      <c r="E63" s="293"/>
      <c r="F63" s="293">
        <v>12</v>
      </c>
      <c r="G63" s="293">
        <v>12</v>
      </c>
      <c r="H63" s="293">
        <f t="shared" si="1"/>
        <v>0</v>
      </c>
      <c r="I63" s="293"/>
      <c r="J63" s="293">
        <v>1</v>
      </c>
      <c r="K63" s="3">
        <f t="shared" si="0"/>
        <v>11</v>
      </c>
      <c r="L63" s="293"/>
      <c r="M63" s="850"/>
      <c r="N63" s="293"/>
      <c r="O63" s="850"/>
      <c r="P63" s="851"/>
      <c r="Q63" s="293"/>
      <c r="R63" s="851"/>
      <c r="S63" s="852"/>
    </row>
    <row r="64" spans="1:19" customFormat="1" ht="14.25" customHeight="1">
      <c r="A64" s="843">
        <f>IF(B64="","",SUBTOTAL(3,$B$12:B64))</f>
        <v>53</v>
      </c>
      <c r="B64" s="849" t="s">
        <v>1335</v>
      </c>
      <c r="C64" s="845">
        <v>410.60700000000003</v>
      </c>
      <c r="D64" s="293" t="s">
        <v>1279</v>
      </c>
      <c r="E64" s="293"/>
      <c r="F64" s="293">
        <v>1</v>
      </c>
      <c r="G64" s="293">
        <v>1</v>
      </c>
      <c r="H64" s="293">
        <f t="shared" si="1"/>
        <v>0</v>
      </c>
      <c r="I64" s="293"/>
      <c r="J64" s="293">
        <v>0</v>
      </c>
      <c r="K64" s="3">
        <f t="shared" si="0"/>
        <v>1</v>
      </c>
      <c r="L64" s="293"/>
      <c r="M64" s="850"/>
      <c r="N64" s="293"/>
      <c r="O64" s="850"/>
      <c r="P64" s="851"/>
      <c r="Q64" s="293"/>
      <c r="R64" s="851"/>
      <c r="S64" s="852"/>
    </row>
    <row r="65" spans="1:19" customFormat="1" ht="14.25" customHeight="1">
      <c r="A65" s="843">
        <f>IF(B65="","",SUBTOTAL(3,$B$12:B65))</f>
        <v>54</v>
      </c>
      <c r="B65" s="849" t="s">
        <v>1336</v>
      </c>
      <c r="C65" s="845">
        <v>823.78199999999993</v>
      </c>
      <c r="D65" s="293" t="s">
        <v>1280</v>
      </c>
      <c r="E65" s="293"/>
      <c r="F65" s="293">
        <v>2</v>
      </c>
      <c r="G65" s="293">
        <v>2</v>
      </c>
      <c r="H65" s="293">
        <f t="shared" si="1"/>
        <v>0</v>
      </c>
      <c r="I65" s="293"/>
      <c r="J65" s="293">
        <v>0</v>
      </c>
      <c r="K65" s="3">
        <f t="shared" si="0"/>
        <v>2</v>
      </c>
      <c r="L65" s="293"/>
      <c r="M65" s="850"/>
      <c r="N65" s="293"/>
      <c r="O65" s="850"/>
      <c r="P65" s="851"/>
      <c r="Q65" s="293"/>
      <c r="R65" s="851"/>
      <c r="S65" s="852"/>
    </row>
    <row r="66" spans="1:19" customFormat="1" ht="14.25" customHeight="1">
      <c r="A66" s="843">
        <f>IF(B66="","",SUBTOTAL(3,$B$12:B66))</f>
        <v>55</v>
      </c>
      <c r="B66" s="849" t="s">
        <v>1337</v>
      </c>
      <c r="C66" s="845">
        <v>1258.998</v>
      </c>
      <c r="D66" s="293" t="s">
        <v>1280</v>
      </c>
      <c r="E66" s="293"/>
      <c r="F66" s="293">
        <v>3</v>
      </c>
      <c r="G66" s="293">
        <v>3</v>
      </c>
      <c r="H66" s="293">
        <f t="shared" si="1"/>
        <v>0</v>
      </c>
      <c r="I66" s="293"/>
      <c r="J66" s="293">
        <v>0</v>
      </c>
      <c r="K66" s="3">
        <f t="shared" si="0"/>
        <v>3</v>
      </c>
      <c r="L66" s="293"/>
      <c r="M66" s="850"/>
      <c r="N66" s="293"/>
      <c r="O66" s="850"/>
      <c r="P66" s="851"/>
      <c r="Q66" s="293"/>
      <c r="R66" s="851"/>
      <c r="S66" s="852"/>
    </row>
    <row r="67" spans="1:19" customFormat="1" ht="14.25" customHeight="1">
      <c r="A67" s="843">
        <f>IF(B67="","",SUBTOTAL(3,$B$12:B67))</f>
        <v>56</v>
      </c>
      <c r="B67" s="849" t="s">
        <v>1338</v>
      </c>
      <c r="C67" s="845">
        <v>424.89100000000002</v>
      </c>
      <c r="D67" s="293" t="s">
        <v>1279</v>
      </c>
      <c r="E67" s="293"/>
      <c r="F67" s="293">
        <v>1</v>
      </c>
      <c r="G67" s="293">
        <v>1</v>
      </c>
      <c r="H67" s="293">
        <f t="shared" si="1"/>
        <v>0</v>
      </c>
      <c r="I67" s="293"/>
      <c r="J67" s="293">
        <v>0</v>
      </c>
      <c r="K67" s="3">
        <f t="shared" si="0"/>
        <v>1</v>
      </c>
      <c r="L67" s="293" t="s">
        <v>78</v>
      </c>
      <c r="M67" s="850"/>
      <c r="N67" s="293"/>
      <c r="O67" s="850"/>
      <c r="P67" s="851"/>
      <c r="Q67" s="293"/>
      <c r="R67" s="851"/>
      <c r="S67" s="852"/>
    </row>
    <row r="68" spans="1:19" customFormat="1" ht="14.25" customHeight="1">
      <c r="A68" s="843">
        <f>IF(B68="","",SUBTOTAL(3,$B$12:B68))</f>
        <v>57</v>
      </c>
      <c r="B68" s="849" t="s">
        <v>1339</v>
      </c>
      <c r="C68" s="845">
        <v>3436.4119999999998</v>
      </c>
      <c r="D68" s="293" t="s">
        <v>1280</v>
      </c>
      <c r="E68" s="293"/>
      <c r="F68" s="293">
        <v>9</v>
      </c>
      <c r="G68" s="293">
        <v>9</v>
      </c>
      <c r="H68" s="293">
        <f t="shared" si="1"/>
        <v>0</v>
      </c>
      <c r="I68" s="293"/>
      <c r="J68" s="293">
        <v>0</v>
      </c>
      <c r="K68" s="3">
        <f t="shared" si="0"/>
        <v>9</v>
      </c>
      <c r="L68" s="293" t="s">
        <v>1394</v>
      </c>
      <c r="M68" s="850"/>
      <c r="N68" s="293"/>
      <c r="O68" s="850"/>
      <c r="P68" s="851"/>
      <c r="Q68" s="293"/>
      <c r="R68" s="851"/>
      <c r="S68" s="852"/>
    </row>
    <row r="69" spans="1:19" customFormat="1" ht="14.25" customHeight="1">
      <c r="A69" s="843">
        <f>IF(B69="","",SUBTOTAL(3,$B$12:B69))</f>
        <v>58</v>
      </c>
      <c r="B69" s="849" t="s">
        <v>1395</v>
      </c>
      <c r="C69" s="845">
        <v>2383.1549999999997</v>
      </c>
      <c r="D69" s="293" t="s">
        <v>1280</v>
      </c>
      <c r="E69" s="293"/>
      <c r="F69" s="293">
        <v>6</v>
      </c>
      <c r="G69" s="293">
        <v>5</v>
      </c>
      <c r="H69" s="293">
        <f t="shared" si="1"/>
        <v>1</v>
      </c>
      <c r="I69" s="293" t="s">
        <v>1244</v>
      </c>
      <c r="J69" s="293">
        <v>0</v>
      </c>
      <c r="K69" s="3">
        <f t="shared" si="0"/>
        <v>6</v>
      </c>
      <c r="L69" s="293" t="s">
        <v>1396</v>
      </c>
      <c r="M69" s="850"/>
      <c r="N69" s="293"/>
      <c r="O69" s="850"/>
      <c r="P69" s="851"/>
      <c r="Q69" s="293"/>
      <c r="R69" s="851"/>
      <c r="S69" s="852"/>
    </row>
    <row r="70" spans="1:19" customFormat="1" ht="14.25" customHeight="1">
      <c r="A70" s="843">
        <f>IF(B70="","",SUBTOTAL(3,$B$12:B70))</f>
        <v>59</v>
      </c>
      <c r="B70" s="849" t="s">
        <v>1397</v>
      </c>
      <c r="C70" s="845">
        <v>208.53</v>
      </c>
      <c r="D70" s="293" t="s">
        <v>1279</v>
      </c>
      <c r="E70" s="293"/>
      <c r="F70" s="293">
        <v>1</v>
      </c>
      <c r="G70" s="293">
        <v>0</v>
      </c>
      <c r="H70" s="293">
        <f t="shared" si="1"/>
        <v>1</v>
      </c>
      <c r="I70" s="293" t="s">
        <v>1245</v>
      </c>
      <c r="J70" s="293">
        <v>0</v>
      </c>
      <c r="K70" s="3">
        <f>F70-J70</f>
        <v>1</v>
      </c>
      <c r="L70" s="293" t="s">
        <v>1245</v>
      </c>
      <c r="M70" s="850"/>
      <c r="N70" s="293"/>
      <c r="O70" s="850"/>
      <c r="P70" s="851"/>
      <c r="Q70" s="293"/>
      <c r="R70" s="851"/>
      <c r="S70" s="852"/>
    </row>
    <row r="71" spans="1:19" ht="15" thickBot="1">
      <c r="C71" s="824">
        <f>SUM(C12:C70)</f>
        <v>117850.83100000003</v>
      </c>
      <c r="F71" s="3">
        <f>SUM(F12:F70)</f>
        <v>306</v>
      </c>
      <c r="G71" s="3">
        <f>SUM(G12:G70)</f>
        <v>276</v>
      </c>
      <c r="H71" s="3">
        <f>SUM(H12:H70)</f>
        <v>30</v>
      </c>
      <c r="J71" s="3">
        <f>SUM(J12:J70)</f>
        <v>93</v>
      </c>
      <c r="K71" s="3">
        <f>SUM(K12:K70)</f>
        <v>213</v>
      </c>
    </row>
    <row r="72" spans="1:19" ht="38.25" customHeight="1" thickBot="1">
      <c r="A72" s="820" t="s">
        <v>1276</v>
      </c>
      <c r="B72" s="822" t="s">
        <v>1277</v>
      </c>
      <c r="C72" s="821" t="s">
        <v>1286</v>
      </c>
      <c r="D72" s="836"/>
      <c r="E72" s="833"/>
      <c r="F72" s="833"/>
      <c r="H72" s="2"/>
    </row>
    <row r="73" spans="1:19" ht="14.5">
      <c r="A73" s="823">
        <v>1</v>
      </c>
      <c r="B73" s="825" t="s">
        <v>1280</v>
      </c>
      <c r="C73" s="826">
        <f>SUMIF(D12:D70,B73,C12:C70)/1000</f>
        <v>110.170096</v>
      </c>
      <c r="D73" s="824"/>
      <c r="E73" s="834"/>
      <c r="F73" s="834"/>
      <c r="H73" s="2"/>
    </row>
    <row r="74" spans="1:19" ht="15" thickBot="1">
      <c r="A74" s="827">
        <v>2</v>
      </c>
      <c r="B74" s="828" t="s">
        <v>1279</v>
      </c>
      <c r="C74" s="829">
        <f>SUMIF(D12:D70,B74,C12:C70)/1000</f>
        <v>7.6807349999999994</v>
      </c>
      <c r="D74" s="824"/>
      <c r="E74" s="834"/>
      <c r="F74" s="834"/>
      <c r="H74" s="2"/>
    </row>
    <row r="75" spans="1:19" ht="15" thickBot="1">
      <c r="A75" s="1549" t="s">
        <v>1287</v>
      </c>
      <c r="B75" s="1550"/>
      <c r="C75" s="830">
        <f>C74+C73</f>
        <v>117.850831</v>
      </c>
      <c r="D75" s="837"/>
      <c r="E75" s="835"/>
      <c r="F75" s="835"/>
      <c r="H75" s="2"/>
    </row>
  </sheetData>
  <autoFilter ref="A11:S75" xr:uid="{70EC563B-FBAF-4C6C-B646-8C551870EAC0}"/>
  <mergeCells count="35">
    <mergeCell ref="A2:Q2"/>
    <mergeCell ref="C4:D4"/>
    <mergeCell ref="E4:F4"/>
    <mergeCell ref="G4:H4"/>
    <mergeCell ref="I4:J4"/>
    <mergeCell ref="K4:L4"/>
    <mergeCell ref="C6:D6"/>
    <mergeCell ref="E6:F6"/>
    <mergeCell ref="G6:H6"/>
    <mergeCell ref="I6:J6"/>
    <mergeCell ref="K6:L6"/>
    <mergeCell ref="C5:D5"/>
    <mergeCell ref="E5:F5"/>
    <mergeCell ref="G5:H5"/>
    <mergeCell ref="I5:J5"/>
    <mergeCell ref="K5:L5"/>
    <mergeCell ref="C7:D7"/>
    <mergeCell ref="E7:F7"/>
    <mergeCell ref="G7:H7"/>
    <mergeCell ref="I7:J7"/>
    <mergeCell ref="K7:L7"/>
    <mergeCell ref="A75:B75"/>
    <mergeCell ref="F9:F11"/>
    <mergeCell ref="G9:I9"/>
    <mergeCell ref="J9:L9"/>
    <mergeCell ref="M9:P9"/>
    <mergeCell ref="H10:I10"/>
    <mergeCell ref="K10:L10"/>
    <mergeCell ref="M10:N10"/>
    <mergeCell ref="O10:P10"/>
    <mergeCell ref="A9:A11"/>
    <mergeCell ref="B9:B11"/>
    <mergeCell ref="C9:C11"/>
    <mergeCell ref="D9:D11"/>
    <mergeCell ref="E9:E11"/>
  </mergeCells>
  <conditionalFormatting sqref="B71:B76">
    <cfRule type="duplicateValues" dxfId="9" priority="4"/>
    <cfRule type="duplicateValues" dxfId="8" priority="5"/>
  </conditionalFormatting>
  <conditionalFormatting sqref="B71:B1048576">
    <cfRule type="duplicateValues" dxfId="7" priority="3"/>
  </conditionalFormatting>
  <conditionalFormatting sqref="P12:P70">
    <cfRule type="containsText" dxfId="6" priority="1" operator="containsText" text="WIP">
      <formula>NOT(ISERROR(SEARCH("WIP",P12)))</formula>
    </cfRule>
  </conditionalFormatting>
  <conditionalFormatting sqref="Q2:Q9">
    <cfRule type="containsText" dxfId="5" priority="2" operator="containsText" text="WIP">
      <formula>NOT(ISERROR(SEARCH("WIP",Q2)))</formula>
    </cfRule>
  </conditionalFormatting>
  <pageMargins left="0.59" right="0.28000000000000003" top="0.46" bottom="0.31" header="0.3" footer="0.3"/>
  <pageSetup scale="47" orientation="landscape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DFF2B-E282-4550-A4E6-01E0C1BDD4F1}">
  <sheetPr codeName="Sheet28"/>
  <dimension ref="A2:T30"/>
  <sheetViews>
    <sheetView topLeftCell="C1" workbookViewId="0">
      <selection activeCell="P7" sqref="P7"/>
    </sheetView>
  </sheetViews>
  <sheetFormatPr defaultRowHeight="14.5"/>
  <cols>
    <col min="1" max="1" width="17.1796875" customWidth="1"/>
    <col min="2" max="2" width="10" bestFit="1" customWidth="1"/>
    <col min="4" max="4" width="19.54296875" style="129" customWidth="1"/>
    <col min="5" max="5" width="22.453125" style="129" customWidth="1"/>
    <col min="7" max="13" width="0" hidden="1" customWidth="1"/>
    <col min="15" max="15" width="28.81640625" bestFit="1" customWidth="1"/>
    <col min="19" max="19" width="28.81640625" bestFit="1" customWidth="1"/>
    <col min="20" max="20" width="15.26953125" customWidth="1"/>
  </cols>
  <sheetData>
    <row r="2" spans="1:20" ht="18.5">
      <c r="A2" s="400" t="s">
        <v>1126</v>
      </c>
      <c r="B2" s="401" t="s">
        <v>952</v>
      </c>
      <c r="C2" s="454" t="s">
        <v>956</v>
      </c>
      <c r="D2" s="454" t="s">
        <v>1127</v>
      </c>
      <c r="E2" s="454" t="s">
        <v>1133</v>
      </c>
      <c r="N2" s="137"/>
    </row>
    <row r="3" spans="1:20" ht="18.5">
      <c r="A3" s="400"/>
      <c r="B3" s="401"/>
      <c r="C3" s="454" t="s">
        <v>83</v>
      </c>
      <c r="D3" s="454" t="s">
        <v>84</v>
      </c>
      <c r="E3" s="68" t="s">
        <v>1134</v>
      </c>
      <c r="N3" s="1768" t="s">
        <v>1135</v>
      </c>
      <c r="O3" s="1768"/>
      <c r="P3" s="1768"/>
      <c r="Q3" s="1768"/>
      <c r="R3" s="1768"/>
      <c r="S3" s="1768"/>
      <c r="T3" s="1768"/>
    </row>
    <row r="4" spans="1:20" ht="18.5">
      <c r="A4" s="542" t="s">
        <v>890</v>
      </c>
      <c r="B4" s="543" t="s">
        <v>226</v>
      </c>
      <c r="C4" s="544"/>
      <c r="D4" s="68">
        <f>P30</f>
        <v>34895460.788644001</v>
      </c>
      <c r="E4" s="68"/>
      <c r="N4" s="598" t="s">
        <v>1117</v>
      </c>
      <c r="O4" s="599"/>
      <c r="P4" s="599"/>
      <c r="R4" s="598" t="s">
        <v>1130</v>
      </c>
      <c r="S4" s="599"/>
      <c r="T4" s="599"/>
    </row>
    <row r="5" spans="1:20" ht="18.5">
      <c r="A5" s="400"/>
      <c r="B5" s="401"/>
      <c r="C5" s="454">
        <v>340</v>
      </c>
      <c r="D5" s="68"/>
      <c r="E5" s="68">
        <f>C5*67</f>
        <v>22780</v>
      </c>
      <c r="N5" s="136" t="s">
        <v>375</v>
      </c>
      <c r="O5" s="89"/>
      <c r="P5" s="89"/>
      <c r="R5" s="136" t="s">
        <v>375</v>
      </c>
      <c r="S5" s="89"/>
      <c r="T5" s="89"/>
    </row>
    <row r="6" spans="1:20" ht="18.5">
      <c r="A6" s="398" t="s">
        <v>891</v>
      </c>
      <c r="B6" s="406" t="s">
        <v>79</v>
      </c>
      <c r="C6" s="454"/>
      <c r="D6" s="68">
        <f>P16</f>
        <v>1163.4222740119999</v>
      </c>
      <c r="E6" s="68"/>
      <c r="N6" s="89"/>
      <c r="O6" s="89" t="s">
        <v>1118</v>
      </c>
      <c r="P6" s="89">
        <v>30.466239999999999</v>
      </c>
      <c r="R6" s="89"/>
      <c r="S6" s="89" t="s">
        <v>1118</v>
      </c>
      <c r="T6" s="89" t="s">
        <v>1128</v>
      </c>
    </row>
    <row r="7" spans="1:20" ht="18.5">
      <c r="A7" s="400"/>
      <c r="B7" s="401"/>
      <c r="C7" s="454">
        <v>419.99900000000002</v>
      </c>
      <c r="D7" s="68"/>
      <c r="E7" s="68">
        <f t="shared" ref="E7:E17" si="0">C7*67</f>
        <v>28139.933000000001</v>
      </c>
      <c r="N7" s="89"/>
      <c r="O7" s="89" t="s">
        <v>1119</v>
      </c>
      <c r="P7" s="89">
        <v>4.55</v>
      </c>
      <c r="R7" s="89"/>
      <c r="S7" s="89" t="s">
        <v>1119</v>
      </c>
      <c r="T7" s="89">
        <v>4.55</v>
      </c>
    </row>
    <row r="8" spans="1:20" ht="18.5">
      <c r="A8" s="398" t="s">
        <v>892</v>
      </c>
      <c r="B8" s="406" t="s">
        <v>79</v>
      </c>
      <c r="C8" s="454"/>
      <c r="D8" s="68">
        <f>P16</f>
        <v>1163.4222740119999</v>
      </c>
      <c r="E8" s="68"/>
      <c r="N8" s="89"/>
      <c r="O8" s="89" t="s">
        <v>1120</v>
      </c>
      <c r="P8" s="89">
        <v>2</v>
      </c>
      <c r="R8" s="89"/>
      <c r="S8" s="89" t="s">
        <v>1120</v>
      </c>
      <c r="T8" s="89">
        <v>2</v>
      </c>
    </row>
    <row r="9" spans="1:20" ht="18.5">
      <c r="A9" s="400"/>
      <c r="B9" s="401"/>
      <c r="C9" s="454">
        <v>415</v>
      </c>
      <c r="D9" s="68"/>
      <c r="E9" s="68">
        <f>C9*67</f>
        <v>27805</v>
      </c>
      <c r="N9" s="89"/>
      <c r="O9" s="89" t="s">
        <v>1121</v>
      </c>
      <c r="P9" s="89">
        <f>SUM(P6:P8)</f>
        <v>37.016239999999996</v>
      </c>
      <c r="R9" s="89"/>
      <c r="S9" s="89" t="s">
        <v>1121</v>
      </c>
      <c r="T9" s="89">
        <f>SUM(T6:T8)</f>
        <v>6.55</v>
      </c>
    </row>
    <row r="10" spans="1:20" ht="18.5">
      <c r="A10" s="398" t="s">
        <v>893</v>
      </c>
      <c r="B10" s="406" t="s">
        <v>49</v>
      </c>
      <c r="C10" s="454"/>
      <c r="D10" s="68">
        <f>T16</f>
        <v>213.67305200000004</v>
      </c>
      <c r="E10" s="68"/>
      <c r="N10" s="136" t="s">
        <v>1122</v>
      </c>
      <c r="O10" s="89"/>
      <c r="P10" s="89"/>
      <c r="R10" s="136" t="s">
        <v>1122</v>
      </c>
      <c r="S10" s="89"/>
      <c r="T10" s="89"/>
    </row>
    <row r="11" spans="1:20" ht="18.5">
      <c r="A11" s="400"/>
      <c r="B11" s="401"/>
      <c r="C11" s="454">
        <v>365</v>
      </c>
      <c r="D11" s="68"/>
      <c r="E11" s="68">
        <f t="shared" si="0"/>
        <v>24455</v>
      </c>
      <c r="N11" s="89"/>
      <c r="O11" s="89" t="s">
        <v>1123</v>
      </c>
      <c r="P11" s="89">
        <v>24.880050000000001</v>
      </c>
      <c r="R11" s="89"/>
      <c r="S11" s="89" t="s">
        <v>1123</v>
      </c>
      <c r="T11" s="89">
        <v>26.071840000000002</v>
      </c>
    </row>
    <row r="12" spans="1:20" ht="18.5">
      <c r="A12" s="398" t="s">
        <v>894</v>
      </c>
      <c r="B12" s="406" t="s">
        <v>79</v>
      </c>
      <c r="C12" s="454"/>
      <c r="D12" s="68">
        <f>P16</f>
        <v>1163.4222740119999</v>
      </c>
      <c r="E12" s="68"/>
      <c r="N12" s="89"/>
      <c r="O12" s="89" t="s">
        <v>1119</v>
      </c>
      <c r="P12" s="89">
        <v>4.55</v>
      </c>
      <c r="R12" s="89"/>
      <c r="S12" s="89" t="s">
        <v>1119</v>
      </c>
      <c r="T12" s="89">
        <v>4.55</v>
      </c>
    </row>
    <row r="13" spans="1:20" ht="18.5">
      <c r="A13" s="400"/>
      <c r="B13" s="401"/>
      <c r="C13" s="454">
        <v>330</v>
      </c>
      <c r="D13" s="68"/>
      <c r="E13" s="68">
        <f t="shared" si="0"/>
        <v>22110</v>
      </c>
      <c r="N13" s="89"/>
      <c r="O13" s="89" t="s">
        <v>1120</v>
      </c>
      <c r="P13" s="89">
        <v>2</v>
      </c>
      <c r="R13" s="89"/>
      <c r="S13" s="89" t="s">
        <v>1120</v>
      </c>
      <c r="T13" s="89">
        <v>2</v>
      </c>
    </row>
    <row r="14" spans="1:20" ht="18.5">
      <c r="A14" s="398" t="s">
        <v>895</v>
      </c>
      <c r="B14" s="406" t="s">
        <v>49</v>
      </c>
      <c r="C14" s="454"/>
      <c r="D14" s="68">
        <f>T16</f>
        <v>213.67305200000004</v>
      </c>
      <c r="E14" s="68"/>
      <c r="N14" s="89"/>
      <c r="O14" s="89" t="s">
        <v>1124</v>
      </c>
      <c r="P14" s="89">
        <f>SUM(P11:P13)</f>
        <v>31.430050000000001</v>
      </c>
      <c r="R14" s="89"/>
      <c r="S14" s="89" t="s">
        <v>1124</v>
      </c>
      <c r="T14" s="89">
        <f>SUM(T11:T13)</f>
        <v>32.621840000000006</v>
      </c>
    </row>
    <row r="15" spans="1:20" ht="18.5">
      <c r="A15" s="400"/>
      <c r="B15" s="401"/>
      <c r="C15" s="454">
        <v>457</v>
      </c>
      <c r="D15" s="68"/>
      <c r="E15" s="68">
        <f t="shared" si="0"/>
        <v>30619</v>
      </c>
      <c r="N15" s="89"/>
      <c r="O15" s="89"/>
      <c r="P15" s="89"/>
      <c r="R15" s="89"/>
      <c r="S15" s="89"/>
      <c r="T15" s="89"/>
    </row>
    <row r="16" spans="1:20" ht="18.5">
      <c r="A16" s="398" t="s">
        <v>896</v>
      </c>
      <c r="B16" s="406" t="s">
        <v>49</v>
      </c>
      <c r="C16" s="454"/>
      <c r="D16" s="68">
        <f>T16</f>
        <v>213.67305200000004</v>
      </c>
      <c r="E16" s="68"/>
      <c r="N16" s="89"/>
      <c r="O16" s="89" t="s">
        <v>1125</v>
      </c>
      <c r="P16" s="89">
        <f>P14*P9</f>
        <v>1163.4222740119999</v>
      </c>
      <c r="R16" s="89"/>
      <c r="S16" s="89" t="s">
        <v>1125</v>
      </c>
      <c r="T16" s="89">
        <f>T14*T9</f>
        <v>213.67305200000004</v>
      </c>
    </row>
    <row r="17" spans="1:20" ht="18.5">
      <c r="A17" s="400"/>
      <c r="B17" s="401"/>
      <c r="C17" s="454">
        <v>354.61200000000002</v>
      </c>
      <c r="D17" s="68"/>
      <c r="E17" s="68">
        <f t="shared" si="0"/>
        <v>23759.004000000001</v>
      </c>
    </row>
    <row r="18" spans="1:20" ht="18.5">
      <c r="A18" s="400" t="s">
        <v>257</v>
      </c>
      <c r="B18" s="401" t="s">
        <v>227</v>
      </c>
      <c r="C18" s="453"/>
      <c r="D18" s="68">
        <f>T30</f>
        <v>34911639.162063986</v>
      </c>
      <c r="E18" s="68"/>
      <c r="N18" s="136" t="s">
        <v>226</v>
      </c>
      <c r="O18" s="89"/>
      <c r="P18" s="89"/>
      <c r="R18" s="136" t="s">
        <v>227</v>
      </c>
      <c r="S18" s="89"/>
      <c r="T18" s="89"/>
    </row>
    <row r="19" spans="1:20">
      <c r="N19" s="136" t="s">
        <v>375</v>
      </c>
      <c r="O19" s="89"/>
      <c r="P19" s="89"/>
      <c r="R19" s="136" t="s">
        <v>375</v>
      </c>
      <c r="S19" s="89"/>
      <c r="T19" s="89"/>
    </row>
    <row r="20" spans="1:20">
      <c r="N20" s="89"/>
      <c r="O20" s="89" t="s">
        <v>1129</v>
      </c>
      <c r="P20" s="89">
        <v>25.238</v>
      </c>
      <c r="R20" s="89"/>
      <c r="S20" s="89" t="s">
        <v>1129</v>
      </c>
      <c r="T20" s="89">
        <v>26.607209999999998</v>
      </c>
    </row>
    <row r="21" spans="1:20">
      <c r="N21" s="89"/>
      <c r="O21" s="89" t="s">
        <v>1119</v>
      </c>
      <c r="P21" s="89">
        <v>5880</v>
      </c>
      <c r="R21" s="89"/>
      <c r="S21" s="89" t="s">
        <v>1119</v>
      </c>
      <c r="T21" s="89">
        <v>5880</v>
      </c>
    </row>
    <row r="22" spans="1:20">
      <c r="N22" s="89"/>
      <c r="O22" s="89" t="s">
        <v>1120</v>
      </c>
      <c r="P22" s="89">
        <v>2</v>
      </c>
      <c r="R22" s="89"/>
      <c r="S22" s="89" t="s">
        <v>1120</v>
      </c>
      <c r="T22" s="89">
        <v>2</v>
      </c>
    </row>
    <row r="23" spans="1:20">
      <c r="N23" s="89"/>
      <c r="O23" s="89" t="s">
        <v>1121</v>
      </c>
      <c r="P23" s="89">
        <f>SUM(P20:P22)</f>
        <v>5907.2380000000003</v>
      </c>
      <c r="R23" s="89"/>
      <c r="S23" s="89" t="s">
        <v>1121</v>
      </c>
      <c r="T23" s="89">
        <f>SUM(T20:T22)</f>
        <v>5908.6072100000001</v>
      </c>
    </row>
    <row r="24" spans="1:20">
      <c r="N24" s="136" t="s">
        <v>1122</v>
      </c>
      <c r="O24" s="89"/>
      <c r="P24" s="89"/>
      <c r="R24" s="136" t="s">
        <v>1122</v>
      </c>
      <c r="S24" s="89"/>
      <c r="T24" s="89"/>
    </row>
    <row r="25" spans="1:20">
      <c r="N25" s="89"/>
      <c r="O25" s="89" t="s">
        <v>1129</v>
      </c>
      <c r="P25" s="89">
        <v>25.238</v>
      </c>
      <c r="R25" s="89"/>
      <c r="S25" s="89" t="s">
        <v>1129</v>
      </c>
      <c r="T25" s="89">
        <v>26.607209999999998</v>
      </c>
    </row>
    <row r="26" spans="1:20">
      <c r="N26" s="89"/>
      <c r="O26" s="89" t="s">
        <v>1119</v>
      </c>
      <c r="P26" s="89">
        <v>5880</v>
      </c>
      <c r="R26" s="89"/>
      <c r="S26" s="89" t="s">
        <v>1119</v>
      </c>
      <c r="T26" s="89">
        <v>5880</v>
      </c>
    </row>
    <row r="27" spans="1:20">
      <c r="N27" s="89"/>
      <c r="O27" s="89" t="s">
        <v>1120</v>
      </c>
      <c r="P27" s="89">
        <v>2</v>
      </c>
      <c r="R27" s="89"/>
      <c r="S27" s="89" t="s">
        <v>1120</v>
      </c>
      <c r="T27" s="89">
        <v>2</v>
      </c>
    </row>
    <row r="28" spans="1:20">
      <c r="N28" s="89"/>
      <c r="O28" s="89" t="s">
        <v>1124</v>
      </c>
      <c r="P28" s="89">
        <f>SUM(P25:P27)</f>
        <v>5907.2380000000003</v>
      </c>
      <c r="R28" s="89"/>
      <c r="S28" s="89" t="s">
        <v>1124</v>
      </c>
      <c r="T28" s="89">
        <f>SUM(T25:T27)</f>
        <v>5908.6072100000001</v>
      </c>
    </row>
    <row r="29" spans="1:20">
      <c r="N29" s="89"/>
      <c r="O29" s="89"/>
      <c r="P29" s="89"/>
      <c r="R29" s="89"/>
      <c r="S29" s="89"/>
      <c r="T29" s="89"/>
    </row>
    <row r="30" spans="1:20">
      <c r="N30" s="89"/>
      <c r="O30" s="89" t="s">
        <v>1131</v>
      </c>
      <c r="P30" s="89">
        <f>P28*P23</f>
        <v>34895460.788644001</v>
      </c>
      <c r="R30" s="89"/>
      <c r="S30" s="89" t="s">
        <v>1132</v>
      </c>
      <c r="T30" s="89">
        <f>T28*T23</f>
        <v>34911639.162063986</v>
      </c>
    </row>
  </sheetData>
  <mergeCells count="1">
    <mergeCell ref="N3:T3"/>
  </mergeCells>
  <conditionalFormatting sqref="A2:A18">
    <cfRule type="duplicateValues" dxfId="4" priority="1"/>
  </conditionalFormatting>
  <conditionalFormatting sqref="B17 A2:A18">
    <cfRule type="duplicateValues" dxfId="3" priority="4"/>
    <cfRule type="duplicateValues" dxfId="2" priority="5"/>
  </conditionalFormatting>
  <conditionalFormatting sqref="C17">
    <cfRule type="duplicateValues" dxfId="1" priority="2"/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34</vt:i4>
      </vt:variant>
      <vt:variant>
        <vt:lpstr>Named Ranges</vt:lpstr>
      </vt:variant>
      <vt:variant>
        <vt:i4>29</vt:i4>
      </vt:variant>
    </vt:vector>
  </HeadingPairs>
  <TitlesOfParts>
    <vt:vector size="63" baseType="lpstr">
      <vt:lpstr>TA413_PBNTL</vt:lpstr>
      <vt:lpstr>WIP</vt:lpstr>
      <vt:lpstr>Visual Chart</vt:lpstr>
      <vt:lpstr>Stringing</vt:lpstr>
      <vt:lpstr>Stretch readiness </vt:lpstr>
      <vt:lpstr>Erection</vt:lpstr>
      <vt:lpstr>L2 Plan vs Actual</vt:lpstr>
      <vt:lpstr>Survey summary</vt:lpstr>
      <vt:lpstr>Detailed Survey </vt:lpstr>
      <vt:lpstr>Check Survey </vt:lpstr>
      <vt:lpstr>Earthing</vt:lpstr>
      <vt:lpstr>Tack Welding</vt:lpstr>
      <vt:lpstr> Final checking</vt:lpstr>
      <vt:lpstr>Bird Guard </vt:lpstr>
      <vt:lpstr>Aviation Paint</vt:lpstr>
      <vt:lpstr>Accessories</vt:lpstr>
      <vt:lpstr>OPGW</vt:lpstr>
      <vt:lpstr>Foundation</vt:lpstr>
      <vt:lpstr>JUMPER Details</vt:lpstr>
      <vt:lpstr>Crossing status</vt:lpstr>
      <vt:lpstr>ROW Tracker</vt:lpstr>
      <vt:lpstr>S-Curve FDN</vt:lpstr>
      <vt:lpstr>S-Curve Erection</vt:lpstr>
      <vt:lpstr>S-Curve Stringing</vt:lpstr>
      <vt:lpstr>Supply Status</vt:lpstr>
      <vt:lpstr>Hardware Supply</vt:lpstr>
      <vt:lpstr>Tower Abstract sheet</vt:lpstr>
      <vt:lpstr>Statutory Proposals</vt:lpstr>
      <vt:lpstr>Tower Abstarct </vt:lpstr>
      <vt:lpstr>Location Summary</vt:lpstr>
      <vt:lpstr>Foundation Daily Progress</vt:lpstr>
      <vt:lpstr>Tower PRS abstract </vt:lpstr>
      <vt:lpstr>Stretch readiness  (2)</vt:lpstr>
      <vt:lpstr>Area</vt:lpstr>
      <vt:lpstr>'Aviation Paint'!Print_Area</vt:lpstr>
      <vt:lpstr>'Check Survey '!Print_Area</vt:lpstr>
      <vt:lpstr>'Crossing status'!Print_Area</vt:lpstr>
      <vt:lpstr>'Detailed Survey '!Print_Area</vt:lpstr>
      <vt:lpstr>Earthing!Print_Area</vt:lpstr>
      <vt:lpstr>Erection!Print_Area</vt:lpstr>
      <vt:lpstr>Foundation!Print_Area</vt:lpstr>
      <vt:lpstr>'Foundation Daily Progress'!Print_Area</vt:lpstr>
      <vt:lpstr>'Hardware Supply'!Print_Area</vt:lpstr>
      <vt:lpstr>'Location Summary'!Print_Area</vt:lpstr>
      <vt:lpstr>'ROW Tracker'!Print_Area</vt:lpstr>
      <vt:lpstr>'S-Curve FDN'!Print_Area</vt:lpstr>
      <vt:lpstr>'Statutory Proposals'!Print_Area</vt:lpstr>
      <vt:lpstr>'Stretch readiness '!Print_Area</vt:lpstr>
      <vt:lpstr>'Supply Status'!Print_Area</vt:lpstr>
      <vt:lpstr>TA413_PBNTL!Print_Area</vt:lpstr>
      <vt:lpstr>'Tower Abstract sheet'!Print_Area</vt:lpstr>
      <vt:lpstr>'Visual Chart'!Print_Area</vt:lpstr>
      <vt:lpstr>' Final checking'!Print_Titles</vt:lpstr>
      <vt:lpstr>'Check Survey '!Print_Titles</vt:lpstr>
      <vt:lpstr>'Detailed Survey '!Print_Titles</vt:lpstr>
      <vt:lpstr>Erection!Print_Titles</vt:lpstr>
      <vt:lpstr>Foundation!Print_Titles</vt:lpstr>
      <vt:lpstr>'Hardware Supply'!Print_Titles</vt:lpstr>
      <vt:lpstr>'Location Summary'!Print_Titles</vt:lpstr>
      <vt:lpstr>'Statutory Proposals'!Print_Titles</vt:lpstr>
      <vt:lpstr>'Stretch readiness '!Print_Titles</vt:lpstr>
      <vt:lpstr>'Tower Abstract sheet'!Print_Titles</vt:lpstr>
      <vt:lpstr>'Visual Chart'!Print_Titles</vt:lpstr>
    </vt:vector>
  </TitlesOfParts>
  <Company>Associated Transrail Structures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Navjeet Singh</dc:creator>
  <cp:lastModifiedBy>Santosh Kumar</cp:lastModifiedBy>
  <cp:lastPrinted>2026-07-06T04:08:41Z</cp:lastPrinted>
  <dcterms:created xsi:type="dcterms:W3CDTF">2014-09-09T10:51:37Z</dcterms:created>
  <dcterms:modified xsi:type="dcterms:W3CDTF">2026-07-18T01:43:02Z</dcterms:modified>
</cp:coreProperties>
</file>